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DIV_SDM\BAG. PERSONALIA\Data Karyawan\2023\"/>
    </mc:Choice>
  </mc:AlternateContent>
  <xr:revisionPtr revIDLastSave="0" documentId="13_ncr:1_{D87819AF-6873-4A84-9996-093DE82763B5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Resume" sheetId="1" r:id="rId1"/>
    <sheet name="demografi" sheetId="2" r:id="rId2"/>
    <sheet name="Database" sheetId="3" r:id="rId3"/>
    <sheet name="logut" sheetId="5" r:id="rId4"/>
    <sheet name="Data Mutasi" sheetId="6" r:id="rId5"/>
    <sheet name="Sheet2" sheetId="7" r:id="rId6"/>
  </sheets>
  <externalReferences>
    <externalReference r:id="rId7"/>
    <externalReference r:id="rId8"/>
  </externalReferences>
  <definedNames>
    <definedName name="_xlnm._FilterDatabase" localSheetId="4" hidden="1">'Data Mutasi'!$B$3:$H$33</definedName>
    <definedName name="_xlnm._FilterDatabase" localSheetId="2" hidden="1">Database!$A$4:$BZ$4</definedName>
    <definedName name="_xlnm._FilterDatabase" localSheetId="3" hidden="1">logut!$B$3:$CA$64</definedName>
    <definedName name="_xlcn.WorksheetConnection_Book2Autosaved.xlsxTable11">All</definedName>
    <definedName name="_xlcn.WorksheetConnection_Book2Autosaved.xlsxTable21">Organik</definedName>
    <definedName name="capeg" localSheetId="2">#REF!</definedName>
    <definedName name="capeg">#REF!</definedName>
    <definedName name="pkwtlap" localSheetId="2">#REF!</definedName>
    <definedName name="pkwtlap">#REF!</definedName>
  </definedNames>
  <calcPr calcId="191029"/>
  <extLst>
    <ext uri="GoogleSheetsCustomDataVersion2">
      <go:sheetsCustomData xmlns:go="http://customooxmlschemas.google.com/" r:id="rId13" roundtripDataChecksum="5qh3U2uCPznVGQATSE8zC4TjRfh6rMGiRCdh3OUXVBQ="/>
    </ext>
  </extLst>
</workbook>
</file>

<file path=xl/calcChain.xml><?xml version="1.0" encoding="utf-8"?>
<calcChain xmlns="http://schemas.openxmlformats.org/spreadsheetml/2006/main">
  <c r="C103" i="2" l="1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104" i="2" l="1"/>
  <c r="D59" i="2"/>
  <c r="C59" i="2"/>
  <c r="D58" i="2"/>
  <c r="C58" i="2"/>
  <c r="D57" i="2"/>
  <c r="C57" i="2"/>
  <c r="D56" i="2"/>
  <c r="C56" i="2"/>
  <c r="C55" i="2"/>
  <c r="D55" i="2"/>
  <c r="D48" i="2"/>
  <c r="C48" i="2"/>
  <c r="D47" i="2"/>
  <c r="C47" i="2"/>
  <c r="D46" i="2"/>
  <c r="C46" i="2"/>
  <c r="D45" i="2"/>
  <c r="C45" i="2"/>
  <c r="D44" i="2"/>
  <c r="C44" i="2"/>
  <c r="D43" i="2"/>
  <c r="C43" i="2"/>
  <c r="C42" i="2"/>
  <c r="D42" i="2"/>
  <c r="C49" i="2" l="1"/>
  <c r="L110" i="5"/>
  <c r="BZ110" i="5"/>
  <c r="G6" i="7" l="1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B109" i="5"/>
  <c r="BR109" i="5"/>
  <c r="AS109" i="5"/>
  <c r="AT109" i="5" s="1"/>
  <c r="K109" i="5"/>
  <c r="J109" i="5"/>
  <c r="CB108" i="5"/>
  <c r="AT108" i="5"/>
  <c r="K108" i="5"/>
  <c r="J108" i="5"/>
  <c r="CB107" i="5"/>
  <c r="CB106" i="5"/>
  <c r="CB105" i="5"/>
  <c r="L105" i="5"/>
  <c r="K105" i="5"/>
  <c r="J105" i="5"/>
  <c r="CB104" i="5"/>
  <c r="BR104" i="5"/>
  <c r="AS104" i="5"/>
  <c r="AT104" i="5" s="1"/>
  <c r="L104" i="5"/>
  <c r="K104" i="5"/>
  <c r="J104" i="5"/>
  <c r="CB103" i="5"/>
  <c r="L103" i="5"/>
  <c r="K103" i="5"/>
  <c r="J103" i="5"/>
  <c r="CB102" i="5"/>
  <c r="L102" i="5"/>
  <c r="K102" i="5"/>
  <c r="J102" i="5"/>
  <c r="CB101" i="5"/>
  <c r="L101" i="5"/>
  <c r="K101" i="5"/>
  <c r="J101" i="5"/>
  <c r="CB100" i="5"/>
  <c r="AS100" i="5"/>
  <c r="AT100" i="5" s="1"/>
  <c r="L100" i="5"/>
  <c r="K100" i="5"/>
  <c r="J100" i="5"/>
  <c r="CB99" i="5"/>
  <c r="AS99" i="5"/>
  <c r="AT99" i="5" s="1"/>
  <c r="L99" i="5"/>
  <c r="K99" i="5"/>
  <c r="J99" i="5"/>
  <c r="CB98" i="5"/>
  <c r="AS98" i="5"/>
  <c r="AT98" i="5" s="1"/>
  <c r="L98" i="5"/>
  <c r="K98" i="5"/>
  <c r="J98" i="5"/>
  <c r="CB97" i="5"/>
  <c r="AS97" i="5"/>
  <c r="AT97" i="5" s="1"/>
  <c r="L97" i="5"/>
  <c r="K97" i="5"/>
  <c r="J97" i="5"/>
  <c r="CB96" i="5"/>
  <c r="AS96" i="5"/>
  <c r="AT96" i="5" s="1"/>
  <c r="L96" i="5"/>
  <c r="K96" i="5"/>
  <c r="J96" i="5"/>
  <c r="CB95" i="5"/>
  <c r="AS95" i="5"/>
  <c r="AT95" i="5" s="1"/>
  <c r="L95" i="5"/>
  <c r="K95" i="5"/>
  <c r="J95" i="5"/>
  <c r="CB94" i="5"/>
  <c r="AS94" i="5"/>
  <c r="AT94" i="5" s="1"/>
  <c r="L94" i="5"/>
  <c r="K94" i="5"/>
  <c r="J94" i="5"/>
  <c r="CB93" i="5"/>
  <c r="AS93" i="5"/>
  <c r="AT93" i="5" s="1"/>
  <c r="L93" i="5"/>
  <c r="K93" i="5"/>
  <c r="J93" i="5"/>
  <c r="CB92" i="5"/>
  <c r="AS92" i="5"/>
  <c r="AT92" i="5" s="1"/>
  <c r="L92" i="5"/>
  <c r="K92" i="5"/>
  <c r="J92" i="5"/>
  <c r="CB91" i="5"/>
  <c r="AS91" i="5"/>
  <c r="AT91" i="5" s="1"/>
  <c r="L91" i="5"/>
  <c r="K91" i="5"/>
  <c r="J91" i="5"/>
  <c r="CB90" i="5"/>
  <c r="AS90" i="5"/>
  <c r="AT90" i="5" s="1"/>
  <c r="L90" i="5"/>
  <c r="K90" i="5"/>
  <c r="J90" i="5"/>
  <c r="CB89" i="5"/>
  <c r="AS89" i="5"/>
  <c r="AT89" i="5" s="1"/>
  <c r="L89" i="5"/>
  <c r="K89" i="5"/>
  <c r="J89" i="5"/>
  <c r="CB88" i="5"/>
  <c r="AS88" i="5"/>
  <c r="AT88" i="5" s="1"/>
  <c r="L88" i="5"/>
  <c r="K88" i="5"/>
  <c r="J88" i="5"/>
  <c r="CB87" i="5"/>
  <c r="AS87" i="5"/>
  <c r="AT87" i="5" s="1"/>
  <c r="L87" i="5"/>
  <c r="K87" i="5"/>
  <c r="J87" i="5"/>
  <c r="CB86" i="5"/>
  <c r="AS86" i="5"/>
  <c r="AT86" i="5" s="1"/>
  <c r="L86" i="5"/>
  <c r="K86" i="5"/>
  <c r="J86" i="5"/>
  <c r="CB85" i="5"/>
  <c r="AS85" i="5"/>
  <c r="AT85" i="5" s="1"/>
  <c r="L85" i="5"/>
  <c r="K85" i="5"/>
  <c r="J85" i="5"/>
  <c r="CB84" i="5"/>
  <c r="AS84" i="5"/>
  <c r="AT84" i="5" s="1"/>
  <c r="L84" i="5"/>
  <c r="K84" i="5"/>
  <c r="J84" i="5"/>
  <c r="CB83" i="5"/>
  <c r="AS83" i="5"/>
  <c r="AT83" i="5" s="1"/>
  <c r="L83" i="5"/>
  <c r="K83" i="5"/>
  <c r="J83" i="5"/>
  <c r="CB82" i="5"/>
  <c r="AS82" i="5"/>
  <c r="AT82" i="5" s="1"/>
  <c r="L82" i="5"/>
  <c r="K82" i="5"/>
  <c r="J82" i="5"/>
  <c r="CB81" i="5"/>
  <c r="AS81" i="5"/>
  <c r="AT81" i="5" s="1"/>
  <c r="L81" i="5"/>
  <c r="K81" i="5"/>
  <c r="J81" i="5"/>
  <c r="CB80" i="5"/>
  <c r="AS80" i="5"/>
  <c r="AT80" i="5" s="1"/>
  <c r="L80" i="5"/>
  <c r="K80" i="5"/>
  <c r="J80" i="5"/>
  <c r="CB79" i="5"/>
  <c r="AS79" i="5"/>
  <c r="AT79" i="5" s="1"/>
  <c r="L79" i="5"/>
  <c r="K79" i="5"/>
  <c r="J79" i="5"/>
  <c r="CB78" i="5"/>
  <c r="AS78" i="5"/>
  <c r="AT78" i="5" s="1"/>
  <c r="L78" i="5"/>
  <c r="K78" i="5"/>
  <c r="J78" i="5"/>
  <c r="CB77" i="5"/>
  <c r="AS77" i="5"/>
  <c r="AT77" i="5" s="1"/>
  <c r="L77" i="5"/>
  <c r="K77" i="5"/>
  <c r="J77" i="5"/>
  <c r="CB76" i="5"/>
  <c r="AS76" i="5"/>
  <c r="AT76" i="5" s="1"/>
  <c r="L76" i="5"/>
  <c r="K76" i="5"/>
  <c r="J76" i="5"/>
  <c r="CB75" i="5"/>
  <c r="AS75" i="5"/>
  <c r="AT75" i="5" s="1"/>
  <c r="L75" i="5"/>
  <c r="K75" i="5"/>
  <c r="J75" i="5"/>
  <c r="CB74" i="5"/>
  <c r="AS74" i="5"/>
  <c r="AT74" i="5" s="1"/>
  <c r="L74" i="5"/>
  <c r="K74" i="5"/>
  <c r="J74" i="5"/>
  <c r="CB73" i="5"/>
  <c r="AS73" i="5"/>
  <c r="AT73" i="5" s="1"/>
  <c r="L73" i="5"/>
  <c r="K73" i="5"/>
  <c r="J73" i="5"/>
  <c r="CB72" i="5"/>
  <c r="AS72" i="5"/>
  <c r="AT72" i="5" s="1"/>
  <c r="L72" i="5"/>
  <c r="K72" i="5"/>
  <c r="J72" i="5"/>
  <c r="CB71" i="5"/>
  <c r="L71" i="5"/>
  <c r="K71" i="5"/>
  <c r="J71" i="5"/>
  <c r="CB70" i="5"/>
  <c r="BQ70" i="5"/>
  <c r="AS70" i="5"/>
  <c r="AT70" i="5" s="1"/>
  <c r="L70" i="5"/>
  <c r="K70" i="5"/>
  <c r="J70" i="5"/>
  <c r="CB69" i="5"/>
  <c r="BQ69" i="5"/>
  <c r="AS69" i="5"/>
  <c r="AT69" i="5" s="1"/>
  <c r="L69" i="5"/>
  <c r="K69" i="5"/>
  <c r="J69" i="5"/>
  <c r="CB68" i="5"/>
  <c r="AS68" i="5"/>
  <c r="AT68" i="5" s="1"/>
  <c r="L68" i="5"/>
  <c r="K68" i="5"/>
  <c r="J68" i="5"/>
  <c r="CB67" i="5"/>
  <c r="BQ67" i="5"/>
  <c r="AS67" i="5"/>
  <c r="AT67" i="5" s="1"/>
  <c r="L67" i="5"/>
  <c r="K67" i="5"/>
  <c r="J67" i="5"/>
  <c r="CB66" i="5"/>
  <c r="AS66" i="5"/>
  <c r="AT66" i="5" s="1"/>
  <c r="L66" i="5"/>
  <c r="K66" i="5"/>
  <c r="J66" i="5"/>
  <c r="CB65" i="5"/>
  <c r="AS65" i="5"/>
  <c r="AT65" i="5" s="1"/>
  <c r="L65" i="5"/>
  <c r="K65" i="5"/>
  <c r="J65" i="5"/>
  <c r="CB64" i="5"/>
  <c r="L64" i="5"/>
  <c r="K64" i="5"/>
  <c r="J64" i="5"/>
  <c r="CB63" i="5"/>
  <c r="L63" i="5"/>
  <c r="K63" i="5"/>
  <c r="J63" i="5"/>
  <c r="CB62" i="5"/>
  <c r="BQ62" i="5"/>
  <c r="L62" i="5"/>
  <c r="K62" i="5"/>
  <c r="J62" i="5"/>
  <c r="CB61" i="5"/>
  <c r="L61" i="5"/>
  <c r="K61" i="5"/>
  <c r="J61" i="5"/>
  <c r="CB60" i="5"/>
  <c r="L60" i="5"/>
  <c r="K60" i="5"/>
  <c r="J60" i="5"/>
  <c r="CB59" i="5"/>
  <c r="L59" i="5"/>
  <c r="K59" i="5"/>
  <c r="J59" i="5"/>
  <c r="CB58" i="5"/>
  <c r="L58" i="5"/>
  <c r="K58" i="5"/>
  <c r="J58" i="5"/>
  <c r="CB57" i="5"/>
  <c r="L57" i="5"/>
  <c r="K57" i="5"/>
  <c r="J57" i="5"/>
  <c r="CB56" i="5"/>
  <c r="BQ56" i="5"/>
  <c r="L56" i="5"/>
  <c r="K56" i="5"/>
  <c r="J56" i="5"/>
  <c r="CB55" i="5"/>
  <c r="L55" i="5"/>
  <c r="K55" i="5"/>
  <c r="J55" i="5"/>
  <c r="CB54" i="5"/>
  <c r="L54" i="5"/>
  <c r="K54" i="5"/>
  <c r="J54" i="5"/>
  <c r="CB53" i="5"/>
  <c r="L53" i="5"/>
  <c r="K53" i="5"/>
  <c r="J53" i="5"/>
  <c r="CB52" i="5"/>
  <c r="L52" i="5"/>
  <c r="K52" i="5"/>
  <c r="J52" i="5"/>
  <c r="CB51" i="5"/>
  <c r="L51" i="5"/>
  <c r="K51" i="5"/>
  <c r="J51" i="5"/>
  <c r="CB50" i="5"/>
  <c r="L50" i="5"/>
  <c r="K50" i="5"/>
  <c r="J50" i="5"/>
  <c r="CB49" i="5"/>
  <c r="L49" i="5"/>
  <c r="K49" i="5"/>
  <c r="J49" i="5"/>
  <c r="CB48" i="5"/>
  <c r="L48" i="5"/>
  <c r="K48" i="5"/>
  <c r="J48" i="5"/>
  <c r="CB47" i="5"/>
  <c r="L47" i="5"/>
  <c r="K47" i="5"/>
  <c r="J47" i="5"/>
  <c r="CB46" i="5"/>
  <c r="BQ46" i="5"/>
  <c r="L46" i="5"/>
  <c r="K46" i="5"/>
  <c r="J46" i="5"/>
  <c r="CB45" i="5"/>
  <c r="BQ45" i="5"/>
  <c r="L45" i="5"/>
  <c r="K45" i="5"/>
  <c r="J45" i="5"/>
  <c r="CB44" i="5"/>
  <c r="BM44" i="5"/>
  <c r="L44" i="5"/>
  <c r="K44" i="5"/>
  <c r="J44" i="5"/>
  <c r="CB43" i="5"/>
  <c r="BM43" i="5"/>
  <c r="L43" i="5"/>
  <c r="K43" i="5"/>
  <c r="J43" i="5"/>
  <c r="CB42" i="5"/>
  <c r="L42" i="5"/>
  <c r="K42" i="5"/>
  <c r="J42" i="5"/>
  <c r="CB41" i="5"/>
  <c r="L41" i="5"/>
  <c r="K41" i="5"/>
  <c r="J41" i="5"/>
  <c r="CB40" i="5"/>
  <c r="L40" i="5"/>
  <c r="K40" i="5"/>
  <c r="J40" i="5"/>
  <c r="CB39" i="5"/>
  <c r="L39" i="5"/>
  <c r="K39" i="5"/>
  <c r="J39" i="5"/>
  <c r="CB38" i="5"/>
  <c r="L38" i="5"/>
  <c r="K38" i="5"/>
  <c r="J38" i="5"/>
  <c r="CB37" i="5"/>
  <c r="L37" i="5"/>
  <c r="K37" i="5"/>
  <c r="J37" i="5"/>
  <c r="CB36" i="5"/>
  <c r="L36" i="5"/>
  <c r="K36" i="5"/>
  <c r="J36" i="5"/>
  <c r="CB35" i="5"/>
  <c r="L35" i="5"/>
  <c r="K35" i="5"/>
  <c r="J35" i="5"/>
  <c r="CB34" i="5"/>
  <c r="L34" i="5"/>
  <c r="K34" i="5"/>
  <c r="J34" i="5"/>
  <c r="CB33" i="5"/>
  <c r="L33" i="5"/>
  <c r="K33" i="5"/>
  <c r="J33" i="5"/>
  <c r="CB32" i="5"/>
  <c r="L32" i="5"/>
  <c r="K32" i="5"/>
  <c r="J32" i="5"/>
  <c r="CB31" i="5"/>
  <c r="L31" i="5"/>
  <c r="K31" i="5"/>
  <c r="J31" i="5"/>
  <c r="CB30" i="5"/>
  <c r="BQ30" i="5"/>
  <c r="L30" i="5"/>
  <c r="K30" i="5"/>
  <c r="J30" i="5"/>
  <c r="CB29" i="5"/>
  <c r="L29" i="5"/>
  <c r="K29" i="5"/>
  <c r="J29" i="5"/>
  <c r="CB28" i="5"/>
  <c r="L28" i="5"/>
  <c r="K28" i="5"/>
  <c r="J28" i="5"/>
  <c r="CB27" i="5"/>
  <c r="L27" i="5"/>
  <c r="K27" i="5"/>
  <c r="J27" i="5"/>
  <c r="CB26" i="5"/>
  <c r="L26" i="5"/>
  <c r="K26" i="5"/>
  <c r="J26" i="5"/>
  <c r="CB25" i="5"/>
  <c r="L25" i="5"/>
  <c r="K25" i="5"/>
  <c r="J25" i="5"/>
  <c r="CB24" i="5"/>
  <c r="BQ24" i="5"/>
  <c r="L24" i="5"/>
  <c r="K24" i="5"/>
  <c r="J24" i="5"/>
  <c r="CB23" i="5"/>
  <c r="L23" i="5"/>
  <c r="K23" i="5"/>
  <c r="J23" i="5"/>
  <c r="CB22" i="5"/>
  <c r="L22" i="5"/>
  <c r="K22" i="5"/>
  <c r="J22" i="5"/>
  <c r="CB21" i="5"/>
  <c r="L21" i="5"/>
  <c r="K21" i="5"/>
  <c r="J21" i="5"/>
  <c r="CB20" i="5"/>
  <c r="L20" i="5"/>
  <c r="K20" i="5"/>
  <c r="J20" i="5"/>
  <c r="CB19" i="5"/>
  <c r="L19" i="5"/>
  <c r="K19" i="5"/>
  <c r="J19" i="5"/>
  <c r="CB18" i="5"/>
  <c r="L18" i="5"/>
  <c r="K18" i="5"/>
  <c r="J18" i="5"/>
  <c r="CB17" i="5"/>
  <c r="L17" i="5"/>
  <c r="K17" i="5"/>
  <c r="J17" i="5"/>
  <c r="CB16" i="5"/>
  <c r="L16" i="5"/>
  <c r="K16" i="5"/>
  <c r="J16" i="5"/>
  <c r="CB15" i="5"/>
  <c r="BQ15" i="5"/>
  <c r="L15" i="5"/>
  <c r="K15" i="5"/>
  <c r="J15" i="5"/>
  <c r="CB14" i="5"/>
  <c r="L14" i="5"/>
  <c r="K14" i="5"/>
  <c r="J14" i="5"/>
  <c r="CB13" i="5"/>
  <c r="L13" i="5"/>
  <c r="K13" i="5"/>
  <c r="J13" i="5"/>
  <c r="CB12" i="5"/>
  <c r="L12" i="5"/>
  <c r="K12" i="5"/>
  <c r="J12" i="5"/>
  <c r="CB11" i="5"/>
  <c r="L11" i="5"/>
  <c r="K11" i="5"/>
  <c r="J11" i="5"/>
  <c r="CB10" i="5"/>
  <c r="L10" i="5"/>
  <c r="K10" i="5"/>
  <c r="J10" i="5"/>
  <c r="CB9" i="5"/>
  <c r="L9" i="5"/>
  <c r="K9" i="5"/>
  <c r="J9" i="5"/>
  <c r="CB8" i="5"/>
  <c r="L8" i="5"/>
  <c r="K8" i="5"/>
  <c r="J8" i="5"/>
  <c r="CB7" i="5"/>
  <c r="L7" i="5"/>
  <c r="K7" i="5"/>
  <c r="J7" i="5"/>
  <c r="CB6" i="5"/>
  <c r="L6" i="5"/>
  <c r="K6" i="5"/>
  <c r="J6" i="5"/>
  <c r="CB5" i="5"/>
  <c r="L5" i="5"/>
  <c r="K5" i="5"/>
  <c r="J5" i="5"/>
  <c r="CB4" i="5"/>
  <c r="L4" i="5"/>
  <c r="K4" i="5"/>
  <c r="J4" i="5"/>
  <c r="C2" i="5"/>
  <c r="AA108" i="5" s="1"/>
  <c r="BZ54" i="3"/>
  <c r="L54" i="3"/>
  <c r="BZ242" i="3"/>
  <c r="L242" i="3"/>
  <c r="BZ230" i="3"/>
  <c r="L230" i="3"/>
  <c r="BZ90" i="3"/>
  <c r="L90" i="3"/>
  <c r="BZ152" i="3"/>
  <c r="L152" i="3"/>
  <c r="BZ224" i="3"/>
  <c r="L224" i="3"/>
  <c r="BZ300" i="3"/>
  <c r="L300" i="3"/>
  <c r="BZ80" i="3"/>
  <c r="L80" i="3"/>
  <c r="BZ188" i="3"/>
  <c r="L188" i="3"/>
  <c r="BZ89" i="3"/>
  <c r="L89" i="3"/>
  <c r="BZ123" i="3"/>
  <c r="L123" i="3"/>
  <c r="BZ117" i="3"/>
  <c r="L117" i="3"/>
  <c r="BZ221" i="3"/>
  <c r="L221" i="3"/>
  <c r="BZ210" i="3"/>
  <c r="L210" i="3"/>
  <c r="BZ223" i="3"/>
  <c r="L223" i="3"/>
  <c r="BZ169" i="3"/>
  <c r="L169" i="3"/>
  <c r="BZ131" i="3"/>
  <c r="AT131" i="3"/>
  <c r="AU131" i="3" s="1"/>
  <c r="L131" i="3"/>
  <c r="BZ265" i="3"/>
  <c r="AT265" i="3"/>
  <c r="AU265" i="3" s="1"/>
  <c r="L265" i="3"/>
  <c r="BZ60" i="3"/>
  <c r="AT60" i="3"/>
  <c r="AU60" i="3" s="1"/>
  <c r="BZ36" i="3"/>
  <c r="AT36" i="3"/>
  <c r="AU36" i="3" s="1"/>
  <c r="L36" i="3"/>
  <c r="BZ218" i="3"/>
  <c r="L218" i="3"/>
  <c r="BZ161" i="3"/>
  <c r="L161" i="3"/>
  <c r="BZ68" i="3"/>
  <c r="L68" i="3"/>
  <c r="BZ149" i="3"/>
  <c r="L149" i="3"/>
  <c r="BZ202" i="3"/>
  <c r="L202" i="3"/>
  <c r="BZ29" i="3"/>
  <c r="L29" i="3"/>
  <c r="BZ319" i="3"/>
  <c r="L319" i="3"/>
  <c r="BZ49" i="3"/>
  <c r="L49" i="3"/>
  <c r="BZ141" i="3"/>
  <c r="L141" i="3"/>
  <c r="BZ328" i="3"/>
  <c r="L328" i="3"/>
  <c r="BZ320" i="3"/>
  <c r="L320" i="3"/>
  <c r="BZ56" i="3"/>
  <c r="L56" i="3"/>
  <c r="BZ35" i="3"/>
  <c r="L35" i="3"/>
  <c r="BZ31" i="3"/>
  <c r="L31" i="3"/>
  <c r="BZ103" i="3"/>
  <c r="L103" i="3"/>
  <c r="BZ261" i="3"/>
  <c r="L261" i="3"/>
  <c r="BZ299" i="3"/>
  <c r="L299" i="3"/>
  <c r="BZ264" i="3"/>
  <c r="L264" i="3"/>
  <c r="BZ175" i="3"/>
  <c r="L175" i="3"/>
  <c r="BZ306" i="3"/>
  <c r="L306" i="3"/>
  <c r="BZ326" i="3"/>
  <c r="L326" i="3"/>
  <c r="BZ15" i="3"/>
  <c r="AT15" i="3"/>
  <c r="AU15" i="3" s="1"/>
  <c r="L15" i="3"/>
  <c r="BZ318" i="3"/>
  <c r="L318" i="3"/>
  <c r="BZ311" i="3"/>
  <c r="L311" i="3"/>
  <c r="BZ130" i="3"/>
  <c r="L130" i="3"/>
  <c r="BZ37" i="3"/>
  <c r="L37" i="3"/>
  <c r="BZ33" i="3"/>
  <c r="L33" i="3"/>
  <c r="BZ96" i="3"/>
  <c r="L96" i="3"/>
  <c r="BZ206" i="3"/>
  <c r="L206" i="3"/>
  <c r="BZ312" i="3"/>
  <c r="L312" i="3"/>
  <c r="BZ203" i="3"/>
  <c r="L203" i="3"/>
  <c r="BZ201" i="3"/>
  <c r="L201" i="3"/>
  <c r="BZ83" i="3"/>
  <c r="L83" i="3"/>
  <c r="BZ50" i="3"/>
  <c r="L50" i="3"/>
  <c r="BZ259" i="3"/>
  <c r="L259" i="3"/>
  <c r="BZ315" i="3"/>
  <c r="L315" i="3"/>
  <c r="BZ165" i="3"/>
  <c r="AT165" i="3"/>
  <c r="AU165" i="3" s="1"/>
  <c r="L165" i="3"/>
  <c r="BZ248" i="3"/>
  <c r="L248" i="3"/>
  <c r="BZ30" i="3"/>
  <c r="L30" i="3"/>
  <c r="BZ63" i="3"/>
  <c r="L63" i="3"/>
  <c r="BZ133" i="3"/>
  <c r="L133" i="3"/>
  <c r="BZ316" i="3"/>
  <c r="L316" i="3"/>
  <c r="BZ207" i="3"/>
  <c r="L207" i="3"/>
  <c r="BZ92" i="3"/>
  <c r="L92" i="3"/>
  <c r="BZ71" i="3"/>
  <c r="L71" i="3"/>
  <c r="BZ67" i="3"/>
  <c r="L67" i="3"/>
  <c r="BZ43" i="3"/>
  <c r="L43" i="3"/>
  <c r="BZ38" i="3"/>
  <c r="L38" i="3"/>
  <c r="BZ266" i="3"/>
  <c r="L266" i="3"/>
  <c r="BZ147" i="3"/>
  <c r="L147" i="3"/>
  <c r="BZ182" i="3"/>
  <c r="L182" i="3"/>
  <c r="BZ307" i="3"/>
  <c r="L307" i="3"/>
  <c r="BZ284" i="3"/>
  <c r="L284" i="3"/>
  <c r="BZ275" i="3"/>
  <c r="L275" i="3"/>
  <c r="BZ249" i="3"/>
  <c r="L249" i="3"/>
  <c r="BZ213" i="3"/>
  <c r="L213" i="3"/>
  <c r="BZ212" i="3"/>
  <c r="L212" i="3"/>
  <c r="BZ211" i="3"/>
  <c r="L211" i="3"/>
  <c r="BZ155" i="3"/>
  <c r="L155" i="3"/>
  <c r="BZ81" i="3"/>
  <c r="L81" i="3"/>
  <c r="BZ216" i="3"/>
  <c r="L216" i="3"/>
  <c r="BZ240" i="3"/>
  <c r="L240" i="3"/>
  <c r="BZ14" i="3"/>
  <c r="AT14" i="3"/>
  <c r="AU14" i="3" s="1"/>
  <c r="BZ174" i="3"/>
  <c r="AT174" i="3"/>
  <c r="AU174" i="3" s="1"/>
  <c r="L174" i="3"/>
  <c r="BZ187" i="3"/>
  <c r="AT187" i="3"/>
  <c r="AU187" i="3" s="1"/>
  <c r="BZ100" i="3"/>
  <c r="AT100" i="3"/>
  <c r="AU100" i="3" s="1"/>
  <c r="L100" i="3"/>
  <c r="BZ114" i="3"/>
  <c r="AT114" i="3"/>
  <c r="AU114" i="3" s="1"/>
  <c r="L114" i="3"/>
  <c r="BZ95" i="3"/>
  <c r="AT95" i="3"/>
  <c r="AU95" i="3" s="1"/>
  <c r="L95" i="3"/>
  <c r="BZ145" i="3"/>
  <c r="AT145" i="3"/>
  <c r="AU145" i="3" s="1"/>
  <c r="L145" i="3"/>
  <c r="BZ48" i="3"/>
  <c r="L48" i="3"/>
  <c r="BZ107" i="3"/>
  <c r="L107" i="3"/>
  <c r="BZ237" i="3"/>
  <c r="L237" i="3"/>
  <c r="BZ77" i="3"/>
  <c r="L77" i="3"/>
  <c r="BZ321" i="3"/>
  <c r="L321" i="3"/>
  <c r="BZ271" i="3"/>
  <c r="L271" i="3"/>
  <c r="BZ112" i="3"/>
  <c r="L112" i="3"/>
  <c r="BZ66" i="3"/>
  <c r="L66" i="3"/>
  <c r="BZ310" i="3"/>
  <c r="L310" i="3"/>
  <c r="BZ303" i="3"/>
  <c r="L303" i="3"/>
  <c r="BZ290" i="3"/>
  <c r="L290" i="3"/>
  <c r="BZ241" i="3"/>
  <c r="L241" i="3"/>
  <c r="BZ140" i="3"/>
  <c r="L140" i="3"/>
  <c r="BZ116" i="3"/>
  <c r="L116" i="3"/>
  <c r="BZ245" i="3"/>
  <c r="L245" i="3"/>
  <c r="BZ217" i="3"/>
  <c r="L217" i="3"/>
  <c r="BZ139" i="3"/>
  <c r="L139" i="3"/>
  <c r="BZ267" i="3"/>
  <c r="L267" i="3"/>
  <c r="BZ246" i="3"/>
  <c r="L246" i="3"/>
  <c r="BZ285" i="3"/>
  <c r="AT285" i="3"/>
  <c r="AU285" i="3" s="1"/>
  <c r="L285" i="3"/>
  <c r="BZ72" i="3"/>
  <c r="AT72" i="3"/>
  <c r="AU72" i="3" s="1"/>
  <c r="L72" i="3"/>
  <c r="BZ176" i="3"/>
  <c r="AT176" i="3"/>
  <c r="AU176" i="3" s="1"/>
  <c r="L176" i="3"/>
  <c r="BZ154" i="3"/>
  <c r="L154" i="3"/>
  <c r="BZ128" i="3"/>
  <c r="L128" i="3"/>
  <c r="BZ313" i="3"/>
  <c r="AT313" i="3"/>
  <c r="AU313" i="3" s="1"/>
  <c r="L313" i="3"/>
  <c r="BZ255" i="3"/>
  <c r="AT255" i="3"/>
  <c r="AU255" i="3" s="1"/>
  <c r="L255" i="3"/>
  <c r="BZ228" i="3"/>
  <c r="AT228" i="3"/>
  <c r="AU228" i="3" s="1"/>
  <c r="L228" i="3"/>
  <c r="BZ291" i="3"/>
  <c r="AT291" i="3"/>
  <c r="AU291" i="3" s="1"/>
  <c r="L291" i="3"/>
  <c r="BZ305" i="3"/>
  <c r="AT305" i="3"/>
  <c r="AU305" i="3" s="1"/>
  <c r="L305" i="3"/>
  <c r="BZ292" i="3"/>
  <c r="AT292" i="3"/>
  <c r="AU292" i="3" s="1"/>
  <c r="L292" i="3"/>
  <c r="BZ153" i="3"/>
  <c r="AT153" i="3"/>
  <c r="AU153" i="3" s="1"/>
  <c r="L153" i="3"/>
  <c r="BZ126" i="3"/>
  <c r="AT126" i="3"/>
  <c r="AU126" i="3" s="1"/>
  <c r="L126" i="3"/>
  <c r="BZ40" i="3"/>
  <c r="AT40" i="3"/>
  <c r="AU40" i="3" s="1"/>
  <c r="L40" i="3"/>
  <c r="BZ24" i="3"/>
  <c r="AT24" i="3"/>
  <c r="AU24" i="3" s="1"/>
  <c r="L24" i="3"/>
  <c r="BZ179" i="3"/>
  <c r="AT179" i="3"/>
  <c r="AU179" i="3" s="1"/>
  <c r="L179" i="3"/>
  <c r="BZ158" i="3"/>
  <c r="AT158" i="3"/>
  <c r="AU158" i="3" s="1"/>
  <c r="L158" i="3"/>
  <c r="BZ324" i="3"/>
  <c r="AT324" i="3"/>
  <c r="AU324" i="3" s="1"/>
  <c r="L324" i="3"/>
  <c r="BZ277" i="3"/>
  <c r="L277" i="3"/>
  <c r="BZ167" i="3"/>
  <c r="L167" i="3"/>
  <c r="BZ309" i="3"/>
  <c r="L309" i="3"/>
  <c r="BZ180" i="3"/>
  <c r="L180" i="3"/>
  <c r="BZ119" i="3"/>
  <c r="L119" i="3"/>
  <c r="BZ181" i="3"/>
  <c r="L181" i="3"/>
  <c r="BZ53" i="3"/>
  <c r="L53" i="3"/>
  <c r="BZ98" i="3"/>
  <c r="L98" i="3"/>
  <c r="BZ274" i="3"/>
  <c r="L274" i="3"/>
  <c r="BZ157" i="3"/>
  <c r="L157" i="3"/>
  <c r="BZ239" i="3"/>
  <c r="L239" i="3"/>
  <c r="BZ160" i="3"/>
  <c r="L160" i="3"/>
  <c r="BZ134" i="3"/>
  <c r="AT134" i="3"/>
  <c r="AU134" i="3" s="1"/>
  <c r="L134" i="3"/>
  <c r="BZ268" i="3"/>
  <c r="AT268" i="3"/>
  <c r="AU268" i="3" s="1"/>
  <c r="L268" i="3"/>
  <c r="BZ253" i="3"/>
  <c r="L253" i="3"/>
  <c r="BZ170" i="3"/>
  <c r="L170" i="3"/>
  <c r="BZ269" i="3"/>
  <c r="L269" i="3"/>
  <c r="BZ41" i="3"/>
  <c r="L41" i="3"/>
  <c r="BZ257" i="3"/>
  <c r="L257" i="3"/>
  <c r="BZ197" i="3"/>
  <c r="L197" i="3"/>
  <c r="BZ168" i="3"/>
  <c r="L168" i="3"/>
  <c r="BZ143" i="3"/>
  <c r="L143" i="3"/>
  <c r="BZ58" i="3"/>
  <c r="L58" i="3"/>
  <c r="BZ10" i="3"/>
  <c r="L10" i="3"/>
  <c r="BZ283" i="3"/>
  <c r="L283" i="3"/>
  <c r="BZ124" i="3"/>
  <c r="L124" i="3"/>
  <c r="BZ231" i="3"/>
  <c r="L231" i="3"/>
  <c r="BZ178" i="3"/>
  <c r="L178" i="3"/>
  <c r="BZ74" i="3"/>
  <c r="L74" i="3"/>
  <c r="BZ57" i="3"/>
  <c r="L57" i="3"/>
  <c r="BZ55" i="3"/>
  <c r="L55" i="3"/>
  <c r="BZ25" i="3"/>
  <c r="L25" i="3"/>
  <c r="BZ21" i="3"/>
  <c r="L21" i="3"/>
  <c r="BZ16" i="3"/>
  <c r="L16" i="3"/>
  <c r="BZ327" i="3"/>
  <c r="L327" i="3"/>
  <c r="BZ17" i="3"/>
  <c r="L17" i="3"/>
  <c r="BZ7" i="3"/>
  <c r="L7" i="3"/>
  <c r="BZ64" i="3"/>
  <c r="L64" i="3"/>
  <c r="BZ12" i="3"/>
  <c r="L12" i="3"/>
  <c r="BZ329" i="3"/>
  <c r="L329" i="3"/>
  <c r="BZ297" i="3"/>
  <c r="L297" i="3"/>
  <c r="BZ146" i="3"/>
  <c r="AT146" i="3"/>
  <c r="AU146" i="3" s="1"/>
  <c r="L146" i="3"/>
  <c r="BZ322" i="3"/>
  <c r="AT322" i="3"/>
  <c r="AU322" i="3" s="1"/>
  <c r="L322" i="3"/>
  <c r="BZ314" i="3"/>
  <c r="AT314" i="3"/>
  <c r="AU314" i="3" s="1"/>
  <c r="L314" i="3"/>
  <c r="BZ247" i="3"/>
  <c r="L247" i="3"/>
  <c r="BZ70" i="3"/>
  <c r="L70" i="3"/>
  <c r="BZ258" i="3"/>
  <c r="L258" i="3"/>
  <c r="BZ104" i="3"/>
  <c r="L104" i="3"/>
  <c r="BZ222" i="3"/>
  <c r="L222" i="3"/>
  <c r="BZ205" i="3"/>
  <c r="L205" i="3"/>
  <c r="BZ199" i="3"/>
  <c r="L199" i="3"/>
  <c r="BZ82" i="3"/>
  <c r="L82" i="3"/>
  <c r="BZ59" i="3"/>
  <c r="L59" i="3"/>
  <c r="BZ52" i="3"/>
  <c r="L52" i="3"/>
  <c r="BZ42" i="3"/>
  <c r="L42" i="3"/>
  <c r="BZ9" i="3"/>
  <c r="L9" i="3"/>
  <c r="BZ276" i="3"/>
  <c r="L276" i="3"/>
  <c r="BZ289" i="3"/>
  <c r="L289" i="3"/>
  <c r="BZ183" i="3"/>
  <c r="L183" i="3"/>
  <c r="BZ220" i="3"/>
  <c r="L220" i="3"/>
  <c r="BZ194" i="3"/>
  <c r="L194" i="3"/>
  <c r="BZ138" i="3"/>
  <c r="L138" i="3"/>
  <c r="BZ102" i="3"/>
  <c r="L102" i="3"/>
  <c r="BZ26" i="3"/>
  <c r="L26" i="3"/>
  <c r="BZ191" i="3"/>
  <c r="L191" i="3"/>
  <c r="BZ215" i="3"/>
  <c r="L215" i="3"/>
  <c r="BZ226" i="3"/>
  <c r="AT226" i="3"/>
  <c r="AU226" i="3" s="1"/>
  <c r="L226" i="3"/>
  <c r="BZ73" i="3"/>
  <c r="AT73" i="3"/>
  <c r="AU73" i="3" s="1"/>
  <c r="L73" i="3"/>
  <c r="BZ270" i="3"/>
  <c r="AT270" i="3"/>
  <c r="AU270" i="3" s="1"/>
  <c r="L270" i="3"/>
  <c r="BZ286" i="3"/>
  <c r="AT286" i="3"/>
  <c r="AU286" i="3" s="1"/>
  <c r="L286" i="3"/>
  <c r="BZ156" i="3"/>
  <c r="AT156" i="3"/>
  <c r="AU156" i="3" s="1"/>
  <c r="L156" i="3"/>
  <c r="BZ88" i="3"/>
  <c r="AT88" i="3"/>
  <c r="AU88" i="3" s="1"/>
  <c r="L88" i="3"/>
  <c r="BZ256" i="3"/>
  <c r="AT256" i="3"/>
  <c r="AU256" i="3" s="1"/>
  <c r="L256" i="3"/>
  <c r="BZ27" i="3"/>
  <c r="AT27" i="3"/>
  <c r="AU27" i="3" s="1"/>
  <c r="L27" i="3"/>
  <c r="BZ238" i="3"/>
  <c r="AT238" i="3"/>
  <c r="AU238" i="3" s="1"/>
  <c r="L238" i="3"/>
  <c r="BZ136" i="3"/>
  <c r="L136" i="3"/>
  <c r="BZ287" i="3"/>
  <c r="L287" i="3"/>
  <c r="BZ200" i="3"/>
  <c r="L200" i="3"/>
  <c r="BZ172" i="3"/>
  <c r="L172" i="3"/>
  <c r="BZ279" i="3"/>
  <c r="AT279" i="3"/>
  <c r="AU279" i="3" s="1"/>
  <c r="L279" i="3"/>
  <c r="BZ122" i="3"/>
  <c r="L122" i="3"/>
  <c r="BZ93" i="3"/>
  <c r="L93" i="3"/>
  <c r="BZ65" i="3"/>
  <c r="L65" i="3"/>
  <c r="BZ47" i="3"/>
  <c r="L47" i="3"/>
  <c r="BZ87" i="3"/>
  <c r="L87" i="3"/>
  <c r="BZ262" i="3"/>
  <c r="L262" i="3"/>
  <c r="BZ120" i="3"/>
  <c r="L120" i="3"/>
  <c r="BZ13" i="3"/>
  <c r="L13" i="3"/>
  <c r="BZ293" i="3"/>
  <c r="L293" i="3"/>
  <c r="BZ150" i="3"/>
  <c r="L150" i="3"/>
  <c r="BZ142" i="3"/>
  <c r="L142" i="3"/>
  <c r="BZ76" i="3"/>
  <c r="L76" i="3"/>
  <c r="BZ162" i="3"/>
  <c r="L162" i="3"/>
  <c r="BZ118" i="3"/>
  <c r="L118" i="3"/>
  <c r="BZ219" i="3"/>
  <c r="L219" i="3"/>
  <c r="BZ78" i="3"/>
  <c r="L78" i="3"/>
  <c r="BZ204" i="3"/>
  <c r="L204" i="3"/>
  <c r="BZ189" i="3"/>
  <c r="L189" i="3"/>
  <c r="BZ110" i="3"/>
  <c r="L110" i="3"/>
  <c r="BZ109" i="3"/>
  <c r="L109" i="3"/>
  <c r="BZ32" i="3"/>
  <c r="L32" i="3"/>
  <c r="BZ325" i="3"/>
  <c r="L325" i="3"/>
  <c r="BZ159" i="3"/>
  <c r="L159" i="3"/>
  <c r="BZ6" i="3"/>
  <c r="L6" i="3"/>
  <c r="BZ244" i="3"/>
  <c r="L244" i="3"/>
  <c r="BZ214" i="3"/>
  <c r="L214" i="3"/>
  <c r="BZ208" i="3"/>
  <c r="L208" i="3"/>
  <c r="BZ28" i="3"/>
  <c r="L28" i="3"/>
  <c r="BZ108" i="3"/>
  <c r="L108" i="3"/>
  <c r="BZ323" i="3"/>
  <c r="L323" i="3"/>
  <c r="BZ280" i="3"/>
  <c r="L280" i="3"/>
  <c r="BZ243" i="3"/>
  <c r="L243" i="3"/>
  <c r="BZ11" i="3"/>
  <c r="L11" i="3"/>
  <c r="BZ229" i="3"/>
  <c r="L229" i="3"/>
  <c r="BZ91" i="3"/>
  <c r="L91" i="3"/>
  <c r="BZ79" i="3"/>
  <c r="L79" i="3"/>
  <c r="BZ301" i="3"/>
  <c r="L301" i="3"/>
  <c r="BZ225" i="3"/>
  <c r="L225" i="3"/>
  <c r="BZ135" i="3"/>
  <c r="AT135" i="3"/>
  <c r="AU135" i="3" s="1"/>
  <c r="L135" i="3"/>
  <c r="BZ84" i="3"/>
  <c r="AT84" i="3"/>
  <c r="AU84" i="3" s="1"/>
  <c r="L84" i="3"/>
  <c r="BZ317" i="3"/>
  <c r="AT317" i="3"/>
  <c r="AU317" i="3" s="1"/>
  <c r="L317" i="3"/>
  <c r="BZ233" i="3"/>
  <c r="AT233" i="3"/>
  <c r="AU233" i="3" s="1"/>
  <c r="L233" i="3"/>
  <c r="BZ99" i="3"/>
  <c r="AT99" i="3"/>
  <c r="AU99" i="3" s="1"/>
  <c r="L99" i="3"/>
  <c r="BZ193" i="3"/>
  <c r="AT193" i="3"/>
  <c r="AU193" i="3" s="1"/>
  <c r="L193" i="3"/>
  <c r="BZ132" i="3"/>
  <c r="AT132" i="3"/>
  <c r="AU132" i="3" s="1"/>
  <c r="L132" i="3"/>
  <c r="BZ125" i="3"/>
  <c r="L125" i="3"/>
  <c r="BZ101" i="3"/>
  <c r="L101" i="3"/>
  <c r="BZ304" i="3"/>
  <c r="L304" i="3"/>
  <c r="BZ227" i="3"/>
  <c r="L227" i="3"/>
  <c r="BZ129" i="3"/>
  <c r="L129" i="3"/>
  <c r="BZ85" i="3"/>
  <c r="L85" i="3"/>
  <c r="BZ148" i="3"/>
  <c r="L148" i="3"/>
  <c r="BZ97" i="3"/>
  <c r="L97" i="3"/>
  <c r="BZ46" i="3"/>
  <c r="L46" i="3"/>
  <c r="BZ45" i="3"/>
  <c r="L45" i="3"/>
  <c r="BZ69" i="3"/>
  <c r="L69" i="3"/>
  <c r="BZ192" i="3"/>
  <c r="L192" i="3"/>
  <c r="BZ294" i="3"/>
  <c r="L294" i="3"/>
  <c r="BZ62" i="3"/>
  <c r="L62" i="3"/>
  <c r="BZ198" i="3"/>
  <c r="L198" i="3"/>
  <c r="BZ86" i="3"/>
  <c r="AT86" i="3"/>
  <c r="AU86" i="3" s="1"/>
  <c r="L86" i="3"/>
  <c r="BZ111" i="3"/>
  <c r="AT111" i="3"/>
  <c r="AU111" i="3" s="1"/>
  <c r="L111" i="3"/>
  <c r="BZ254" i="3"/>
  <c r="AT254" i="3"/>
  <c r="AU254" i="3" s="1"/>
  <c r="L254" i="3"/>
  <c r="BZ281" i="3"/>
  <c r="AT281" i="3"/>
  <c r="AU281" i="3" s="1"/>
  <c r="L281" i="3"/>
  <c r="BZ173" i="3"/>
  <c r="AT173" i="3"/>
  <c r="AU173" i="3" s="1"/>
  <c r="L173" i="3"/>
  <c r="BZ115" i="3"/>
  <c r="L115" i="3"/>
  <c r="BZ235" i="3"/>
  <c r="AT235" i="3"/>
  <c r="AU235" i="3" s="1"/>
  <c r="L235" i="3"/>
  <c r="BZ186" i="3"/>
  <c r="AT186" i="3"/>
  <c r="AU186" i="3" s="1"/>
  <c r="L186" i="3"/>
  <c r="BZ137" i="3"/>
  <c r="L137" i="3"/>
  <c r="BZ61" i="3"/>
  <c r="L61" i="3"/>
  <c r="BZ278" i="3"/>
  <c r="L278" i="3"/>
  <c r="BZ251" i="3"/>
  <c r="L251" i="3"/>
  <c r="BZ151" i="3"/>
  <c r="L151" i="3"/>
  <c r="BZ164" i="3"/>
  <c r="L164" i="3"/>
  <c r="BZ22" i="3"/>
  <c r="L22" i="3"/>
  <c r="BZ236" i="3"/>
  <c r="L236" i="3"/>
  <c r="BZ195" i="3"/>
  <c r="L195" i="3"/>
  <c r="BZ75" i="3"/>
  <c r="AT75" i="3"/>
  <c r="AU75" i="3" s="1"/>
  <c r="L75" i="3"/>
  <c r="BZ144" i="3"/>
  <c r="AT144" i="3"/>
  <c r="AU144" i="3" s="1"/>
  <c r="L144" i="3"/>
  <c r="BZ252" i="3"/>
  <c r="L252" i="3"/>
  <c r="BZ105" i="3"/>
  <c r="L105" i="3"/>
  <c r="BZ263" i="3"/>
  <c r="L263" i="3"/>
  <c r="BZ273" i="3"/>
  <c r="L273" i="3"/>
  <c r="BZ190" i="3"/>
  <c r="L190" i="3"/>
  <c r="BZ8" i="3"/>
  <c r="L8" i="3"/>
  <c r="BZ163" i="3"/>
  <c r="L163" i="3"/>
  <c r="BZ127" i="3"/>
  <c r="L127" i="3"/>
  <c r="BZ295" i="3"/>
  <c r="L295" i="3"/>
  <c r="BZ39" i="3"/>
  <c r="L39" i="3"/>
  <c r="BZ232" i="3"/>
  <c r="L232" i="3"/>
  <c r="BZ260" i="3"/>
  <c r="AT260" i="3"/>
  <c r="AU260" i="3" s="1"/>
  <c r="L260" i="3"/>
  <c r="BZ18" i="3"/>
  <c r="L18" i="3"/>
  <c r="BZ298" i="3"/>
  <c r="L298" i="3"/>
  <c r="BZ44" i="3"/>
  <c r="L44" i="3"/>
  <c r="BZ20" i="3"/>
  <c r="L20" i="3"/>
  <c r="BZ113" i="3"/>
  <c r="L113" i="3"/>
  <c r="BZ288" i="3"/>
  <c r="L288" i="3"/>
  <c r="BZ106" i="3"/>
  <c r="L106" i="3"/>
  <c r="BZ5" i="3"/>
  <c r="L5" i="3"/>
  <c r="BZ166" i="3"/>
  <c r="L166" i="3"/>
  <c r="BZ308" i="3"/>
  <c r="L308" i="3"/>
  <c r="BZ296" i="3"/>
  <c r="L296" i="3"/>
  <c r="BZ209" i="3"/>
  <c r="L209" i="3"/>
  <c r="BZ196" i="3"/>
  <c r="L196" i="3"/>
  <c r="BZ184" i="3"/>
  <c r="L184" i="3"/>
  <c r="BZ94" i="3"/>
  <c r="AT94" i="3"/>
  <c r="AU94" i="3" s="1"/>
  <c r="L94" i="3"/>
  <c r="BZ302" i="3"/>
  <c r="L302" i="3"/>
  <c r="BZ282" i="3"/>
  <c r="L282" i="3"/>
  <c r="BZ185" i="3"/>
  <c r="L185" i="3"/>
  <c r="BZ250" i="3"/>
  <c r="L250" i="3"/>
  <c r="BZ51" i="3"/>
  <c r="L51" i="3"/>
  <c r="BZ19" i="3"/>
  <c r="L19" i="3"/>
  <c r="BZ234" i="3"/>
  <c r="L234" i="3"/>
  <c r="BZ171" i="3"/>
  <c r="AT171" i="3"/>
  <c r="AU171" i="3" s="1"/>
  <c r="L171" i="3"/>
  <c r="BZ34" i="3"/>
  <c r="AT34" i="3"/>
  <c r="AU34" i="3" s="1"/>
  <c r="L34" i="3"/>
  <c r="BZ23" i="3"/>
  <c r="L23" i="3"/>
  <c r="BZ177" i="3"/>
  <c r="L177" i="3"/>
  <c r="BZ272" i="3"/>
  <c r="AT272" i="3"/>
  <c r="AU272" i="3" s="1"/>
  <c r="L272" i="3"/>
  <c r="BZ121" i="3"/>
  <c r="AT121" i="3"/>
  <c r="AU121" i="3" s="1"/>
  <c r="L121" i="3"/>
  <c r="C3" i="3"/>
  <c r="K156" i="3" s="1"/>
  <c r="D60" i="2"/>
  <c r="D49" i="2"/>
  <c r="F31" i="1"/>
  <c r="D30" i="1"/>
  <c r="T30" i="1" s="1"/>
  <c r="D29" i="1"/>
  <c r="T29" i="1" s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C27" i="1"/>
  <c r="C28" i="1" s="1"/>
  <c r="T28" i="1" s="1"/>
  <c r="S25" i="1"/>
  <c r="S31" i="1" s="1"/>
  <c r="R25" i="1"/>
  <c r="Q25" i="1"/>
  <c r="Q31" i="1" s="1"/>
  <c r="P25" i="1"/>
  <c r="P31" i="1" s="1"/>
  <c r="O25" i="1"/>
  <c r="O31" i="1" s="1"/>
  <c r="N25" i="1"/>
  <c r="N31" i="1" s="1"/>
  <c r="M25" i="1"/>
  <c r="M31" i="1" s="1"/>
  <c r="L25" i="1"/>
  <c r="L31" i="1" s="1"/>
  <c r="K25" i="1"/>
  <c r="J25" i="1"/>
  <c r="J31" i="1" s="1"/>
  <c r="I25" i="1"/>
  <c r="I31" i="1" s="1"/>
  <c r="H25" i="1"/>
  <c r="H31" i="1" s="1"/>
  <c r="G25" i="1"/>
  <c r="G31" i="1" s="1"/>
  <c r="F25" i="1"/>
  <c r="C25" i="1"/>
  <c r="T25" i="1" s="1"/>
  <c r="T23" i="1"/>
  <c r="AN12" i="1"/>
  <c r="AN15" i="1" s="1"/>
  <c r="AL12" i="1"/>
  <c r="AJ12" i="1"/>
  <c r="AI12" i="1"/>
  <c r="AH12" i="1"/>
  <c r="AG12" i="1"/>
  <c r="AO12" i="1" s="1"/>
  <c r="AK11" i="1"/>
  <c r="AO11" i="1" s="1"/>
  <c r="AK9" i="1"/>
  <c r="AJ9" i="1"/>
  <c r="AI9" i="1"/>
  <c r="AH9" i="1"/>
  <c r="AG9" i="1"/>
  <c r="AO9" i="1" s="1"/>
  <c r="AO7" i="1"/>
  <c r="C27" i="2" l="1"/>
  <c r="C25" i="2"/>
  <c r="D20" i="2"/>
  <c r="D19" i="2"/>
  <c r="D18" i="2"/>
  <c r="D17" i="2"/>
  <c r="D16" i="2"/>
  <c r="D15" i="2"/>
  <c r="D14" i="2"/>
  <c r="D13" i="2"/>
  <c r="D12" i="2"/>
  <c r="D11" i="2"/>
  <c r="D10" i="2"/>
  <c r="D9" i="2"/>
  <c r="C8" i="2"/>
  <c r="C7" i="2"/>
  <c r="C6" i="2"/>
  <c r="C5" i="2"/>
  <c r="D28" i="2"/>
  <c r="D26" i="2"/>
  <c r="C9" i="2"/>
  <c r="C20" i="2"/>
  <c r="C19" i="2"/>
  <c r="C18" i="2"/>
  <c r="C17" i="2"/>
  <c r="C16" i="2"/>
  <c r="C15" i="2"/>
  <c r="C14" i="2"/>
  <c r="C13" i="2"/>
  <c r="C12" i="2"/>
  <c r="C11" i="2"/>
  <c r="C10" i="2"/>
  <c r="F8" i="2"/>
  <c r="F7" i="2"/>
  <c r="F6" i="2"/>
  <c r="F5" i="2"/>
  <c r="C28" i="2"/>
  <c r="C26" i="2"/>
  <c r="F20" i="2"/>
  <c r="F19" i="2"/>
  <c r="F18" i="2"/>
  <c r="F17" i="2"/>
  <c r="F16" i="2"/>
  <c r="F15" i="2"/>
  <c r="F14" i="2"/>
  <c r="F13" i="2"/>
  <c r="F12" i="2"/>
  <c r="F11" i="2"/>
  <c r="F10" i="2"/>
  <c r="F9" i="2"/>
  <c r="E8" i="2"/>
  <c r="E7" i="2"/>
  <c r="E6" i="2"/>
  <c r="E5" i="2"/>
  <c r="D27" i="2"/>
  <c r="D25" i="2"/>
  <c r="E20" i="2"/>
  <c r="E19" i="2"/>
  <c r="E18" i="2"/>
  <c r="E17" i="2"/>
  <c r="E16" i="2"/>
  <c r="E15" i="2"/>
  <c r="E14" i="2"/>
  <c r="E13" i="2"/>
  <c r="E12" i="2"/>
  <c r="E11" i="2"/>
  <c r="E10" i="2"/>
  <c r="E9" i="2"/>
  <c r="D8" i="2"/>
  <c r="D7" i="2"/>
  <c r="D6" i="2"/>
  <c r="D5" i="2"/>
  <c r="E56" i="2"/>
  <c r="E58" i="2"/>
  <c r="E55" i="2"/>
  <c r="E57" i="2"/>
  <c r="E59" i="2"/>
  <c r="E45" i="2"/>
  <c r="E44" i="2"/>
  <c r="E48" i="2"/>
  <c r="AA6" i="1"/>
  <c r="D21" i="1"/>
  <c r="T21" i="1" s="1"/>
  <c r="AJ8" i="1"/>
  <c r="Z8" i="1"/>
  <c r="I6" i="1"/>
  <c r="I15" i="1" s="1"/>
  <c r="Q6" i="1"/>
  <c r="C6" i="1"/>
  <c r="C15" i="1" s="1"/>
  <c r="K6" i="1"/>
  <c r="K15" i="1" s="1"/>
  <c r="S6" i="1"/>
  <c r="AD6" i="1"/>
  <c r="R8" i="1"/>
  <c r="AB8" i="1"/>
  <c r="E22" i="1"/>
  <c r="E31" i="1" s="1"/>
  <c r="M6" i="1"/>
  <c r="M15" i="1" s="1"/>
  <c r="AG6" i="1"/>
  <c r="AG10" i="1"/>
  <c r="E6" i="1"/>
  <c r="E15" i="1" s="1"/>
  <c r="V6" i="1"/>
  <c r="T8" i="1"/>
  <c r="AE8" i="1"/>
  <c r="G6" i="1"/>
  <c r="G15" i="1" s="1"/>
  <c r="O6" i="1"/>
  <c r="O15" i="1" s="1"/>
  <c r="Y6" i="1"/>
  <c r="AI6" i="1"/>
  <c r="W8" i="1"/>
  <c r="AH8" i="1"/>
  <c r="AI10" i="1"/>
  <c r="AL13" i="1"/>
  <c r="K24" i="1"/>
  <c r="K31" i="1" s="1"/>
  <c r="C26" i="1"/>
  <c r="E43" i="2"/>
  <c r="E47" i="2"/>
  <c r="AK12" i="1"/>
  <c r="AA25" i="5"/>
  <c r="AA9" i="5"/>
  <c r="AA7" i="5"/>
  <c r="AA14" i="5"/>
  <c r="AA32" i="5"/>
  <c r="AA56" i="5"/>
  <c r="AA87" i="5"/>
  <c r="AA99" i="5"/>
  <c r="AA36" i="5"/>
  <c r="AA83" i="5"/>
  <c r="AA95" i="5"/>
  <c r="AA11" i="5"/>
  <c r="AA17" i="5"/>
  <c r="AA29" i="5"/>
  <c r="AA40" i="5"/>
  <c r="AA79" i="5"/>
  <c r="AA6" i="5"/>
  <c r="AA13" i="5"/>
  <c r="AA18" i="5"/>
  <c r="AA52" i="5"/>
  <c r="AA103" i="5"/>
  <c r="AA5" i="5"/>
  <c r="AA10" i="5"/>
  <c r="AA15" i="5"/>
  <c r="AA22" i="5"/>
  <c r="AA48" i="5"/>
  <c r="AA59" i="5"/>
  <c r="AA66" i="5"/>
  <c r="AA75" i="5"/>
  <c r="AA91" i="5"/>
  <c r="C60" i="2"/>
  <c r="AB121" i="3"/>
  <c r="J144" i="3"/>
  <c r="J34" i="3"/>
  <c r="K75" i="3"/>
  <c r="K256" i="3"/>
  <c r="F6" i="1"/>
  <c r="F15" i="1" s="1"/>
  <c r="J6" i="1"/>
  <c r="J15" i="1" s="1"/>
  <c r="N6" i="1"/>
  <c r="N15" i="1" s="1"/>
  <c r="R6" i="1"/>
  <c r="W6" i="1"/>
  <c r="AC6" i="1"/>
  <c r="AH6" i="1"/>
  <c r="V8" i="1"/>
  <c r="AA8" i="1"/>
  <c r="AF8" i="1"/>
  <c r="AL8" i="1"/>
  <c r="AL15" i="1" s="1"/>
  <c r="AH10" i="1"/>
  <c r="AK13" i="1"/>
  <c r="D24" i="1"/>
  <c r="T27" i="1"/>
  <c r="M2" i="3"/>
  <c r="AB272" i="3"/>
  <c r="K34" i="3"/>
  <c r="J94" i="3"/>
  <c r="K260" i="3"/>
  <c r="AB27" i="3"/>
  <c r="K131" i="3"/>
  <c r="J265" i="3"/>
  <c r="AB60" i="3"/>
  <c r="K36" i="3"/>
  <c r="K165" i="3"/>
  <c r="K14" i="3"/>
  <c r="J174" i="3"/>
  <c r="AB187" i="3"/>
  <c r="K100" i="3"/>
  <c r="J114" i="3"/>
  <c r="AB95" i="3"/>
  <c r="AB285" i="3"/>
  <c r="K176" i="3"/>
  <c r="J313" i="3"/>
  <c r="AB255" i="3"/>
  <c r="K291" i="3"/>
  <c r="J305" i="3"/>
  <c r="AB292" i="3"/>
  <c r="K126" i="3"/>
  <c r="J40" i="3"/>
  <c r="AB24" i="3"/>
  <c r="K158" i="3"/>
  <c r="J324" i="3"/>
  <c r="AB134" i="3"/>
  <c r="AB146" i="3"/>
  <c r="K314" i="3"/>
  <c r="J226" i="3"/>
  <c r="AB73" i="3"/>
  <c r="K286" i="3"/>
  <c r="J156" i="3"/>
  <c r="AB88" i="3"/>
  <c r="K27" i="3"/>
  <c r="J238" i="3"/>
  <c r="AB279" i="3"/>
  <c r="J131" i="3"/>
  <c r="AB265" i="3"/>
  <c r="K60" i="3"/>
  <c r="J36" i="3"/>
  <c r="AB131" i="3"/>
  <c r="J60" i="3"/>
  <c r="AB36" i="3"/>
  <c r="J15" i="3"/>
  <c r="AB165" i="3"/>
  <c r="J187" i="3"/>
  <c r="AB100" i="3"/>
  <c r="K95" i="3"/>
  <c r="J145" i="3"/>
  <c r="K285" i="3"/>
  <c r="J72" i="3"/>
  <c r="AB176" i="3"/>
  <c r="K255" i="3"/>
  <c r="J228" i="3"/>
  <c r="AB291" i="3"/>
  <c r="K292" i="3"/>
  <c r="J153" i="3"/>
  <c r="AB126" i="3"/>
  <c r="K24" i="3"/>
  <c r="J179" i="3"/>
  <c r="AB158" i="3"/>
  <c r="K134" i="3"/>
  <c r="J268" i="3"/>
  <c r="K146" i="3"/>
  <c r="J322" i="3"/>
  <c r="AB314" i="3"/>
  <c r="K265" i="3"/>
  <c r="AB15" i="3"/>
  <c r="AB14" i="3"/>
  <c r="E42" i="2" s="1"/>
  <c r="K174" i="3"/>
  <c r="K114" i="3"/>
  <c r="J95" i="3"/>
  <c r="AB145" i="3"/>
  <c r="J285" i="3"/>
  <c r="AB72" i="3"/>
  <c r="K313" i="3"/>
  <c r="J255" i="3"/>
  <c r="AB228" i="3"/>
  <c r="K305" i="3"/>
  <c r="J292" i="3"/>
  <c r="AB153" i="3"/>
  <c r="K40" i="3"/>
  <c r="J24" i="3"/>
  <c r="AB179" i="3"/>
  <c r="K324" i="3"/>
  <c r="J134" i="3"/>
  <c r="AB268" i="3"/>
  <c r="J146" i="3"/>
  <c r="AB322" i="3"/>
  <c r="J14" i="3"/>
  <c r="AB174" i="3"/>
  <c r="K228" i="3"/>
  <c r="J291" i="3"/>
  <c r="AB305" i="3"/>
  <c r="K179" i="3"/>
  <c r="J158" i="3"/>
  <c r="AB324" i="3"/>
  <c r="K73" i="3"/>
  <c r="J270" i="3"/>
  <c r="K88" i="3"/>
  <c r="J256" i="3"/>
  <c r="K279" i="3"/>
  <c r="J135" i="3"/>
  <c r="AB84" i="3"/>
  <c r="K233" i="3"/>
  <c r="J99" i="3"/>
  <c r="AB193" i="3"/>
  <c r="AB86" i="3"/>
  <c r="K254" i="3"/>
  <c r="J281" i="3"/>
  <c r="AB173" i="3"/>
  <c r="J235" i="3"/>
  <c r="AB186" i="3"/>
  <c r="J75" i="3"/>
  <c r="AB144" i="3"/>
  <c r="J260" i="3"/>
  <c r="AB94" i="3"/>
  <c r="J171" i="3"/>
  <c r="AB34" i="3"/>
  <c r="K121" i="3"/>
  <c r="K187" i="3"/>
  <c r="J100" i="3"/>
  <c r="AB114" i="3"/>
  <c r="K322" i="3"/>
  <c r="J314" i="3"/>
  <c r="AB226" i="3"/>
  <c r="J73" i="3"/>
  <c r="AB270" i="3"/>
  <c r="J286" i="3"/>
  <c r="AB156" i="3"/>
  <c r="J88" i="3"/>
  <c r="AB256" i="3"/>
  <c r="J27" i="3"/>
  <c r="AB238" i="3"/>
  <c r="J279" i="3"/>
  <c r="AB135" i="3"/>
  <c r="K317" i="3"/>
  <c r="J233" i="3"/>
  <c r="AB99" i="3"/>
  <c r="K132" i="3"/>
  <c r="K111" i="3"/>
  <c r="J254" i="3"/>
  <c r="AB281" i="3"/>
  <c r="AB235" i="3"/>
  <c r="AB75" i="3"/>
  <c r="AB260" i="3"/>
  <c r="AB171" i="3"/>
  <c r="K272" i="3"/>
  <c r="J121" i="3"/>
  <c r="K15" i="3"/>
  <c r="J165" i="3"/>
  <c r="K72" i="3"/>
  <c r="J176" i="3"/>
  <c r="AB313" i="3"/>
  <c r="K153" i="3"/>
  <c r="J126" i="3"/>
  <c r="AB40" i="3"/>
  <c r="K268" i="3"/>
  <c r="K84" i="3"/>
  <c r="J317" i="3"/>
  <c r="AB233" i="3"/>
  <c r="K193" i="3"/>
  <c r="J132" i="3"/>
  <c r="K86" i="3"/>
  <c r="J111" i="3"/>
  <c r="AB254" i="3"/>
  <c r="K173" i="3"/>
  <c r="K186" i="3"/>
  <c r="K144" i="3"/>
  <c r="K94" i="3"/>
  <c r="K171" i="3"/>
  <c r="K281" i="3"/>
  <c r="K99" i="3"/>
  <c r="J173" i="3"/>
  <c r="AB132" i="3"/>
  <c r="J193" i="3"/>
  <c r="K270" i="3"/>
  <c r="D6" i="1"/>
  <c r="D15" i="1" s="1"/>
  <c r="H6" i="1"/>
  <c r="H15" i="1" s="1"/>
  <c r="L6" i="1"/>
  <c r="L15" i="1" s="1"/>
  <c r="P6" i="1"/>
  <c r="P15" i="1" s="1"/>
  <c r="U6" i="1"/>
  <c r="Z6" i="1"/>
  <c r="AE6" i="1"/>
  <c r="AK6" i="1"/>
  <c r="S8" i="1"/>
  <c r="X8" i="1"/>
  <c r="AD8" i="1"/>
  <c r="AD15" i="1" s="1"/>
  <c r="AI8" i="1"/>
  <c r="AK10" i="1"/>
  <c r="AM13" i="1"/>
  <c r="AM15" i="1" s="1"/>
  <c r="D26" i="1"/>
  <c r="E46" i="2"/>
  <c r="C24" i="1"/>
  <c r="D22" i="1"/>
  <c r="AN14" i="1"/>
  <c r="AO14" i="1" s="1"/>
  <c r="K26" i="1"/>
  <c r="R24" i="1"/>
  <c r="R31" i="1" s="1"/>
  <c r="C22" i="1"/>
  <c r="AJ10" i="1"/>
  <c r="AK8" i="1"/>
  <c r="AG8" i="1"/>
  <c r="AC8" i="1"/>
  <c r="Y8" i="1"/>
  <c r="U8" i="1"/>
  <c r="Q8" i="1"/>
  <c r="Q15" i="1" s="1"/>
  <c r="AJ6" i="1"/>
  <c r="AJ15" i="1" s="1"/>
  <c r="AF6" i="1"/>
  <c r="AB6" i="1"/>
  <c r="X6" i="1"/>
  <c r="T6" i="1"/>
  <c r="J272" i="3"/>
  <c r="J186" i="3"/>
  <c r="K235" i="3"/>
  <c r="AB111" i="3"/>
  <c r="J86" i="3"/>
  <c r="AB317" i="3"/>
  <c r="J84" i="3"/>
  <c r="K135" i="3"/>
  <c r="K238" i="3"/>
  <c r="AB286" i="3"/>
  <c r="K226" i="3"/>
  <c r="K145" i="3"/>
  <c r="AA16" i="5"/>
  <c r="AA20" i="5"/>
  <c r="AA24" i="5"/>
  <c r="AA27" i="5"/>
  <c r="AA34" i="5"/>
  <c r="AA38" i="5"/>
  <c r="AA42" i="5"/>
  <c r="AA50" i="5"/>
  <c r="AA54" i="5"/>
  <c r="AA57" i="5"/>
  <c r="AA61" i="5"/>
  <c r="AA64" i="5"/>
  <c r="AA69" i="5"/>
  <c r="AA70" i="5"/>
  <c r="AA71" i="5"/>
  <c r="AA73" i="5"/>
  <c r="AA77" i="5"/>
  <c r="AA81" i="5"/>
  <c r="AA85" i="5"/>
  <c r="AA89" i="5"/>
  <c r="AA93" i="5"/>
  <c r="AA97" i="5"/>
  <c r="AA101" i="5"/>
  <c r="AA109" i="5"/>
  <c r="AA21" i="5"/>
  <c r="AA28" i="5"/>
  <c r="AA31" i="5"/>
  <c r="AA35" i="5"/>
  <c r="AA39" i="5"/>
  <c r="AA43" i="5"/>
  <c r="AA45" i="5"/>
  <c r="AA47" i="5"/>
  <c r="AA51" i="5"/>
  <c r="AA55" i="5"/>
  <c r="AA58" i="5"/>
  <c r="AA60" i="5"/>
  <c r="AA63" i="5"/>
  <c r="AA67" i="5"/>
  <c r="AA68" i="5"/>
  <c r="AA72" i="5"/>
  <c r="AA76" i="5"/>
  <c r="AA80" i="5"/>
  <c r="AA84" i="5"/>
  <c r="AA88" i="5"/>
  <c r="AA92" i="5"/>
  <c r="AA96" i="5"/>
  <c r="AA100" i="5"/>
  <c r="AA102" i="5"/>
  <c r="AA106" i="5"/>
  <c r="AA4" i="5"/>
  <c r="AA8" i="5"/>
  <c r="AA12" i="5"/>
  <c r="AA19" i="5"/>
  <c r="AA23" i="5"/>
  <c r="AA26" i="5"/>
  <c r="AA30" i="5"/>
  <c r="AA33" i="5"/>
  <c r="AA37" i="5"/>
  <c r="AA41" i="5"/>
  <c r="AA44" i="5"/>
  <c r="AA46" i="5"/>
  <c r="AA49" i="5"/>
  <c r="AA53" i="5"/>
  <c r="AA62" i="5"/>
  <c r="AA65" i="5"/>
  <c r="AA74" i="5"/>
  <c r="AA78" i="5"/>
  <c r="AA82" i="5"/>
  <c r="AA86" i="5"/>
  <c r="AA90" i="5"/>
  <c r="AA94" i="5"/>
  <c r="AA98" i="5"/>
  <c r="AA104" i="5"/>
  <c r="AA105" i="5"/>
  <c r="AA107" i="5"/>
  <c r="S15" i="1" l="1"/>
  <c r="G7" i="2"/>
  <c r="X15" i="1"/>
  <c r="AG15" i="1"/>
  <c r="G5" i="2"/>
  <c r="V15" i="1"/>
  <c r="G10" i="2"/>
  <c r="G14" i="2"/>
  <c r="G18" i="2"/>
  <c r="G11" i="2"/>
  <c r="G15" i="2"/>
  <c r="G19" i="2"/>
  <c r="G8" i="2"/>
  <c r="G12" i="2"/>
  <c r="G16" i="2"/>
  <c r="G20" i="2"/>
  <c r="G13" i="2"/>
  <c r="G17" i="2"/>
  <c r="G9" i="2"/>
  <c r="G6" i="2"/>
  <c r="E60" i="2"/>
  <c r="E49" i="2"/>
  <c r="D34" i="2"/>
  <c r="D35" i="2"/>
  <c r="D36" i="2"/>
  <c r="D37" i="2"/>
  <c r="C36" i="2"/>
  <c r="C37" i="2"/>
  <c r="C35" i="2"/>
  <c r="C34" i="2"/>
  <c r="E37" i="2"/>
  <c r="E36" i="2"/>
  <c r="E35" i="2"/>
  <c r="E34" i="2"/>
  <c r="E28" i="2"/>
  <c r="AF15" i="1"/>
  <c r="AA15" i="1"/>
  <c r="W15" i="1"/>
  <c r="Z15" i="1"/>
  <c r="Y15" i="1"/>
  <c r="AE15" i="1"/>
  <c r="R15" i="1"/>
  <c r="AI15" i="1"/>
  <c r="AB15" i="1"/>
  <c r="AH15" i="1"/>
  <c r="T15" i="1"/>
  <c r="D31" i="1"/>
  <c r="D29" i="2"/>
  <c r="T26" i="1"/>
  <c r="AO10" i="1"/>
  <c r="U15" i="1"/>
  <c r="AO13" i="1"/>
  <c r="C31" i="1"/>
  <c r="T22" i="1"/>
  <c r="AK15" i="1"/>
  <c r="AO8" i="1"/>
  <c r="E26" i="2"/>
  <c r="T24" i="1"/>
  <c r="E27" i="2"/>
  <c r="AO6" i="1"/>
  <c r="AO15" i="1" s="1"/>
  <c r="E25" i="2"/>
  <c r="C29" i="2"/>
  <c r="AC15" i="1"/>
  <c r="G21" i="2" l="1"/>
  <c r="C38" i="2"/>
  <c r="F35" i="2"/>
  <c r="F37" i="2"/>
  <c r="F36" i="2"/>
  <c r="E38" i="2"/>
  <c r="F34" i="2"/>
  <c r="D38" i="2"/>
  <c r="E29" i="2"/>
  <c r="T31" i="1"/>
  <c r="F38" i="2" l="1"/>
  <c r="AS64" i="5" l="1"/>
  <c r="AT64" i="5"/>
  <c r="AS60" i="5"/>
  <c r="AT60" i="5"/>
  <c r="AT59" i="5"/>
  <c r="AS59" i="5"/>
  <c r="AT61" i="5"/>
  <c r="AS61" i="5"/>
  <c r="AS63" i="5"/>
  <c r="AT6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4" authorId="0" shapeId="0" xr:uid="{00000000-0006-0000-0400-000001000000}">
      <text>
        <r>
          <rPr>
            <sz val="11"/>
            <color theme="1"/>
            <rFont val="Calibri"/>
            <scheme val="minor"/>
          </rPr>
          <t>======
ID#AAAA7aavyYw
Dimas    (2023-06-15 01:53:22)
NIP KETUKER
74-73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rCoJBS2H3M67NF4h/FVSuAbXlCw=="/>
    </ext>
  </extLst>
</comments>
</file>

<file path=xl/sharedStrings.xml><?xml version="1.0" encoding="utf-8"?>
<sst xmlns="http://schemas.openxmlformats.org/spreadsheetml/2006/main" count="13183" uniqueCount="4150">
  <si>
    <t>Karyawan Berdasarkan Jabatan dan Pendidikan</t>
  </si>
  <si>
    <t>No</t>
  </si>
  <si>
    <t>JABATAN</t>
  </si>
  <si>
    <t>Direksi</t>
  </si>
  <si>
    <t>Kepala Divisi</t>
  </si>
  <si>
    <t>Kepala Departemen</t>
  </si>
  <si>
    <t>Kepala Bagian</t>
  </si>
  <si>
    <t>Staff/Operator</t>
  </si>
  <si>
    <t>Total</t>
  </si>
  <si>
    <t>PENDIDIKAN</t>
  </si>
  <si>
    <t>S3</t>
  </si>
  <si>
    <t>S2</t>
  </si>
  <si>
    <t>S1</t>
  </si>
  <si>
    <t>D3</t>
  </si>
  <si>
    <t>D2</t>
  </si>
  <si>
    <t>D1</t>
  </si>
  <si>
    <t>SMK</t>
  </si>
  <si>
    <t>SMP</t>
  </si>
  <si>
    <t>SD</t>
  </si>
  <si>
    <t>Undf</t>
  </si>
  <si>
    <t>Organik INKA</t>
  </si>
  <si>
    <t>PKWT INKA</t>
  </si>
  <si>
    <t xml:space="preserve"> </t>
  </si>
  <si>
    <t>IMSS Office Tetap</t>
  </si>
  <si>
    <t>IMSS Lapangan Tetap</t>
  </si>
  <si>
    <t>PKWT Fungsional Office</t>
  </si>
  <si>
    <t>PKWT Fungsional Lap</t>
  </si>
  <si>
    <t>PKWT Proyek</t>
  </si>
  <si>
    <t>Driver</t>
  </si>
  <si>
    <t>OB</t>
  </si>
  <si>
    <t>TOTAL</t>
  </si>
  <si>
    <t>Karyawan Berdasarkan Penempatan</t>
  </si>
  <si>
    <t xml:space="preserve">Status </t>
  </si>
  <si>
    <t>INKA</t>
  </si>
  <si>
    <t>Salak</t>
  </si>
  <si>
    <t>PMU</t>
  </si>
  <si>
    <t>Aceh</t>
  </si>
  <si>
    <t>Medan</t>
  </si>
  <si>
    <t>Plb</t>
  </si>
  <si>
    <t>Pdg</t>
  </si>
  <si>
    <t>Lpg</t>
  </si>
  <si>
    <t>Jkt</t>
  </si>
  <si>
    <t>Bdg</t>
  </si>
  <si>
    <t>Jtb</t>
  </si>
  <si>
    <t>Pkl</t>
  </si>
  <si>
    <t>Kya</t>
  </si>
  <si>
    <t>Pwd</t>
  </si>
  <si>
    <t>Slo</t>
  </si>
  <si>
    <t>Kt</t>
  </si>
  <si>
    <t>Mks</t>
  </si>
  <si>
    <t xml:space="preserve">  </t>
  </si>
  <si>
    <t>Berdasarkan Jumlah Karyawan</t>
  </si>
  <si>
    <t>Golongan</t>
  </si>
  <si>
    <t>Penempatan</t>
  </si>
  <si>
    <t>Jumlah</t>
  </si>
  <si>
    <t>GUDANG</t>
  </si>
  <si>
    <t xml:space="preserve">INKA </t>
  </si>
  <si>
    <t>IMSS Tetap</t>
  </si>
  <si>
    <t>Berdasarkan Jenis Kelamin</t>
  </si>
  <si>
    <t>Laki-Laki</t>
  </si>
  <si>
    <t>Perempuan</t>
  </si>
  <si>
    <t>Berdasarkan Usia</t>
  </si>
  <si>
    <t xml:space="preserve">Golongan </t>
  </si>
  <si>
    <t>Office</t>
  </si>
  <si>
    <t>Lapangan</t>
  </si>
  <si>
    <t>&lt; 25 tahun</t>
  </si>
  <si>
    <t>25 s.d 40 tahun</t>
  </si>
  <si>
    <t>&gt; 40 tahun</t>
  </si>
  <si>
    <t>Berdasarkan Pendidikan</t>
  </si>
  <si>
    <t>SMA / SMK</t>
  </si>
  <si>
    <t>D4</t>
  </si>
  <si>
    <t>Madiun</t>
  </si>
  <si>
    <t>Ponorogo</t>
  </si>
  <si>
    <t>Berdasarkan agama</t>
  </si>
  <si>
    <t>Islam</t>
  </si>
  <si>
    <t>Kristen</t>
  </si>
  <si>
    <t>Katolik</t>
  </si>
  <si>
    <t>Hindu</t>
  </si>
  <si>
    <t>Budha</t>
  </si>
  <si>
    <t>Karyawan PKWT Berdasarkan Sebaran Proyek</t>
  </si>
  <si>
    <t xml:space="preserve">Jumlah </t>
  </si>
  <si>
    <t>AC</t>
  </si>
  <si>
    <t>Bogie</t>
  </si>
  <si>
    <t>Forklift</t>
  </si>
  <si>
    <t>Listrik</t>
  </si>
  <si>
    <t>Gudang</t>
  </si>
  <si>
    <t>BIAS</t>
  </si>
  <si>
    <t>Cut Meutia</t>
  </si>
  <si>
    <t>KRL KfW</t>
  </si>
  <si>
    <t>KRL Soetta</t>
  </si>
  <si>
    <t>LRT Jabo Driver</t>
  </si>
  <si>
    <t>LRT Jabo HSE</t>
  </si>
  <si>
    <t>LRT Palembang</t>
  </si>
  <si>
    <t>RB Bathara Kresna</t>
  </si>
  <si>
    <t>RB Lembah Anai</t>
  </si>
  <si>
    <t>Sipil</t>
  </si>
  <si>
    <t>SMN loko Admin</t>
  </si>
  <si>
    <t>SMN Loko Jakarta</t>
  </si>
  <si>
    <t>SMN Loko Lampung</t>
  </si>
  <si>
    <t>SMN Loko Purwodadi</t>
  </si>
  <si>
    <t>SMN Loko Medan</t>
  </si>
  <si>
    <t>Teklog</t>
  </si>
  <si>
    <t>Periode Kontrak I</t>
  </si>
  <si>
    <t>Periode Kontrak II</t>
  </si>
  <si>
    <t>Periode Kontrak III</t>
  </si>
  <si>
    <t>Nama</t>
  </si>
  <si>
    <t>NIP Aktif</t>
  </si>
  <si>
    <t>Rekening Mandiri</t>
  </si>
  <si>
    <t>Rekening BSI</t>
  </si>
  <si>
    <t>Rekrutmen</t>
  </si>
  <si>
    <t>Domisili</t>
  </si>
  <si>
    <t>Tgl Masuk/ Mutasi</t>
  </si>
  <si>
    <t>Masa Kerja (Tahun)</t>
  </si>
  <si>
    <t>Masa Kerja (Bulan)</t>
  </si>
  <si>
    <t>Status Pegawai</t>
  </si>
  <si>
    <t>SK Pengangkatan/ Mutasi/ No Kontrak</t>
  </si>
  <si>
    <t>Tgl. Pengangkatan/ Akhir Kontrak</t>
  </si>
  <si>
    <t>Jabatan INKA</t>
  </si>
  <si>
    <t>Jabatan IMSS</t>
  </si>
  <si>
    <t>Bagian / Proyek</t>
  </si>
  <si>
    <t>Departemen / Sub Proyek</t>
  </si>
  <si>
    <t>Divisi</t>
  </si>
  <si>
    <t>Direktorat</t>
  </si>
  <si>
    <t>Sertifikat</t>
  </si>
  <si>
    <t>Surat Peringatan Terakhir</t>
  </si>
  <si>
    <t>Jenis Kelamin</t>
  </si>
  <si>
    <t>Tempat Lahir</t>
  </si>
  <si>
    <t>Tgl Lahir</t>
  </si>
  <si>
    <t>Usia</t>
  </si>
  <si>
    <t>No. KTP</t>
  </si>
  <si>
    <t>Alamat</t>
  </si>
  <si>
    <t>No. HP</t>
  </si>
  <si>
    <t>No Whatsapp</t>
  </si>
  <si>
    <t xml:space="preserve">Email </t>
  </si>
  <si>
    <t>BPJS Kes</t>
  </si>
  <si>
    <t>BPJS TK</t>
  </si>
  <si>
    <t>Status Pernikahan</t>
  </si>
  <si>
    <t>Suami/Istri</t>
  </si>
  <si>
    <t>Anak 1</t>
  </si>
  <si>
    <t>Anak 2</t>
  </si>
  <si>
    <t>Anak 3</t>
  </si>
  <si>
    <t>Tambahan</t>
  </si>
  <si>
    <t>Ayah Kandung</t>
  </si>
  <si>
    <t>Ibu Kandung</t>
  </si>
  <si>
    <t>Ayah Mertua</t>
  </si>
  <si>
    <t>Ibu Mertua</t>
  </si>
  <si>
    <t>Jumlah Tanggungan</t>
  </si>
  <si>
    <t>Status Pajak</t>
  </si>
  <si>
    <t>NPWP</t>
  </si>
  <si>
    <t>Agama</t>
  </si>
  <si>
    <t>Pend Diakui</t>
  </si>
  <si>
    <t>Jurusan</t>
  </si>
  <si>
    <t>Almamater</t>
  </si>
  <si>
    <t>Tahun Lulus</t>
  </si>
  <si>
    <t>Pend. Terakhir</t>
  </si>
  <si>
    <t>Jurusan Terakhir</t>
  </si>
  <si>
    <t>Almamater Terakhir</t>
  </si>
  <si>
    <t>MPP</t>
  </si>
  <si>
    <t>Pensiun</t>
  </si>
  <si>
    <t>Ukuran Baju (Huruf)</t>
  </si>
  <si>
    <t>Ukuran Celana (Huruf)</t>
  </si>
  <si>
    <t>Ukuran Sepatu (Angka)</t>
  </si>
  <si>
    <t>Vaksin I</t>
  </si>
  <si>
    <t>Vaksin II</t>
  </si>
  <si>
    <t>Vaksin III</t>
  </si>
  <si>
    <t>No Kontrak</t>
  </si>
  <si>
    <t>Awal</t>
  </si>
  <si>
    <t>Akhir</t>
  </si>
  <si>
    <t>PB I</t>
  </si>
  <si>
    <t>No Kontrak2</t>
  </si>
  <si>
    <t>Awal2</t>
  </si>
  <si>
    <t>Akhir2</t>
  </si>
  <si>
    <t>PB II</t>
  </si>
  <si>
    <t>No Kontrak3</t>
  </si>
  <si>
    <t>Awal3</t>
  </si>
  <si>
    <t>Akhir3</t>
  </si>
  <si>
    <t>PB III</t>
  </si>
  <si>
    <t>DWI ANNA ANDIK PRASETYO</t>
  </si>
  <si>
    <t>SK-06/D1/IMSS/2016</t>
  </si>
  <si>
    <t>Fasilitas Pemeliharaan dan Sipil</t>
  </si>
  <si>
    <t>Operasi</t>
  </si>
  <si>
    <t>Ahli Perawatan Gedung</t>
  </si>
  <si>
    <t>Magetan</t>
  </si>
  <si>
    <t>352005270674000 1</t>
  </si>
  <si>
    <t>Jl. Lempuyang No 11 RT 004 RW 001 Kel. Ngegong Kec. Manguharjo Kota Madiun</t>
  </si>
  <si>
    <t>+62 813-3490-0827</t>
  </si>
  <si>
    <t>dwiae18@gmail.com</t>
  </si>
  <si>
    <t>0001204471528</t>
  </si>
  <si>
    <t>16009192424</t>
  </si>
  <si>
    <t>Menikah</t>
  </si>
  <si>
    <t>AMALIA ANDINI</t>
  </si>
  <si>
    <t>ABIYAZ AHMAD ABIMATA</t>
  </si>
  <si>
    <t>Teknik Sipil</t>
  </si>
  <si>
    <t>Universitas Brawijaya</t>
  </si>
  <si>
    <t>Universitas Wisnuwardhana Malang</t>
  </si>
  <si>
    <t>RIKA KUSUMANING INDRATMOKO</t>
  </si>
  <si>
    <t>SK-07/D1/IMSS/2016</t>
  </si>
  <si>
    <t>Kantor</t>
  </si>
  <si>
    <t>Fungsional Pratama Wilayah I</t>
  </si>
  <si>
    <t>Wilayah I</t>
  </si>
  <si>
    <t>357703460788000 2</t>
  </si>
  <si>
    <t>Jl. Cendana Manis III No. 2 RT 049 RW 002 Kel. Manisrejo Kec. Taman Kota Madiun</t>
  </si>
  <si>
    <t>+62 813-5716-5553</t>
  </si>
  <si>
    <t>kusuma.rika88@gmail.com</t>
  </si>
  <si>
    <t>0001703366493</t>
  </si>
  <si>
    <t>16009192432</t>
  </si>
  <si>
    <t>FAHLIAN JOHANSYAH</t>
  </si>
  <si>
    <t>ULFA AZZAHRA JOHANSYAH</t>
  </si>
  <si>
    <t>NAYLA RASHIDA JOHANSYAH</t>
  </si>
  <si>
    <t>702241340621000</t>
  </si>
  <si>
    <t>Teknik Elektro</t>
  </si>
  <si>
    <t>Universitas Gadjah Mada</t>
  </si>
  <si>
    <t>IRWAN AHMADI</t>
  </si>
  <si>
    <t>Pelaksana</t>
  </si>
  <si>
    <t>Maintenance Repair Overhaul</t>
  </si>
  <si>
    <t>-</t>
  </si>
  <si>
    <t>Laki-laki</t>
  </si>
  <si>
    <t>351914080890000 1</t>
  </si>
  <si>
    <t>Kajang 011/002 Kel. Kajang, Kec.Sawahan, Kab. Madiun</t>
  </si>
  <si>
    <t>0857 0882 7309</t>
  </si>
  <si>
    <t>ahmadiirwan770@gmail.com</t>
  </si>
  <si>
    <t>0001865422686</t>
  </si>
  <si>
    <t>KARTI DWI WIDYASARI</t>
  </si>
  <si>
    <t>KEVIN ALDAN ALWAFI</t>
  </si>
  <si>
    <t>MARDI</t>
  </si>
  <si>
    <t>K/1</t>
  </si>
  <si>
    <t>Teknik Mesin</t>
  </si>
  <si>
    <t>MTS N Kota Madiun</t>
  </si>
  <si>
    <t>XL</t>
  </si>
  <si>
    <t>PB-56/XII/IMSS/2019</t>
  </si>
  <si>
    <t>PKWT-971900032/D1/2020</t>
  </si>
  <si>
    <t>AGUS SANTOSO</t>
  </si>
  <si>
    <t>Fungsional</t>
  </si>
  <si>
    <t>357702160873000 1</t>
  </si>
  <si>
    <t>Jl. Singosari III/12 B RT/RW 013/003 Patihan Manguharjo Madiun</t>
  </si>
  <si>
    <t>0819 3172 9473</t>
  </si>
  <si>
    <t>0812 9277 8518</t>
  </si>
  <si>
    <t>Dekecenk@gmail.com</t>
  </si>
  <si>
    <t>0001865423924</t>
  </si>
  <si>
    <t>DIAN ARINDA EKANINGTYAS</t>
  </si>
  <si>
    <t>QUINSHA AGUSTINA PUTRI</t>
  </si>
  <si>
    <t>M</t>
  </si>
  <si>
    <t>PB-55/XII/IMSS/2019</t>
  </si>
  <si>
    <t>PKWT-641807168/D1/2020</t>
  </si>
  <si>
    <t>ALFIRINA ARDYASTUTIK</t>
  </si>
  <si>
    <t>SK-11/D1/IMSS/2016</t>
  </si>
  <si>
    <t>Sekper, Legal dan Tata Kelola</t>
  </si>
  <si>
    <t>Utama</t>
  </si>
  <si>
    <t>Pendidikan Khusus Profesi Advokat</t>
  </si>
  <si>
    <t>352109550192000 2</t>
  </si>
  <si>
    <t xml:space="preserve">Griya Lawu Indah VI/27 RT 004 RW 016 Kel. Jururejo Kec. Ngawi </t>
  </si>
  <si>
    <t>+62 821-4319-6215</t>
  </si>
  <si>
    <t>alfirina92@gmail.com</t>
  </si>
  <si>
    <t>0000105789003</t>
  </si>
  <si>
    <t>16009192440</t>
  </si>
  <si>
    <t>Belum Menikah</t>
  </si>
  <si>
    <t>Hukum</t>
  </si>
  <si>
    <t>Universitas Sebelas Maret Surakarta</t>
  </si>
  <si>
    <t>IMAM AGUS ASFARORI</t>
  </si>
  <si>
    <t>Jakarta</t>
  </si>
  <si>
    <t>SK-10/D1/IMSS/2018</t>
  </si>
  <si>
    <t>Staff</t>
  </si>
  <si>
    <t>MSA</t>
  </si>
  <si>
    <t>K3 Umum</t>
  </si>
  <si>
    <t>Lamongan</t>
  </si>
  <si>
    <t>517104080893000 2</t>
  </si>
  <si>
    <t>Bantengputih RT 002 RW 002 Kel Bantengputih Kec Karanggeneng Lamongan</t>
  </si>
  <si>
    <t>+62 856-0738-0746</t>
  </si>
  <si>
    <t>agusasfaro88@gmail.com</t>
  </si>
  <si>
    <t>0001865428637</t>
  </si>
  <si>
    <t>856762901621000</t>
  </si>
  <si>
    <t>Universitas Soerjo</t>
  </si>
  <si>
    <t>NUR CAHYONO</t>
  </si>
  <si>
    <t>SK-18/D1/IMSS/2019</t>
  </si>
  <si>
    <t>Makassar</t>
  </si>
  <si>
    <t>Perintis</t>
  </si>
  <si>
    <t>Wilayah II</t>
  </si>
  <si>
    <t>Perawat Sarana</t>
  </si>
  <si>
    <t>352004261287000 1</t>
  </si>
  <si>
    <t>Dsn. Gendut RT 11/RW 03, Desa Metesih, Kec. Jiwan, Kab Madiun</t>
  </si>
  <si>
    <t>0813 7398 3949</t>
  </si>
  <si>
    <t>gaguk.gn@gmail.com</t>
  </si>
  <si>
    <t>0001322273057</t>
  </si>
  <si>
    <t>RESTA KUMALA DEWI</t>
  </si>
  <si>
    <t>ARUMI KANAHAYA QONITA</t>
  </si>
  <si>
    <t>Teknik Listrik</t>
  </si>
  <si>
    <t>SMK Taman Siswa 2 Madiun</t>
  </si>
  <si>
    <t xml:space="preserve">SMK </t>
  </si>
  <si>
    <t>AGUNG DWI PRABOWO</t>
  </si>
  <si>
    <t>357702110489000 2</t>
  </si>
  <si>
    <t>Jl. Ngebel No 204 Semanding, Jenangan Ponorogo</t>
  </si>
  <si>
    <t>0812 9095 5982</t>
  </si>
  <si>
    <t>Agungocha552@gmail.com</t>
  </si>
  <si>
    <t>0001306559619</t>
  </si>
  <si>
    <t>FITRI N</t>
  </si>
  <si>
    <t>OCHA AIRIN NUR NIZA</t>
  </si>
  <si>
    <t>ASRANI ANWAR</t>
  </si>
  <si>
    <t>SMK N 1 Jenangan</t>
  </si>
  <si>
    <t>ANIK HARI SAKSONO</t>
  </si>
  <si>
    <t>351907290675000 1</t>
  </si>
  <si>
    <t>Jalan Pojok 2 Anggrek 15 RT/RW 011 / 003 Munggut Wungu Madiun</t>
  </si>
  <si>
    <t>0895 3956 16343</t>
  </si>
  <si>
    <t>angeljhon541@gmail.com</t>
  </si>
  <si>
    <t>0001306561195</t>
  </si>
  <si>
    <t>TK/0</t>
  </si>
  <si>
    <t>Teknik Bangunan</t>
  </si>
  <si>
    <t>SMK N 1 Madiun</t>
  </si>
  <si>
    <t>PB-59/XII/IMSS/2019</t>
  </si>
  <si>
    <t>PKWT-642201165/D1/2020</t>
  </si>
  <si>
    <t>PUPUT WAHYUDHIANTO</t>
  </si>
  <si>
    <t>SK-001/D1/IMSS/2019</t>
  </si>
  <si>
    <t>Leader</t>
  </si>
  <si>
    <t>352011280987000 2</t>
  </si>
  <si>
    <t xml:space="preserve">Jl. Duren No 187 RT/RW 07/01 Suratmajan Maospati Magetan </t>
  </si>
  <si>
    <t>0852 1387 6687</t>
  </si>
  <si>
    <t xml:space="preserve">Puputwahyudhianto@gmail.com </t>
  </si>
  <si>
    <t>0001306579454</t>
  </si>
  <si>
    <t>SUSI SETIAWATI</t>
  </si>
  <si>
    <t>ACHMAD REYNAND FANDYANTO</t>
  </si>
  <si>
    <t>SMK Gamaliel 1 Madiun</t>
  </si>
  <si>
    <t>JOKO SUTRISNO</t>
  </si>
  <si>
    <t>SK-005/D1/IMSS/2017</t>
  </si>
  <si>
    <t>351902150779000 1</t>
  </si>
  <si>
    <t>Jl.Toto Tentrem No 23 RT/RW 013/003 Dolopo Madiun</t>
  </si>
  <si>
    <t>0853 8259 5912</t>
  </si>
  <si>
    <t>jokosutrisnoloco@gmail.com</t>
  </si>
  <si>
    <t>0001306565908</t>
  </si>
  <si>
    <t>NURHAYATI</t>
  </si>
  <si>
    <t>RISNA FRIDARIANTI SUEB</t>
  </si>
  <si>
    <t>DIAJENG ARUM RAMDANI</t>
  </si>
  <si>
    <t>K/2</t>
  </si>
  <si>
    <t>Teknik Otomotif</t>
  </si>
  <si>
    <t xml:space="preserve">SADIKUN </t>
  </si>
  <si>
    <t>SK-002/D1/IMSS/2017</t>
  </si>
  <si>
    <t>352015240875000 1</t>
  </si>
  <si>
    <t>Karasan, 017/005 Kartoharjo, Kec Kartoharjo, Kab. Magetan</t>
  </si>
  <si>
    <t>0813 8096 7174</t>
  </si>
  <si>
    <t>Dkwonthox499@gmail.com</t>
  </si>
  <si>
    <t>0001306630721</t>
  </si>
  <si>
    <t>SARIYEM</t>
  </si>
  <si>
    <t>ARVEL ADISBASTIAN</t>
  </si>
  <si>
    <t>NIA MIAQUROTA</t>
  </si>
  <si>
    <t>DIANDRA MIAQURANI</t>
  </si>
  <si>
    <t>K/3</t>
  </si>
  <si>
    <t>SMK Swasta PGRI Maospati</t>
  </si>
  <si>
    <t>L</t>
  </si>
  <si>
    <t>TRI ANANG SUSANTO</t>
  </si>
  <si>
    <t>SK-001/D1/IMSS/2017</t>
  </si>
  <si>
    <t>351903060676000 3</t>
  </si>
  <si>
    <t>Jl Kartini, 005/002 Uteran, Geger, Kab. Madiun</t>
  </si>
  <si>
    <t>0813 5921 7004</t>
  </si>
  <si>
    <t>tri220anang@gmail.com</t>
  </si>
  <si>
    <t>0001865422585</t>
  </si>
  <si>
    <t>APRIYANTI</t>
  </si>
  <si>
    <t>MUHAMMAD ABYAN AL IRSYAD</t>
  </si>
  <si>
    <t>REGITA DWI CAHYANI</t>
  </si>
  <si>
    <t>EKY NUR TRIANTI</t>
  </si>
  <si>
    <t xml:space="preserve">SMK Swasta 17 Mangunharjo </t>
  </si>
  <si>
    <t>DEDY CANDRA KRISTIANTO</t>
  </si>
  <si>
    <t>SK-10B/D1/IMSS/2018</t>
  </si>
  <si>
    <t>Pembelian</t>
  </si>
  <si>
    <t>Logistik</t>
  </si>
  <si>
    <t>Teknik dan Logistik</t>
  </si>
  <si>
    <t>Tuban</t>
  </si>
  <si>
    <t xml:space="preserve">352302271084000 3 </t>
  </si>
  <si>
    <t>Jl. Solo 179/B RT 015 RW 004 Jiwan</t>
  </si>
  <si>
    <t>+62 812-3151-6349</t>
  </si>
  <si>
    <t>cdedy01@gmai.com</t>
  </si>
  <si>
    <t>0001865429662</t>
  </si>
  <si>
    <t>SANTI DIYAN PRATIWI</t>
  </si>
  <si>
    <t>ALESHA CANDRA RAMADHANI</t>
  </si>
  <si>
    <t>DHAFITHA CANDRA FARZANA</t>
  </si>
  <si>
    <t>Teknik Informatika</t>
  </si>
  <si>
    <t>Universitas Muhammadiyah Sidoarjo</t>
  </si>
  <si>
    <t>JOKO PURNOMO</t>
  </si>
  <si>
    <t>SK-006/D1/IMSS/2017</t>
  </si>
  <si>
    <t>351909010774000 4</t>
  </si>
  <si>
    <t>Ds Wayut Dusun3 RT26, RW 07 Kec Jiwan</t>
  </si>
  <si>
    <t>0852 3537 8914</t>
  </si>
  <si>
    <t>jokopurnomo0102@gmail.com</t>
  </si>
  <si>
    <t>0001789474882</t>
  </si>
  <si>
    <t>SRI WINARTI</t>
  </si>
  <si>
    <t>SEPTIANA PURWANDARI</t>
  </si>
  <si>
    <t>LINGGA BEKTI KURNIANTO</t>
  </si>
  <si>
    <t>357702280691000 1</t>
  </si>
  <si>
    <t>Jl. Hayamuruk No 15 Gg Wahyu , Kec Manguharjo, Kel. Manguharjo Kota Madiun</t>
  </si>
  <si>
    <t>0819 1948 3847</t>
  </si>
  <si>
    <t>kurniantolingga@gmail.com</t>
  </si>
  <si>
    <t>0001789470538</t>
  </si>
  <si>
    <t>KARTIKA INDRARATNA</t>
  </si>
  <si>
    <t>K/0</t>
  </si>
  <si>
    <t>SMA</t>
  </si>
  <si>
    <t>IPA</t>
  </si>
  <si>
    <t>SMA N 1 Madiun</t>
  </si>
  <si>
    <t>XXL</t>
  </si>
  <si>
    <t>PB-2/XII/IMSS/2019</t>
  </si>
  <si>
    <t>PKWT-642201158/D1/2020</t>
  </si>
  <si>
    <t>357701100293000 1</t>
  </si>
  <si>
    <t>Jl. Sri Sedono RT/RW 06/02 Kanigoro Madiun</t>
  </si>
  <si>
    <t>0813 7234 2625</t>
  </si>
  <si>
    <t>Iwanaq160@gmail.com</t>
  </si>
  <si>
    <t>0001865424982</t>
  </si>
  <si>
    <t>KHOZINATUL PADILAH</t>
  </si>
  <si>
    <t>NASYAMA KHANIFA ZAHRA</t>
  </si>
  <si>
    <t>SMK YP 17-1</t>
  </si>
  <si>
    <t>PB-57/XII/IMSS/2019</t>
  </si>
  <si>
    <t>PKWT-642001029/D1/2020</t>
  </si>
  <si>
    <t>SUTRISNO</t>
  </si>
  <si>
    <t>SK-04/D1/IMSS/2019</t>
  </si>
  <si>
    <t>Klaten</t>
  </si>
  <si>
    <t>Trenggalek</t>
  </si>
  <si>
    <t>350303041193000 2</t>
  </si>
  <si>
    <t>Jl. Somo Manis No 13 Manisrejo II Madiun</t>
  </si>
  <si>
    <t>0813 3933 3269</t>
  </si>
  <si>
    <t>Sutrisnob93@gmail.com</t>
  </si>
  <si>
    <t>0001865428964</t>
  </si>
  <si>
    <t>NENAH</t>
  </si>
  <si>
    <t>ARSYILA ARYA ANNURADHA</t>
  </si>
  <si>
    <t>SMK Cokroaminoto 2 Madiun</t>
  </si>
  <si>
    <t>Universitas Merdeka Madiun</t>
  </si>
  <si>
    <t>S</t>
  </si>
  <si>
    <t>UNGGUL WIDIYANTO</t>
  </si>
  <si>
    <t>Solo</t>
  </si>
  <si>
    <t>SK-004/D1/IMSS/2017</t>
  </si>
  <si>
    <t>331002210988000 1</t>
  </si>
  <si>
    <t>Jogoprayan 001/001, Jogoprayan, Gantiwarno, Klaten, Jawa Tengah</t>
  </si>
  <si>
    <t>0821 3443 9988</t>
  </si>
  <si>
    <t>unggulwidiyanto88@gmail.com</t>
  </si>
  <si>
    <t>0000088141555</t>
  </si>
  <si>
    <t>ROHANI SETYO MANURUN</t>
  </si>
  <si>
    <t>VINO ABINAYA ALEXI WIDIYANTO</t>
  </si>
  <si>
    <t>ICHSANUDIN</t>
  </si>
  <si>
    <t>LRT Jabodebek</t>
  </si>
  <si>
    <t>Ngawi</t>
  </si>
  <si>
    <t>352116141094000 1</t>
  </si>
  <si>
    <t>Dsn. Porong Ds. Kalang RT/Rww 01/01 Kec. Pitu Ngawi</t>
  </si>
  <si>
    <t>0897 7914 034</t>
  </si>
  <si>
    <t>ichsannudin30@gmail.com</t>
  </si>
  <si>
    <t>0001865427276</t>
  </si>
  <si>
    <t>DIAJENG ISWARI PRAMUDHITA NURUDDIN</t>
  </si>
  <si>
    <t>Universitas Soerjo Ngawi</t>
  </si>
  <si>
    <t>PB-5/XII/IMSS/2019</t>
  </si>
  <si>
    <t>PKWT-641907275/D1/2020</t>
  </si>
  <si>
    <t>AAN TAUFIQ</t>
  </si>
  <si>
    <t>Surakarta</t>
  </si>
  <si>
    <t>337204230190000 2</t>
  </si>
  <si>
    <t>Mojosongo RT/RW 02/32 Jebres Surakarta</t>
  </si>
  <si>
    <t>0812 3919 4717</t>
  </si>
  <si>
    <t>Enk.kalen@gmail.com</t>
  </si>
  <si>
    <t>0001865421933</t>
  </si>
  <si>
    <t>IPS</t>
  </si>
  <si>
    <t>Paket C</t>
  </si>
  <si>
    <t>DIDIK HENDRI SETYONO</t>
  </si>
  <si>
    <t>351903300181000 1</t>
  </si>
  <si>
    <t>Ds. Wayut RT 009/RW 003, Kec. Jiwan, Madiun</t>
  </si>
  <si>
    <t>0812 3096 4544</t>
  </si>
  <si>
    <t>Didikhendri1981@gmail.com</t>
  </si>
  <si>
    <t>0001410818231</t>
  </si>
  <si>
    <t xml:space="preserve">SRI MULYANI </t>
  </si>
  <si>
    <t>FARID ESTU HENDRIAWAN</t>
  </si>
  <si>
    <t>PB-74/XII/IMSS/2019</t>
  </si>
  <si>
    <t>PKWT-971900047/D1/2020</t>
  </si>
  <si>
    <t>SIGIT EKO SUSANTO</t>
  </si>
  <si>
    <t>320104180776000 3</t>
  </si>
  <si>
    <t>Jembatan Pari RT 004/RW 003 Cijunjung, Sukaraja, Bogor</t>
  </si>
  <si>
    <t>0858 5454 6285</t>
  </si>
  <si>
    <t>sigiteko058@gmail.com</t>
  </si>
  <si>
    <t>0001272155062</t>
  </si>
  <si>
    <t>SUWARTI</t>
  </si>
  <si>
    <t>NABILA EKA NURAINI</t>
  </si>
  <si>
    <t>KHAIRUNNISA DENY AGUSTIN</t>
  </si>
  <si>
    <t>SMK PGRI Caruban</t>
  </si>
  <si>
    <t>PB-62/XII/IMSS/2019</t>
  </si>
  <si>
    <t>PKWT-642201175/D1/2020</t>
  </si>
  <si>
    <t>DIONISIUS WIRATAMA</t>
  </si>
  <si>
    <t>Purwodadi</t>
  </si>
  <si>
    <t>SMN</t>
  </si>
  <si>
    <t>357703301092000 3</t>
  </si>
  <si>
    <t>Jl. Nitinegoro 44B Demangan Madiun</t>
  </si>
  <si>
    <t>0813 9890 0613</t>
  </si>
  <si>
    <t>Dionisiuswiratama9@gmail.com</t>
  </si>
  <si>
    <t>0000104840594</t>
  </si>
  <si>
    <t>Politeknik Negeri Madiun</t>
  </si>
  <si>
    <t>PB-61/XII/IMSS/2019</t>
  </si>
  <si>
    <t>PKWT-641805144/D1/2020</t>
  </si>
  <si>
    <t>AGUS HARIONO</t>
  </si>
  <si>
    <t>Jombang</t>
  </si>
  <si>
    <t>351717010185000 2</t>
  </si>
  <si>
    <t>Ds. Made RT/RW 002/001 Kudu Jombang</t>
  </si>
  <si>
    <t>0852 4421 7639</t>
  </si>
  <si>
    <t>aruna1735wk@gmail.com</t>
  </si>
  <si>
    <t>0000732247839</t>
  </si>
  <si>
    <t>CHELSEA MIZZELA AILINX WIJAYA</t>
  </si>
  <si>
    <t>NASTUSHA ARUNA MUTIARA WIDJAYA</t>
  </si>
  <si>
    <t>SMA N 1 Mojokerto</t>
  </si>
  <si>
    <t>ANDI SUSILO</t>
  </si>
  <si>
    <t>KRDE Makassar- Parepare</t>
  </si>
  <si>
    <t>351909150986000 1</t>
  </si>
  <si>
    <t>Ds. Kanung RT/RW 004/002 Sawahan Madiun</t>
  </si>
  <si>
    <t>0813 3581 6186</t>
  </si>
  <si>
    <t>susiloandi127@gmail.com</t>
  </si>
  <si>
    <t>0001703389037</t>
  </si>
  <si>
    <t>MEGA ASTARINA</t>
  </si>
  <si>
    <t>NEISHA ACELIENA PUTRI</t>
  </si>
  <si>
    <t>SILMI NAFISA PUTRI</t>
  </si>
  <si>
    <t>SUWARDOYOK</t>
  </si>
  <si>
    <t>351907010183001 3</t>
  </si>
  <si>
    <t>Jl. Dahlia Ds. Mojopurno  RT/RW 07/01 Wungu Madiun</t>
  </si>
  <si>
    <t>0857 3230 9446</t>
  </si>
  <si>
    <t>Suwardoyokdiondafan@gmail.com</t>
  </si>
  <si>
    <t>0001883566304</t>
  </si>
  <si>
    <t>INDRIANA PRASETYA NINGRUM</t>
  </si>
  <si>
    <t>DION RUBEN ROSICKY</t>
  </si>
  <si>
    <t>DINDA PUTRI INDRIA</t>
  </si>
  <si>
    <t>DAFAN RAGIL ABQARY</t>
  </si>
  <si>
    <t>PB-63/XII/IMSS/2019</t>
  </si>
  <si>
    <t>PKWT-641907254/D1/2020</t>
  </si>
  <si>
    <t>AGIL ARDIANSAH</t>
  </si>
  <si>
    <t>357701060396000 3</t>
  </si>
  <si>
    <t>Jl. Pilang Luhur No 12 RT/RW 09/02 Pilang Bango Kartoharjo Madiun</t>
  </si>
  <si>
    <t>0821 3939 1772</t>
  </si>
  <si>
    <t>ardiplong@gmail.com</t>
  </si>
  <si>
    <t>0001204114375</t>
  </si>
  <si>
    <t>MASITHA NUR LATHIFAH</t>
  </si>
  <si>
    <t>BILAL ABIYAN NUR ARDIANSAH</t>
  </si>
  <si>
    <t>BAMBANG SANTOSO</t>
  </si>
  <si>
    <t>ERNI SUPRIHASTUTI</t>
  </si>
  <si>
    <t>PB-64/XII/IMSS/2019</t>
  </si>
  <si>
    <t>PKWT-641801141/D1/2020</t>
  </si>
  <si>
    <t>RATIH WIDIASTUTI</t>
  </si>
  <si>
    <t>352015640990000 2</t>
  </si>
  <si>
    <t>Ds. Ngelang RT 16 RW 04 Kec. Kartoharjo Kab. Magetan</t>
  </si>
  <si>
    <t>+62 822-3157-4740</t>
  </si>
  <si>
    <t>ratihwidi12@gmail.com</t>
  </si>
  <si>
    <t>0002301317921</t>
  </si>
  <si>
    <t>16043229588</t>
  </si>
  <si>
    <t>EKO YULIANTO</t>
  </si>
  <si>
    <t>ATHALA MANNAF CALIEF YULIANTO</t>
  </si>
  <si>
    <t>850585076646000</t>
  </si>
  <si>
    <t>Administrasi Perkantoran</t>
  </si>
  <si>
    <t>SMK N 2 Madiun</t>
  </si>
  <si>
    <t>NOVIANA HARIYANTO</t>
  </si>
  <si>
    <t>351907230481000 5</t>
  </si>
  <si>
    <t>Pojok 2 Anggrek 25 011/003, Kel.Munggut, Kec.Wungu, Kab. Madiun</t>
  </si>
  <si>
    <t>0899 9883 706</t>
  </si>
  <si>
    <t>novianahariyanto41@gmail.com</t>
  </si>
  <si>
    <t>0001865427399</t>
  </si>
  <si>
    <t>EKANI WINDARTI</t>
  </si>
  <si>
    <t>JOVAN KURNIA PUTRA</t>
  </si>
  <si>
    <t>DEVAN RAFFANDA PUTRA DEWANTO</t>
  </si>
  <si>
    <t>ALBHY CAESARIO ATHARRAZKA PUTRA</t>
  </si>
  <si>
    <t>PB-65/XII/IMSS/2019</t>
  </si>
  <si>
    <t>PKWT-641807164/D1/2020</t>
  </si>
  <si>
    <t>AMRIN KURNIADI</t>
  </si>
  <si>
    <t>357701050685000 2</t>
  </si>
  <si>
    <t>JL. Sri Unggul No10, 002/001, Kel. Kanigoro, Kec.Kartoharjo, Kota Madiun</t>
  </si>
  <si>
    <t>0831 8123 4573</t>
  </si>
  <si>
    <t>marchellmichell@gmail.com</t>
  </si>
  <si>
    <t>0002037595274</t>
  </si>
  <si>
    <t>PANCA APRIWATI</t>
  </si>
  <si>
    <t>MARCELL ALVANELSON KURNIADI</t>
  </si>
  <si>
    <t>MICHELL ALVANESON KURNIADI</t>
  </si>
  <si>
    <t>PB-3/XII/IMSS/2019</t>
  </si>
  <si>
    <t>PKWT-642201132/D1/2020</t>
  </si>
  <si>
    <t>SURYAT DWI PRAMONO</t>
  </si>
  <si>
    <t>352010130888000 1</t>
  </si>
  <si>
    <t>Ds. Bulak RT/RW 11/05 Bendo Magetan</t>
  </si>
  <si>
    <t>0822 5728 5882</t>
  </si>
  <si>
    <t>suryatdwip@gmail.com</t>
  </si>
  <si>
    <t>0001703366458</t>
  </si>
  <si>
    <t>MEI TRI MELASARI</t>
  </si>
  <si>
    <t>NOVAL ARVIAN PRATAMA</t>
  </si>
  <si>
    <t>PB-66/XII/IMSS/2019</t>
  </si>
  <si>
    <t>PKWT-641907255/D1/2020</t>
  </si>
  <si>
    <t>EKO PRASTYO</t>
  </si>
  <si>
    <t>Palembang</t>
  </si>
  <si>
    <t>351907261192000 2</t>
  </si>
  <si>
    <t>Jl. Raya Dungus No 21 RT/RW 08/01 Mojopurno Wungu Madiun</t>
  </si>
  <si>
    <t>0817 7075 3900</t>
  </si>
  <si>
    <t>ep1441186@gmail.com</t>
  </si>
  <si>
    <t>0001836689354</t>
  </si>
  <si>
    <t>DINAR AYU LUTVITA</t>
  </si>
  <si>
    <t>TABINA SAHID AUFA</t>
  </si>
  <si>
    <t>FILLIO SAHID ATHAYA</t>
  </si>
  <si>
    <t>SUNARYO</t>
  </si>
  <si>
    <t>SUHARTONO</t>
  </si>
  <si>
    <t>HERBIT DWI SAPUTRO</t>
  </si>
  <si>
    <t>SK-3/D1/IMSS/2020</t>
  </si>
  <si>
    <t>351908300689000 3</t>
  </si>
  <si>
    <t>Dsn. Dimong RT/RW 12/02 Dimong Madiun</t>
  </si>
  <si>
    <t>0821 3536 3212</t>
  </si>
  <si>
    <t>Herbid.89@gmail.com</t>
  </si>
  <si>
    <t>0002037571626</t>
  </si>
  <si>
    <t>ANNA NURITA FEBRIANTI</t>
  </si>
  <si>
    <t>QUEENSHA ZEA ARSYILA BIAN</t>
  </si>
  <si>
    <t>SMK PGRI 1 Mejayan</t>
  </si>
  <si>
    <t>PB-67/XII/IMSS/2019</t>
  </si>
  <si>
    <t>PKWT-642001015/D1/2020</t>
  </si>
  <si>
    <t>ADANG YONATA</t>
  </si>
  <si>
    <t>352105251292000 3</t>
  </si>
  <si>
    <t>Dsn Sambirejo II RT/RW01/02 Tepas Geneng Ngawi</t>
  </si>
  <si>
    <t>0822 3187 0337</t>
  </si>
  <si>
    <t>0857 9522 7534</t>
  </si>
  <si>
    <t>Adangyonata6@gmail.com</t>
  </si>
  <si>
    <t>0000741450486</t>
  </si>
  <si>
    <t>SMK N 2 Jiwan</t>
  </si>
  <si>
    <t>KHOIRI BAYU SETIAWAN</t>
  </si>
  <si>
    <t>352011100795000 2</t>
  </si>
  <si>
    <t>Jl. Duren Ds. Suratmajan RT/RW 07/01 Kec. Maospati Magetan</t>
  </si>
  <si>
    <t>0823 3748 7313</t>
  </si>
  <si>
    <t>khoiribayu4@gmail.com</t>
  </si>
  <si>
    <t>0002037843999</t>
  </si>
  <si>
    <t>Teknologi Pesawat Terbang</t>
  </si>
  <si>
    <t>SMK Penerbangan Angkasa Maospati</t>
  </si>
  <si>
    <t>PB-58/XII/IMSS/2019</t>
  </si>
  <si>
    <t>PKWT-971700008/D1/2020</t>
  </si>
  <si>
    <t>RIKO SANJAYA</t>
  </si>
  <si>
    <t>Crane</t>
  </si>
  <si>
    <t>357703120687000 5</t>
  </si>
  <si>
    <t>Jl. Gulun No 4 B Madiun</t>
  </si>
  <si>
    <t>0877 6493 3421</t>
  </si>
  <si>
    <t>0857 3620 0016</t>
  </si>
  <si>
    <t>sanjayarikosanjaya39@gmail.com</t>
  </si>
  <si>
    <t>0001538492646</t>
  </si>
  <si>
    <t>TIYAS PERMANASARI</t>
  </si>
  <si>
    <t>M. RAFAEL EKA SANJAYA</t>
  </si>
  <si>
    <t>SMA Taman Bakti Madiun</t>
  </si>
  <si>
    <t>PB-7/XII/IMSS/2019</t>
  </si>
  <si>
    <t>PKWT-642001056/D1/2020</t>
  </si>
  <si>
    <t>REVAN PRADIPTA</t>
  </si>
  <si>
    <t>351908031292000 1</t>
  </si>
  <si>
    <t>Ds. Tiron RT/RW 18/06 Madiun</t>
  </si>
  <si>
    <t>0853 3674 8013</t>
  </si>
  <si>
    <t>pradiptarevan24@gmail.com</t>
  </si>
  <si>
    <t>0001383339036</t>
  </si>
  <si>
    <t>Cerai</t>
  </si>
  <si>
    <t>PB-8/XII/IMSS/2019</t>
  </si>
  <si>
    <t>PKWT-971900028/D1/2020</t>
  </si>
  <si>
    <t>DIDI SETIAWAN</t>
  </si>
  <si>
    <t>Banyumas</t>
  </si>
  <si>
    <t>330217060897000 3</t>
  </si>
  <si>
    <t>Jl. Permadi No 01 Karang Tengah Cilongok Banyumas</t>
  </si>
  <si>
    <t>0813 9166 6089</t>
  </si>
  <si>
    <t>didisetiawan135@gmail.com</t>
  </si>
  <si>
    <t>0001703389094</t>
  </si>
  <si>
    <t>KAMYATI</t>
  </si>
  <si>
    <t>TK/1</t>
  </si>
  <si>
    <t>SMK N 2 Purwokerto</t>
  </si>
  <si>
    <t>PB-6/XII/IMSS/2019</t>
  </si>
  <si>
    <t>PKWT-642001059/D1/2020</t>
  </si>
  <si>
    <t>PUTRA SATRIA BINTANG PAMUNGKAS</t>
  </si>
  <si>
    <t>351907030796000 1</t>
  </si>
  <si>
    <t>Jl. Mawar RT/RW 03/01 Ds.Munggut</t>
  </si>
  <si>
    <t>0822 4544 8957</t>
  </si>
  <si>
    <t>bintangsamudraraya@gmail.com</t>
  </si>
  <si>
    <t>0001703366447</t>
  </si>
  <si>
    <t>FEBY ANDIKA ENDAH SAPUTRI</t>
  </si>
  <si>
    <t>PB-10/XII/IMSS/2019</t>
  </si>
  <si>
    <t>PKWT-641702080/D1/2020</t>
  </si>
  <si>
    <t>FLORA WINARSIH</t>
  </si>
  <si>
    <t>Bendahara</t>
  </si>
  <si>
    <t>Keuangan</t>
  </si>
  <si>
    <t>Keuangan SDM dan Manajemen Risiko</t>
  </si>
  <si>
    <t>Ruteng</t>
  </si>
  <si>
    <t>351903580483000 3</t>
  </si>
  <si>
    <t xml:space="preserve">Dusun Bulu Tuwo RT 019 RW 003 Kel. Dukuh Kec. Bendo </t>
  </si>
  <si>
    <t>+62 812-1771-8508</t>
  </si>
  <si>
    <t>flora.kendar@gmail.com</t>
  </si>
  <si>
    <t>0002301320024</t>
  </si>
  <si>
    <t>18026752024</t>
  </si>
  <si>
    <t>AGUNG WAHYUDI</t>
  </si>
  <si>
    <t>Manajemen</t>
  </si>
  <si>
    <t>Universitas Jember</t>
  </si>
  <si>
    <t>BANGKIT SANJAYA</t>
  </si>
  <si>
    <t>Pemasaran</t>
  </si>
  <si>
    <t>352110161291000 1</t>
  </si>
  <si>
    <t>Ds. Cerme RT 06/04, Gentong, Kec. Paron, Ngawi</t>
  </si>
  <si>
    <t>0813 1662 9900</t>
  </si>
  <si>
    <t>bangkits26@gmail.com</t>
  </si>
  <si>
    <t>0001703389061</t>
  </si>
  <si>
    <t>LAURENTIUS YHOAN KRISMANTARA</t>
  </si>
  <si>
    <t>357702090297000 2</t>
  </si>
  <si>
    <t>Jl. Kalasan V/9A RT 19/RW 05, Patihan, Madiun</t>
  </si>
  <si>
    <t>0896 8212 7366</t>
  </si>
  <si>
    <t>laurentius12325@gmail.com</t>
  </si>
  <si>
    <t>0001824708609</t>
  </si>
  <si>
    <t>PB-12/XII/IMSS/2019</t>
  </si>
  <si>
    <t>NURSAMSI</t>
  </si>
  <si>
    <t>357703041071000 1</t>
  </si>
  <si>
    <t>Jl. Taman Asri II / 150 Madiun</t>
  </si>
  <si>
    <t>0857 0654 8801</t>
  </si>
  <si>
    <t>nursamsi156@gmail.com</t>
  </si>
  <si>
    <t>0001703389083</t>
  </si>
  <si>
    <t>MITA AGUSTINA</t>
  </si>
  <si>
    <t>KHAIRUL ANWAR</t>
  </si>
  <si>
    <t>ARIZZAL ZIDAN NUR PUTRA</t>
  </si>
  <si>
    <t>PB-13/XII/IMSS/2019</t>
  </si>
  <si>
    <t>AGUS PRASETYO</t>
  </si>
  <si>
    <t>5R</t>
  </si>
  <si>
    <t>352005120388000 1</t>
  </si>
  <si>
    <t>Giripurno RT/RW 006/003 Kec. Kawedanan Kab. Magetan</t>
  </si>
  <si>
    <t>0856 4786 1903</t>
  </si>
  <si>
    <t>prasetyoagus304@gmail.com</t>
  </si>
  <si>
    <t>0000739492997</t>
  </si>
  <si>
    <t>SMK Sabilil Mutaqien Magetan</t>
  </si>
  <si>
    <t>PB-17/XII/IMSS/2019</t>
  </si>
  <si>
    <t>PKWT-641907250/D1/2020</t>
  </si>
  <si>
    <t>HERY NURWANTO</t>
  </si>
  <si>
    <t>352005181183000 1</t>
  </si>
  <si>
    <t>0856 4244 1903</t>
  </si>
  <si>
    <t>Herybancak45@gmail.com</t>
  </si>
  <si>
    <t>0000739492593</t>
  </si>
  <si>
    <t>SITO ROMLAH</t>
  </si>
  <si>
    <t>ALMEERA DYAH RETNO PRAWIRA NURDJATI</t>
  </si>
  <si>
    <t>SMP N 3 Kawedanan</t>
  </si>
  <si>
    <t>PB-19/XII/IMSS/2019</t>
  </si>
  <si>
    <t>PKWT-642001008/D1/2020</t>
  </si>
  <si>
    <t>GUNAWAN</t>
  </si>
  <si>
    <t>357702110567000 2</t>
  </si>
  <si>
    <t>Jl. Laos No 9 RT/RW 003/001 Ngegong Mangunharjo Madiun</t>
  </si>
  <si>
    <t>0812 2576 1903</t>
  </si>
  <si>
    <t>yankegunawan@gmail.com</t>
  </si>
  <si>
    <t>0001703389072</t>
  </si>
  <si>
    <t>ELIS SRIHARTATI</t>
  </si>
  <si>
    <t>YUDHA HB</t>
  </si>
  <si>
    <t>KRESNA HB</t>
  </si>
  <si>
    <t>SMA N 2 Mangunharjo</t>
  </si>
  <si>
    <t>PB-14/XII/IMSS/2019</t>
  </si>
  <si>
    <t>PKWT-642201146/D1/2020</t>
  </si>
  <si>
    <t>PURWANTO</t>
  </si>
  <si>
    <t>352005140887000 1</t>
  </si>
  <si>
    <t>Giripurno RT/RW 015/005 Kec. Kawedanan Kab. Magetan</t>
  </si>
  <si>
    <t>0812 5524 5151</t>
  </si>
  <si>
    <t>bagadur14@gmail.com</t>
  </si>
  <si>
    <t>0001703389059</t>
  </si>
  <si>
    <t>WAHYU MEGAWATI</t>
  </si>
  <si>
    <t>MUHAMMAD ZIDAN AIMAN NAZA</t>
  </si>
  <si>
    <t>MUHAMMAD ASHKA NUR MAULIDAN</t>
  </si>
  <si>
    <t>PB-15/XII/IMSS/2019</t>
  </si>
  <si>
    <t>PKWT-641907249/D1/2020</t>
  </si>
  <si>
    <t>ROFINGI</t>
  </si>
  <si>
    <t>351914190680000 1</t>
  </si>
  <si>
    <t>Ds. Bakur Sawahan Madiun</t>
  </si>
  <si>
    <t>0812 3414  9121</t>
  </si>
  <si>
    <t>cokrosamudro19@gmail.com</t>
  </si>
  <si>
    <t>0001703389015</t>
  </si>
  <si>
    <t>ERMI WIDIASTUTIK</t>
  </si>
  <si>
    <t>AZHIM PRADA SAPUTRA</t>
  </si>
  <si>
    <t>PB-18/XII/IMSS/2019</t>
  </si>
  <si>
    <t>PKWT-642001068/D1/2020</t>
  </si>
  <si>
    <t>ARIF SUGIANTO</t>
  </si>
  <si>
    <t>352005170689000 1</t>
  </si>
  <si>
    <t>Giripurno RT/RW 009/004 Kec. Kawedanan Kab. Magetan</t>
  </si>
  <si>
    <t>0898 3320 798</t>
  </si>
  <si>
    <t>arifsugianto806@gmail.com</t>
  </si>
  <si>
    <t>0001703389048</t>
  </si>
  <si>
    <t>ANING SUSILOWATI</t>
  </si>
  <si>
    <t>ADITYA NAUFAL MAHARDIKA</t>
  </si>
  <si>
    <t>ARSAKHA FARREL MAHARDIKA</t>
  </si>
  <si>
    <t>SMK N 1 Kawedanan</t>
  </si>
  <si>
    <t>PB-16/XII/IMSS/2019</t>
  </si>
  <si>
    <t>FEBRI PRASTYO</t>
  </si>
  <si>
    <t>351903040294000 1</t>
  </si>
  <si>
    <t>Desa Kertobanyon RT/RW 04/01 Kec. Geger Madiun</t>
  </si>
  <si>
    <t>0898 6278 687</t>
  </si>
  <si>
    <t>Febripras0@gmail.com</t>
  </si>
  <si>
    <t>0001703389004</t>
  </si>
  <si>
    <t>SMK PGRI 1 Madiun</t>
  </si>
  <si>
    <t>PB-21/XII/IMSS/2019</t>
  </si>
  <si>
    <t>PKWT-642001067/D1/2020</t>
  </si>
  <si>
    <t>JULIUS DEBBY KRISTIYANTO</t>
  </si>
  <si>
    <t>Solo/Klaten</t>
  </si>
  <si>
    <t>SK-004B/D1/IMSS/2018</t>
  </si>
  <si>
    <t>Insinyur</t>
  </si>
  <si>
    <t>331011280792000 1</t>
  </si>
  <si>
    <t>Dk. Klegen RT 014 RW 007 Kel. Srebegan Kec. Ceper Klaten</t>
  </si>
  <si>
    <t>+62 857-6666-1784</t>
  </si>
  <si>
    <t>juliuz92@gmail.com</t>
  </si>
  <si>
    <t>0001707216671</t>
  </si>
  <si>
    <t>17028714222</t>
  </si>
  <si>
    <t>KHO YUNITA AGUSTINA SETYAWAN</t>
  </si>
  <si>
    <t>GRASIELLA JESSLYN KRISTIYANTO</t>
  </si>
  <si>
    <t>Universitas Sanata Darma</t>
  </si>
  <si>
    <t>NUR OKTARIA</t>
  </si>
  <si>
    <t>Umum</t>
  </si>
  <si>
    <t>SDM dan Umum</t>
  </si>
  <si>
    <t>357701651090000 1</t>
  </si>
  <si>
    <t>Jl. Diponegoro No 39D Madiun</t>
  </si>
  <si>
    <t>+62 812-3233-2231</t>
  </si>
  <si>
    <t>noktaria25@gmail.com</t>
  </si>
  <si>
    <t>0001109683001</t>
  </si>
  <si>
    <t>17028714172</t>
  </si>
  <si>
    <t>AHMAD RIDWAN</t>
  </si>
  <si>
    <t>Akuntansi</t>
  </si>
  <si>
    <t>Universitas Widya Mandala</t>
  </si>
  <si>
    <t>Promil</t>
  </si>
  <si>
    <t>DODIK PANCA PRASETYAWAN</t>
  </si>
  <si>
    <t>357702280285000 1</t>
  </si>
  <si>
    <t>Jl. Ciliwung No 22B RT 47/RW 15, Taman, Madiun</t>
  </si>
  <si>
    <t>0858 1211 2001</t>
  </si>
  <si>
    <t>nadin110113@gmail.com</t>
  </si>
  <si>
    <t>0001294891479</t>
  </si>
  <si>
    <t>SMK PGRI 1 Manguharjo</t>
  </si>
  <si>
    <t>PB-22/XII/IMSS/2019</t>
  </si>
  <si>
    <t>PKWT-971900046/D1/2020</t>
  </si>
  <si>
    <t>IMRON ABIDIN</t>
  </si>
  <si>
    <t>351904210890000 1</t>
  </si>
  <si>
    <t>Dsn Tumpukan RT 008 RW 004 Kel Banjarsari Kulon Kec Dagangan Madiun</t>
  </si>
  <si>
    <t>+62 856-4580-0951</t>
  </si>
  <si>
    <t>imronabidin10@gmail.com</t>
  </si>
  <si>
    <t>0001707216682</t>
  </si>
  <si>
    <t>17043917420</t>
  </si>
  <si>
    <t>DWI SUSANTI</t>
  </si>
  <si>
    <t>382989705621000</t>
  </si>
  <si>
    <t>SMAN 1 Dagangan</t>
  </si>
  <si>
    <t>RUDY SUSANTO</t>
  </si>
  <si>
    <t>Malang</t>
  </si>
  <si>
    <t xml:space="preserve">357703291276000 4 </t>
  </si>
  <si>
    <t>Jl. Pesanggrahan I No. 1 B Kel. Taman, Kec. Taman, Kota Madiun.</t>
  </si>
  <si>
    <t>+62 857-8068-3423</t>
  </si>
  <si>
    <t>idurs@yahoo.com</t>
  </si>
  <si>
    <t>0001642444874</t>
  </si>
  <si>
    <t>17043917388</t>
  </si>
  <si>
    <t>RADITA PRAMUDIASARI</t>
  </si>
  <si>
    <t>VALENTIA YASMINANTISARI</t>
  </si>
  <si>
    <t>YUSTINUS DWI ADYRA</t>
  </si>
  <si>
    <t>086935509621000</t>
  </si>
  <si>
    <t>Universitas Negeri Jakarta</t>
  </si>
  <si>
    <t>Perencanaan dan Pengendalian Logistik</t>
  </si>
  <si>
    <t>Ahli Elektrikal</t>
  </si>
  <si>
    <t>Bojonegoro</t>
  </si>
  <si>
    <t>352215181089000 3</t>
  </si>
  <si>
    <t>Jl. Lisman RT 015 RW 004 Kel. Campurejo Kec. Bojonegoro</t>
  </si>
  <si>
    <t>+62 813-3407-0077</t>
  </si>
  <si>
    <t>prajakusumanugraha@gmail.com</t>
  </si>
  <si>
    <t>0001706037704</t>
  </si>
  <si>
    <t>17028714149</t>
  </si>
  <si>
    <t>GALUH DWIANTARI</t>
  </si>
  <si>
    <t>AALIYAH TUNGGADEWI</t>
  </si>
  <si>
    <t>Universitas Brawijawaya</t>
  </si>
  <si>
    <t>DIMAS SUHARDIYONO</t>
  </si>
  <si>
    <t>SDM</t>
  </si>
  <si>
    <t>Surabaya</t>
  </si>
  <si>
    <t>357703260791000 1</t>
  </si>
  <si>
    <t>Perum Taman Salak B 203 RT 051 RW 017 Kel Pandean Kec Taman Kota Madiun</t>
  </si>
  <si>
    <t>0823 3903 0003</t>
  </si>
  <si>
    <t>dimassuhardiyono@gmail.com</t>
  </si>
  <si>
    <t>0001176355923</t>
  </si>
  <si>
    <t>17028714214</t>
  </si>
  <si>
    <t>CHELSEA ADILA PUTRI</t>
  </si>
  <si>
    <t>Ilmu Komunikasi</t>
  </si>
  <si>
    <t>UPN Veteran Yogyakarta</t>
  </si>
  <si>
    <t>BUDIONO</t>
  </si>
  <si>
    <t>SK-002/D1/IMSS/2019</t>
  </si>
  <si>
    <t>Pengelolaan Proyek Wilayah I</t>
  </si>
  <si>
    <t>352107300191000 1</t>
  </si>
  <si>
    <t>Ds. Legundi RT/RW 02/04 Kec. Karangjati Kab. Ngawi</t>
  </si>
  <si>
    <t>0815 5118 489</t>
  </si>
  <si>
    <t>dion3lili@gmail.com</t>
  </si>
  <si>
    <t>0002311581069</t>
  </si>
  <si>
    <t>TITIS MALAYSIATI FIRNELA MUJIASIH</t>
  </si>
  <si>
    <t>AHMAD ILHAM RAFIF SADHAWARA BUDIONO</t>
  </si>
  <si>
    <t>MUHAMMAD BADRU KAMAL BUDIONO</t>
  </si>
  <si>
    <t>M FAHMI</t>
  </si>
  <si>
    <t>Bungkaih</t>
  </si>
  <si>
    <t>110806071093000 2</t>
  </si>
  <si>
    <t>Gampong Keude Bungkaih Kec. Muara Batu Kab. Aceh Utara</t>
  </si>
  <si>
    <t>0852 7013 6858</t>
  </si>
  <si>
    <t>wfahmi076@gmail.com</t>
  </si>
  <si>
    <t>0000981085814</t>
  </si>
  <si>
    <t>SMA N 1 Muara Batu</t>
  </si>
  <si>
    <t>ARIFIN PURNAWIRAWAN</t>
  </si>
  <si>
    <t>357701060789000 2</t>
  </si>
  <si>
    <t>Jl. Wiyatasari No 10 Ds. Rejomulyo Kartoharjo Madiun</t>
  </si>
  <si>
    <t>0812 3083 5385</t>
  </si>
  <si>
    <t>hurinaghnia07@gmail.com</t>
  </si>
  <si>
    <t>0000786427615</t>
  </si>
  <si>
    <t>PB-25/XII/IMSS/2019</t>
  </si>
  <si>
    <t>PKWT-971900049/D1/2020</t>
  </si>
  <si>
    <t>SUGIYANTO</t>
  </si>
  <si>
    <t>352010101289000 1</t>
  </si>
  <si>
    <t>Dsn. Bulu Tuwo Ds. Dukuh RT/RW 19/03 Bendo Magetan</t>
  </si>
  <si>
    <t>0852 5963 9116</t>
  </si>
  <si>
    <t>Embunaswinda01@gmail.com</t>
  </si>
  <si>
    <t>0001706039526</t>
  </si>
  <si>
    <t>FEBRIANA SUSANTI</t>
  </si>
  <si>
    <t>EMBUN ASWINDA IZZATUNNISA</t>
  </si>
  <si>
    <t>SMK PGRI 1 Magetan</t>
  </si>
  <si>
    <t>PB-23/XII/IMSS/2019</t>
  </si>
  <si>
    <t>PKWT-641907252/D1/2020</t>
  </si>
  <si>
    <t>KOMARUZZAMAN</t>
  </si>
  <si>
    <t>357702070896000 5</t>
  </si>
  <si>
    <t>Jl. Mayjend Sungkono No Gg. Sosropuran Madiun</t>
  </si>
  <si>
    <t>0812 6273 9140</t>
  </si>
  <si>
    <t>komaruzzamanoppo123@gmail.com</t>
  </si>
  <si>
    <t>0001706037715</t>
  </si>
  <si>
    <t>PB-26/XII/IMSS/2019</t>
  </si>
  <si>
    <t>PKWT-642001048/D1/2020</t>
  </si>
  <si>
    <t>AZIZ MAHMUDI</t>
  </si>
  <si>
    <t>Engineering</t>
  </si>
  <si>
    <t>Teknik</t>
  </si>
  <si>
    <t>352110300594000 1</t>
  </si>
  <si>
    <t>Dsn. Bulunh Ds. Kartoharjo, Kec. Ngawi, Kab. Ngawi</t>
  </si>
  <si>
    <t>0812 7070 5756</t>
  </si>
  <si>
    <t>azismahmudi80@gmail.com</t>
  </si>
  <si>
    <t>0001706039537</t>
  </si>
  <si>
    <t>RETNO AYU ANDRIANI</t>
  </si>
  <si>
    <t>ABRIZAM ZEYN EL FARIZ</t>
  </si>
  <si>
    <t>PB-28/XII/IMSS/2019</t>
  </si>
  <si>
    <t>PKWT-641907251/D1/2020</t>
  </si>
  <si>
    <t>ANDIKA SETYAWAN</t>
  </si>
  <si>
    <t>351909010398000 1</t>
  </si>
  <si>
    <t>Ds. Bibrik RT/RW 18/07 Jiwan Madiun</t>
  </si>
  <si>
    <t>0858 1742 4247</t>
  </si>
  <si>
    <t xml:space="preserve">setyawanandika666@gmail.com </t>
  </si>
  <si>
    <t>0000738767935</t>
  </si>
  <si>
    <t>DEVI MIRANDASARI</t>
  </si>
  <si>
    <t>ARIKA PUTRA SETYAWAN</t>
  </si>
  <si>
    <t>PB-39/XII/IMSS/2019</t>
  </si>
  <si>
    <t>PKWT-642109115/D1/2020</t>
  </si>
  <si>
    <t>ANDREA CAHYA PUTRA</t>
  </si>
  <si>
    <t>352005190698000 4</t>
  </si>
  <si>
    <t>Lingkungan Gandek RT/RW 014/003 Kawedanan Magetan</t>
  </si>
  <si>
    <t>0895 1604 4401</t>
  </si>
  <si>
    <t xml:space="preserve">andreacahya07@gmail.com </t>
  </si>
  <si>
    <t>0000739591119</t>
  </si>
  <si>
    <t>Teknik Komputer Jaringan</t>
  </si>
  <si>
    <t>SMK N 1 Takeran</t>
  </si>
  <si>
    <t>PB-29/XII/IMSS/2019</t>
  </si>
  <si>
    <t>PKWT-642201167/D1/2020</t>
  </si>
  <si>
    <t>DENDI HERMAWAN</t>
  </si>
  <si>
    <t>Awak Sarana</t>
  </si>
  <si>
    <t>351903290896000 5</t>
  </si>
  <si>
    <t>Jl. Cemara Ds. Sangen RT/RW 05/02 Kec. Geger Madiun</t>
  </si>
  <si>
    <t>0812 4963 2815</t>
  </si>
  <si>
    <t>0896 1320 9803</t>
  </si>
  <si>
    <t>dendilabeneamata@gmail.com</t>
  </si>
  <si>
    <t>0000736977453</t>
  </si>
  <si>
    <t>DESTI NOVITA SARI</t>
  </si>
  <si>
    <t>DAFFA REYNO HERMAWAN</t>
  </si>
  <si>
    <t>PB-37/XII/IMSS/2019</t>
  </si>
  <si>
    <t>PKWT-642201162/D1/2020</t>
  </si>
  <si>
    <t>GHOZIE NAFIIRI FATHUL ADHIM</t>
  </si>
  <si>
    <t>351907120797000 2</t>
  </si>
  <si>
    <t>Jl. Candisewu No 44 D Bmadiun</t>
  </si>
  <si>
    <t>0813 3066 5417</t>
  </si>
  <si>
    <t>gnafiiri@gmail.com</t>
  </si>
  <si>
    <t>0001448994295</t>
  </si>
  <si>
    <t>PB-34/XII/IMSS/2019</t>
  </si>
  <si>
    <t>PKWT-642201170/D1/2020</t>
  </si>
  <si>
    <t>BUDI HARIANTO</t>
  </si>
  <si>
    <t>351907140490000 3</t>
  </si>
  <si>
    <t>Dsn Warutunggal RT/RW 023/003 Ds. Tegal Arum, Kec. Bendo, Kab Magetan</t>
  </si>
  <si>
    <t>0899 0878 215</t>
  </si>
  <si>
    <t>budibismafitri@gmail.com</t>
  </si>
  <si>
    <t>0002453059124</t>
  </si>
  <si>
    <t>FITRIANA</t>
  </si>
  <si>
    <t>BISMA LAWU PAMBUDI</t>
  </si>
  <si>
    <t>PB-30/XII/IMSS/2019</t>
  </si>
  <si>
    <t>PKWT-641907245/D1/2020</t>
  </si>
  <si>
    <t>ENDRAWAN</t>
  </si>
  <si>
    <t>351914071094000 1</t>
  </si>
  <si>
    <t>Ds. Kanung RT/RW 06/02 Kec. Sawahan Madiun</t>
  </si>
  <si>
    <t>0812 3080 1300</t>
  </si>
  <si>
    <t>wankanung7@gmail.com</t>
  </si>
  <si>
    <t>0000737675932</t>
  </si>
  <si>
    <t>SMK N 1 Jiwan</t>
  </si>
  <si>
    <t>PB-38/XII/IMSS/2019</t>
  </si>
  <si>
    <t>PKWT-642001058/D1/2020</t>
  </si>
  <si>
    <t>MUHTAROM</t>
  </si>
  <si>
    <t>350218280482000 4</t>
  </si>
  <si>
    <t>Jl. Gajah Mada, Njogobayan Madiun</t>
  </si>
  <si>
    <t>0831 6038 9171</t>
  </si>
  <si>
    <t>0858 0445 5575</t>
  </si>
  <si>
    <t>satyapradifta@gmail.com</t>
  </si>
  <si>
    <t>0002422814556</t>
  </si>
  <si>
    <t>TITIK KARTIKAWATI</t>
  </si>
  <si>
    <t>RAFA SATYA PRADIFTA</t>
  </si>
  <si>
    <t>SMK Bakti Ponorogo</t>
  </si>
  <si>
    <t>PB-35/XII/IMSS/2019</t>
  </si>
  <si>
    <t>PKWT-642001035/D1/2020</t>
  </si>
  <si>
    <t>TRI DIANTORO</t>
  </si>
  <si>
    <t>352015200494000 1</t>
  </si>
  <si>
    <t>Ds. Ngelang Kec. Kartoharjo Kab. Magetan</t>
  </si>
  <si>
    <t>0857 2501 5455</t>
  </si>
  <si>
    <t>Dyan.kancil96@gmail.com</t>
  </si>
  <si>
    <t>0002925418577</t>
  </si>
  <si>
    <t>SMK N 1 Kertosono</t>
  </si>
  <si>
    <t>SMK N 1Kertosono</t>
  </si>
  <si>
    <t>PB-36/XII/IMSS/2019</t>
  </si>
  <si>
    <t>PKWT-642001045/D1/2020</t>
  </si>
  <si>
    <t>DEWANGGA SULUNG ADHI CAHYONO</t>
  </si>
  <si>
    <t>Tulung Agung</t>
  </si>
  <si>
    <t>357702260997000 4</t>
  </si>
  <si>
    <t>Jl. Keningar No 03 RT 5/RW 2 Ds. Ngegong Kec. Mangunharjo Madiun</t>
  </si>
  <si>
    <t>0882 3115 3224</t>
  </si>
  <si>
    <t>0812 3850 2309</t>
  </si>
  <si>
    <t>Cahyonodewangga@gmail.com</t>
  </si>
  <si>
    <t>0001832225793</t>
  </si>
  <si>
    <t>PB-31/XII/IMSS/2019</t>
  </si>
  <si>
    <t>PKWT-641907257/D1/2020</t>
  </si>
  <si>
    <t>EKO NUR CAHYO PUTRO</t>
  </si>
  <si>
    <t>352114101197000 1</t>
  </si>
  <si>
    <t>Dsn. Loran Ds. Babadan Kec. Pangkur Kab. Ngawi</t>
  </si>
  <si>
    <t>0813 3351 3880</t>
  </si>
  <si>
    <t>0857 0409 4871</t>
  </si>
  <si>
    <t>Ekonur749@gmail.com</t>
  </si>
  <si>
    <t>0000743032787</t>
  </si>
  <si>
    <t>SMK N 1 Wonoasri</t>
  </si>
  <si>
    <t>PB-32/XII/IMSS/2019</t>
  </si>
  <si>
    <t>PKWT-642201153/D1/2020</t>
  </si>
  <si>
    <t>FAILLA DZUL LUTHFI</t>
  </si>
  <si>
    <t>357703420693000 3</t>
  </si>
  <si>
    <t>Jl. Janur Sari 3 No 05 Manisrejo Madiun</t>
  </si>
  <si>
    <t>+62 813-3640-5437</t>
  </si>
  <si>
    <t>failla02luthfi@gmail.com</t>
  </si>
  <si>
    <t>0000105108759</t>
  </si>
  <si>
    <t>Teknik Industri</t>
  </si>
  <si>
    <t>Universitas Islam Indonesia</t>
  </si>
  <si>
    <t>KORONA ALFINDI FEBRYANTIKA</t>
  </si>
  <si>
    <t>357701600293000 2</t>
  </si>
  <si>
    <t>JL. Sribowo No. 54C Madiun</t>
  </si>
  <si>
    <t>0812 4976 6659</t>
  </si>
  <si>
    <t>korona.feby93@gmail.com</t>
  </si>
  <si>
    <t>0000106315659</t>
  </si>
  <si>
    <t>17043917362</t>
  </si>
  <si>
    <t>YOSEPH RUDY PRATAMA PUTRA</t>
  </si>
  <si>
    <t>ANDREAN TEGAR ADIWIJAYA</t>
  </si>
  <si>
    <t>Pendidikan Bahasa Inggris</t>
  </si>
  <si>
    <t>Universitas PGRI Madiun</t>
  </si>
  <si>
    <t>351915171293000 1</t>
  </si>
  <si>
    <t>Jl. Sidomulyo Kel Sidomulyo Kec Sawahan Kab Madiun</t>
  </si>
  <si>
    <t>+62 857-3552-5801</t>
  </si>
  <si>
    <t>deby631@gmail.com</t>
  </si>
  <si>
    <t>0000104834755</t>
  </si>
  <si>
    <t>17043917354</t>
  </si>
  <si>
    <t>DEASY NUR WULAN DARI</t>
  </si>
  <si>
    <t>DANADYAKSA PRAJABTA KIN DERIZA</t>
  </si>
  <si>
    <t xml:space="preserve">357701591188000 1 </t>
  </si>
  <si>
    <t>Jl. Bali Gg XI/10 Madiun</t>
  </si>
  <si>
    <t>+62 857-3607-6066</t>
  </si>
  <si>
    <t>avi.chacyl@gmail.com</t>
  </si>
  <si>
    <t>0001380143823</t>
  </si>
  <si>
    <t>12007010395</t>
  </si>
  <si>
    <t>ABDULLOH AFIF</t>
  </si>
  <si>
    <t>DZAKI PUTRA AFIF</t>
  </si>
  <si>
    <t>DAFFA PUTRA AFIF</t>
  </si>
  <si>
    <t>Pendidikan Biologi</t>
  </si>
  <si>
    <t>IKIP PGRI Madiun</t>
  </si>
  <si>
    <t>YOGA BIMANTARA ADITYA WICAKSONO</t>
  </si>
  <si>
    <t>PKWT-642001034 /D1/2020</t>
  </si>
  <si>
    <t>Salatiga</t>
  </si>
  <si>
    <t>352006280994000 2</t>
  </si>
  <si>
    <t>Kpr Pondok Magetan Indah Blok Q No8, Magetan</t>
  </si>
  <si>
    <t>0812 3169 2593</t>
  </si>
  <si>
    <t>yogabimantaraadityawicaksono@gmail.com</t>
  </si>
  <si>
    <t>0001106495785</t>
  </si>
  <si>
    <t>AFIN NURUL ANDINI</t>
  </si>
  <si>
    <t>BRIANTO CAHYO NUGROHO</t>
  </si>
  <si>
    <t>357701250191000 1</t>
  </si>
  <si>
    <t>Jl Trimulyo 22 Madiun RT 19 RW 05 Kel, Klegen Kec Kartoharjo, Kota Madiun</t>
  </si>
  <si>
    <t>briantocahyo25@gmail.com</t>
  </si>
  <si>
    <t>0002431878862</t>
  </si>
  <si>
    <t>ROSALINDA PUTRI PRATIWI</t>
  </si>
  <si>
    <t>MUHAMMAD ALFARIZQI NUGROHO</t>
  </si>
  <si>
    <t>FAVA WIRA PRATAMA</t>
  </si>
  <si>
    <t>357701080994000 1</t>
  </si>
  <si>
    <t>Jl Widosari No 17 Kota Madiun</t>
  </si>
  <si>
    <t>0857 3056 3436</t>
  </si>
  <si>
    <t>favawira@yahoo.co.id</t>
  </si>
  <si>
    <t>0000104823281</t>
  </si>
  <si>
    <t>BINARI MUHARNINGRUM</t>
  </si>
  <si>
    <t>GLENDYS CANDRAMAYA EKAVIRA</t>
  </si>
  <si>
    <t>357703151198000 4</t>
  </si>
  <si>
    <t>Jl. Tilam Upih RT25/ RW08 Josenan Taman, Madiun</t>
  </si>
  <si>
    <t>0878 5075 6240</t>
  </si>
  <si>
    <t>0896 1519 3706</t>
  </si>
  <si>
    <t>mvinando@gmail.com</t>
  </si>
  <si>
    <t>0002442060606</t>
  </si>
  <si>
    <t>PB-49/XII/IMSS/2019</t>
  </si>
  <si>
    <t>PKWT-642201161/D1/2020</t>
  </si>
  <si>
    <t>TOMI SUHARTO</t>
  </si>
  <si>
    <t>357703261189000 4</t>
  </si>
  <si>
    <t>Jl Sudirman Gang Jambe 21 Madiun</t>
  </si>
  <si>
    <t>0895 3976 61722</t>
  </si>
  <si>
    <t>Tomi030817@gmail.com</t>
  </si>
  <si>
    <t>0002431875521</t>
  </si>
  <si>
    <t>PB-45/XII/IMSS/2019</t>
  </si>
  <si>
    <t>PKWT-642001053/D1/2020</t>
  </si>
  <si>
    <t>BERRY HARTANTO</t>
  </si>
  <si>
    <t>357703211098000 1</t>
  </si>
  <si>
    <t>Jl Tumpak Manis 1b N08 RW11RT40 Kel. Manisrejo, Kec. Taman Kota Madiun</t>
  </si>
  <si>
    <t>0813 2147 8165</t>
  </si>
  <si>
    <t>berryHartan98@gmail.com</t>
  </si>
  <si>
    <t>0002416483462</t>
  </si>
  <si>
    <t>AGUS DWI SUCIPTO</t>
  </si>
  <si>
    <t>Teknik Audio Visual</t>
  </si>
  <si>
    <t>PB-44/XII/IMSS/2019</t>
  </si>
  <si>
    <t>PKWT-641806155/D1/2020</t>
  </si>
  <si>
    <t>DARWANTO</t>
  </si>
  <si>
    <t>351909160989000 1</t>
  </si>
  <si>
    <t>Desa Teguhan RT19RW5 Kec. Jiwan, Kab. Madiun</t>
  </si>
  <si>
    <t>0823 3602 0437</t>
  </si>
  <si>
    <t>0882 1725 4897</t>
  </si>
  <si>
    <t>daRWanto.rofi@gmail.com</t>
  </si>
  <si>
    <t>0000738322481</t>
  </si>
  <si>
    <t>ROFIQOH</t>
  </si>
  <si>
    <t>KHADIJAH AVICENNA</t>
  </si>
  <si>
    <t>SMA N 1 Jiwan</t>
  </si>
  <si>
    <t>PB-46/XII/IMSS/2019</t>
  </si>
  <si>
    <t>PKWT-642201177/D1/2020</t>
  </si>
  <si>
    <t>NANANG ADI SAPUTRA</t>
  </si>
  <si>
    <t>357701151293000 2</t>
  </si>
  <si>
    <t>Desa Sambirejo, Kec. Jiwan Kab. Madiun</t>
  </si>
  <si>
    <t>0896 1517 8173</t>
  </si>
  <si>
    <t>Nanangaadi@yahoo.co.id</t>
  </si>
  <si>
    <t>0002010804838</t>
  </si>
  <si>
    <t>LIA CHANDRA KRESNA SARI</t>
  </si>
  <si>
    <t>SALSABILA NUR</t>
  </si>
  <si>
    <t>PB-42/XII/IMSS/2019</t>
  </si>
  <si>
    <t>PKWT-642201164/D1/2020</t>
  </si>
  <si>
    <t>ADE SETYA PURNAMA</t>
  </si>
  <si>
    <t>Denpasar</t>
  </si>
  <si>
    <t>517104070598000 1</t>
  </si>
  <si>
    <t>Jl. Candi Sari No 21 RT 022/006, Patihan, Kec. Manguharjo, Kota Madiun</t>
  </si>
  <si>
    <t>0878  3654 3219</t>
  </si>
  <si>
    <t>0858 9646 6007</t>
  </si>
  <si>
    <t>adesetya191@gmail.com</t>
  </si>
  <si>
    <t>0001885927127</t>
  </si>
  <si>
    <t>PB-53/XII/IMSS/2019</t>
  </si>
  <si>
    <t>PKWT-642109117/D1/2020</t>
  </si>
  <si>
    <t>ONGKY YUSFIANTARA PRADANA</t>
  </si>
  <si>
    <t>351914220896000 1</t>
  </si>
  <si>
    <t>Desa Sawahan RT08/RW04 Kec Sawahan Kab. Madiun</t>
  </si>
  <si>
    <t>0821 7914 8161</t>
  </si>
  <si>
    <t>0858 6676 6294</t>
  </si>
  <si>
    <t>Cimeng.crew@gmail.com</t>
  </si>
  <si>
    <t>0000738588936</t>
  </si>
  <si>
    <t>PB-51/XII/IMSS/2019</t>
  </si>
  <si>
    <t>PKWT-642001026/D1/2020</t>
  </si>
  <si>
    <t>RUDIK HARYANTO</t>
  </si>
  <si>
    <t>357702071087000 2</t>
  </si>
  <si>
    <t>Jlgambir Sawir Utara No13, RT16RW06, Kel. Sogaten, Kec. Manguharjo 6</t>
  </si>
  <si>
    <t>0822 3580 6797</t>
  </si>
  <si>
    <t>Rudikhariyanto311@gmail.com</t>
  </si>
  <si>
    <t>0002069376153</t>
  </si>
  <si>
    <t>EARLYNA FITRA MULIAWATI</t>
  </si>
  <si>
    <t>ALULA AZZAHRA MULIA HATI</t>
  </si>
  <si>
    <t>SMK PGRI 1 Mangunharjo</t>
  </si>
  <si>
    <t>PB-41/XII/IMSS/2019</t>
  </si>
  <si>
    <t>YUDI HANTORO</t>
  </si>
  <si>
    <t>351905180896000 1</t>
  </si>
  <si>
    <t>Desa Randualas RT/RW (06/02) Kec.Kare, Kab. Madiun</t>
  </si>
  <si>
    <t>0821 4011 5970</t>
  </si>
  <si>
    <t>yudihantoroh@gmailcom</t>
  </si>
  <si>
    <t>0000737099752</t>
  </si>
  <si>
    <t>SMK N Kare Madiun</t>
  </si>
  <si>
    <t>PB-43/XII/IMSS/2019</t>
  </si>
  <si>
    <t>PKWT-642102107/D1/2020</t>
  </si>
  <si>
    <t>DIKI ROBINSON</t>
  </si>
  <si>
    <t>350218140895000 4</t>
  </si>
  <si>
    <t>Jl Kertoyudho RT03/RW1 Desa Panjeng Kec. Jenangan Ponorogo</t>
  </si>
  <si>
    <t>0898 1945 553</t>
  </si>
  <si>
    <t>d.robinson1408.dr@gmail.com</t>
  </si>
  <si>
    <t>0001702385886</t>
  </si>
  <si>
    <t>SMK PGRI 2 Ponorogo</t>
  </si>
  <si>
    <t>PB-47/XII/IMSS/2019</t>
  </si>
  <si>
    <t>PKWT-642201163/D1/2020</t>
  </si>
  <si>
    <t>AHMAD ZAJULI</t>
  </si>
  <si>
    <t>Nganjuk</t>
  </si>
  <si>
    <t>351819140798000 2</t>
  </si>
  <si>
    <t>Dsn. Punggur Ds. Jatipungggur Kec. Lengkong Kab. Nganjuk</t>
  </si>
  <si>
    <t>0812 1927 0223</t>
  </si>
  <si>
    <t>Ahmatzajuli@gmail.com</t>
  </si>
  <si>
    <t>0002161632284</t>
  </si>
  <si>
    <t>SMK N 1 Lengkong</t>
  </si>
  <si>
    <t>PB-54/XII/IMSS/2019</t>
  </si>
  <si>
    <t>PKWT-642101102/D1/2020</t>
  </si>
  <si>
    <t>Kuningan</t>
  </si>
  <si>
    <t>320808100297000 2</t>
  </si>
  <si>
    <t>Blok Manis RT001/RW002, Kel. Sukaimut, Kec. Garawangi, Kab. Kuningan</t>
  </si>
  <si>
    <t>0812 1887 7786</t>
  </si>
  <si>
    <t>msukron34@gmail.com</t>
  </si>
  <si>
    <t>0002246935588</t>
  </si>
  <si>
    <t>SMK Pertiwi Kuningan</t>
  </si>
  <si>
    <t>Tangerang</t>
  </si>
  <si>
    <t>367109190993000 4</t>
  </si>
  <si>
    <t>KP Uwung Hilir 003/010, Uwung Jaya, Cibodas</t>
  </si>
  <si>
    <t>0812 8721 8272</t>
  </si>
  <si>
    <t>Muhammadirfan184@gmail.com</t>
  </si>
  <si>
    <t>0001724165548</t>
  </si>
  <si>
    <t>Sekolah Tinggi Teknik PLN</t>
  </si>
  <si>
    <t>OSKAR ANGGARA</t>
  </si>
  <si>
    <t>360312190590000 1</t>
  </si>
  <si>
    <t>Jl Piranha I No 10 Pondok Permai RT/RW 004/004, Kuta Baru Pasar Kemis</t>
  </si>
  <si>
    <t>0812 9942 8188</t>
  </si>
  <si>
    <t>oskaranggara070517@gmail.com</t>
  </si>
  <si>
    <t>0002161634084</t>
  </si>
  <si>
    <t>NIKEN KHOIRINITA</t>
  </si>
  <si>
    <t>Universitas Muhammadiyah Tangerang</t>
  </si>
  <si>
    <t>ABDUL MUJIB</t>
  </si>
  <si>
    <t>Pati</t>
  </si>
  <si>
    <t>367108060593000 1</t>
  </si>
  <si>
    <t xml:space="preserve">Griya Merpati Mas Blok C 36 No 13 RT/RW 007/005 Gembor Priuk </t>
  </si>
  <si>
    <t>0838 1298 2541</t>
  </si>
  <si>
    <t>Abdulmujib3575@gmail.com</t>
  </si>
  <si>
    <t>0001297383873</t>
  </si>
  <si>
    <t>PUPUT PURWANTI</t>
  </si>
  <si>
    <t>SHAPANA ALMAHYRA ABDULLAH</t>
  </si>
  <si>
    <t>SMK Pelita Persada</t>
  </si>
  <si>
    <t>HATMOKO HADI SAPUTRO</t>
  </si>
  <si>
    <t>Wonogiri</t>
  </si>
  <si>
    <t>327511061078000 3</t>
  </si>
  <si>
    <t>Mutiara Gading Timur 2 Blok N 25/30 RT/RW 009/029, Mustika Jaya, Mustika Jaya, Bekasi</t>
  </si>
  <si>
    <t>0812 8896 8689</t>
  </si>
  <si>
    <t>Albrilianrasya11@gmail.com</t>
  </si>
  <si>
    <t>0001736658764</t>
  </si>
  <si>
    <t>ENTIN WARTINI</t>
  </si>
  <si>
    <t>ALBRILIAN RASYA SAPUTRA</t>
  </si>
  <si>
    <t>ADIVA ARSYILA SHANUM</t>
  </si>
  <si>
    <t>SMK Swasta Pancasila 1 Wonogiri</t>
  </si>
  <si>
    <t>YULIANTORO</t>
  </si>
  <si>
    <t>350219240798000 1</t>
  </si>
  <si>
    <t>Ds Ngrogung RT 02 RW 02 Kec Ngebel Kab Ponorogo</t>
  </si>
  <si>
    <t>0821 3918 4771</t>
  </si>
  <si>
    <t>kanciluye24@gmail.com</t>
  </si>
  <si>
    <t>0000664083088</t>
  </si>
  <si>
    <t>SMK N 1 Ngebel</t>
  </si>
  <si>
    <t>ALFI DIMAS SUGIANTO</t>
  </si>
  <si>
    <t>351904240995000 1</t>
  </si>
  <si>
    <t>Ds. Dagangan RT04/RW02 Kec. Dagangan, Kab.Madiun</t>
  </si>
  <si>
    <t>0857 3541 3922</t>
  </si>
  <si>
    <t>alfidimassugianto@gmail.com</t>
  </si>
  <si>
    <t>0002161134393</t>
  </si>
  <si>
    <t>RENI SETIANA</t>
  </si>
  <si>
    <t>SUKARDI</t>
  </si>
  <si>
    <t>MISINEM</t>
  </si>
  <si>
    <t>SMK N 1 Kebonsari</t>
  </si>
  <si>
    <t>DIMAS ENGGAR PAMBUDI</t>
  </si>
  <si>
    <t>357702120998000 1</t>
  </si>
  <si>
    <t>Jl. Campursari Gg Ii No 14 Sogaten Madiun</t>
  </si>
  <si>
    <t>0895 0617 8285</t>
  </si>
  <si>
    <t>dimasenggarp1209@gmail.com</t>
  </si>
  <si>
    <t>0002467082799</t>
  </si>
  <si>
    <t>DIMAS MUCHSIN ARDIANSYAH</t>
  </si>
  <si>
    <t>352011250597000 1</t>
  </si>
  <si>
    <t>Ds Sugihwaras RT 17 RW 04 Kec Maospati Kab Magetan</t>
  </si>
  <si>
    <t>0812 9216 9053</t>
  </si>
  <si>
    <t>dimasdonita@gmail.com</t>
  </si>
  <si>
    <t>0001703631993</t>
  </si>
  <si>
    <t>SMK N 1 Bendo</t>
  </si>
  <si>
    <t>KHOHAR LEO KURNIAWAN</t>
  </si>
  <si>
    <t>351903060895000 2</t>
  </si>
  <si>
    <t>Klanding RT 03/RW 02 Ds. Dungmiri, Karangjati, Ngawi</t>
  </si>
  <si>
    <t>0819 1452 8424</t>
  </si>
  <si>
    <t>Kurniawan.leo03@gmail.com</t>
  </si>
  <si>
    <t>0001839100735</t>
  </si>
  <si>
    <t>ARMIN YUNITA INDRAWATI</t>
  </si>
  <si>
    <t>NADINE TAVISHA KURNIAWAN</t>
  </si>
  <si>
    <t>MEGA KARTIKA PUTRA HADI</t>
  </si>
  <si>
    <t>351909270396000 1</t>
  </si>
  <si>
    <t>JL.Eka Bakti RT.027 RW.007 Jiwan, Madiun, Jawa Timur</t>
  </si>
  <si>
    <t>0895 3990 94660</t>
  </si>
  <si>
    <t>MegaPutra2703@gmail.com</t>
  </si>
  <si>
    <t>0001701604585</t>
  </si>
  <si>
    <t>ELSA DUWI RUSMAYANI</t>
  </si>
  <si>
    <t>MUHAMMAD ZAFRAN SATRIA AJI</t>
  </si>
  <si>
    <t>BEKTI TRI WIBOWO</t>
  </si>
  <si>
    <t>360312250893000 8</t>
  </si>
  <si>
    <t>Jl. Imam Bonjol RT 05/RW 01, Ds. Gebyog, Kec. Karangrejo, Kab. Magetan</t>
  </si>
  <si>
    <t>0856 4656 2995</t>
  </si>
  <si>
    <t>Bektitriwibowo@gmail.com</t>
  </si>
  <si>
    <t>0002161134404</t>
  </si>
  <si>
    <t>ENDANG YULIANTI</t>
  </si>
  <si>
    <t>HANINDYA AIRIN WIBOWO</t>
  </si>
  <si>
    <t>HASYA AMIRA WIBOWO</t>
  </si>
  <si>
    <t>Padang</t>
  </si>
  <si>
    <t>352114060299000 2</t>
  </si>
  <si>
    <t>Ngagel Tirto 4/11 RT/RW 006/003 Ngagelrejo, Wonokromo, Surabaya</t>
  </si>
  <si>
    <t>081 234 772 870</t>
  </si>
  <si>
    <t>hidayat53211@gmail.com</t>
  </si>
  <si>
    <t>0000742607976</t>
  </si>
  <si>
    <t>Teknik Perkapalan</t>
  </si>
  <si>
    <t>SMK Perkapalan Sidoarjo</t>
  </si>
  <si>
    <t>DONI NUR ANGGI PRASETYO</t>
  </si>
  <si>
    <t>Rembang</t>
  </si>
  <si>
    <t>331710200392000 4</t>
  </si>
  <si>
    <t>Bayem Wetan RT 03/RW 01, Kec. Kartoharjo, Kab Magetan</t>
  </si>
  <si>
    <t>0856 4887 2805</t>
  </si>
  <si>
    <t>0858 6985 6185</t>
  </si>
  <si>
    <t xml:space="preserve">Doninuranggip@gmail.com </t>
  </si>
  <si>
    <t>0002035658553</t>
  </si>
  <si>
    <t>PRIMA AYU SUSANTI</t>
  </si>
  <si>
    <t>BIMA AL-GAHAZALI PADMASANA MANIK KIAN PRASETYO</t>
  </si>
  <si>
    <t>XXXL</t>
  </si>
  <si>
    <t>HEPI PUTRA RAHARJA</t>
  </si>
  <si>
    <t>Kulon Progo</t>
  </si>
  <si>
    <t>340102101193000 1</t>
  </si>
  <si>
    <t>Durungan 048/022 Kel Wates, Kec Wates, Kab. Kulon Progo, D.I. Yogyakarta</t>
  </si>
  <si>
    <t>0857 2901 3687</t>
  </si>
  <si>
    <t>hepi.putraraharja@gmail.com</t>
  </si>
  <si>
    <t>0001623901713</t>
  </si>
  <si>
    <t>RIZKY CANDRADEWI</t>
  </si>
  <si>
    <t>SAMIDI PRANOTO UTOMO</t>
  </si>
  <si>
    <t>TUKIJEM</t>
  </si>
  <si>
    <t>SMK N 1 Wates</t>
  </si>
  <si>
    <t>BAYU DIMAS NURARIFIN</t>
  </si>
  <si>
    <t>351909211196000 2</t>
  </si>
  <si>
    <t>Jl. Karyawan, 004/002 Desa Jiwan, Kec. Jiwan. Kab Madiun</t>
  </si>
  <si>
    <t>0895 3967 7740</t>
  </si>
  <si>
    <t>0899 1465 750</t>
  </si>
  <si>
    <t>bayudimasnurarifin17@gmail.com</t>
  </si>
  <si>
    <t>0001665574672</t>
  </si>
  <si>
    <t>FIRDAUS KURNIA FIRMANSYAH</t>
  </si>
  <si>
    <t>351909090398000 1</t>
  </si>
  <si>
    <t>Wayut, 002/001, Des Wayut, Kec Jiwan. Kab. Madiun</t>
  </si>
  <si>
    <t>0812 3355 7331</t>
  </si>
  <si>
    <t>Kurniafirdaus652@gmail.com</t>
  </si>
  <si>
    <t>0002159693807</t>
  </si>
  <si>
    <t>GILANG AKBAR WICAKSONO</t>
  </si>
  <si>
    <t>351907010598000 2</t>
  </si>
  <si>
    <t>Jl. Mawar, 003/001, Munggut Kec. Wingu</t>
  </si>
  <si>
    <t>0831 4566 6651</t>
  </si>
  <si>
    <t>0878 7343 3616</t>
  </si>
  <si>
    <t>gilanggundul1999@gmail.com</t>
  </si>
  <si>
    <t>0002160342314</t>
  </si>
  <si>
    <t>SUDARMAWAN</t>
  </si>
  <si>
    <t>352004080893000 2</t>
  </si>
  <si>
    <t>Sawo, RT/RW 005/001 Kel. Sawojajar, Kec Takeran, Kab. Magetan</t>
  </si>
  <si>
    <t>0822 3350 0479</t>
  </si>
  <si>
    <t>Dhearmawan@gmail.com</t>
  </si>
  <si>
    <t>0001151996872</t>
  </si>
  <si>
    <t>RAMELAN</t>
  </si>
  <si>
    <t>SUTI</t>
  </si>
  <si>
    <t>SMK PSM 2 Takeran Magetan</t>
  </si>
  <si>
    <t>ADHIP WIDODO</t>
  </si>
  <si>
    <t>350218290493000 1</t>
  </si>
  <si>
    <t>Dukuh Krajan RT/RW 004/002, Semanding, Kab. Ponorogo</t>
  </si>
  <si>
    <t>0838 5074 7996</t>
  </si>
  <si>
    <t>0895 6000 80701</t>
  </si>
  <si>
    <t>Adhipwidodo05@gmail.com</t>
  </si>
  <si>
    <t>0001475194015</t>
  </si>
  <si>
    <t>PALUPI KHARIMAH</t>
  </si>
  <si>
    <t>FADIL ALKHALIFI</t>
  </si>
  <si>
    <t>DONY PRAMONO</t>
  </si>
  <si>
    <t>357703160595000 1</t>
  </si>
  <si>
    <t>Jl Margabawera VII A/1A RT/RW 014/003 Kel. Mojorejo, Kec. Taman, Kota Madiun</t>
  </si>
  <si>
    <t>0857 9042 7881</t>
  </si>
  <si>
    <t>donypramono016@gmail.com</t>
  </si>
  <si>
    <t>0001386661342</t>
  </si>
  <si>
    <t>RENDHY EKO NUR CAHYO</t>
  </si>
  <si>
    <t>Kuang anyar</t>
  </si>
  <si>
    <t>357701050799000 1</t>
  </si>
  <si>
    <t>Jl. Tawangsari RT 14/RW 04, Kel Tawangrejo, Kec. Kartoharjo, Kota Madiun</t>
  </si>
  <si>
    <t>0858 7578 9687</t>
  </si>
  <si>
    <t>rendhyenc5799@gmail.com</t>
  </si>
  <si>
    <t>0000787285135</t>
  </si>
  <si>
    <t>Teknik Elektronika</t>
  </si>
  <si>
    <t>CATUR BUMI LAKSANA</t>
  </si>
  <si>
    <t>Ujung Pandang</t>
  </si>
  <si>
    <t>351513050498000 3</t>
  </si>
  <si>
    <t>Taman Pondok Jati Blok W-15, RT/RW 022\004, Geluran Taman</t>
  </si>
  <si>
    <t>0823 4166 8890</t>
  </si>
  <si>
    <t>caturbumi98@gmail.com</t>
  </si>
  <si>
    <t>0002161134347</t>
  </si>
  <si>
    <t>SMK N 3 Surabaya</t>
  </si>
  <si>
    <t>ANDY DWY BASTIAN</t>
  </si>
  <si>
    <t>352005010999000 1</t>
  </si>
  <si>
    <t>Giripurno, RT/RW 011\004, Kel, Giripurno, Kec Kawedanan, Kab. Magetan</t>
  </si>
  <si>
    <t>0812 3927 7846</t>
  </si>
  <si>
    <t>andydwi0599@gmail.com</t>
  </si>
  <si>
    <t>0002161134336</t>
  </si>
  <si>
    <t>WAGINEM</t>
  </si>
  <si>
    <t>AVIN ROMADHONA</t>
  </si>
  <si>
    <t>Kediri</t>
  </si>
  <si>
    <t>350619010198000 1</t>
  </si>
  <si>
    <t>Jl H.Syamsudin Uban, RT/002, Kel Tambak Sari, Kec. Jambi Selatan. Jambi</t>
  </si>
  <si>
    <t>0858 5141 7535</t>
  </si>
  <si>
    <t>Avinrmd27@gmail.com</t>
  </si>
  <si>
    <t>0002161134358</t>
  </si>
  <si>
    <t>RENO ADITYA AGUSTIN</t>
  </si>
  <si>
    <t>SUYADI</t>
  </si>
  <si>
    <t>JUMIATIN</t>
  </si>
  <si>
    <t>SMK N 1 Kediri</t>
  </si>
  <si>
    <t>DEDE SUHENDRA</t>
  </si>
  <si>
    <t>161001121290000 2</t>
  </si>
  <si>
    <t>Kuang Anyar, RT 001, Kel Kuang Anyar, Muara Kuang, Kab. Ogan  Ilir</t>
  </si>
  <si>
    <t>0853 7902 3538</t>
  </si>
  <si>
    <t>Suhendrad470@gmail.com</t>
  </si>
  <si>
    <t>0002161659284</t>
  </si>
  <si>
    <t>SMK PGRI Tanjung Raja</t>
  </si>
  <si>
    <t>DWI ARIANTO</t>
  </si>
  <si>
    <t>351915110594000 2</t>
  </si>
  <si>
    <t>Sidomulyo 007/002 Kec. Wonoasri Kab. Madiun</t>
  </si>
  <si>
    <t>0857 0427 8921</t>
  </si>
  <si>
    <t>ariantodwi60@gmail.com</t>
  </si>
  <si>
    <t>0001666817346</t>
  </si>
  <si>
    <t>LANI DWI LESTIANA</t>
  </si>
  <si>
    <t>NAFEEZA ARIE AYUNINDYA</t>
  </si>
  <si>
    <t>MURYONO</t>
  </si>
  <si>
    <t>RUDI HARIYANTO</t>
  </si>
  <si>
    <t>SK-44.3/INKA/2020</t>
  </si>
  <si>
    <t>357702291071000 1</t>
  </si>
  <si>
    <t>Jl Campursari Blok D3/3 Madiun RT 025 RW 009 Kel. Sogaten Kec. Manguharjo Kota Madiun</t>
  </si>
  <si>
    <t>0857 3670 0387</t>
  </si>
  <si>
    <t>rudi.hariyanto@inka.co.id</t>
  </si>
  <si>
    <t>0001127753741</t>
  </si>
  <si>
    <t>92N70022365</t>
  </si>
  <si>
    <t>NURUL OKTAVIANITA</t>
  </si>
  <si>
    <t>ARDITYA KURNIA RAMADHANI PUTRA</t>
  </si>
  <si>
    <t>AARDIELLA AYU CINTHYA PUTRI</t>
  </si>
  <si>
    <t>ADHITAMA WIKAN HARIYANTO</t>
  </si>
  <si>
    <t>STM Gamaliel Madiun</t>
  </si>
  <si>
    <t>IMAM JUANSYAH</t>
  </si>
  <si>
    <t>167108070797000 9</t>
  </si>
  <si>
    <t>Jl.Gotong Royong 1 No.37.Sako Baru.Kecamatan Sako</t>
  </si>
  <si>
    <t>0822 8264 0292</t>
  </si>
  <si>
    <t>imamjuansyah07@gmail.com</t>
  </si>
  <si>
    <t>0002442675159</t>
  </si>
  <si>
    <t>SMK N 2 Palembang</t>
  </si>
  <si>
    <t>M RIZKI FIRDAUS</t>
  </si>
  <si>
    <t>palembang</t>
  </si>
  <si>
    <t>167102131197000 4</t>
  </si>
  <si>
    <t xml:space="preserve"> Jln Dekranasda Blok M No 15 RT 59 RW 19 Kelurahan 15 Ulu Kecamatan Seberang Ulu 1 Palembang</t>
  </si>
  <si>
    <t>0821 8152 8071</t>
  </si>
  <si>
    <t>rizkifirdaus1397@gmail.com</t>
  </si>
  <si>
    <t>0002236534558</t>
  </si>
  <si>
    <t>SHOFWAN MAHSYURDIN</t>
  </si>
  <si>
    <t>167112100194000 4</t>
  </si>
  <si>
    <t xml:space="preserve"> Jl.Syakyakirti No. 1686 RT 40 RW 10 Kel.Karang Anyar Kec.Gandus Palembang</t>
  </si>
  <si>
    <t>0853 8073 9763</t>
  </si>
  <si>
    <t>shofwanmahsyurdin@gmail.com</t>
  </si>
  <si>
    <t>0000025842429</t>
  </si>
  <si>
    <t>SUCI INDAH PRATIWI</t>
  </si>
  <si>
    <t>Universitas Sriwijaya</t>
  </si>
  <si>
    <t>FEBRI HERDIAN</t>
  </si>
  <si>
    <t>Lampung</t>
  </si>
  <si>
    <t>167108020281000 6</t>
  </si>
  <si>
    <t>Jl. Sako Raya Lr. Aman RT 001/RW 005, Kel. Sako Baru, Kec. Sako, Palembang</t>
  </si>
  <si>
    <t>0882 6955 9127</t>
  </si>
  <si>
    <t>Febriherdian68@gmail.com</t>
  </si>
  <si>
    <t>0001889354439</t>
  </si>
  <si>
    <t>RAKHMA MULYANTI</t>
  </si>
  <si>
    <t>RAFI ANUGRAH</t>
  </si>
  <si>
    <t>TALITHA SALSABILAH</t>
  </si>
  <si>
    <t>KHALIQA NABIILAH ZHAAFIRA</t>
  </si>
  <si>
    <t>DIAN FIRMANSYAH PUTRA</t>
  </si>
  <si>
    <t>K/4</t>
  </si>
  <si>
    <t>Teknik Elektronika Komunikasi</t>
  </si>
  <si>
    <t>SMK N 4 Palembang</t>
  </si>
  <si>
    <t>OKTA SETYANIDA</t>
  </si>
  <si>
    <t>SK-09/D1/IMSS/2019</t>
  </si>
  <si>
    <t>Brevet Perpajakan A dan B</t>
  </si>
  <si>
    <t>351902611095000 1</t>
  </si>
  <si>
    <t>Dusun Sidorejo, RT 033/RW 011, Desa Dolopo, Kec. Dolopo, Kab. Madiun</t>
  </si>
  <si>
    <t>+62 857-9020-0404</t>
  </si>
  <si>
    <t>oktasetyanida@gmail.com</t>
  </si>
  <si>
    <t>0002162292028</t>
  </si>
  <si>
    <t>18070554508</t>
  </si>
  <si>
    <t>SUWITO</t>
  </si>
  <si>
    <t>SULASTRI</t>
  </si>
  <si>
    <t>Perpajakan</t>
  </si>
  <si>
    <t>AHMAD YUDHA FITRIANTO</t>
  </si>
  <si>
    <t>337411250393000 5</t>
  </si>
  <si>
    <t xml:space="preserve">Jl. Satria Raya 89 Payung Pesona Asri RT 007/RW 010, Kel. Pudakpayung, Kec. Banyumanik, Kota Semarang. </t>
  </si>
  <si>
    <t>+62 822-2500-5136</t>
  </si>
  <si>
    <t>ahmadyudhafitrianto@gmail.com</t>
  </si>
  <si>
    <t>0001694443689</t>
  </si>
  <si>
    <t>16033502937</t>
  </si>
  <si>
    <t>FITRI KUSVILIA AZIS</t>
  </si>
  <si>
    <t>ARBI MUHAMMAD ALVARENDRA</t>
  </si>
  <si>
    <t>Universitas Diponegoro</t>
  </si>
  <si>
    <t>RAHARDIAN INDRA MAYURIIDZ</t>
  </si>
  <si>
    <t>Sidoarjo</t>
  </si>
  <si>
    <t>357703120493000 2</t>
  </si>
  <si>
    <t>Jl. Salak Barat V/A-6, RT 039/RW 012, Kel. Taman, Kec. Taman, Kota Madiun</t>
  </si>
  <si>
    <t>+62 813-3519-0933</t>
  </si>
  <si>
    <t>indrarahardian93@gmail.com</t>
  </si>
  <si>
    <t>0001633556867</t>
  </si>
  <si>
    <t>18070554540</t>
  </si>
  <si>
    <t>CINDY ZAFIRA H</t>
  </si>
  <si>
    <t>WINARNO HENRY W</t>
  </si>
  <si>
    <t>INNA RIYANIE</t>
  </si>
  <si>
    <t>906179981621000</t>
  </si>
  <si>
    <t>Ekonomi</t>
  </si>
  <si>
    <t>CHRISTOPER BAGAS WIRAWAN</t>
  </si>
  <si>
    <t>Cilacap</t>
  </si>
  <si>
    <t>330106200795000 2</t>
  </si>
  <si>
    <t xml:space="preserve">Jl. Galunggung RT 026/RW 002, Desa Kroya, Kec. Kroya, Kab. Cilacap </t>
  </si>
  <si>
    <t>+62 813-4035-9950</t>
  </si>
  <si>
    <t>bagaswirawan5@gmail.com</t>
  </si>
  <si>
    <t>0000080731541</t>
  </si>
  <si>
    <t>18070554474</t>
  </si>
  <si>
    <t>SAWITEM</t>
  </si>
  <si>
    <t>ANTONIUS CATUR WAHYONO</t>
  </si>
  <si>
    <t>MARYANI</t>
  </si>
  <si>
    <t>96.914.135.7-621.00</t>
  </si>
  <si>
    <t>HARLISTA DWI OKTYASWORO</t>
  </si>
  <si>
    <t>Pengelolaan Proyek Wilayah II</t>
  </si>
  <si>
    <t>Semarang</t>
  </si>
  <si>
    <t>332615591095000 1</t>
  </si>
  <si>
    <t>Gta Jl. Mawar IV/30, RT Oo7/RW 004, Desa Tanjung, Ke. Tirto, Kab. Pekalongan</t>
  </si>
  <si>
    <t>+62 856-4294-4620</t>
  </si>
  <si>
    <t>harlistadwi@gmail.com</t>
  </si>
  <si>
    <t>0002916146687</t>
  </si>
  <si>
    <t>18070554524</t>
  </si>
  <si>
    <t>Insitut Sepuluh November</t>
  </si>
  <si>
    <t>SATRIA GUSTIANA RAHARDI</t>
  </si>
  <si>
    <t>357703150891000 2</t>
  </si>
  <si>
    <t>Jl Mancung Sari No. 10 RT 02/RW 01, Kel. Manisrejo, Kec. Taman, Kota Madiun</t>
  </si>
  <si>
    <t>+62 822-3446-0697</t>
  </si>
  <si>
    <t>satriagustiana@gmail.com</t>
  </si>
  <si>
    <t>0000205616373</t>
  </si>
  <si>
    <t>18070554490</t>
  </si>
  <si>
    <t>933744708621000</t>
  </si>
  <si>
    <t>RIFQI TEGAR LAKSONO</t>
  </si>
  <si>
    <t>Yogyakarta</t>
  </si>
  <si>
    <t>347103301194000 1</t>
  </si>
  <si>
    <t>Griya Ketawang Permai, Mejing Lor RT 003 / RW 038, Kel. Ambarketawang, Kec. Gamping Kabupaten Sleman.</t>
  </si>
  <si>
    <t>087838525882</t>
  </si>
  <si>
    <t>rifqitegarlaksono@gmail.com</t>
  </si>
  <si>
    <t>0001372465462</t>
  </si>
  <si>
    <t>18115421805</t>
  </si>
  <si>
    <t>GHINA PUTRI RAMADHANTY</t>
  </si>
  <si>
    <t>SUHARTO</t>
  </si>
  <si>
    <t>MARWATI WISUDIYANTI</t>
  </si>
  <si>
    <t>843956350542000</t>
  </si>
  <si>
    <t>QC</t>
  </si>
  <si>
    <t xml:space="preserve">351908190685000 3 </t>
  </si>
  <si>
    <t>Maesodanu 20 RT 001 RW 001 Kel Tiron Kec Madiun</t>
  </si>
  <si>
    <t>+62 857-0711-3321</t>
  </si>
  <si>
    <t>sugabb19@yahoo.co.id</t>
  </si>
  <si>
    <t>0001315554197</t>
  </si>
  <si>
    <t>17043917404</t>
  </si>
  <si>
    <t>DIAN NURKHAYATI</t>
  </si>
  <si>
    <t>RAFFASYA RIVAN ALFARISQI</t>
  </si>
  <si>
    <t>347113110687000 1</t>
  </si>
  <si>
    <t>Jl Kusumasari No 7 RT/RW 013/004, Rejomulyo, Kartoharjo, Madiun</t>
  </si>
  <si>
    <t>+62 822-4284-6740</t>
  </si>
  <si>
    <t>myfijriantoro@gmail.com</t>
  </si>
  <si>
    <t>0001796850404</t>
  </si>
  <si>
    <t>11009937647</t>
  </si>
  <si>
    <t>ATIEKA FEBRININGTYAS</t>
  </si>
  <si>
    <t>ZHAFRAN MUHAMMAD KHAIR</t>
  </si>
  <si>
    <t>KAFIYA AFIANTIKA</t>
  </si>
  <si>
    <t>Universutas Negeri Yogyakarta</t>
  </si>
  <si>
    <t>321602150700001 3</t>
  </si>
  <si>
    <t>Pondok Ungu Permai, Sektor V, Blok H4 No. 32, Kel. Bahagia, Kec. Babelan, Bekasi Utara</t>
  </si>
  <si>
    <t>0812 1292 3913</t>
  </si>
  <si>
    <t>mhmmdprbwo@gmail.com</t>
  </si>
  <si>
    <t>0001667117147</t>
  </si>
  <si>
    <t>HANINDA DYAH HAMIDAH</t>
  </si>
  <si>
    <t>LINGGAR PRADARA MURAKAPI</t>
  </si>
  <si>
    <t>SMK Vinama 2 Bekasi</t>
  </si>
  <si>
    <t>167108010397000 9</t>
  </si>
  <si>
    <t>Jl Lebak Murni Lrg Karya Murni 021/009 Kel. Sako, Kec. Sako, Kota Palembang</t>
  </si>
  <si>
    <t>0852 7460 3794</t>
  </si>
  <si>
    <t>Kmsjimmi0103@gmail.com</t>
  </si>
  <si>
    <t>0000325347366</t>
  </si>
  <si>
    <t>SMK Telenika Palembang</t>
  </si>
  <si>
    <t>AHMAD SYAIFUL ANWAR</t>
  </si>
  <si>
    <t>317508040892000 5</t>
  </si>
  <si>
    <t>Kampung Baru I RT/RW 10/05 Halim Perdana Kusuma Makasar</t>
  </si>
  <si>
    <t>0813 1138 9631</t>
  </si>
  <si>
    <t>Ahmad1syaiful2anwar3@gmail.com</t>
  </si>
  <si>
    <t>0001140473024</t>
  </si>
  <si>
    <t>SRI REZEKY</t>
  </si>
  <si>
    <t>KHALISHAH NUR SHOBAH</t>
  </si>
  <si>
    <t>SMK Angkasa I</t>
  </si>
  <si>
    <t>DIAN WIRAWAN</t>
  </si>
  <si>
    <t>367108060293000 1</t>
  </si>
  <si>
    <t>Griya Merpati Mas Blok C36 No.11 007/005 Gembor, Periuk. Tangerang</t>
  </si>
  <si>
    <t>0896 7727 1336</t>
  </si>
  <si>
    <t>Cebewira@gmail.com</t>
  </si>
  <si>
    <t>0001373161612</t>
  </si>
  <si>
    <t>NUR HASANAH</t>
  </si>
  <si>
    <t>ALFA RASHDAN WIRAWAN</t>
  </si>
  <si>
    <t>WARSONO</t>
  </si>
  <si>
    <t>FEBRIANSYAH</t>
  </si>
  <si>
    <t>317501040292000 4</t>
  </si>
  <si>
    <t>Jl. Rahong Desa Taban Kel. Taban, Kec. Jambe, Tangerang</t>
  </si>
  <si>
    <t>0858 9392 9719</t>
  </si>
  <si>
    <t>Febri01ansyah01@gmail.com</t>
  </si>
  <si>
    <t>0001217212143</t>
  </si>
  <si>
    <t>SUHERNIH</t>
  </si>
  <si>
    <t>ERVINA PUTRIA FABRIANSYAH</t>
  </si>
  <si>
    <t>SMK Karya Pembangunan Jambe</t>
  </si>
  <si>
    <t>KURNIAWAN BUDIMULYA</t>
  </si>
  <si>
    <t>317401100800000 8</t>
  </si>
  <si>
    <t>Lio 004/007 Bojong Pondok Terong, Cipayung, Depok</t>
  </si>
  <si>
    <t>0858 8631 5146</t>
  </si>
  <si>
    <t>0896 5239 8911</t>
  </si>
  <si>
    <t>Kurniawanbudim@gmail.com</t>
  </si>
  <si>
    <t>0001524083984</t>
  </si>
  <si>
    <t>DINI YARTI SAFIRA</t>
  </si>
  <si>
    <t>SAVRINADEYA GARVITA MULYA</t>
  </si>
  <si>
    <t>SMK Mandiri Depok</t>
  </si>
  <si>
    <t>MUHAMMAD IQBAL</t>
  </si>
  <si>
    <t>317205051095000 4</t>
  </si>
  <si>
    <t>Jl. Kp Bandan Gang Soho RT. 007 RW. 002. No. 2 Kel. Ancol Jakarta Utara</t>
  </si>
  <si>
    <t>0857 8295 1634</t>
  </si>
  <si>
    <t>Ytchanel200@gmail.com</t>
  </si>
  <si>
    <t>0000376566603</t>
  </si>
  <si>
    <t>NUR AENI</t>
  </si>
  <si>
    <t>MUHAMMAD JAELANI</t>
  </si>
  <si>
    <t>SMK Wiyatamandala Jakarta</t>
  </si>
  <si>
    <t>JIMI ANGEL</t>
  </si>
  <si>
    <t>Payakumbuh</t>
  </si>
  <si>
    <t>360312240390000 5</t>
  </si>
  <si>
    <t>Perum Bumi Indah Blok Ft/3.A 005/010 Sukamantri, Pasar Kemis, Tangerang</t>
  </si>
  <si>
    <t>0813 8196 5153</t>
  </si>
  <si>
    <t>Jimiangel46@gmail.com</t>
  </si>
  <si>
    <t>0000205152298</t>
  </si>
  <si>
    <t>SIGIT USMANTO</t>
  </si>
  <si>
    <t>Wonosobo</t>
  </si>
  <si>
    <t>330706111095000 2</t>
  </si>
  <si>
    <t>Madulia 001/003 Ngadimulyo, Selomerto, Wonosobo</t>
  </si>
  <si>
    <t>0812 9644 7464</t>
  </si>
  <si>
    <t>sigit.usmanto@gmail.com</t>
  </si>
  <si>
    <t>0002219816891</t>
  </si>
  <si>
    <t>SMK N 2 Wonosobo</t>
  </si>
  <si>
    <t>RIZKI NOVRIANSYAH</t>
  </si>
  <si>
    <t>327511111190000 3</t>
  </si>
  <si>
    <t>Graha Harapan Blok A.3/11 002/014 Mustika Jaya, Bekasi</t>
  </si>
  <si>
    <t>0896 2381 4146</t>
  </si>
  <si>
    <t>iky.novemver90@gmail.com</t>
  </si>
  <si>
    <t>0002093474136</t>
  </si>
  <si>
    <t>RIZKA MAULIDA FAZRIYANI</t>
  </si>
  <si>
    <t>AIESHAMIRA PUTRI FAZRIANSYAH</t>
  </si>
  <si>
    <t>ADE FEBRI ANDIKA PUTRA</t>
  </si>
  <si>
    <t>Bandar lampung</t>
  </si>
  <si>
    <t>167110130298000 7</t>
  </si>
  <si>
    <t>Jl Purwosari 052/010 Bukit Sangkal, Kec. Kalidoni, Palembang</t>
  </si>
  <si>
    <t>0897 2278 081</t>
  </si>
  <si>
    <t>Adefebriandikaputra13@gmail.com</t>
  </si>
  <si>
    <t>0001325197405</t>
  </si>
  <si>
    <t>ANDI APRIADI</t>
  </si>
  <si>
    <t>167114090486000 2</t>
  </si>
  <si>
    <t>Jl Kapten Robani Kadir Lr Buntu No 79 026/007 Kel Talang Putri Kec. Plaju</t>
  </si>
  <si>
    <t>0856 0929 4529</t>
  </si>
  <si>
    <t>0852 7342 2763</t>
  </si>
  <si>
    <t>Andiapriadi294@gmail.com</t>
  </si>
  <si>
    <t>0001870156776</t>
  </si>
  <si>
    <t>PARAMITA PUSPASARI</t>
  </si>
  <si>
    <t>MUHAMMAD REZKY ANANDITA</t>
  </si>
  <si>
    <t>ZAHIRA ALEESHA ANANDITA</t>
  </si>
  <si>
    <t>SMK Gajah Mada Palembang</t>
  </si>
  <si>
    <t>ARDANIL</t>
  </si>
  <si>
    <t>167107160390000 7</t>
  </si>
  <si>
    <t>Jl Tanjung Siapi-Api No 64 016/004 , Kel. Talang Jambe, Kec.Sukarami. Palembang</t>
  </si>
  <si>
    <t>0853 77543377</t>
  </si>
  <si>
    <t>ardannil9@gmail.com</t>
  </si>
  <si>
    <t>0001505215675</t>
  </si>
  <si>
    <t>HENI SUSTRIANA</t>
  </si>
  <si>
    <t>AHMAD BARY PRATAMA</t>
  </si>
  <si>
    <t>NAIFA PUTRI ARDANI</t>
  </si>
  <si>
    <t>SMK N 7 Palembang</t>
  </si>
  <si>
    <t>ARI WICAKSONO</t>
  </si>
  <si>
    <t>167106060798000 6</t>
  </si>
  <si>
    <t>Jl Peltu Tulus Yahya LR Kenanga, 016/006, Kel. 2 Ilir, Kec.Ilir Timur II, Palembang</t>
  </si>
  <si>
    <t>0895 0291 6651</t>
  </si>
  <si>
    <t>wicaksonoari68@gmail.com</t>
  </si>
  <si>
    <t>0000325488069</t>
  </si>
  <si>
    <t>SMK Negeri Sumatera Selatan</t>
  </si>
  <si>
    <t>BIMASAKTI WAHYU WIBAWA</t>
  </si>
  <si>
    <t>167110010300000 2</t>
  </si>
  <si>
    <t>Jl Residen Abd Razak Lr Madiun No 005, 012/003 Kel.Kalidoni. Palembang</t>
  </si>
  <si>
    <t>0895 3272 80618</t>
  </si>
  <si>
    <t xml:space="preserve">bimadanrika4@gmail.com </t>
  </si>
  <si>
    <t>0002416609192</t>
  </si>
  <si>
    <t>M IRSAN PRATAMA</t>
  </si>
  <si>
    <t>167103050596000 8</t>
  </si>
  <si>
    <t>Lorong Sikam No 30-2324, Kel.16  ULU, Kec.Seberang Ulu II, Palembang</t>
  </si>
  <si>
    <t>0895 3557 41374</t>
  </si>
  <si>
    <t>irsanpratama@gmail.com</t>
  </si>
  <si>
    <t>0000324510118</t>
  </si>
  <si>
    <t>SMK Pembangunan YPT Palembang</t>
  </si>
  <si>
    <t>MGS DIMAS SAHREZA</t>
  </si>
  <si>
    <t>167112250995000 2</t>
  </si>
  <si>
    <t>Jl Ps Ing Kenayan 009/003, Kel.Karang Anyar, Kec.Gandus, Palembang</t>
  </si>
  <si>
    <t>0821 8670 3004</t>
  </si>
  <si>
    <t>Dimassareza@gmail.com</t>
  </si>
  <si>
    <t>0000322850237</t>
  </si>
  <si>
    <t>RICA DESTIANI</t>
  </si>
  <si>
    <t>Universitas Muhammadiyah Palembang</t>
  </si>
  <si>
    <t>167110230900000 1</t>
  </si>
  <si>
    <t xml:space="preserve">Jl Sapta Marga Citra Damai II Blok H No 6 042/009, Bukit Sangkal, Kec Kalidoni ,Palembang </t>
  </si>
  <si>
    <t>0821 8314 3161</t>
  </si>
  <si>
    <t xml:space="preserve">kamalsayuti123@gmail.com </t>
  </si>
  <si>
    <t>0002416609203</t>
  </si>
  <si>
    <t>DICKY ALDI PRATAMA</t>
  </si>
  <si>
    <t>Kayutanam</t>
  </si>
  <si>
    <t>130504060498000 1</t>
  </si>
  <si>
    <t>Pasar Tembok Korong Kandang Ampek, Kec.Kayu Tanam, Padang Paryaman</t>
  </si>
  <si>
    <t>0838 0115 1366</t>
  </si>
  <si>
    <t>aldipratamadiki@gmail.com</t>
  </si>
  <si>
    <t>0000275390155</t>
  </si>
  <si>
    <t>SMK Karya Padang Panjang</t>
  </si>
  <si>
    <t>RANDI ARDIMAN</t>
  </si>
  <si>
    <t>137106090591000 7</t>
  </si>
  <si>
    <t>Batung Taba, Kel. Batuang Taba Nan XX, Kec. Lubuk Begalung, Kota Paadang</t>
  </si>
  <si>
    <t>0823 8177 9323</t>
  </si>
  <si>
    <t xml:space="preserve">Padangardiman@gmail.com </t>
  </si>
  <si>
    <t>0001789296963</t>
  </si>
  <si>
    <t>VENI YULIASRI</t>
  </si>
  <si>
    <t>ARSYILA FARZANA</t>
  </si>
  <si>
    <t>ARSYAD KHAIR RANDANI</t>
  </si>
  <si>
    <t>Universitas Andalas</t>
  </si>
  <si>
    <t>AZWAR</t>
  </si>
  <si>
    <t>Kuanganyar</t>
  </si>
  <si>
    <t>161001260688000 1</t>
  </si>
  <si>
    <t>Dusun IX, RT/RW 000/000, Kel Kedaton, Keckec. Kedaton Peninjauan Raya,  Kab Ogan Komering Ulu</t>
  </si>
  <si>
    <t>0821 7641 0512</t>
  </si>
  <si>
    <t xml:space="preserve">Iwankazwar@gmail.com </t>
  </si>
  <si>
    <t>0002640953531</t>
  </si>
  <si>
    <t>SARI ASMILI</t>
  </si>
  <si>
    <t>MAULANA ADAM FAHRI</t>
  </si>
  <si>
    <t>RAHMA DZAKIYAH</t>
  </si>
  <si>
    <t>SMK N 1 Gelumbang</t>
  </si>
  <si>
    <t>PRATAMA BAGUS AJI SYAHPUTRA</t>
  </si>
  <si>
    <t>357703210400000 2</t>
  </si>
  <si>
    <t>Jl Kendali Sodo, RT/RW 026/001,  Kel Demangan, Kec. Taman, Kota Madiun</t>
  </si>
  <si>
    <t>0812 1753 2378</t>
  </si>
  <si>
    <t>ramacilik2104@gmail.com</t>
  </si>
  <si>
    <t>0001524217239</t>
  </si>
  <si>
    <t>YANTI SAFITRI</t>
  </si>
  <si>
    <t>351907460996000 1</t>
  </si>
  <si>
    <t>Ds. Kresek RT37/RW04 Kec Wungu, Kab. Madiun</t>
  </si>
  <si>
    <t>0813 5744 1966</t>
  </si>
  <si>
    <t>safitri.yanti44@gmail.com</t>
  </si>
  <si>
    <t>0001806408459</t>
  </si>
  <si>
    <t>19013560693</t>
  </si>
  <si>
    <t>Pendidikan Fisika</t>
  </si>
  <si>
    <t>YOVI MAHA PUTRA</t>
  </si>
  <si>
    <t>SK-13/D1/IMSS/2020</t>
  </si>
  <si>
    <t>352215130897000 1</t>
  </si>
  <si>
    <t>Jl WR Supratman GG Useng 34 RT 003 RW 001 Desa Kadipaten Kec. Bojonegoro Kab. Bojonegoro</t>
  </si>
  <si>
    <t>082141736687</t>
  </si>
  <si>
    <t>yovi.mahaputra10@gmail.com</t>
  </si>
  <si>
    <t>0002162287822</t>
  </si>
  <si>
    <t>Politeknik Negeri Malang</t>
  </si>
  <si>
    <t>FUAD AZIZ</t>
  </si>
  <si>
    <t>SMK3</t>
  </si>
  <si>
    <t>350724120677000 7</t>
  </si>
  <si>
    <t>Perum Tirtasani Estate G-24 RT 003 RW 011 Desa Tunjungtirto Kec. Singosari Kab. Malang</t>
  </si>
  <si>
    <t>0813 3419 0877</t>
  </si>
  <si>
    <t>fuadistofa@gmail.com</t>
  </si>
  <si>
    <t>0001450357053</t>
  </si>
  <si>
    <t>19047643523</t>
  </si>
  <si>
    <t>YENI MULYANI</t>
  </si>
  <si>
    <t>SUTRISNO SITORUS</t>
  </si>
  <si>
    <t>Sidikalang</t>
  </si>
  <si>
    <t>127405030893000 2</t>
  </si>
  <si>
    <t>Jln. Singosari Pancakarsa LK I RT 000 RW 000 Kel. Pahang Kec. Datuk Bandar Kota Tanjungbalai</t>
  </si>
  <si>
    <t>0853 4973 5797</t>
  </si>
  <si>
    <t>risnostr01@gmail.com</t>
  </si>
  <si>
    <t>0002444147818</t>
  </si>
  <si>
    <t>JONTI SITORUS</t>
  </si>
  <si>
    <t>GABRIEL SITORUS</t>
  </si>
  <si>
    <t>SALMA BR LUBIS</t>
  </si>
  <si>
    <t>SMK Negeri 2 Tanjung Balai</t>
  </si>
  <si>
    <t>Universitas Darma Agung</t>
  </si>
  <si>
    <t>ZULKARNAINI</t>
  </si>
  <si>
    <t>Alue Kuta</t>
  </si>
  <si>
    <t>110806110298000 1</t>
  </si>
  <si>
    <t>Dusun Teungoh RT 000 RW 000 Desa Keude Bungkaih Kec. Muara Batu Kab. Aceh Utara</t>
  </si>
  <si>
    <t>0853 5862 4293</t>
  </si>
  <si>
    <t>Karnenzul961@gmail.com</t>
  </si>
  <si>
    <t>0000224762128</t>
  </si>
  <si>
    <t>FARIDAH</t>
  </si>
  <si>
    <t>MUHAMMAD KENZIE HAMIZAN</t>
  </si>
  <si>
    <t>SMK N 1 Muara Batu</t>
  </si>
  <si>
    <t>ADHE NUGRAHA</t>
  </si>
  <si>
    <t>Barru</t>
  </si>
  <si>
    <t>731102190600000 1</t>
  </si>
  <si>
    <t>Jln ABD Kadir Jaelani RT 003 RW 003 Desa Lalolang Kec. Tanete Rilau Kab. Barru</t>
  </si>
  <si>
    <t>0852 4221 6492</t>
  </si>
  <si>
    <t>nugrahaadhe1@gmail.com</t>
  </si>
  <si>
    <t>0002773969007</t>
  </si>
  <si>
    <t>SMK N 2 Barru</t>
  </si>
  <si>
    <t>ASWANDI</t>
  </si>
  <si>
    <t>Bottoe</t>
  </si>
  <si>
    <t>731102141100000 2</t>
  </si>
  <si>
    <t>Padaelo RT 000 RW 000 Desa Lalolang Kec. Tanete Rilau Kab. Barru</t>
  </si>
  <si>
    <t>0888 0455 9717</t>
  </si>
  <si>
    <t>0877 8117 9132</t>
  </si>
  <si>
    <t>Aswandyy321@gmail.com</t>
  </si>
  <si>
    <t>0002773961728</t>
  </si>
  <si>
    <t>ACHMAD IRFAN</t>
  </si>
  <si>
    <t>Jatibarang</t>
  </si>
  <si>
    <t>Sleman</t>
  </si>
  <si>
    <t>347101210198000 1</t>
  </si>
  <si>
    <t>Blunyahrejo TR II/904 RT 018 RW 005 Kel. Karangwaru Kec. Tegalrejo Kota Yogyakarta</t>
  </si>
  <si>
    <t>achmadirfan2101@gmail.com</t>
  </si>
  <si>
    <t>0001036216451</t>
  </si>
  <si>
    <t>SMK N 3 Yogyakarta</t>
  </si>
  <si>
    <t>AFFAN MISBAHUL MUKHLISON</t>
  </si>
  <si>
    <t>350218150100000 1</t>
  </si>
  <si>
    <t>Dukuh Krajan RT 001 RW 002 Desa Mrican Kec. Jenangan Kab. Ponorogo</t>
  </si>
  <si>
    <t>0822 2868 6465</t>
  </si>
  <si>
    <t>Muxchliz.22@gmail.com</t>
  </si>
  <si>
    <t>0001291489751</t>
  </si>
  <si>
    <t>PRAYITNO</t>
  </si>
  <si>
    <t>YUSUP ZAKARIA</t>
  </si>
  <si>
    <t>Kroya</t>
  </si>
  <si>
    <t>330220100595000 1</t>
  </si>
  <si>
    <t>Sambeng Wetan RT 006 RW 002 Desa Sambeng Wetan Kec. Kembaran Kab. Banyumas</t>
  </si>
  <si>
    <t>0857 0123 2995</t>
  </si>
  <si>
    <t>yusupzakaria8@gmail.com</t>
  </si>
  <si>
    <t>0001016799884</t>
  </si>
  <si>
    <t>OKTA FAJAR SILVIANA</t>
  </si>
  <si>
    <t>JENNAHARA SYAUQINA ZAKARIA</t>
  </si>
  <si>
    <t>SMK YPT 2 Purbalingga</t>
  </si>
  <si>
    <t>ADRIAN JUNIOR SETYAWAN</t>
  </si>
  <si>
    <t>331025150699000 2</t>
  </si>
  <si>
    <t>Jl Cemara No. 9 RT 001 RW 004 Desa Klaten Kec. Klaten Tengah Kab. Klaten</t>
  </si>
  <si>
    <t>0895 3874 77417</t>
  </si>
  <si>
    <t>adrianjunior620@gmail.com</t>
  </si>
  <si>
    <t>0002203307739</t>
  </si>
  <si>
    <t>SMK Leonardo Klaten</t>
  </si>
  <si>
    <t>AGUS MAKMUN</t>
  </si>
  <si>
    <t>Grobogan</t>
  </si>
  <si>
    <t>367103260486000 2</t>
  </si>
  <si>
    <t>Batuceper Selatan RT 004 RW 002 Kel. Batuceper Kec. Batuceper Kota Tangerang</t>
  </si>
  <si>
    <t>0821 1311 9668</t>
  </si>
  <si>
    <t>0859 1027 29213</t>
  </si>
  <si>
    <t>agusmakmun12345@gmail.com</t>
  </si>
  <si>
    <t>0002292522625</t>
  </si>
  <si>
    <t>FARA DHITA</t>
  </si>
  <si>
    <t>MUHAMMAD BAYU AGUSTA</t>
  </si>
  <si>
    <t>ZIFARAH NISA SAFIRA</t>
  </si>
  <si>
    <t>MUHAMMAD BYAN AL-KHALIFI</t>
  </si>
  <si>
    <t>SMK PGRI 2 Tangerang</t>
  </si>
  <si>
    <t>AHMAD RIZAL</t>
  </si>
  <si>
    <t>Bandung</t>
  </si>
  <si>
    <t>340107210395000 3</t>
  </si>
  <si>
    <t>Kp Cikato RT 003/RW 005 Gunung Tanjung, Tasikmalaya, Jawa Barat</t>
  </si>
  <si>
    <t>0838 6761 8098</t>
  </si>
  <si>
    <t>0838 6761 8089</t>
  </si>
  <si>
    <t>ahmad.rizal285@yahoo.co.id</t>
  </si>
  <si>
    <t>0001623903344</t>
  </si>
  <si>
    <t>MALA AMALIA</t>
  </si>
  <si>
    <t>RAKA ABYAN ALGHANI</t>
  </si>
  <si>
    <t xml:space="preserve">SMK Maarif 1 Wates </t>
  </si>
  <si>
    <t>ARHANUL FARIZ</t>
  </si>
  <si>
    <t>Brebes</t>
  </si>
  <si>
    <t>332906150694000 3</t>
  </si>
  <si>
    <t>Pepedan RT 003 RW 002 Desa Pepedan Kec. Tonjong Kab. Brebes</t>
  </si>
  <si>
    <t>0838 7079 2361</t>
  </si>
  <si>
    <t>alfariz791@gmail.com</t>
  </si>
  <si>
    <t>0001737322806</t>
  </si>
  <si>
    <t>AL MAESAROH</t>
  </si>
  <si>
    <t>HANUM SOFIA HALWATUZAHRA</t>
  </si>
  <si>
    <t>SMK N 1 Tonjong, Brebes</t>
  </si>
  <si>
    <t>ARI SIHWANTO</t>
  </si>
  <si>
    <t>331006170788000 1</t>
  </si>
  <si>
    <t>Bulak Timur RT 002 RW 009 Kel. Cipayung Kec. Cipayung Kota Depok</t>
  </si>
  <si>
    <t>0857 7318 2223</t>
  </si>
  <si>
    <t>Arisihwanto_17@yahoo.com</t>
  </si>
  <si>
    <t>0001156118332</t>
  </si>
  <si>
    <t>MINARTI</t>
  </si>
  <si>
    <t>ARKANANTA ALFARIZQY SIHWANTO</t>
  </si>
  <si>
    <t>SMK Nasional Klaten</t>
  </si>
  <si>
    <t>BAGUS ISTIANDARU</t>
  </si>
  <si>
    <t>Bulurejo</t>
  </si>
  <si>
    <t>327601260694000 6</t>
  </si>
  <si>
    <t>KP Pitara RT 002 RW 014 Kel. Pancoran Mas Kec. Pancoran Mas Kota Depok</t>
  </si>
  <si>
    <t>0896 5680 5577</t>
  </si>
  <si>
    <t>bagusdaru36@gmail.com</t>
  </si>
  <si>
    <t>0002773997109</t>
  </si>
  <si>
    <t>ERLINDA NUR HANDAYANI</t>
  </si>
  <si>
    <t>ARSENIO XAVIER HANDARU</t>
  </si>
  <si>
    <t>SMK Izzata Kota Depok</t>
  </si>
  <si>
    <t>Politeknik LP31 Jakarta</t>
  </si>
  <si>
    <t>ISMAIL</t>
  </si>
  <si>
    <t>320810231093000 5</t>
  </si>
  <si>
    <t>Dusun Puhun RT 001 RW 003 Desa Ciputat Kec. Ciawigebang Kab. Kuningan</t>
  </si>
  <si>
    <t>0812 2190 6600</t>
  </si>
  <si>
    <t>0814 6114 9108</t>
  </si>
  <si>
    <t>ismailibnubairan@gmail.com</t>
  </si>
  <si>
    <t>0002136654393</t>
  </si>
  <si>
    <t>KASTUTI</t>
  </si>
  <si>
    <t>MUHAMMAD FAKHRI BAIRAN</t>
  </si>
  <si>
    <t>NORFI JANOKO SAKTI</t>
  </si>
  <si>
    <t>Tegal</t>
  </si>
  <si>
    <t>332803201196001 9</t>
  </si>
  <si>
    <t>Tuwel RT 003 RW 003 Desa Tuwel Kec. Bojong Kab. Tegal</t>
  </si>
  <si>
    <t>0858 8858 3162</t>
  </si>
  <si>
    <t>norfipriti@gmail.com</t>
  </si>
  <si>
    <t>0000624256863</t>
  </si>
  <si>
    <t>SMK N 1 Bumijawa</t>
  </si>
  <si>
    <t>EDI PRASETIYAWAN</t>
  </si>
  <si>
    <t>352005060693000 4</t>
  </si>
  <si>
    <t>Lingk. Gandek RT 014 RW 003 Desa Kawedanan Kec. Kawedanan Kab. Magetan</t>
  </si>
  <si>
    <t>0819 9947 0670</t>
  </si>
  <si>
    <t>renandafury158@gmail.com</t>
  </si>
  <si>
    <t>0001871855087</t>
  </si>
  <si>
    <t>SAHBAN ARIF</t>
  </si>
  <si>
    <t>Bekasi</t>
  </si>
  <si>
    <t>327506050390000 3</t>
  </si>
  <si>
    <t>KP Rawa Bambu Jl Mawar IV RT 001 RW 008 Kel. Kali Baru Kec. Medan Satria Kota Bekasi</t>
  </si>
  <si>
    <t>0812 9718 5838</t>
  </si>
  <si>
    <t>Ariev.syaban05@gmail.com</t>
  </si>
  <si>
    <t>0002039258013</t>
  </si>
  <si>
    <t>SMK Guna Bhakti 1 Bekasi</t>
  </si>
  <si>
    <t>ADE SAPUTRA</t>
  </si>
  <si>
    <t>167107070998000 6</t>
  </si>
  <si>
    <t>Jl SMU 13 No. 2794 RT 028 RW 006 Kel. Sukodadi Kec. Sukarami Kota Palembang</t>
  </si>
  <si>
    <t>0821 8265 0202</t>
  </si>
  <si>
    <t>0856 6987 0152</t>
  </si>
  <si>
    <t>saputra.ade07@gmail.com</t>
  </si>
  <si>
    <t>0000992705635</t>
  </si>
  <si>
    <t>Mekatronika</t>
  </si>
  <si>
    <t>Politeknik Negeri Sriwijaya</t>
  </si>
  <si>
    <t>ARI T</t>
  </si>
  <si>
    <t>Prabumulih</t>
  </si>
  <si>
    <t>167401160792000 3</t>
  </si>
  <si>
    <t>Jl Madang RT 014 RW 003 Kel. Muntang Tapus Kec. Prabumulih</t>
  </si>
  <si>
    <t>0822 8970 1314</t>
  </si>
  <si>
    <t>Tukimanari17@gmail.com</t>
  </si>
  <si>
    <t>0001636129181</t>
  </si>
  <si>
    <t>SAKINAH LAINUN NISAH</t>
  </si>
  <si>
    <t>LUCIANO ENZO</t>
  </si>
  <si>
    <t>SMK YPS Prabumulih</t>
  </si>
  <si>
    <t>FIRZKI PRASETYA</t>
  </si>
  <si>
    <t>Lahat</t>
  </si>
  <si>
    <t>160410010700014 3</t>
  </si>
  <si>
    <t>Muara Siban RT 000 RW 000 Desa Muara Siban Kec. Pulau Pinang Kabupaten Lahat</t>
  </si>
  <si>
    <t>0895 4121 74763</t>
  </si>
  <si>
    <t>Firzkip12@gmail.com</t>
  </si>
  <si>
    <t>0001523951234</t>
  </si>
  <si>
    <t>Teknik Instalasi Tenaga Listrik</t>
  </si>
  <si>
    <t>SMK N 1 Lahat</t>
  </si>
  <si>
    <t>IKHSAN ANUGRAH</t>
  </si>
  <si>
    <t>167103061299000 6</t>
  </si>
  <si>
    <t>Jl. Jend A Yani LR Amilin No. 895  RT 016 RW 002 Kel. Tangga Takat Kec. Seberang Ulu II Kota Palembang</t>
  </si>
  <si>
    <t>0896 2986 7023</t>
  </si>
  <si>
    <t>soujiseta9@gmail.com</t>
  </si>
  <si>
    <t>0000992414755</t>
  </si>
  <si>
    <t>M. AKHIRUL RAMADHAN</t>
  </si>
  <si>
    <t>167102280198000 5</t>
  </si>
  <si>
    <t>Jln Faqih Usman Lr Tangga Raja RT 012 RW 003Kel. 2 Ulu Kec. Seberang Ulu I  Kota Palembang</t>
  </si>
  <si>
    <t>0821 8035 7651</t>
  </si>
  <si>
    <t>Akhirulr553@gmail.com</t>
  </si>
  <si>
    <t>0001163846889</t>
  </si>
  <si>
    <t>M. ILHAM HAMDI</t>
  </si>
  <si>
    <t>M. SOFYAN</t>
  </si>
  <si>
    <t>NOVI ANDRIANI</t>
  </si>
  <si>
    <t>RAHMAN DAMANIK</t>
  </si>
  <si>
    <t>Perlanaan</t>
  </si>
  <si>
    <t>120823020589000 4</t>
  </si>
  <si>
    <t>Huta V Karang Asam RT 000 RW 000 Desa Perlanaan Kec. Bandar  Kab.Simalungun</t>
  </si>
  <si>
    <t>0813 7648 0020</t>
  </si>
  <si>
    <t>rahmandamanik89@gmail.com</t>
  </si>
  <si>
    <t>0002250045393</t>
  </si>
  <si>
    <t>AYU SORAYA</t>
  </si>
  <si>
    <t>KENZO DANIAL DAMANIK</t>
  </si>
  <si>
    <t>SMK Swasta 2 Taman Ilmu Perlanaan</t>
  </si>
  <si>
    <t>ANAS ALBADRY</t>
  </si>
  <si>
    <t>352015151294000 1</t>
  </si>
  <si>
    <t>Dsn Jubleg RT 006/RW 003 Kel. Gerih, Kec. Gerih, Kab. Ngawi</t>
  </si>
  <si>
    <t>0857 7742 0183</t>
  </si>
  <si>
    <t>anasalbadry7@gmail.com</t>
  </si>
  <si>
    <t>0002773983813</t>
  </si>
  <si>
    <t>DIAN DESLY CANDRA</t>
  </si>
  <si>
    <t>FALLONA ALULA ZEA ALBADRY</t>
  </si>
  <si>
    <t>SMK N 1 Kartoharjo Magetan</t>
  </si>
  <si>
    <t>RIAN WIJAYA PRATAMA</t>
  </si>
  <si>
    <t>130504200197000 1</t>
  </si>
  <si>
    <t>Korong Kandhang Ampek, Kel. Guguak, Kab. Padang Pariaman</t>
  </si>
  <si>
    <t>0812 6815 6568</t>
  </si>
  <si>
    <t>Rianw851@gmail.com</t>
  </si>
  <si>
    <t>0002648180103</t>
  </si>
  <si>
    <t>NOVITA FITRI YENI</t>
  </si>
  <si>
    <t>ILHAMSYAH</t>
  </si>
  <si>
    <t>127112240796000 5</t>
  </si>
  <si>
    <t>Lingkungan - 15 RT 000 RW 000 Kel. Rengas Pulau Kec. Medan Marelan Kota Medan</t>
  </si>
  <si>
    <t>0852 6045 9996</t>
  </si>
  <si>
    <t>csmilhamsyah@yahoo.com</t>
  </si>
  <si>
    <t>0001898641552</t>
  </si>
  <si>
    <t>NUR DESIANA</t>
  </si>
  <si>
    <t>SMK Swasta Sinar Husni 2 Deli Serdang</t>
  </si>
  <si>
    <t>QHOIRUL WAFIUDDIN</t>
  </si>
  <si>
    <t>352010210599000 1</t>
  </si>
  <si>
    <t>Desa Lemahbang RT02 RW 01 Kec Bendo Kab Magetan</t>
  </si>
  <si>
    <t>0858 4882 8801</t>
  </si>
  <si>
    <t>Sukarnisaminem@gmail.com</t>
  </si>
  <si>
    <t>0001607615515</t>
  </si>
  <si>
    <t>Teknik Ketenagalistrikan</t>
  </si>
  <si>
    <t>RIAN PRATAMA</t>
  </si>
  <si>
    <t>PKWT-641907279 /D1/2019</t>
  </si>
  <si>
    <t xml:space="preserve">320129110488000 3 </t>
  </si>
  <si>
    <t>Jl Urip Sumoharjo Komplek Griya Sekojo No.2991 Blok C4, RT 29 RW 10 Kec. Ilir Timur II Palembang</t>
  </si>
  <si>
    <t>rian.nafisha@gmail.com</t>
  </si>
  <si>
    <t>0001505835707</t>
  </si>
  <si>
    <t>19063315378</t>
  </si>
  <si>
    <t>MUTASA TIARA</t>
  </si>
  <si>
    <t>KHAIRA NAFISHA</t>
  </si>
  <si>
    <t>KHANSA NAIFAH</t>
  </si>
  <si>
    <t>FALLAH DZUNURAINI</t>
  </si>
  <si>
    <t>PKWT-642002072 /D1/2020</t>
  </si>
  <si>
    <t>Pekanbaru</t>
  </si>
  <si>
    <t>147112080896002 1</t>
  </si>
  <si>
    <t>Jl. Perum Citra Sari RT/RW 001/008, Limbungan, Rumabai Pesisir, Pekanbaru</t>
  </si>
  <si>
    <t>0852 6578 2423</t>
  </si>
  <si>
    <t>fallahdzu96@gmail.com</t>
  </si>
  <si>
    <t>0002920946657</t>
  </si>
  <si>
    <t>20015606583</t>
  </si>
  <si>
    <t>Universitas Lancang Kuning</t>
  </si>
  <si>
    <t>HELMI SAPUTRA</t>
  </si>
  <si>
    <t>Serbajadi</t>
  </si>
  <si>
    <t>180104281291000 1</t>
  </si>
  <si>
    <t>Serbajadi Pemanggilan RT/RW 003/002 Pemanggilan,  Kec. Natar, Lampung Selatan</t>
  </si>
  <si>
    <t>0898 2555 588</t>
  </si>
  <si>
    <t>Helmisaputra41@gmail.com</t>
  </si>
  <si>
    <t>0000994448373</t>
  </si>
  <si>
    <t>SULASTRI ANINGSIH</t>
  </si>
  <si>
    <t>ARSYILA ROMEESA INARA</t>
  </si>
  <si>
    <t>SMK Budi Karya, Natar, Lampung Selatan</t>
  </si>
  <si>
    <t>OKTARI AYU WANDIRA</t>
  </si>
  <si>
    <t>160410581094000 6</t>
  </si>
  <si>
    <t>Jl. Madang Dalam II Lr. Makmur II No 46 Palembang</t>
  </si>
  <si>
    <t>0878 9963 8051</t>
  </si>
  <si>
    <t>oktariayuwandira@gmail.com</t>
  </si>
  <si>
    <t>0001842119122</t>
  </si>
  <si>
    <t>OKTARINA MAHARANI PUTRI</t>
  </si>
  <si>
    <t>UIN Raden Fatah Palembang</t>
  </si>
  <si>
    <t>HARSY AJIESEFTIAN</t>
  </si>
  <si>
    <t>Bogor</t>
  </si>
  <si>
    <t>327601171097000 4</t>
  </si>
  <si>
    <t>Lio Citayam 004/007 Bojong Pondok Terong, Cipayung, Depok</t>
  </si>
  <si>
    <t>0822 5977 1839</t>
  </si>
  <si>
    <t>Harsyajie17@gmail.com</t>
  </si>
  <si>
    <t>0001014251646</t>
  </si>
  <si>
    <t>SMK Izzata Depok</t>
  </si>
  <si>
    <t>RIYAN ANDIKA</t>
  </si>
  <si>
    <t>Indramayu</t>
  </si>
  <si>
    <t>321213141091000 1</t>
  </si>
  <si>
    <t>Blok Gudang Timur RT/RW 005/001, Jatibarang Baru, Jatibarang, Kab Indramayu</t>
  </si>
  <si>
    <t>0812 1372 6347</t>
  </si>
  <si>
    <t>andikariyan133@gmail.com</t>
  </si>
  <si>
    <t>0002925418511</t>
  </si>
  <si>
    <t>INA ERMAWATI</t>
  </si>
  <si>
    <t>SMK PUI Jatibarang</t>
  </si>
  <si>
    <t>DEOP NEUSTA YOBELABAT SANTOSO</t>
  </si>
  <si>
    <t>Pekalongan</t>
  </si>
  <si>
    <t>321017200699006 1</t>
  </si>
  <si>
    <t>Blok Cimerta RT/RW 002/006, Ds Kedung Bunder, Kec. Gempol, Kab. Cirebon</t>
  </si>
  <si>
    <t>0855 2353 1687</t>
  </si>
  <si>
    <t>Deopys1@gmail.com</t>
  </si>
  <si>
    <t>SMK N 2 Palimanan</t>
  </si>
  <si>
    <t>ARDHIYANTO DWI PRABOWO</t>
  </si>
  <si>
    <t>352011251294000 1</t>
  </si>
  <si>
    <t>Ds. Suratmajan RT/RW 007/001 Kec. Maospati, Kab. Magetan</t>
  </si>
  <si>
    <t>0858 0721 8541</t>
  </si>
  <si>
    <t>ardhiyantodwiprabowo@gmail.com</t>
  </si>
  <si>
    <t>0001831612228</t>
  </si>
  <si>
    <t>JEFRI RAMADHAN</t>
  </si>
  <si>
    <t>Bukit Tinggi</t>
  </si>
  <si>
    <t>130504060100000 1</t>
  </si>
  <si>
    <t>Kampung Apar, Kandang Ampek, Ds. Guguak, Kayutanam, Padang Pariaman</t>
  </si>
  <si>
    <t>0882 7933 2585</t>
  </si>
  <si>
    <t>0831 9305 4068</t>
  </si>
  <si>
    <t>rjefri650@gmail.com</t>
  </si>
  <si>
    <t>0000275209154</t>
  </si>
  <si>
    <t>DONISAH SIREGAR</t>
  </si>
  <si>
    <t>Langkat</t>
  </si>
  <si>
    <t>120512130801000 2</t>
  </si>
  <si>
    <t>Ps. Langkat AFD. 03, Ds. Banjar Jaya, Kec. Padang Tualang, Langkat</t>
  </si>
  <si>
    <t>0822 7619 7015</t>
  </si>
  <si>
    <t>siregardonisah77@gmail.com</t>
  </si>
  <si>
    <t>0002448347512</t>
  </si>
  <si>
    <t>SMK Swasta Putra Jaya Stabat</t>
  </si>
  <si>
    <t>JEFRI LEKSANA</t>
  </si>
  <si>
    <t>Gohor Lama</t>
  </si>
  <si>
    <t>120512180693000 3</t>
  </si>
  <si>
    <t>Dsn. Bangun Sari RT/RW 002/004, Jatisari, PD Tualang, Langkat</t>
  </si>
  <si>
    <t>0813 6035 5517</t>
  </si>
  <si>
    <t>lexana43@gmail.com</t>
  </si>
  <si>
    <t>0000249047111</t>
  </si>
  <si>
    <t>NANDA ARISKA</t>
  </si>
  <si>
    <t>NADINE SHAFA ALMAHYRA</t>
  </si>
  <si>
    <t>BOHARI</t>
  </si>
  <si>
    <t>SETIAWATI</t>
  </si>
  <si>
    <t>VERRY CHRISDIANTORO RUBBIS</t>
  </si>
  <si>
    <t>MRO</t>
  </si>
  <si>
    <t>351903040794000 2</t>
  </si>
  <si>
    <t>Jl. Lawu Ds. Jatisari RT/RW 21/05 Geger Madiun</t>
  </si>
  <si>
    <t>0899 1050 550</t>
  </si>
  <si>
    <t>V3rrychris@gmail.com</t>
  </si>
  <si>
    <t>0001706037726</t>
  </si>
  <si>
    <t>MUJI LESTARI</t>
  </si>
  <si>
    <t>JENNAIRA AZKIA RUBBIS</t>
  </si>
  <si>
    <t>ICHWAN FIRDAUS ALAMSYAH</t>
  </si>
  <si>
    <t xml:space="preserve">Jakarta </t>
  </si>
  <si>
    <t>317204011100000 3</t>
  </si>
  <si>
    <t>Jl. Raya Cilincing, RT 01/RW O4 Kel. Cilincing, Jakarta</t>
  </si>
  <si>
    <t>0895 3303 2920</t>
  </si>
  <si>
    <t>ichwanfirdaus212@gmail.com</t>
  </si>
  <si>
    <t>0001382774253</t>
  </si>
  <si>
    <t>SMK Al Akhyar 2 Jakarta Timur</t>
  </si>
  <si>
    <t>RIZKY MAULANA INDROSAPUTRO</t>
  </si>
  <si>
    <t>admin</t>
  </si>
  <si>
    <t>357703071089000 1</t>
  </si>
  <si>
    <t>Perum Bumi Mas Blok E No 20 RT/RW 054/012, Mojorejo, Taman, Madiun</t>
  </si>
  <si>
    <t>0812 3038 7261</t>
  </si>
  <si>
    <t>aquaairminum456@gmail.com</t>
  </si>
  <si>
    <t>0001204479663</t>
  </si>
  <si>
    <t>Hubungan Internasional</t>
  </si>
  <si>
    <t>UniversitasGadjah Mada</t>
  </si>
  <si>
    <t>YULIA WHIRDAWATI</t>
  </si>
  <si>
    <t>SK-44.2/INKA/2020</t>
  </si>
  <si>
    <t>Manager</t>
  </si>
  <si>
    <t>SPI</t>
  </si>
  <si>
    <t>357703490772000 1</t>
  </si>
  <si>
    <t>Perum. Bumi Mas Blok L No.10/11 RT.001 RW.004 Kel. Mojorejo Kec. Taman Kota Madiun</t>
  </si>
  <si>
    <t>yuliawhirda72@gmail.com</t>
  </si>
  <si>
    <t>0001106061219</t>
  </si>
  <si>
    <t>92N70022423</t>
  </si>
  <si>
    <t>HARTONO</t>
  </si>
  <si>
    <t>SK-44/INKA/2020</t>
  </si>
  <si>
    <t>Senior Manager</t>
  </si>
  <si>
    <t>Blora</t>
  </si>
  <si>
    <t>357701090471000 1</t>
  </si>
  <si>
    <t>Harta Mulya 8 RT.010 RW.002, Rejomulyo, Kartoharjo, Kota Madiun</t>
  </si>
  <si>
    <t>0811 1011 033</t>
  </si>
  <si>
    <t>hartono@inka.co.id</t>
  </si>
  <si>
    <t>0001127753706</t>
  </si>
  <si>
    <t>92N70022308</t>
  </si>
  <si>
    <t>RICE INDYAWATI</t>
  </si>
  <si>
    <t>FAISHAL ABIYYUDZAKIR</t>
  </si>
  <si>
    <t>HILMY AHMAD DZAKY</t>
  </si>
  <si>
    <t>DZAKIRA LUTHFIA HARTATI</t>
  </si>
  <si>
    <t>RISNA RORIM PANDE</t>
  </si>
  <si>
    <t>382989200621000</t>
  </si>
  <si>
    <t>1-May-2027</t>
  </si>
  <si>
    <t>ISWANTO</t>
  </si>
  <si>
    <t>357701190469000 1</t>
  </si>
  <si>
    <t>Sri Rejeki 87 B Lk. Gayamsari RT.001 RW.001, Sukosari, Kartoharjo, Kota Madiun</t>
  </si>
  <si>
    <t>0811 3484 880</t>
  </si>
  <si>
    <t>iswanto@inka.co.id</t>
  </si>
  <si>
    <t>0001127798515</t>
  </si>
  <si>
    <t>97N70011847</t>
  </si>
  <si>
    <t>RIESANTI EDIE WIJAYA</t>
  </si>
  <si>
    <t>MUHAMMAD APTA MAHESWARA</t>
  </si>
  <si>
    <t>MUHAMMAD ARKA MAHESWARA</t>
  </si>
  <si>
    <t>Ekonomi &amp; Manajemen</t>
  </si>
  <si>
    <t>Institut Teknologi Sepuluh Nopember</t>
  </si>
  <si>
    <t>1-May-2025</t>
  </si>
  <si>
    <t>AGUS WURYANTO</t>
  </si>
  <si>
    <t>357703210172000 3</t>
  </si>
  <si>
    <t>Jl. Jatisiwur RT. 018 RW. 007, Demangan, Taman, Kota Madiun</t>
  </si>
  <si>
    <t>0811 3484 917</t>
  </si>
  <si>
    <t>agus.wuryanto@inka.co.id</t>
  </si>
  <si>
    <t>0001127798537</t>
  </si>
  <si>
    <t>98N70001101</t>
  </si>
  <si>
    <t>NUR WIDAYATI</t>
  </si>
  <si>
    <t>FARIS FAKHRUDDIN</t>
  </si>
  <si>
    <t>NABILA KHAIRUNNISA</t>
  </si>
  <si>
    <t>HANA ZAHIRA</t>
  </si>
  <si>
    <t>382988087621000</t>
  </si>
  <si>
    <t>AMRON BAITARRIZAQ</t>
  </si>
  <si>
    <t>352424110686000 3</t>
  </si>
  <si>
    <t>JL. Kha Dahlan NO. 72, , Lamongan, Kab. Lamongan</t>
  </si>
  <si>
    <t>0813 3319 1369</t>
  </si>
  <si>
    <t>amron.baitarrizaq@inka.co.id</t>
  </si>
  <si>
    <t>0001132854401</t>
  </si>
  <si>
    <t>896813276645000</t>
  </si>
  <si>
    <t>EKO PRASETIYO</t>
  </si>
  <si>
    <t>357701050474000 3</t>
  </si>
  <si>
    <t>Jl. Surya Indah 1 R-6 RT 12 RW 03, Kel Kelun Kec Kartoharjo Kota Madiun, Kelun, Kartoharjo, Kota Madiun</t>
  </si>
  <si>
    <t>0858 5361 1567</t>
  </si>
  <si>
    <t>eko.prasetiyo9878@inka.co.id</t>
  </si>
  <si>
    <t>0001127808494</t>
  </si>
  <si>
    <t>98N70013833</t>
  </si>
  <si>
    <t>ENDAH HARIYANI</t>
  </si>
  <si>
    <t>BOBBY PRASENDA</t>
  </si>
  <si>
    <t>BRENDA BUNGA PRASENDA</t>
  </si>
  <si>
    <t>382987436621000</t>
  </si>
  <si>
    <t>Teknik Metalurgi</t>
  </si>
  <si>
    <t>STM Negeri 1 Madiun</t>
  </si>
  <si>
    <t>1-May-2030</t>
  </si>
  <si>
    <t>HARI SUBEKTI</t>
  </si>
  <si>
    <t>Pamekasan</t>
  </si>
  <si>
    <t>351907281070000 3</t>
  </si>
  <si>
    <t>Jl P.Pesona Anggrek Jingga No.B-5 RT.007 RW.001, Sidorejo, Wungu, Madiun</t>
  </si>
  <si>
    <t>0812 4985 4591</t>
  </si>
  <si>
    <t>hari.bekti@inka.co.id</t>
  </si>
  <si>
    <t>0001127965994</t>
  </si>
  <si>
    <t>95N70012518</t>
  </si>
  <si>
    <t>INDRI JUWANA</t>
  </si>
  <si>
    <t>GHINA ABYAN AZIZAH HARIS</t>
  </si>
  <si>
    <t>MUHAMMAD ADAM RAMADHAN HARIS</t>
  </si>
  <si>
    <t>FARADIBA AZZAHRA HARIS</t>
  </si>
  <si>
    <t>SISWANTO</t>
  </si>
  <si>
    <t>357702240372000 2</t>
  </si>
  <si>
    <t>JL. Borobudur Gg V/91   RT 010 RW 002, Madiun Lor, Manguharjo, Kota Madiun</t>
  </si>
  <si>
    <t xml:space="preserve">0813 3562 5700 </t>
  </si>
  <si>
    <t>siswanto.98090@inka.co.id</t>
  </si>
  <si>
    <t>0001127966073</t>
  </si>
  <si>
    <t>98N70013957</t>
  </si>
  <si>
    <t>YULIATI</t>
  </si>
  <si>
    <t>PANGESTU PRABAWATI</t>
  </si>
  <si>
    <t>RAMA PERMADI</t>
  </si>
  <si>
    <t>EKO DONO PRASETYO</t>
  </si>
  <si>
    <t>382991578621000</t>
  </si>
  <si>
    <t>Teknik Mesin Tenaga</t>
  </si>
  <si>
    <t>STM Taman Siswa Madiun</t>
  </si>
  <si>
    <t>TRI HARI SANTOSO</t>
  </si>
  <si>
    <t>357701070588000 2</t>
  </si>
  <si>
    <t>Jl.Imam Bonjol Gg.Jati Kapur No.1, RT/RW:024/006, Kel.Klegen, Kec.Kartoharjo, Klegen, Kartoharjo, Kota Madiun</t>
  </si>
  <si>
    <t>0813 6159 7909</t>
  </si>
  <si>
    <t>tri.hari.santoso@inka.co.id</t>
  </si>
  <si>
    <t>0001306556954</t>
  </si>
  <si>
    <t>NONI SAFITRI</t>
  </si>
  <si>
    <t>AZKA ABDILAH</t>
  </si>
  <si>
    <t>ATHAR UKKASYAH</t>
  </si>
  <si>
    <t>833182793621000</t>
  </si>
  <si>
    <t>SMKN 1 Madiun</t>
  </si>
  <si>
    <t>SISWAHYUDI</t>
  </si>
  <si>
    <t>351914080770000 1</t>
  </si>
  <si>
    <t>Jl. Rajawali RT.009 RW.002, Bakur, Sawahan, Madiun</t>
  </si>
  <si>
    <t>0856 4586 3666</t>
  </si>
  <si>
    <t>siswahyudi@inka.co.id</t>
  </si>
  <si>
    <t>0001127798774</t>
  </si>
  <si>
    <t>98N70009666</t>
  </si>
  <si>
    <t>AMIN ANDARMAWANTI</t>
  </si>
  <si>
    <t>HANIF NI'MATUS SHALIHAH</t>
  </si>
  <si>
    <t>382986388621000</t>
  </si>
  <si>
    <t>STM PGRI Madiun</t>
  </si>
  <si>
    <t>1-Aug-2026</t>
  </si>
  <si>
    <t>MUKSON RAIH MUKTI</t>
  </si>
  <si>
    <t>357702120691000 1</t>
  </si>
  <si>
    <t>Jl. Kaswari Gg.Iii No.26 B, RT/RW :040/013, Kel. Nambangan Kidul , Kec.Manguharjo, Nambangan Kidul, Manguharjo, Kota Madiun</t>
  </si>
  <si>
    <t xml:space="preserve">0812 4976 0203  </t>
  </si>
  <si>
    <t>mukson.raih.mukti@inka.co.id</t>
  </si>
  <si>
    <t>0001315848442</t>
  </si>
  <si>
    <t>RINA KRISTIANINGRUM</t>
  </si>
  <si>
    <t>ABRIZAM ALFAZA MUKTI</t>
  </si>
  <si>
    <t>456715945621000</t>
  </si>
  <si>
    <t>SMK Gamaliel 1</t>
  </si>
  <si>
    <t>R SONNY YANUPRAJA</t>
  </si>
  <si>
    <t>350921191284000 3</t>
  </si>
  <si>
    <t>Perum Royal Archid Residence Jl Ascocenda No. 1 RT 008 RW 008 , Josenan, Taman, Kota Madiun</t>
  </si>
  <si>
    <t>0812 3438 514</t>
  </si>
  <si>
    <t>sonny.yanupraja@inka.co.id</t>
  </si>
  <si>
    <t>0001132772692</t>
  </si>
  <si>
    <t>SWASTI KOMALA</t>
  </si>
  <si>
    <t>ALARIC AMMAR HAQ</t>
  </si>
  <si>
    <t>ELSA AMMARA SHAMIM</t>
  </si>
  <si>
    <t>ARSENIO AMMAR HAQ</t>
  </si>
  <si>
    <t>598262418601000</t>
  </si>
  <si>
    <t>WILDHA AYU KARTIKA</t>
  </si>
  <si>
    <t>Tulungagung</t>
  </si>
  <si>
    <t>350401420193000 2</t>
  </si>
  <si>
    <t>Jl Mt Haryono V/3f RT02 RW 04 Tulungagung Jawa Timur</t>
  </si>
  <si>
    <t>08121641912</t>
  </si>
  <si>
    <t>wildha.akaRTika@inka.co.id</t>
  </si>
  <si>
    <t>0000106955706</t>
  </si>
  <si>
    <t>17037314386</t>
  </si>
  <si>
    <t>904712932629000</t>
  </si>
  <si>
    <t>ELY YUDIOKO</t>
  </si>
  <si>
    <t>3519053009900001</t>
  </si>
  <si>
    <t>Jajar RT/RW : 019/006, Kel. Bolo, Kec. Kare</t>
  </si>
  <si>
    <t>0852 3222 3498</t>
  </si>
  <si>
    <t>yudinirada@gmail.com</t>
  </si>
  <si>
    <t>0001380164591</t>
  </si>
  <si>
    <t>MUNGIN</t>
  </si>
  <si>
    <t>SAMIRAH</t>
  </si>
  <si>
    <t>PKWT-642307127/D1/2020</t>
  </si>
  <si>
    <t>HARIANTO</t>
  </si>
  <si>
    <t>3519132911900005</t>
  </si>
  <si>
    <t>Sumbergandu, RT/RW: 014/002, Kel.Sumbergandu, Kec.Pilangkenceng</t>
  </si>
  <si>
    <t>0813 3400 8380</t>
  </si>
  <si>
    <t>masharianto200@gmail.com</t>
  </si>
  <si>
    <t>0001814248539</t>
  </si>
  <si>
    <t>MEILINDA PUSPITA SARI</t>
  </si>
  <si>
    <t>SAFIRA AZZAHRA ALFATHUNISA</t>
  </si>
  <si>
    <t>PKWT-642307128/D1/2020</t>
  </si>
  <si>
    <t>IRA DWI SARI</t>
  </si>
  <si>
    <t>PKWT-642007092 /D1/2020</t>
  </si>
  <si>
    <t>Admin</t>
  </si>
  <si>
    <t>351908521292000 1</t>
  </si>
  <si>
    <t>Ds. Tulungrejo RT 009/RW003 Kab Madiun</t>
  </si>
  <si>
    <t>0823 3488 7431</t>
  </si>
  <si>
    <t>iradwi.sari92@gmail.com</t>
  </si>
  <si>
    <t>000225002201 5</t>
  </si>
  <si>
    <t>BAGAS YAZID GHOZI</t>
  </si>
  <si>
    <t>Staff IT</t>
  </si>
  <si>
    <t>351907250896000 1</t>
  </si>
  <si>
    <t>Ds Wungu RT/RW 005/001, Kec. Wungu, Kab. Madiun</t>
  </si>
  <si>
    <t>0853 4065 3142</t>
  </si>
  <si>
    <t>bagasyazid7@gmail.com</t>
  </si>
  <si>
    <t>000290708587 1</t>
  </si>
  <si>
    <t>86.994.098.2-621.000</t>
  </si>
  <si>
    <t>Teknik Komputer Kontrol</t>
  </si>
  <si>
    <t>SARAH AYU JUNIA KURNIASIH</t>
  </si>
  <si>
    <t>351903660694000 1</t>
  </si>
  <si>
    <t>Ds Sobrah RT/RW 001/001 Kec. Wungu, Kab, Madiun</t>
  </si>
  <si>
    <t>0838 6709 4057</t>
  </si>
  <si>
    <t>sayujunea@gmail.com</t>
  </si>
  <si>
    <t>0001281687568</t>
  </si>
  <si>
    <t>ERVIN SUNARTO</t>
  </si>
  <si>
    <t>SMK N 5 Madiun</t>
  </si>
  <si>
    <t>PRASETYO ARI ANGGORO</t>
  </si>
  <si>
    <t>352011110698000 1</t>
  </si>
  <si>
    <t>Jl Semeru RT/RW 18/05, Maospati</t>
  </si>
  <si>
    <t>0838 5372 3429</t>
  </si>
  <si>
    <t>prasetyoari1106@gmail.com</t>
  </si>
  <si>
    <t>0000740431686</t>
  </si>
  <si>
    <t>SUJARNO</t>
  </si>
  <si>
    <t>SMKN 1 Bendo</t>
  </si>
  <si>
    <t>PKWT-642307130/D1/2020</t>
  </si>
  <si>
    <t>RIAN ADJI PANGESTU</t>
  </si>
  <si>
    <t>3175010508971001</t>
  </si>
  <si>
    <t>Jl Kebon Kelapa RT/RW 008/012, Utan Kayu Selatan, Matraman, Jakarta Timur</t>
  </si>
  <si>
    <t>0812 8984 1200</t>
  </si>
  <si>
    <t>rianadjipangestu@gmail.com</t>
  </si>
  <si>
    <t>0002250002867</t>
  </si>
  <si>
    <t>SMKN 26 Jakarta</t>
  </si>
  <si>
    <t>PKWT-642307132/D1/2020</t>
  </si>
  <si>
    <t>FENDIK SISWANTO</t>
  </si>
  <si>
    <t>352012290590000 1</t>
  </si>
  <si>
    <t>Desa Bogorejo RT/RW 10/02, Barat, Magetan</t>
  </si>
  <si>
    <t>0857 3646 2268</t>
  </si>
  <si>
    <t>fendiksiswanto811@gmail.com</t>
  </si>
  <si>
    <t>0001788814089</t>
  </si>
  <si>
    <t>MARGARETA YURIKA</t>
  </si>
  <si>
    <t>FEYUKI ERZHAN ATTALLAH</t>
  </si>
  <si>
    <t>PKWT-642307129/D1/2020</t>
  </si>
  <si>
    <t>357701300797000 1</t>
  </si>
  <si>
    <t>Jl. Nayaka Bhakti Blok E/96 RT/RW 26/6 Kel. Kanigoro, Kec. Kartoharjo, Kota Madiun</t>
  </si>
  <si>
    <t>0821 4364 7643</t>
  </si>
  <si>
    <t>bangunsabrinna@gmail.com</t>
  </si>
  <si>
    <t>0002250010067</t>
  </si>
  <si>
    <t>PKWT-642307131/D1/2020</t>
  </si>
  <si>
    <t>PAMUNGKAS SASANGKA</t>
  </si>
  <si>
    <t>357702101197000 3</t>
  </si>
  <si>
    <t>Jl. Biliton Gang Punden No 43 RT 023/ RW 006 Madiun</t>
  </si>
  <si>
    <t>0812 9063 1341</t>
  </si>
  <si>
    <t>Pamungkassasangka3@gmail.com</t>
  </si>
  <si>
    <t>0001704747633</t>
  </si>
  <si>
    <t>PKWT-642307133/D1/2020</t>
  </si>
  <si>
    <t>DONI AHMAT RAIS</t>
  </si>
  <si>
    <t>351908071095000 1</t>
  </si>
  <si>
    <t>Sambean, RT 005/001 Sendangrejo, Madiun</t>
  </si>
  <si>
    <t>0857 9067 2798</t>
  </si>
  <si>
    <t>ahmatrais07@gmail.com</t>
  </si>
  <si>
    <t>000073832056 7</t>
  </si>
  <si>
    <t>PKWT-642301183/D1/2020</t>
  </si>
  <si>
    <t>FERRY APRIANTO</t>
  </si>
  <si>
    <t>357703210291000 2</t>
  </si>
  <si>
    <t>Jalan Pucang Baru Timur, Manisrejo, Taman, Madiun</t>
  </si>
  <si>
    <t>0857 3577 081</t>
  </si>
  <si>
    <t>ferryaprianto25@gmail.com</t>
  </si>
  <si>
    <t>0001315853144</t>
  </si>
  <si>
    <t>SEPTIANA WULANDARAI</t>
  </si>
  <si>
    <t>RADHIKA ARSHAQ KHALIL APRIANTO</t>
  </si>
  <si>
    <t>DAFINA ZEA AZAHRA</t>
  </si>
  <si>
    <t>PKWT-642301180/D1/2020</t>
  </si>
  <si>
    <t>OKTAVIYANTO HARI CAHYONO</t>
  </si>
  <si>
    <t>351909121084000 6</t>
  </si>
  <si>
    <t>Jl Ciliwung Gang 1 No 7, Taman, Kota Madiun</t>
  </si>
  <si>
    <t>0856 3472 636</t>
  </si>
  <si>
    <t>oktaviyanto.hc@gmail.com</t>
  </si>
  <si>
    <t>0001315885847</t>
  </si>
  <si>
    <t>PIPIT BUDAYANTI</t>
  </si>
  <si>
    <t>SHELMA OLIVIA</t>
  </si>
  <si>
    <t>AZKA ALDRIC EL ZAFRAN</t>
  </si>
  <si>
    <t>PKWT-642301184/D1/2020</t>
  </si>
  <si>
    <t>SIGIT WAHYU PRASTYO</t>
  </si>
  <si>
    <t>352012040287000 1</t>
  </si>
  <si>
    <t>Ds Sambirembe RT/RW 02/02 Karangrejo, Magetan</t>
  </si>
  <si>
    <t>0812 3519 2004</t>
  </si>
  <si>
    <t>sukses57terus@gmail.com</t>
  </si>
  <si>
    <t>0001315825997</t>
  </si>
  <si>
    <t>AFNI ARIFFAH</t>
  </si>
  <si>
    <t>CARISA CAHYA AZIZAH</t>
  </si>
  <si>
    <t>CANDRA MUHAMMAD WIJAYA</t>
  </si>
  <si>
    <t>PKWT-642307134/D1/2020</t>
  </si>
  <si>
    <t>TRI BAGUS RIDHO KURNIAWAN</t>
  </si>
  <si>
    <t>351907110989000 4</t>
  </si>
  <si>
    <t>Bantengan RT/RW 009/003, Wungu, Kab Madiun</t>
  </si>
  <si>
    <t>0881 7116 095</t>
  </si>
  <si>
    <t>tribagusridhokurniawan@gmail.com</t>
  </si>
  <si>
    <t>0001315843378</t>
  </si>
  <si>
    <t>ISTYAN RIZKA</t>
  </si>
  <si>
    <t>SUKIR</t>
  </si>
  <si>
    <t>ISTYO WINARNI</t>
  </si>
  <si>
    <t>38/40</t>
  </si>
  <si>
    <t>PKWT-642307135/D1/2020</t>
  </si>
  <si>
    <t>WAHAB</t>
  </si>
  <si>
    <t>1320011907244</t>
  </si>
  <si>
    <t>330202171088000 3</t>
  </si>
  <si>
    <t>Pejogol RT/RW 001/001, Cilongok, Banyumas</t>
  </si>
  <si>
    <t>wahab.sebakis@gmail.com</t>
  </si>
  <si>
    <t>000163293138 9</t>
  </si>
  <si>
    <t>LILIS IDA PRASIWI</t>
  </si>
  <si>
    <t>KENNAN HARUN NALENDRA</t>
  </si>
  <si>
    <t>INNARA SHANUM TRIHAPSARI</t>
  </si>
  <si>
    <t>PKWT-642201156/D1/2020</t>
  </si>
  <si>
    <t>AWAL ROMADONI</t>
  </si>
  <si>
    <t>187103290390000 4</t>
  </si>
  <si>
    <t>Jl  Purnawirawan Gg Swadaya 3 LK 1 RT 010, Kel Gunung Terang, Tanjung Karang Barat, Bandar Lampung</t>
  </si>
  <si>
    <t>0899 2333 334</t>
  </si>
  <si>
    <t>0852 6872 7601</t>
  </si>
  <si>
    <t>awalromadoni@gmail.com</t>
  </si>
  <si>
    <t>000114178286 2</t>
  </si>
  <si>
    <t>EVA INDRIYENI</t>
  </si>
  <si>
    <t>SMK Taman Karya Bandar Lampung</t>
  </si>
  <si>
    <t>PKWT-641810190/D1/2020</t>
  </si>
  <si>
    <t>DIMAS YOGA MARGIHANTO</t>
  </si>
  <si>
    <t>352013271097000 1</t>
  </si>
  <si>
    <t>Jl. Imam Bonjol RT 07/RW 03, Ds. Mantren, Kec. Karangrejo, Kab. Magetan</t>
  </si>
  <si>
    <t>0895 3983 30033</t>
  </si>
  <si>
    <t>dimazyogatok@gmail.com</t>
  </si>
  <si>
    <t>000206531543 2</t>
  </si>
  <si>
    <t>PKWT-642301181/D1/2020</t>
  </si>
  <si>
    <t>RIJA CAHYADI</t>
  </si>
  <si>
    <t>350215100197000 1</t>
  </si>
  <si>
    <t>Dk Sekayu, RT/RW 001/002, Ds Gandukepuh, Sukorejo, Ponorogo</t>
  </si>
  <si>
    <t>0821 3296 1673</t>
  </si>
  <si>
    <t>rijacahyadi437@gmail.com</t>
  </si>
  <si>
    <t>000103668453 9</t>
  </si>
  <si>
    <t>PKWT-642001010/D1/2020</t>
  </si>
  <si>
    <t>YONNY WIDYANTORO</t>
  </si>
  <si>
    <t>350206190498000 1</t>
  </si>
  <si>
    <t>Dk Kranggan, RT/RW 001/001, Jurug, Sooko, Ponorogo</t>
  </si>
  <si>
    <t>0812 3088 6196</t>
  </si>
  <si>
    <t>yonnywidyantoro1@gmail.com</t>
  </si>
  <si>
    <t>000066170819 2</t>
  </si>
  <si>
    <t>PKWT-642301185/D1/2020</t>
  </si>
  <si>
    <t>BAYU PRASETYO</t>
  </si>
  <si>
    <t>331023130697000 1</t>
  </si>
  <si>
    <t>Genengan RT/RW 001/001, Tambong Wetan, Kalikotes, Klaten</t>
  </si>
  <si>
    <t>0856 0156 5567</t>
  </si>
  <si>
    <t>bayuprasetyo130697@gmail.com</t>
  </si>
  <si>
    <t>000055863424 1</t>
  </si>
  <si>
    <t>SMK N 1 Trucuk</t>
  </si>
  <si>
    <t>PKWT-642201150/D1/2020</t>
  </si>
  <si>
    <t>NURUL ROCHMAN</t>
  </si>
  <si>
    <t>331024040498000 1</t>
  </si>
  <si>
    <t>Bebekan RT/RW 002/010, Gergunung, Klaten Utara, Klaten</t>
  </si>
  <si>
    <t>0857 1233 1956</t>
  </si>
  <si>
    <t>nurulrochman0404@gmail.com</t>
  </si>
  <si>
    <t>000210364382 2</t>
  </si>
  <si>
    <t>SMK N 2 Klaten</t>
  </si>
  <si>
    <t>PKWT-641810203/D1/2020</t>
  </si>
  <si>
    <t>DIFA WIRAKUSUMA</t>
  </si>
  <si>
    <t>167115060200000 2</t>
  </si>
  <si>
    <t xml:space="preserve">Jl Srijaya Lr Bersama 1123 RT / RW 023/007, Srijaya, Alang-Alang Lebar, Palembang </t>
  </si>
  <si>
    <t>0896 5473 1794</t>
  </si>
  <si>
    <t>difawirakusuma26@gmail.com</t>
  </si>
  <si>
    <t>000032665178 2</t>
  </si>
  <si>
    <t>PKWT-641907240/D1/2020</t>
  </si>
  <si>
    <t>ANGGER BAYU AJI</t>
  </si>
  <si>
    <t>317104100392000 5</t>
  </si>
  <si>
    <t>Jl Kramat IV Ujung RT/RW 013/006, Kwitang, Kecamatan Senen, Jakarta Pusat</t>
  </si>
  <si>
    <t>0811 8509 111</t>
  </si>
  <si>
    <t>angger92@gmail.com</t>
  </si>
  <si>
    <t>000166007885 5</t>
  </si>
  <si>
    <t>SMK N 1 Adiwerna</t>
  </si>
  <si>
    <t xml:space="preserve">S1 </t>
  </si>
  <si>
    <t>Sekolah Tinggi Ilmu Manajemen Budi Bakti</t>
  </si>
  <si>
    <t>PKWT-641807163/D1/2020</t>
  </si>
  <si>
    <t>FRISKA NANDA SUSANTA</t>
  </si>
  <si>
    <t>357702680199000 5</t>
  </si>
  <si>
    <t>Perum Griya Salak Blok D/01 RT 49/RW6 Kel. Taman Kec. Taman Kota Madiun</t>
  </si>
  <si>
    <t>0812 4678 2660</t>
  </si>
  <si>
    <t>friska22nanda@gmail.com</t>
  </si>
  <si>
    <t>0000976562807</t>
  </si>
  <si>
    <t>Manajemen Perkeretaapian</t>
  </si>
  <si>
    <t>Politeknik Perkeretaapian Indonesia Madiun</t>
  </si>
  <si>
    <t>Politeknik Perkeretaapian Indonesia</t>
  </si>
  <si>
    <t>DELA OKTAVIANA</t>
  </si>
  <si>
    <t>357702541099000 1</t>
  </si>
  <si>
    <t>Perum Bumi Winongo Indah Blok D.05 RT/RW 029/010, Winongo, Manguharjo, Kota Madiun</t>
  </si>
  <si>
    <t>0858 5367 2033</t>
  </si>
  <si>
    <t>delaoktaviana.do@gmail.com</t>
  </si>
  <si>
    <t>0001276355733</t>
  </si>
  <si>
    <t>Administrasi Bisnis</t>
  </si>
  <si>
    <t>DITA KAROLIN SABELLA</t>
  </si>
  <si>
    <t>351904570599000 1</t>
  </si>
  <si>
    <t>Mranggen, RT/RW 012/003, Ds Joho, Kec. Dagangan, Kab. Madiun</t>
  </si>
  <si>
    <t>0822 2410 1125</t>
  </si>
  <si>
    <t>ditakarolin17@gmail.com</t>
  </si>
  <si>
    <t xml:space="preserve"> 0001410757817</t>
  </si>
  <si>
    <t>Komputer Akuntansi</t>
  </si>
  <si>
    <t>DEVIANA FATKULKHOIR</t>
  </si>
  <si>
    <t>Manajemen Risiko</t>
  </si>
  <si>
    <t>351903510200000 1</t>
  </si>
  <si>
    <t>Purworejo RT/RW 023/003 Ds Purworejo, Geger, Kab. Madiun</t>
  </si>
  <si>
    <t>0815 1525 7802</t>
  </si>
  <si>
    <t>devianafatkulkhoir@gmail.com</t>
  </si>
  <si>
    <t>0000736981648</t>
  </si>
  <si>
    <t>JUNAIDI</t>
  </si>
  <si>
    <t>SK-04/INKA/2022</t>
  </si>
  <si>
    <t>General Manager</t>
  </si>
  <si>
    <t>351903011168000 3</t>
  </si>
  <si>
    <t>Kranggan, RT/ RW 002/001, Kec. Geger, Kab. Madiun</t>
  </si>
  <si>
    <t>0813 3570 2270</t>
  </si>
  <si>
    <t>junaidi@inka.co.id</t>
  </si>
  <si>
    <t>0001127758702</t>
  </si>
  <si>
    <t>93N70014113</t>
  </si>
  <si>
    <t>YUENTIE SOVA P.</t>
  </si>
  <si>
    <t>ZHILAL RATU AQILAH</t>
  </si>
  <si>
    <t>Universitas Muhammadiyah Surakarta</t>
  </si>
  <si>
    <t>INDAH PURWANTI</t>
  </si>
  <si>
    <t>357703410370000 2</t>
  </si>
  <si>
    <t>0001127773708</t>
  </si>
  <si>
    <t>RUSMANTO</t>
  </si>
  <si>
    <t>QORY OLYVIA INDAH R</t>
  </si>
  <si>
    <t>GHAZI AL HAKIM</t>
  </si>
  <si>
    <t>ADIB ARDHIAN</t>
  </si>
  <si>
    <t>1440010312749</t>
  </si>
  <si>
    <t>352105230584000 5</t>
  </si>
  <si>
    <t>Jl Raya Dempel RT/RW 003/005, Dempel, Kec. Geneng, Kab. Ngawi</t>
  </si>
  <si>
    <t>0856 3396 960</t>
  </si>
  <si>
    <t>adib.ardhian@inka.co.id</t>
  </si>
  <si>
    <t>0001128620316</t>
  </si>
  <si>
    <t>05JP0593636</t>
  </si>
  <si>
    <t>ATHI' PURNASARI</t>
  </si>
  <si>
    <t>572603363646000</t>
  </si>
  <si>
    <t>Elektro</t>
  </si>
  <si>
    <t>OKTAVIAN FRANS SANJAYA</t>
  </si>
  <si>
    <t>351909071097000 3</t>
  </si>
  <si>
    <t>Jl Singosari Gg 3 RT/RW 013/003, Manguharjo, Patihan, Kota Madiun</t>
  </si>
  <si>
    <t>0896 7905 2873</t>
  </si>
  <si>
    <t>ofsanjaya@gmail.com</t>
  </si>
  <si>
    <t>000206530560 9</t>
  </si>
  <si>
    <t>PKWT-641810202/D1/2020</t>
  </si>
  <si>
    <t>Lhok Bayu</t>
  </si>
  <si>
    <t>110806280796000 1</t>
  </si>
  <si>
    <t>Dsn Pasi, Ds Keude Bungkaih, Kec Muara Batu, Kab. Aceh Utara</t>
  </si>
  <si>
    <t>0852 8476 8685</t>
  </si>
  <si>
    <t>sauficanser@gmail.com</t>
  </si>
  <si>
    <t>000000307911 3</t>
  </si>
  <si>
    <t>SMA N 2 Kesuma Bangsa Muara Batu</t>
  </si>
  <si>
    <t>PKWT-642002081/D1/2020</t>
  </si>
  <si>
    <t>BIMA RIZKY PRATAMA</t>
  </si>
  <si>
    <t>367108290999000 5</t>
  </si>
  <si>
    <t>Kp Sangiang RT/RW 002/004, Ds Sangiang Jaya, Periuk, Kota Tangerang</t>
  </si>
  <si>
    <t>0896 2269 9228</t>
  </si>
  <si>
    <t>bimarizkyprat@gmail.com</t>
  </si>
  <si>
    <t>000137019943 1</t>
  </si>
  <si>
    <t>SMK N 4 Tangerang</t>
  </si>
  <si>
    <t>PKWT-641907235/D1/2020</t>
  </si>
  <si>
    <t>HARIYANDI</t>
  </si>
  <si>
    <t>327601251295000 3</t>
  </si>
  <si>
    <t>Jl Pemuda Kp Pulo RT/RW 004/008 Cipayung Jaya, Cipayung, Depok</t>
  </si>
  <si>
    <t>harrysoetedja@gmail.com</t>
  </si>
  <si>
    <t>0001646747278</t>
  </si>
  <si>
    <t>EKA SUDARYANTI</t>
  </si>
  <si>
    <t>AZRIL RAFIF MAUZA</t>
  </si>
  <si>
    <t>SMA N Terbuka Kota Depok</t>
  </si>
  <si>
    <t>PKWT-641810195/D1/2020</t>
  </si>
  <si>
    <t>367108020498000 1</t>
  </si>
  <si>
    <t>Griya Merpati Mas Blok C.37 No 11 RT/RW 007/005, Gembor, Periuk, Kota Tangerang</t>
  </si>
  <si>
    <t>0813 1157 5752</t>
  </si>
  <si>
    <t>m.nurismail33@gmail.com</t>
  </si>
  <si>
    <t>0001269841803</t>
  </si>
  <si>
    <t>PKWT-641807166/D1/2020</t>
  </si>
  <si>
    <t>317503300594000 1</t>
  </si>
  <si>
    <t>Jl Prumpung Tengah 4 No. 26 RT/RW 005/005, Jatinegara, Jakarta Timur</t>
  </si>
  <si>
    <t>0812 9257 0172</t>
  </si>
  <si>
    <t>fachriyansah23@gmail.com</t>
  </si>
  <si>
    <t>000176956609 4</t>
  </si>
  <si>
    <t>AUNILLAH</t>
  </si>
  <si>
    <t>ASHILA NAZWA FAZILA</t>
  </si>
  <si>
    <t>ELVINO SHAQUILLE RAYYANKA</t>
  </si>
  <si>
    <t>SMK N 5 Jakarta</t>
  </si>
  <si>
    <t>PKWT-642002083/D1/2020</t>
  </si>
  <si>
    <t>367107180996000 3</t>
  </si>
  <si>
    <t>Bugel Mas Indah Blok C 18 No. 1 RT/RW 004/009, Bugel, Karawaci, Tangerang</t>
  </si>
  <si>
    <t>0895 3316 4199</t>
  </si>
  <si>
    <t>muh.irfan1896@gmail.com</t>
  </si>
  <si>
    <t>0002044655987</t>
  </si>
  <si>
    <t>Teknologi Pesawat Udara</t>
  </si>
  <si>
    <t>SMK N 6 Tangerang</t>
  </si>
  <si>
    <t>PKWT-971900030/D1/2020</t>
  </si>
  <si>
    <t>PRIYOGO SUSILO</t>
  </si>
  <si>
    <t>317205071194000 2</t>
  </si>
  <si>
    <t>Jl Lodan Dalam 26 RT/RW 010/008, Kel Ancol, Kec. Pademangan, Jakarta Utara</t>
  </si>
  <si>
    <t>0896 0101 6894</t>
  </si>
  <si>
    <t>priyogosusilo94@gmail.com</t>
  </si>
  <si>
    <t>000182399504 5</t>
  </si>
  <si>
    <t>SMK N 56 Jakarta</t>
  </si>
  <si>
    <t>PKWT-642109114/D1/2020</t>
  </si>
  <si>
    <t>RIZKI KURNIAWAN</t>
  </si>
  <si>
    <t>352109271197000 1</t>
  </si>
  <si>
    <t>Ngawi, RT/RW 002/003, Ngawi, Kab. Ngawi</t>
  </si>
  <si>
    <t>0815 5968 8944</t>
  </si>
  <si>
    <t>riskyk390@gmail.com</t>
  </si>
  <si>
    <t>000247098242 2</t>
  </si>
  <si>
    <t>SMK PGRI 1 Ngawi</t>
  </si>
  <si>
    <t>PKWT-641807170/D1/2020</t>
  </si>
  <si>
    <t>SANDY MAHESTA</t>
  </si>
  <si>
    <t>317204090694000 5</t>
  </si>
  <si>
    <t>JL. Kalibaru Barat IX No.11 RT.005/RW.05 Kel.Kalibaru, Kec.Cilincing Jakarta Utara</t>
  </si>
  <si>
    <t>0896 6229 5275</t>
  </si>
  <si>
    <t>sandymahesta@gmail.com</t>
  </si>
  <si>
    <t>000163633996 1</t>
  </si>
  <si>
    <t>FARSYAN GHIFARI ALFATIH</t>
  </si>
  <si>
    <t>Teknik Komputer dan Informatika</t>
  </si>
  <si>
    <t>SMK N 36 Jakarta</t>
  </si>
  <si>
    <t>PKWT-642109118/D1/2020</t>
  </si>
  <si>
    <t>TUBAGUS VIKRY ISKANDAR ACHMAD</t>
  </si>
  <si>
    <t>317406220296000 3</t>
  </si>
  <si>
    <t>Komp BBD Blok B.II/27 RT/RW 003/003, Ciganjur, Jagakarsa, Jakarta Selatan</t>
  </si>
  <si>
    <t>0812 7222 2484</t>
  </si>
  <si>
    <t>tubagus.vikry22@gmail.com</t>
  </si>
  <si>
    <t>000196622970 6</t>
  </si>
  <si>
    <t>INAYATUL MAULA</t>
  </si>
  <si>
    <t>TUBAGUS MAGIKA KHAIRRAZKY ACHMAD</t>
  </si>
  <si>
    <t xml:space="preserve">SMK Bunda Kandung </t>
  </si>
  <si>
    <t>PKWT-642109111/D1/2020</t>
  </si>
  <si>
    <t>JERI APDI SAPUTRA</t>
  </si>
  <si>
    <t>130504030498000 3</t>
  </si>
  <si>
    <t>Kandang Ampek, Guguak, Kec 2 X 11 Kayutanam</t>
  </si>
  <si>
    <t>0852 6368 5564</t>
  </si>
  <si>
    <t>jeriapdisaputra@gmail.com</t>
  </si>
  <si>
    <t>000142430355 9</t>
  </si>
  <si>
    <t>PKWT-641810181/D1/2020</t>
  </si>
  <si>
    <t>FUAD BAWAZIR</t>
  </si>
  <si>
    <t>351903200498000 2</t>
  </si>
  <si>
    <t>Ds Jatisari RT/RW 034/007, Kec. Geger, Kab. Madiun</t>
  </si>
  <si>
    <t>08957 0326 0309</t>
  </si>
  <si>
    <t>fuadbawazir900@gmail.com</t>
  </si>
  <si>
    <t>000170564358 3</t>
  </si>
  <si>
    <t>Teknik Kimia</t>
  </si>
  <si>
    <t>SMK Kimia Mudda Madiun</t>
  </si>
  <si>
    <t>PKWT-641907239/D1/2020</t>
  </si>
  <si>
    <t>REZALDHY ERLANGGA</t>
  </si>
  <si>
    <t>350209181298000 1</t>
  </si>
  <si>
    <t>Jl Sunan Bonang RT/RW 003/002 Siman, Ponorogo</t>
  </si>
  <si>
    <t>0822 3521 8116</t>
  </si>
  <si>
    <t>joyaerlangga@gmail.com</t>
  </si>
  <si>
    <t>000188830352 2</t>
  </si>
  <si>
    <t>AMMAR NURI SULASTINO</t>
  </si>
  <si>
    <t>352005221197000 3</t>
  </si>
  <si>
    <t>Mojorejo, RT/RW 001/001, Kel Mojorejo, Kawedanan, Kab. Magetan</t>
  </si>
  <si>
    <t>0856 4665 4330</t>
  </si>
  <si>
    <t>ammarnuris46@gmail.com</t>
  </si>
  <si>
    <t>000206527039 7</t>
  </si>
  <si>
    <t>ANDI BAYU SAPUTRA</t>
  </si>
  <si>
    <t>Las</t>
  </si>
  <si>
    <t>351901150595000 2</t>
  </si>
  <si>
    <t>Dusun Gantrung, RT/RW 013/007, Mojorejo, Kebonsari, Kab. Madiun</t>
  </si>
  <si>
    <t>0822 2935 1310</t>
  </si>
  <si>
    <t>andibayusaputra491@gmail.com</t>
  </si>
  <si>
    <t>000261848583 9</t>
  </si>
  <si>
    <t>AWANG TUNGGAL DIA SAPUTRA</t>
  </si>
  <si>
    <t>357701250598000 4</t>
  </si>
  <si>
    <t>Jl Jenggolo Sakti No. 7 RT/RW 021/005, Kec. Kelun, Kota Madiun</t>
  </si>
  <si>
    <t>0895 6334 76677</t>
  </si>
  <si>
    <t>maskusman9@gmail.com</t>
  </si>
  <si>
    <t>0002631594352</t>
  </si>
  <si>
    <t>BAGAS EKO PRASTYO</t>
  </si>
  <si>
    <t>351908010298000 1</t>
  </si>
  <si>
    <t>Dimong, Kopen RT/RW 014/02 Kec. Madiun, Kab. Madiun</t>
  </si>
  <si>
    <t>0897 4640 370</t>
  </si>
  <si>
    <t>bagaseko988@gmail.com</t>
  </si>
  <si>
    <t>000206531905 4</t>
  </si>
  <si>
    <t>DAVID DWI PRAKOSO</t>
  </si>
  <si>
    <t>357703041297000 1</t>
  </si>
  <si>
    <t>Jl Sengkolo RT/RW 026/009, Kel. Josenan, Kec. Taman, Kota Madiun</t>
  </si>
  <si>
    <t>0859 2601 3458</t>
  </si>
  <si>
    <t>davidprakosodwi@gmail.com</t>
  </si>
  <si>
    <t>0001826069229</t>
  </si>
  <si>
    <t>350724140198000 3</t>
  </si>
  <si>
    <t>Perum Istana Bedali Agung AC-07 RT/RW 006/012, Lawang, Kab. Malang</t>
  </si>
  <si>
    <t>0822 2898 7235</t>
  </si>
  <si>
    <t>sandimannur@gmail.com</t>
  </si>
  <si>
    <t>000128517654 3</t>
  </si>
  <si>
    <t>SMK N 1 Singosari Malang</t>
  </si>
  <si>
    <t>PKWT-641810196/D1/2020</t>
  </si>
  <si>
    <t>YOGA ADI PRATAMA</t>
  </si>
  <si>
    <t>352005120798000 2</t>
  </si>
  <si>
    <t>Mojorejo, RT/RW 005/001, Kel Mojorejo, Kawedanan, Kab. Magetan</t>
  </si>
  <si>
    <t>0856 0761 1480</t>
  </si>
  <si>
    <t>yogaadipratama12391@gmail.com</t>
  </si>
  <si>
    <t>000104552949 3</t>
  </si>
  <si>
    <t>PKWT-642002074/D1/2020</t>
  </si>
  <si>
    <t>FAIZ NIZAMUDIN</t>
  </si>
  <si>
    <t>351904140798000 5</t>
  </si>
  <si>
    <t>Dagangan, RT/RW 012/005, Kel. Dagangan, Kec. Dagangan, Kab. Madiun</t>
  </si>
  <si>
    <t>0813 5726 6935</t>
  </si>
  <si>
    <t>faiznizam1998@gmail.com</t>
  </si>
  <si>
    <t>000206526763 1</t>
  </si>
  <si>
    <t>ASEP SAEPUL MUGNI</t>
  </si>
  <si>
    <t>Karawang</t>
  </si>
  <si>
    <t>321608200290000 4</t>
  </si>
  <si>
    <t>Kp. Rawa Citra, Ds Telaga Asih RT/RW 001/003 Kec. Cikarang Barat, Kab. Bekasi</t>
  </si>
  <si>
    <t>0812 1541 1983</t>
  </si>
  <si>
    <t>asepsaepulmugni@gmail.com</t>
  </si>
  <si>
    <t>000180522139 4</t>
  </si>
  <si>
    <t>PKWT-642201174/D1/2020</t>
  </si>
  <si>
    <t>ALDHEO RACKA NARENDRA</t>
  </si>
  <si>
    <t>357701121197000 1</t>
  </si>
  <si>
    <t>Jl Kenongo No 2, Oro-Oro Ombo, Kota Madiun</t>
  </si>
  <si>
    <t>0821 3909 4678</t>
  </si>
  <si>
    <t>rakaaldeo@gmail.com</t>
  </si>
  <si>
    <t>0000786438191</t>
  </si>
  <si>
    <t>PKWT-641810197/D1/2020</t>
  </si>
  <si>
    <t>PRIMA LESTIAN HERLAMBANG</t>
  </si>
  <si>
    <t>357701171098000 1</t>
  </si>
  <si>
    <t>Jl Bina Jaya No 10, Kartoharjo, Kota Madiun</t>
  </si>
  <si>
    <t>0812 3564 0588</t>
  </si>
  <si>
    <t>primalestian17@gmail.com</t>
  </si>
  <si>
    <t>000170481105 9</t>
  </si>
  <si>
    <t>PKWT-641907247/D1/2020</t>
  </si>
  <si>
    <t>HUDA BARANTO</t>
  </si>
  <si>
    <t>330123290185000 1</t>
  </si>
  <si>
    <t>Perum Graha Kirana I Blok C 12, Winongo, Madiun</t>
  </si>
  <si>
    <t>'+62 811-3304-317</t>
  </si>
  <si>
    <t>hudabaranto@gmail.com</t>
  </si>
  <si>
    <t>0001134437229</t>
  </si>
  <si>
    <t>ERVINA KUSUMAWARDANI</t>
  </si>
  <si>
    <t>ANDARA HALWATUNNISA</t>
  </si>
  <si>
    <t>ABHINAYA SYAHRIZKY RAMADHAN</t>
  </si>
  <si>
    <t>167106300497000 6</t>
  </si>
  <si>
    <t>Jl Bendungan Lr Fotografi  2070 RT/RW 23/07 Ilir Timur II, Palembang</t>
  </si>
  <si>
    <t>0821 4757 9471</t>
  </si>
  <si>
    <t>yasirwoyo0@gmail.com</t>
  </si>
  <si>
    <t>000267176324 2</t>
  </si>
  <si>
    <t>Polteknik Negeri Sriwijaya</t>
  </si>
  <si>
    <t>PKWT-642109113/D1/2020</t>
  </si>
  <si>
    <t>130504090393000 1</t>
  </si>
  <si>
    <t>Ps Gelombang Kayutanam, Padang Pariaman</t>
  </si>
  <si>
    <t>0831 8094 9484</t>
  </si>
  <si>
    <t>randuariandi@gmail.com</t>
  </si>
  <si>
    <t>000027525482 8</t>
  </si>
  <si>
    <t xml:space="preserve">	23009096720</t>
  </si>
  <si>
    <t>SMKS Karya Padang Panjang</t>
  </si>
  <si>
    <t>PKWT-641808174/D1/2020</t>
  </si>
  <si>
    <t>357101290397000 1</t>
  </si>
  <si>
    <t>Jl Lintasan No 2 RT/RW 17/05, Mojoroto, Kediri</t>
  </si>
  <si>
    <t>0857 0898 3990</t>
  </si>
  <si>
    <t>setiomituhu@gmail.com</t>
  </si>
  <si>
    <t>000209463351 6</t>
  </si>
  <si>
    <t>PKWT-642101094/D1/2020</t>
  </si>
  <si>
    <t>357703150497000 2</t>
  </si>
  <si>
    <t>Jl Tapas Sari 1 Manisrejo, Madiun</t>
  </si>
  <si>
    <t>0895 3960 25925</t>
  </si>
  <si>
    <t>bimotriprakoso003@gmail.com</t>
  </si>
  <si>
    <t>000170335198 1</t>
  </si>
  <si>
    <t>Elektronika</t>
  </si>
  <si>
    <t>PKWT-642007090/D1/2020</t>
  </si>
  <si>
    <t>352013140997000 2</t>
  </si>
  <si>
    <t>Karangrejo RT/RW 02/02, Magetan</t>
  </si>
  <si>
    <t>0812 3517 2326</t>
  </si>
  <si>
    <t>marselodwilaksono@gmail.com</t>
  </si>
  <si>
    <t>000206526985 7</t>
  </si>
  <si>
    <t>SMK Penerbangan Iswahjudi</t>
  </si>
  <si>
    <t>PKWT-642102105/D1/2020</t>
  </si>
  <si>
    <t>357701110102000 1</t>
  </si>
  <si>
    <t>Jl Sri Sedani No 1 RT/RW 05/02, Kelun, Kartoharjo, Madiun</t>
  </si>
  <si>
    <t>0896 7871 0820</t>
  </si>
  <si>
    <t>mrkeren398@gmail.com</t>
  </si>
  <si>
    <t>0001704781574</t>
  </si>
  <si>
    <t>PKWT-642007089/D1/2020</t>
  </si>
  <si>
    <t>Gunung Kidul</t>
  </si>
  <si>
    <t>340314200401000 3</t>
  </si>
  <si>
    <t>Pondok, RT/RW 006/001, Sampang, Gunung Kidul</t>
  </si>
  <si>
    <t>0882 1654 4176</t>
  </si>
  <si>
    <t>widhimusliqim20@gmail.com</t>
  </si>
  <si>
    <t>000103539096 9</t>
  </si>
  <si>
    <t>SMK N 1 Gantiwarno</t>
  </si>
  <si>
    <t>SMKN 1 Gantiwarno</t>
  </si>
  <si>
    <t>PKWT-642102106/D1/2020</t>
  </si>
  <si>
    <t>357703200894000 2</t>
  </si>
  <si>
    <t>Jl Puntuk 148 RT/RW 002/001, Kejuron, Taman, Madiun</t>
  </si>
  <si>
    <t>0857 4635 6390</t>
  </si>
  <si>
    <t>mdonyanggoro@gmail.com</t>
  </si>
  <si>
    <t>000164560905 9</t>
  </si>
  <si>
    <t>PKWT-642102103/D1/2020</t>
  </si>
  <si>
    <t>DENDEN AGUNG PRASTYA</t>
  </si>
  <si>
    <t>Samarinda</t>
  </si>
  <si>
    <t>352017031198000 2</t>
  </si>
  <si>
    <t>Ds Simbatan RT/RW 004/001, Nguntoronadi, Magetan</t>
  </si>
  <si>
    <t>0821 4156 2114</t>
  </si>
  <si>
    <t>dendenagung59@gmail.com</t>
  </si>
  <si>
    <t>000206530520 5</t>
  </si>
  <si>
    <t>PKWT-642102104/D1/2020</t>
  </si>
  <si>
    <t>352006080199000 2</t>
  </si>
  <si>
    <t>Ds Baron RT/RW 01/04, Magetan</t>
  </si>
  <si>
    <t>0857 9082 4102</t>
  </si>
  <si>
    <t>alfiannoer2018@gmail.com</t>
  </si>
  <si>
    <t>000292012775 8</t>
  </si>
  <si>
    <t>Teknologi Mekanika Perkeretaapian</t>
  </si>
  <si>
    <t>PKWT-971900031/D1/2020</t>
  </si>
  <si>
    <t>ALVIAN KRISETIAWAN</t>
  </si>
  <si>
    <t>352011140598000 2</t>
  </si>
  <si>
    <t>Gambiran RT/RW 15/03, Maospati, Magetan</t>
  </si>
  <si>
    <t>0858 1210 8458</t>
  </si>
  <si>
    <t>krisetiawanalfian@gmail.com</t>
  </si>
  <si>
    <t>000073967565 3</t>
  </si>
  <si>
    <t>PKWT-642002085/D1/2020</t>
  </si>
  <si>
    <t>357702251001000 1</t>
  </si>
  <si>
    <t>Jl Wirobumi 44 RT/RW 006/002 Winongo, Madiun</t>
  </si>
  <si>
    <t>0822 6439 2633</t>
  </si>
  <si>
    <t>erwinbagus2608@gmail.com</t>
  </si>
  <si>
    <t>000073655171 8</t>
  </si>
  <si>
    <t>PKWT-641907259/D1/2020</t>
  </si>
  <si>
    <t>WAHYU BAGUS KUSUMA</t>
  </si>
  <si>
    <t>351903290698000 3</t>
  </si>
  <si>
    <t>Jl Kantil RT/RW 15/03, Klorogan, Gegeer, Madiun</t>
  </si>
  <si>
    <t>0858 5444 8048</t>
  </si>
  <si>
    <t>wahyubaguskusuma3@gmail.com</t>
  </si>
  <si>
    <t>000141082208 8</t>
  </si>
  <si>
    <t>PKWT-642105110/D1/2020</t>
  </si>
  <si>
    <t>357304170300000 2</t>
  </si>
  <si>
    <t>Nglanduk RT/RW 003/001, Wungu, Madiun</t>
  </si>
  <si>
    <t>0858 444 2478</t>
  </si>
  <si>
    <t>yoiraw@gmail.com</t>
  </si>
  <si>
    <t>000011120306 5</t>
  </si>
  <si>
    <t>PKWT-642001027/D1/2020</t>
  </si>
  <si>
    <t>ADITIA RIANTO</t>
  </si>
  <si>
    <t>327503271087001 3</t>
  </si>
  <si>
    <t>Pondok Ungu Permai D21/18, Kaliabang Tengah, Bekasi Utara, Kota Bekasi</t>
  </si>
  <si>
    <t>'+62 813-2229-4984</t>
  </si>
  <si>
    <t>aditia.rianto@inka.co.id</t>
  </si>
  <si>
    <t>0001874583505</t>
  </si>
  <si>
    <t>MIMI KADARMI</t>
  </si>
  <si>
    <t>FEISYA ZAFIRA KHANSA</t>
  </si>
  <si>
    <t>574104410407000</t>
  </si>
  <si>
    <t>Universitas Muhammadiyah Jakarta</t>
  </si>
  <si>
    <t>YUSUF BAKTIAR</t>
  </si>
  <si>
    <t>352104180203000 2</t>
  </si>
  <si>
    <t>Dsn Bugel RT/RW 002/004, Karangrejo, Kec. Kendal, Ngawi</t>
  </si>
  <si>
    <t>0857 0496 5359</t>
  </si>
  <si>
    <t>yusufbaktiar508@gmail.com</t>
  </si>
  <si>
    <t>000074086584 6</t>
  </si>
  <si>
    <t>SMK Yosonegoro Magetan</t>
  </si>
  <si>
    <t>PKWT-642201173/D1/2020</t>
  </si>
  <si>
    <t>TRUSTHA ASHAR RAMADHAN</t>
  </si>
  <si>
    <t>351907141299000 6</t>
  </si>
  <si>
    <t>Jl Pucang Anom 24 RT/RW 011/004, Manisrejo, Taman, Madiun</t>
  </si>
  <si>
    <t>0878 2786 9485</t>
  </si>
  <si>
    <t>ashartrustha@gmail.com</t>
  </si>
  <si>
    <t>0003064164478</t>
  </si>
  <si>
    <t>PKWT-642201149/D1/2020</t>
  </si>
  <si>
    <t>INGGIT WAHYU AFRIAN</t>
  </si>
  <si>
    <t>352004220499000 1</t>
  </si>
  <si>
    <t>Ds Kepuhrejo RT/RW 16/02, Takeran, Magetan</t>
  </si>
  <si>
    <t>Inggitaprian22@gmail.com</t>
  </si>
  <si>
    <t>000216120568 4</t>
  </si>
  <si>
    <t>PKWT-641810205/D1/2020</t>
  </si>
  <si>
    <t>REYVALDO BRAHMANA CHRISANDY</t>
  </si>
  <si>
    <t>357702280802000 2</t>
  </si>
  <si>
    <t>Jl Singosari RT/RW 10/04, Manguharjo, Madiun</t>
  </si>
  <si>
    <t>reychrist28@gmail.com</t>
  </si>
  <si>
    <t>000010200784 4</t>
  </si>
  <si>
    <t>PKWT-642307136/D1/2020</t>
  </si>
  <si>
    <t>THESA ARY SANDY</t>
  </si>
  <si>
    <t>351816650400000 3</t>
  </si>
  <si>
    <t>Mojorembun, RT/RW 003/001, Rejoso, Nganjuk</t>
  </si>
  <si>
    <t>0812 4961 2150</t>
  </si>
  <si>
    <t>Thesaary22@gmail.com</t>
  </si>
  <si>
    <t>0000109351225</t>
  </si>
  <si>
    <t>Manajemen Transportasi Perkeretaapian</t>
  </si>
  <si>
    <t>REKA PATRIA RAFLYLIANTO</t>
  </si>
  <si>
    <t>330122140701000 3</t>
  </si>
  <si>
    <t>JL.Sengon No 41 Rt 002 Rw 004 Kel. Tritih Kulon Kec. Cilacap Utara Kab. Cilacap, Jawa Tengah</t>
  </si>
  <si>
    <t>0814 6672 8285</t>
  </si>
  <si>
    <t>rekapatriaraf@gmail.com</t>
  </si>
  <si>
    <t>0001097627332</t>
  </si>
  <si>
    <t>DIAZ PRABA YUDISTIRA</t>
  </si>
  <si>
    <t>327507200201000 9</t>
  </si>
  <si>
    <t>Kp. Ciketing Barat RT/RW 001/003, Ciketing Udik, Bantargebang, Bekasi, Jawa Barat, 17153</t>
  </si>
  <si>
    <t>0821 3033 7702</t>
  </si>
  <si>
    <t>diazyudis01@gmail.com</t>
  </si>
  <si>
    <t>0001159255337</t>
  </si>
  <si>
    <t xml:space="preserve">23009096761	</t>
  </si>
  <si>
    <t>ALDIF REZA PRIATAMA</t>
  </si>
  <si>
    <t>Pacitan</t>
  </si>
  <si>
    <t>350111150201000 1</t>
  </si>
  <si>
    <t>RT 02 RW 01 Dusun Nawangan Desa Bogoharjo Kec Ngadirojo Kabupaten Pacitan</t>
  </si>
  <si>
    <t>0812 1723 8806</t>
  </si>
  <si>
    <t>aldifreza1015@gmail.com</t>
  </si>
  <si>
    <t>0000104090635</t>
  </si>
  <si>
    <t>ALI OKTAVIAN HANDOKO</t>
  </si>
  <si>
    <t>320113031000000 5</t>
  </si>
  <si>
    <t>Perumahan Green Hill Blok C12, RT 42 RW 06, Jiwan-Bagag , Kab Madiun, Jawa Timur</t>
  </si>
  <si>
    <t>0857 2723 8120</t>
  </si>
  <si>
    <t>alioktavian0@gmail.com</t>
  </si>
  <si>
    <t>0000038843919</t>
  </si>
  <si>
    <t>ARI IRAWAN</t>
  </si>
  <si>
    <t>351906270400000 1</t>
  </si>
  <si>
    <t>JL.MJ SUNGKONO GG BULU 1 No 16 RT 59 RW 14 NAMBANGAN LOR, MANGUHARJO KOTA MADIUN</t>
  </si>
  <si>
    <t>0815 5095 165</t>
  </si>
  <si>
    <t>ari416991@gmail.com</t>
  </si>
  <si>
    <t>0002891691854</t>
  </si>
  <si>
    <t>YOLANDHA ERHASYA TALITAFANI</t>
  </si>
  <si>
    <t>351915710701000 1</t>
  </si>
  <si>
    <t>Jl. Alang-Alang RT/RW 020/008, Demangan, Taman, Kota Madiun</t>
  </si>
  <si>
    <t>0821 4299 0566</t>
  </si>
  <si>
    <t>yolandhaerhasyatalitafani@gmail.com</t>
  </si>
  <si>
    <t>0001170766967</t>
  </si>
  <si>
    <t>ZA'IM NAUFAL HABIB</t>
  </si>
  <si>
    <t>352110311200000 5</t>
  </si>
  <si>
    <t>Dsn.Blimbing, RT02/RW02, Ds.Dawu, Kec.Paron, Kab.Ngawi</t>
  </si>
  <si>
    <t>0895 6275 71444</t>
  </si>
  <si>
    <t>zaimh291@gmail.com</t>
  </si>
  <si>
    <t>0000210130031</t>
  </si>
  <si>
    <t>Teknologi Bangunan dan Jalur Perkeretaapian</t>
  </si>
  <si>
    <t>350102060898000 3</t>
  </si>
  <si>
    <t>Rt 02 Rw 03 Dusun Bethulo, Desa Bagunsari, Kec.Pacitan, Kab.Pacitan, Jawa Timur</t>
  </si>
  <si>
    <t>0858 5024 4699</t>
  </si>
  <si>
    <t>Fsamkiller@gmail.con</t>
  </si>
  <si>
    <t>0003260903771</t>
  </si>
  <si>
    <t>ANGGITANA SUSIACCA PRIMA PUTRA</t>
  </si>
  <si>
    <t>Kota Madiun</t>
  </si>
  <si>
    <t>357702180898000 1</t>
  </si>
  <si>
    <t>Jalan Puspowarno No. 33 RT. 10 RW. 04 Kelurahan Sogaten, Kecamatan Manguharjo, Kota Madiun</t>
  </si>
  <si>
    <t>0856 4916 9466</t>
  </si>
  <si>
    <t>anggitspenza@gmail.com</t>
  </si>
  <si>
    <t>PBI</t>
  </si>
  <si>
    <t>YOGA WICAKSANA</t>
  </si>
  <si>
    <t>352010230899000 1</t>
  </si>
  <si>
    <t>RT 06/RW 02 Desa Kledokan, Kec. Bendo, Kab. Magetan, Jawa Timur</t>
  </si>
  <si>
    <t>0895 2326 2939</t>
  </si>
  <si>
    <t>yogawicaksana34@gmail.com</t>
  </si>
  <si>
    <t>0002202501429</t>
  </si>
  <si>
    <t>AKBAR WILDHAN PRIBADI</t>
  </si>
  <si>
    <t>Mojokerto</t>
  </si>
  <si>
    <t>351610130300000 2</t>
  </si>
  <si>
    <t>Ds Bangsal RT 10 RW 02 Kecamatan Bangsal Kabupaten Mojokerto Jawa Timur</t>
  </si>
  <si>
    <t>0817 7985 6302</t>
  </si>
  <si>
    <t>akbaraae@gmail.com</t>
  </si>
  <si>
    <t>0000196151062</t>
  </si>
  <si>
    <t>MAULANA JIHAN ALFANA</t>
  </si>
  <si>
    <t>331615240901000 1</t>
  </si>
  <si>
    <t>Ds.Bogorejo,Kec.Bogorejo, Rt1/Rw2, Kab.Blora, Prov. Jawa Tengah Kode Pos 58262</t>
  </si>
  <si>
    <t>0858 2633 9569</t>
  </si>
  <si>
    <t>maulanaj136@gmail.com</t>
  </si>
  <si>
    <t>0000091680502</t>
  </si>
  <si>
    <t>GIGIH CAHYO PAMUNGKAS</t>
  </si>
  <si>
    <t>351005240801000 4</t>
  </si>
  <si>
    <t>Mangunrejo, RT 4 RW 4, Blambangan , Muncar, Banyuwangi</t>
  </si>
  <si>
    <t>0823 0170 1816</t>
  </si>
  <si>
    <t>cgigih7@gmail.com</t>
  </si>
  <si>
    <t>0001302796462</t>
  </si>
  <si>
    <t>AZIS FARISI PRAMUJOTO</t>
  </si>
  <si>
    <t>120702280596000 2</t>
  </si>
  <si>
    <t>Jl. Jamkasari RT/RW 002/001, Demangan, Siman, Ponorogo</t>
  </si>
  <si>
    <t>0819 3911 2171</t>
  </si>
  <si>
    <t>azisfarisi28@2gmail.com</t>
  </si>
  <si>
    <t>0003502270798</t>
  </si>
  <si>
    <t>Teknik Permesinan Kapal</t>
  </si>
  <si>
    <t>Politeknik Perkapalan Negeri Surabaya</t>
  </si>
  <si>
    <t>HENDRA HERMANTO</t>
  </si>
  <si>
    <t>321714010885000 9</t>
  </si>
  <si>
    <t>Kp. Pangkalan RT/RW 02/02, Cikadu, Sindangkertam Kab. Bandung Barat</t>
  </si>
  <si>
    <t>0881 0235 88121</t>
  </si>
  <si>
    <t>hendrahermanto240@gmail.com</t>
  </si>
  <si>
    <t>0001660080587</t>
  </si>
  <si>
    <t>RESMIATI</t>
  </si>
  <si>
    <t>ADLI WIGUNA HERMANTO</t>
  </si>
  <si>
    <t>ALFI KUSHALA HERMANTO</t>
  </si>
  <si>
    <t>SMK Mahardhika Batujajar</t>
  </si>
  <si>
    <t>187110041099000 6</t>
  </si>
  <si>
    <t>Jl Nunyai Blok C 31A, Rajabasa Nunyai, Rajabasa</t>
  </si>
  <si>
    <t>0896 3035 5475</t>
  </si>
  <si>
    <t>mbayudirgantara@gmail.com</t>
  </si>
  <si>
    <t>0003312855167</t>
  </si>
  <si>
    <t>Universitas Lampung</t>
  </si>
  <si>
    <t>ALISA CITRA FATMAWATI</t>
  </si>
  <si>
    <t>352004450301000 1</t>
  </si>
  <si>
    <t>Dsn Bendo RT/RW 14/03, Kuwonharjo, Takeran Magetan</t>
  </si>
  <si>
    <t>0852 3513 0174</t>
  </si>
  <si>
    <t>alisacitra42@gmail.com</t>
  </si>
  <si>
    <t>0002877702524</t>
  </si>
  <si>
    <t>Teknik Manajemen Lingkungan</t>
  </si>
  <si>
    <t>Institut Pertanian Bogor</t>
  </si>
  <si>
    <t>ARIF MUHAIMIN</t>
  </si>
  <si>
    <t>350216280870000 2</t>
  </si>
  <si>
    <t>Jl Tunggal Asri 002/001 , Bareng, Babadan, Kab Ponorogo</t>
  </si>
  <si>
    <t>+62 878-3610-0987</t>
  </si>
  <si>
    <t>arif.muhaimin@inka.co.id</t>
  </si>
  <si>
    <t>0001127773596</t>
  </si>
  <si>
    <t>95N70012716</t>
  </si>
  <si>
    <t>ATIQ WIRAWATI</t>
  </si>
  <si>
    <t>a1</t>
  </si>
  <si>
    <t>a2</t>
  </si>
  <si>
    <t>a3</t>
  </si>
  <si>
    <t>REZA DENNYZA SATRIAWAN</t>
  </si>
  <si>
    <t>1710001043952</t>
  </si>
  <si>
    <t>SK-53/INKA/2023</t>
  </si>
  <si>
    <t>3573050302900002</t>
  </si>
  <si>
    <t>Citra Puri Kalingga B3, Ngegong, Manguharjo</t>
  </si>
  <si>
    <t>085933038348</t>
  </si>
  <si>
    <t>reza.dennyza@inka.co.id</t>
  </si>
  <si>
    <t>0000111659848</t>
  </si>
  <si>
    <t>751464348652000</t>
  </si>
  <si>
    <t>Univ. Ma Chung Malang</t>
  </si>
  <si>
    <t>ETIN KURNIATIN</t>
  </si>
  <si>
    <t>1440011407159</t>
  </si>
  <si>
    <t>SK-63/INKA/2023</t>
  </si>
  <si>
    <t>Ciamis</t>
  </si>
  <si>
    <t>JL. Argo Manis IB NO. 21, Manisrejo, Taman</t>
  </si>
  <si>
    <t>08113484466</t>
  </si>
  <si>
    <t>etin.kurniatin@inka.co.id</t>
  </si>
  <si>
    <t>0001203007318</t>
  </si>
  <si>
    <t>WISNU MELIANTO</t>
  </si>
  <si>
    <t>887290443621000</t>
  </si>
  <si>
    <t>Administrasi Negara</t>
  </si>
  <si>
    <t>Univ. Brawijaya</t>
  </si>
  <si>
    <t>ILHAM YUSUF TRIHARDIAN</t>
  </si>
  <si>
    <t>Pemeriksa Sarana</t>
  </si>
  <si>
    <t>350104231100000 5</t>
  </si>
  <si>
    <t>Jl.Kanjeng Jimat No.21 Rt.01 Rw.01 Pacitan Jawa Timur</t>
  </si>
  <si>
    <t>ilhamyusuf2727@gmail.com</t>
  </si>
  <si>
    <t>0001964403213</t>
  </si>
  <si>
    <t>330610130200000 2</t>
  </si>
  <si>
    <t>Desa Sumbersari, Kec. Butuh, Kab. Purworejo, Jawa Tengah</t>
  </si>
  <si>
    <t>muhlintangarafi@gmail.com</t>
  </si>
  <si>
    <t>0003045326668</t>
  </si>
  <si>
    <t>357829140499000 2</t>
  </si>
  <si>
    <t>Jl. Bambang Sutoro No. 2 RT 001 RW 005 Sukolilo Baru, Bulak</t>
  </si>
  <si>
    <t>riski.takul90@gmail.com</t>
  </si>
  <si>
    <t>0001110557529</t>
  </si>
  <si>
    <t>351606130499000 3</t>
  </si>
  <si>
    <t>Jl. Brawijaya No.34 RT001/RW001 Bedagas, Tunggalpager, Pu</t>
  </si>
  <si>
    <t>anariqbal@gmail.com</t>
  </si>
  <si>
    <t>0000098536948</t>
  </si>
  <si>
    <t>DIKI WAHYO AROBI</t>
  </si>
  <si>
    <t>Brumbung RT 03 RW 05 Krakitan, Bayat, Klaten, Jawa Tengah</t>
  </si>
  <si>
    <t>dikifmls07@gmail.com</t>
  </si>
  <si>
    <t>DONI IGO MURTI WARDANA</t>
  </si>
  <si>
    <t>Lumajang</t>
  </si>
  <si>
    <t>350803100698001 1</t>
  </si>
  <si>
    <t>Jl. Lintas Selatan RT23/RW03 Krajan, Jarit, Candipuro, Lumajang</t>
  </si>
  <si>
    <t>62 851-5966-5249</t>
  </si>
  <si>
    <t>igo.murti@gmail.com</t>
  </si>
  <si>
    <t>0001106453182</t>
  </si>
  <si>
    <t>DWI WAHYU PUJIANTO</t>
  </si>
  <si>
    <t>352110300499000 1</t>
  </si>
  <si>
    <t>RT/RW 08/01, Dsn. Ngale, Ds. Ngale, Kec. Paron, Ngawi</t>
  </si>
  <si>
    <t>62 878-3628-4099</t>
  </si>
  <si>
    <t>dwiwahyupujianto4@gmail.com</t>
  </si>
  <si>
    <t>0002376487258</t>
  </si>
  <si>
    <t>DAFFA 'ALIFFYANSYAH</t>
  </si>
  <si>
    <t>330224061001000 2</t>
  </si>
  <si>
    <t>Jalan Waru V No.58 RT 002 RW 008 Kel. Tanjung, Kec. Purwokerto Selatan, Jawa Tengah</t>
  </si>
  <si>
    <t>62 896-5384-4475</t>
  </si>
  <si>
    <t>aliffyansyah.tmp20203131@taruna.ppi.ac.id</t>
  </si>
  <si>
    <t>0001477970201</t>
  </si>
  <si>
    <t>KHODIRIS SALAM</t>
  </si>
  <si>
    <t>Demak</t>
  </si>
  <si>
    <t>332101010702000 7</t>
  </si>
  <si>
    <t>Dusun Dolog, Desa Kembangarum, RT/RW 003/004, Kec. Mranggen, Kab. Demak, Jateng</t>
  </si>
  <si>
    <t>62 896-7003-0847</t>
  </si>
  <si>
    <t>khodirisslam@gmail.com</t>
  </si>
  <si>
    <t>0002920103965</t>
  </si>
  <si>
    <t>BERTO BACHTIAR</t>
  </si>
  <si>
    <t>357806220801000 3</t>
  </si>
  <si>
    <t>Kendangsari Gg 2 No 46-B, Kec. Tenggilis Mejoyo, Kota Surabaya</t>
  </si>
  <si>
    <t>62 899-3794-825</t>
  </si>
  <si>
    <t>bjr191@gmail.com</t>
  </si>
  <si>
    <t>0001616056525</t>
  </si>
  <si>
    <t>TITO PETRICK</t>
  </si>
  <si>
    <t>321622080502000 8</t>
  </si>
  <si>
    <t>Perumahan Mutiara Bekasi Jaya Blok L14 No 60 RT 006 RW 009 Desa Sindangmulya Kecamatan Cibarusah Kabupaten Bekasi Jawa Barat</t>
  </si>
  <si>
    <t>62 815-1113-1873</t>
  </si>
  <si>
    <t>totisihotang12@gmail.com</t>
  </si>
  <si>
    <t>350104010102000 6</t>
  </si>
  <si>
    <t>RW 02, RW 06, Desa Kayen, Kecamatan Pacitan, Kabupaten Pacitan, Provinsi Jawa Timur</t>
  </si>
  <si>
    <t>62 851-7521-1815</t>
  </si>
  <si>
    <t>muhammadvilla89@gmail.com</t>
  </si>
  <si>
    <t>0001844210182</t>
  </si>
  <si>
    <t>HAFIZ FADHILAH</t>
  </si>
  <si>
    <t>327512200398000 5</t>
  </si>
  <si>
    <t>Jl. Wibawa Mukti II No. 88, Jati Asih, Bekasi</t>
  </si>
  <si>
    <t>62 821-2846-5330</t>
  </si>
  <si>
    <t>hafizfadhillah98@gmail.com</t>
  </si>
  <si>
    <t>0001625744586</t>
  </si>
  <si>
    <t xml:space="preserve">Manajemen </t>
  </si>
  <si>
    <t>Universitas Islam Asyafiiah</t>
  </si>
  <si>
    <t>DAFIL FANDRESA</t>
  </si>
  <si>
    <t>Tanjung Bonai Aur</t>
  </si>
  <si>
    <t>130309220103000 1</t>
  </si>
  <si>
    <t>Jorong Bonai, Kel Tanjung Bonai Aur, Sumpur Kudus, Kab. Sijunjung</t>
  </si>
  <si>
    <t>62 822 8220 5153</t>
  </si>
  <si>
    <t>fandresadafil@gmail.com</t>
  </si>
  <si>
    <t>0003554483859</t>
  </si>
  <si>
    <t>SMA Sentosa Bakti Baturaja</t>
  </si>
  <si>
    <t>SMA Sentosa Bakti</t>
  </si>
  <si>
    <t>NAZEEM AHMED ALVARIZI</t>
  </si>
  <si>
    <t>Magelang</t>
  </si>
  <si>
    <t>330806170600000 1</t>
  </si>
  <si>
    <t>Talun Kidul, RT 04 RW 10, Banyudono, Dukun, Magelang</t>
  </si>
  <si>
    <t>62 822 2515 5486</t>
  </si>
  <si>
    <t>nazeemalvarizi@gmail.com</t>
  </si>
  <si>
    <t>0001899876903</t>
  </si>
  <si>
    <t>Sistem Informasi</t>
  </si>
  <si>
    <t>STMIK Bina Patria Magelang</t>
  </si>
  <si>
    <t>OKY PRAMUDIANTATO BIMANTORO</t>
  </si>
  <si>
    <t>350616200298000 2</t>
  </si>
  <si>
    <t>Ds Mojokerep Rt/Rw 06/07 Kec. Plemahan Kab. Kediri</t>
  </si>
  <si>
    <t>62 877 1163 6301</t>
  </si>
  <si>
    <t>okypramudiantato@gmail.com</t>
  </si>
  <si>
    <t>0002300354919</t>
  </si>
  <si>
    <t>SMK N 1  Purwosari</t>
  </si>
  <si>
    <t>ARDIAN UNGGUL TRI WIBOWO</t>
  </si>
  <si>
    <t>Purwokerto</t>
  </si>
  <si>
    <t>330226210599000 1</t>
  </si>
  <si>
    <t>Jl. Kalibener RT/RW 06/03 Kranji, Purwokerto</t>
  </si>
  <si>
    <t>62 812 9248 2389</t>
  </si>
  <si>
    <t>ardiyanunggul@gmail.com</t>
  </si>
  <si>
    <t>0001530528513</t>
  </si>
  <si>
    <t>SMK 75 1 Purwokerto</t>
  </si>
  <si>
    <t>Tgl Masuk</t>
  </si>
  <si>
    <t>Masa Kerja All Time (Tahun)</t>
  </si>
  <si>
    <t>Masa Kerja All Time(Bulan)</t>
  </si>
  <si>
    <t>SK Pengangkatan/Mutasi/ No Kontrak</t>
  </si>
  <si>
    <t>Email</t>
  </si>
  <si>
    <t>Ukuran Baju</t>
  </si>
  <si>
    <t>Ukuran Celana</t>
  </si>
  <si>
    <t>Ukuran Sepatu</t>
  </si>
  <si>
    <t>Tgl Keluar</t>
  </si>
  <si>
    <t>Alasan</t>
  </si>
  <si>
    <t>Legalitas Pemutusan Hubungan Kerja</t>
  </si>
  <si>
    <t>RUNI WIDIASTUTI</t>
  </si>
  <si>
    <t>Sorong</t>
  </si>
  <si>
    <t>3519094212810002</t>
  </si>
  <si>
    <t>Dusun i rt 25 rw 6 teguhan, jiwan madiun</t>
  </si>
  <si>
    <t>+62 812-3412-0020</t>
  </si>
  <si>
    <t>Agribisnis</t>
  </si>
  <si>
    <t>PHK</t>
  </si>
  <si>
    <t>SK-10A/D1/IMSS/2020</t>
  </si>
  <si>
    <t>RIZAL AGUS PRATAMA</t>
  </si>
  <si>
    <t>BIM Padang</t>
  </si>
  <si>
    <t>3578102108890008</t>
  </si>
  <si>
    <t>Rangkah Tambak Sari Surabaya</t>
  </si>
  <si>
    <t>081 330 436 724</t>
  </si>
  <si>
    <t>0001459021307</t>
  </si>
  <si>
    <t>Mesin</t>
  </si>
  <si>
    <t>Selesai Kontrak</t>
  </si>
  <si>
    <t>352.9/IV/IMSS/2020</t>
  </si>
  <si>
    <t>SUPRIONO</t>
  </si>
  <si>
    <t>Ds. Sumberejo RT/RW 002/001 geger Madiun</t>
  </si>
  <si>
    <t>0823 3678 6066</t>
  </si>
  <si>
    <t>0001865424824</t>
  </si>
  <si>
    <t>Resign</t>
  </si>
  <si>
    <t>542/VII/IMSS/2020</t>
  </si>
  <si>
    <t>MHD ILHAM DAMANIK</t>
  </si>
  <si>
    <t>Kuala Tanjung</t>
  </si>
  <si>
    <t>121902090997000 4</t>
  </si>
  <si>
    <t>Dusun V Sumber Padi, Ds. Kuala Tanjung, Kec. Sei Suka, Kab. Batu Bara</t>
  </si>
  <si>
    <t>0822 7727 6609</t>
  </si>
  <si>
    <t>Otomotif</t>
  </si>
  <si>
    <t>RICKY WIJAYA</t>
  </si>
  <si>
    <t>1671121705880003</t>
  </si>
  <si>
    <t>Jl Kadir TKR, Kel. 36 Ilir Kec. Gandus, Sumatera Selatan</t>
  </si>
  <si>
    <t xml:space="preserve">0812-19321997 </t>
  </si>
  <si>
    <t>0001790406729</t>
  </si>
  <si>
    <t>1013/X/IMSS/2020</t>
  </si>
  <si>
    <t>ANDIK AGUS PRASETYO</t>
  </si>
  <si>
    <t>Pemeliharaan Dalam Negeri</t>
  </si>
  <si>
    <t>351907040687000 1</t>
  </si>
  <si>
    <t>Ds Sambirejo, Kec. Jiwan Kab Madiun</t>
  </si>
  <si>
    <t>085800771134</t>
  </si>
  <si>
    <t>chaesarbrianputra13@gmail.com</t>
  </si>
  <si>
    <t>Kimia</t>
  </si>
  <si>
    <t>SMN Non Penggerak</t>
  </si>
  <si>
    <t>110806010189000 1</t>
  </si>
  <si>
    <t>Ds. Keude Bungkaih, Kec. Muara Batu, Aceh Utara</t>
  </si>
  <si>
    <t>0822 4835 3264</t>
  </si>
  <si>
    <t>miqbal77918@gmail.com</t>
  </si>
  <si>
    <t>0001120787954</t>
  </si>
  <si>
    <t>1322/XII/IMSS/2020</t>
  </si>
  <si>
    <t>LAILA KURNIASARI</t>
  </si>
  <si>
    <t>Akuntansi dan Perpajakan</t>
  </si>
  <si>
    <t>350218680692000 1</t>
  </si>
  <si>
    <t>Kpr btn blok d 25 RT 004 RW 006 kel. Singosaren kec. Jenangan ponorogo</t>
  </si>
  <si>
    <t>+62 896-7914-8830</t>
  </si>
  <si>
    <t>lalakrnsr28@gmail.com</t>
  </si>
  <si>
    <t>0000100731251</t>
  </si>
  <si>
    <t>Akutansi</t>
  </si>
  <si>
    <t>Univ. Islam Indonesia</t>
  </si>
  <si>
    <t>NILA RAHMAWATI</t>
  </si>
  <si>
    <t>SMN Admin</t>
  </si>
  <si>
    <t>331503510701000 5</t>
  </si>
  <si>
    <t>Dukuh Lor RT 003 RW 001 Desa Toko Kec. Penawangan Kab. Grobogan</t>
  </si>
  <si>
    <t xml:space="preserve">0812 3572 3248 </t>
  </si>
  <si>
    <t>0002346346574</t>
  </si>
  <si>
    <t>1269.88/XII/IMSS/2020</t>
  </si>
  <si>
    <t>SOLEHUDIN</t>
  </si>
  <si>
    <t>320411170793000 3</t>
  </si>
  <si>
    <t>KP Bojong Buah RT 002 RW 004 Desa Pangauban Kec. Katapang Kab. Bandung</t>
  </si>
  <si>
    <t>0852 3088 8416</t>
  </si>
  <si>
    <t>doyeh96@gmail.com</t>
  </si>
  <si>
    <t>0002499193462</t>
  </si>
  <si>
    <t>RIZKI MAULANA YUSUF</t>
  </si>
  <si>
    <t>SMN Penggerak</t>
  </si>
  <si>
    <t>327702241196000 9</t>
  </si>
  <si>
    <t>Perum Permata Padalarang Blok G No 8 RT 004/RW 007, Kab. Bandung</t>
  </si>
  <si>
    <t>0812 2102 9234</t>
  </si>
  <si>
    <t>Rizkyikin.ri@gmail.com</t>
  </si>
  <si>
    <t>0001515651693</t>
  </si>
  <si>
    <t>YANUAR KRISTIYAWAN</t>
  </si>
  <si>
    <t>Blitar</t>
  </si>
  <si>
    <t>357201310199000 2</t>
  </si>
  <si>
    <t>Jl Dewi Sartika No 8A RT/RW 001/003 Sentul, Kepanjen Kidul, Blitar</t>
  </si>
  <si>
    <t>0858 1253 0092</t>
  </si>
  <si>
    <t>yanuarkristiyawan@gmail.com</t>
  </si>
  <si>
    <t>T. Mesin</t>
  </si>
  <si>
    <t>SMK N 1 Blitar</t>
  </si>
  <si>
    <t>AYUB ISNA ALHANIF</t>
  </si>
  <si>
    <t>Pengendalian</t>
  </si>
  <si>
    <t>Teknologi dan Logistik</t>
  </si>
  <si>
    <t>Komersial</t>
  </si>
  <si>
    <t>351812310396000 0</t>
  </si>
  <si>
    <t xml:space="preserve">Kapas, RT 007/RW 004, desa kapas, kec. Sukomoro, kab. Nganjuk </t>
  </si>
  <si>
    <t>+62 857-8452-9251</t>
  </si>
  <si>
    <t>ayubhanif71@gmail.com</t>
  </si>
  <si>
    <t>0000109362914</t>
  </si>
  <si>
    <t>18070554516</t>
  </si>
  <si>
    <t>T. Perkapalan</t>
  </si>
  <si>
    <t>Univ. Diponegoro</t>
  </si>
  <si>
    <t>JONI MUHAMAT ZAKARIA</t>
  </si>
  <si>
    <t>LRT Jabo</t>
  </si>
  <si>
    <t>331504260699000 8</t>
  </si>
  <si>
    <t>Dsn. Singkil RT/RW 001/013, Depok, Toroh, Grobogan</t>
  </si>
  <si>
    <t>0896 8429 7252</t>
  </si>
  <si>
    <t>jonizakaria2@gmail.com</t>
  </si>
  <si>
    <t>0002925418364</t>
  </si>
  <si>
    <t>SMK Pembangunan Nasional Purwodadi</t>
  </si>
  <si>
    <t>GAGUK DWI SASONGKO</t>
  </si>
  <si>
    <t>PJ Manager</t>
  </si>
  <si>
    <t>Staff Khusus Direktur Operasi</t>
  </si>
  <si>
    <t>351914120166000 0</t>
  </si>
  <si>
    <t>JL Prambanan No 13 Lk. Prajuritan RT 004 RW 001 Kec. Manguharjo Kota Madiun</t>
  </si>
  <si>
    <t>0811 348 4919</t>
  </si>
  <si>
    <t>gaguk.dsasongko@inka.co.id</t>
  </si>
  <si>
    <t>0001127892273</t>
  </si>
  <si>
    <t>DIAH LENNY WULANSARI</t>
  </si>
  <si>
    <t>Univ. Gadjah Mada</t>
  </si>
  <si>
    <t>PB-33/XII/IMSS/2019</t>
  </si>
  <si>
    <t>PKWT-642001041/D1/2020</t>
  </si>
  <si>
    <t>Purna Tugas</t>
  </si>
  <si>
    <t>BAMBANG TRIJOKO</t>
  </si>
  <si>
    <t>321606090967002 7</t>
  </si>
  <si>
    <t>Jl Mahoni IV Blok H No 341 RT/RW 007/011, Jatimulya, Tambun Selatan</t>
  </si>
  <si>
    <t>argita3joko@gmail.com</t>
  </si>
  <si>
    <t>0001736659697</t>
  </si>
  <si>
    <t>Meninggal Dunia</t>
  </si>
  <si>
    <t>DARIYANTA</t>
  </si>
  <si>
    <t>351907240266000 1</t>
  </si>
  <si>
    <t>Bantengan RT.001/ RW.001, Bantengan, Wungu, Madiun</t>
  </si>
  <si>
    <t>0877 5391 3801</t>
  </si>
  <si>
    <t>dariyanta@inka.co.id</t>
  </si>
  <si>
    <t>0001127753886</t>
  </si>
  <si>
    <t>93N70013966</t>
  </si>
  <si>
    <t>LELIOSA LULUT L</t>
  </si>
  <si>
    <t>T. Listrik</t>
  </si>
  <si>
    <t>MIFTAKHUL ULUM</t>
  </si>
  <si>
    <t>SMN Loko</t>
  </si>
  <si>
    <t>357703150299000 6</t>
  </si>
  <si>
    <t>Jl. Tumpak manis no 18 RT/RW 40/11 Manisrejo Madiun</t>
  </si>
  <si>
    <t>0821 7043 5066</t>
  </si>
  <si>
    <t>Miftakhulbebek15@gmail.com</t>
  </si>
  <si>
    <t>0002160343001</t>
  </si>
  <si>
    <t>Audio Visual</t>
  </si>
  <si>
    <t>MUHAMMAD ILHAM ZAIFATULLAH</t>
  </si>
  <si>
    <t>167106221100001 2</t>
  </si>
  <si>
    <t>Jl Saboking king LR Telaga Biru No. 369 RT 007 RW 001 Kel. Sei Buah Kec. Ilir Timur II Kota Palembang</t>
  </si>
  <si>
    <t>0813 6961 3116</t>
  </si>
  <si>
    <t>m.ilhamzaifatullah@gmail.com</t>
  </si>
  <si>
    <t>'0000325699841</t>
  </si>
  <si>
    <t>SUPRIYADI</t>
  </si>
  <si>
    <t>320808040197000 3</t>
  </si>
  <si>
    <t>Blok Peundeuyraweuy 004/003 Kel. Cikananga. Kuningan</t>
  </si>
  <si>
    <t>0896 5310 4754</t>
  </si>
  <si>
    <t>supriyadiaria29@gmail.com</t>
  </si>
  <si>
    <t>0000445539519</t>
  </si>
  <si>
    <t>GARIT RITO NADI</t>
  </si>
  <si>
    <t>Wil I</t>
  </si>
  <si>
    <t>357703200898000 3</t>
  </si>
  <si>
    <t>Jl Setiabudi asrama mojorejo K30, Madiun</t>
  </si>
  <si>
    <t>0899 3190 027</t>
  </si>
  <si>
    <t>ritogarit@gmail.com</t>
  </si>
  <si>
    <t>0001106816668</t>
  </si>
  <si>
    <t>PB-52/XII/IMSS/2019</t>
  </si>
  <si>
    <t>YENY RUBIANTORO</t>
  </si>
  <si>
    <t>357701040566000 1</t>
  </si>
  <si>
    <t>Jln Diponegoro No.39 RT.040 RW.009, Oro-Oro Ombo, Kartoharjo, Kota Madiun</t>
  </si>
  <si>
    <t>0858 1211 4166</t>
  </si>
  <si>
    <t>yeny.rubiantoro@inka.co.id</t>
  </si>
  <si>
    <t>0001127743997</t>
  </si>
  <si>
    <t>91N72014222</t>
  </si>
  <si>
    <t>SRI WAHYUNINGSIH</t>
  </si>
  <si>
    <t>382988418621000</t>
  </si>
  <si>
    <t>STM Negeri 1 Surabaya</t>
  </si>
  <si>
    <t>DIAH PUSPITASARI</t>
  </si>
  <si>
    <t>Pelatihan Sertifikasi</t>
  </si>
  <si>
    <t xml:space="preserve">357819630794000 4 </t>
  </si>
  <si>
    <t>Wisma tengger 17/3, RT 002/RW 006, kel. Kandangan, kec. Benowo, kota surabaya</t>
  </si>
  <si>
    <t>+62 813-3247-1108</t>
  </si>
  <si>
    <t>94.puspitasari@gmail.com</t>
  </si>
  <si>
    <t>0001803276009</t>
  </si>
  <si>
    <t>18070554532</t>
  </si>
  <si>
    <t>Univ. Airlangga</t>
  </si>
  <si>
    <t>AGUS RIYANTO</t>
  </si>
  <si>
    <t>1710003988121</t>
  </si>
  <si>
    <t>357701290881000 2</t>
  </si>
  <si>
    <t>Jl. Sri Kuning no 08 RT/RW 1/1 Kanigoro Kojo Madiun</t>
  </si>
  <si>
    <t>0858 8575 0927</t>
  </si>
  <si>
    <t>agusjmbol706@gmail.com</t>
  </si>
  <si>
    <t>0002422801978</t>
  </si>
  <si>
    <t>Mekanik</t>
  </si>
  <si>
    <t>PB-11/XII/IMSS/2019</t>
  </si>
  <si>
    <t>PKWT-642001064/D1/2020</t>
  </si>
  <si>
    <t>DANI RAMDANI</t>
  </si>
  <si>
    <t>1710004810639</t>
  </si>
  <si>
    <t>JAKARATA</t>
  </si>
  <si>
    <t>360311010394000 4</t>
  </si>
  <si>
    <t>Kp Sumur Daon 002/006 Sukamanah, Kec Raeg, Tangerang, Banten</t>
  </si>
  <si>
    <t>0896 3650 5330</t>
  </si>
  <si>
    <t>Daniramdani.tp@gmail.com</t>
  </si>
  <si>
    <t>0002492796824</t>
  </si>
  <si>
    <t>ERWANDA SEPTIAJI</t>
  </si>
  <si>
    <t>327502290993000 5</t>
  </si>
  <si>
    <t>KP Setu RT 004 RW 002 Kel. Bintara Jaya Kec. Bekasi Barat Kota Bekasi</t>
  </si>
  <si>
    <t>0856 9111 9750</t>
  </si>
  <si>
    <t>eRWanda.septiaji09@gmail.com</t>
  </si>
  <si>
    <t>0001804569737</t>
  </si>
  <si>
    <t>GATOT BUDI SANTOSO</t>
  </si>
  <si>
    <t>351914200983000 1</t>
  </si>
  <si>
    <t>Ds. Sidomulyo RT/RW 007/002</t>
  </si>
  <si>
    <t>0895 1043 1210</t>
  </si>
  <si>
    <t>gatotbudisantoso17@gmail.com</t>
  </si>
  <si>
    <t>0001706039548</t>
  </si>
  <si>
    <t>PB-24/XII/IMSS/2019</t>
  </si>
  <si>
    <t>PRAHASTA EKA PRATAMA</t>
  </si>
  <si>
    <t>357810131298000 6</t>
  </si>
  <si>
    <t>Rangkah7/27-C, 001/001, Rangkah, Tambak sari, Surabaya</t>
  </si>
  <si>
    <t>0819 3911 2147</t>
  </si>
  <si>
    <t>prahasta1927@gmail.com</t>
  </si>
  <si>
    <t>0001701131376</t>
  </si>
  <si>
    <t>DONI DWI SAPUTRO</t>
  </si>
  <si>
    <t>357703080495000 1</t>
  </si>
  <si>
    <t>Jl. Mangku Jayan Gg VI No 8 RT/RW 010/004 Demangan Taman Madiun</t>
  </si>
  <si>
    <t>081 332 087 519</t>
  </si>
  <si>
    <t>evhidoni@gmail.com</t>
  </si>
  <si>
    <t>0000104915957</t>
  </si>
  <si>
    <t>M WAHYU RAMADON</t>
  </si>
  <si>
    <t>167106151200000 7</t>
  </si>
  <si>
    <t>Jl Segaran Lrg Kebangkan No 342 008/003, 9 ilir Palembang</t>
  </si>
  <si>
    <t>0895 0300 1082</t>
  </si>
  <si>
    <t>wahyuramadon2000@gmail.com</t>
  </si>
  <si>
    <t>0001312053142</t>
  </si>
  <si>
    <t>HADID KALIMARSO</t>
  </si>
  <si>
    <t>01-May-95</t>
  </si>
  <si>
    <t>Pemeliharaan Luar Negeri</t>
  </si>
  <si>
    <t>PONOROGO</t>
  </si>
  <si>
    <t>357703250471000 4</t>
  </si>
  <si>
    <t>Jl. Nitikusumo No. 48 RT. 006 RW. 002, Demangan, Taman, Kota Madiun</t>
  </si>
  <si>
    <t xml:space="preserve">0812 5908 773 </t>
  </si>
  <si>
    <t>hadid.kalimarso@inka.co.id</t>
  </si>
  <si>
    <t>0001127773528</t>
  </si>
  <si>
    <t>95N70012534</t>
  </si>
  <si>
    <t>INING NURYANTI</t>
  </si>
  <si>
    <t>382988095621000</t>
  </si>
  <si>
    <t>Institut Teknologi Pembangunan Surabaya</t>
  </si>
  <si>
    <t>PRIYONO</t>
  </si>
  <si>
    <t>01-Dec-99</t>
  </si>
  <si>
    <t>357702130671000 1</t>
  </si>
  <si>
    <t>Jl.Borobudur Gg.1 N0-19 RT.002 RW.001 , Madiun Lor, Manguharjo, Kota Madiun</t>
  </si>
  <si>
    <t>0812 1679 3059</t>
  </si>
  <si>
    <t>priyono@inka.co.id</t>
  </si>
  <si>
    <t>0001127739519</t>
  </si>
  <si>
    <t>98N70015002</t>
  </si>
  <si>
    <t>SHINTA ANGODENY</t>
  </si>
  <si>
    <t>478616741621000</t>
  </si>
  <si>
    <t>GUNTORO</t>
  </si>
  <si>
    <t>357702030168000 1</t>
  </si>
  <si>
    <t>Jl. Pajajaran No.31 RT.026 RW.008, WINONGO, Manguharjo, Kota Madiun</t>
  </si>
  <si>
    <t>0896 9676 8117</t>
  </si>
  <si>
    <t>guntoro@inka.co.id</t>
  </si>
  <si>
    <t>0001127961459</t>
  </si>
  <si>
    <t>98N70014062</t>
  </si>
  <si>
    <t>382992667621000</t>
  </si>
  <si>
    <t>ISBANGUN</t>
  </si>
  <si>
    <t>351903100667000 4</t>
  </si>
  <si>
    <t>JL. Lawu RT 021 RW 005, Jatisari, Geger, Madiun</t>
  </si>
  <si>
    <t>isbangun@inka.co.id</t>
  </si>
  <si>
    <t>98N70013973</t>
  </si>
  <si>
    <t>MARLIK</t>
  </si>
  <si>
    <t>478617129621000</t>
  </si>
  <si>
    <t>BAGUS HARIYO SENO</t>
  </si>
  <si>
    <t>317507260494000 7</t>
  </si>
  <si>
    <t>Komp DEP PU No. 32 RT 009 RW 003 Kel. Pondok Kelapa Kec. Duren Sawit Jakarta Timur</t>
  </si>
  <si>
    <t>0812 9367 8426</t>
  </si>
  <si>
    <t>bagushariyoseno26@gmail.com</t>
  </si>
  <si>
    <t>FAIZAL RIZQI NUR EKWANUDIN</t>
  </si>
  <si>
    <t>Wil 1</t>
  </si>
  <si>
    <t>352109010497000 4</t>
  </si>
  <si>
    <t>Pandansari Selatan RT/RW 002/008, Kel, Jururejo, Kec. Ngawi, Kab. Ngawi</t>
  </si>
  <si>
    <t>0856 0865 6823</t>
  </si>
  <si>
    <t>faizalrizqi04@gmail.com</t>
  </si>
  <si>
    <t>0002161134325</t>
  </si>
  <si>
    <t>SMK N 1 Geneng</t>
  </si>
  <si>
    <t>PANJI SULAKSONO</t>
  </si>
  <si>
    <t>Direktur Operasi</t>
  </si>
  <si>
    <t>357814260485000 2</t>
  </si>
  <si>
    <t>JL. Manukan Bhakti Gg I Blok 29 B No 4 RT 03 RW 03, Manukan Kulon, Tandes, Kota Surabaya</t>
  </si>
  <si>
    <t>0811 3484 876</t>
  </si>
  <si>
    <t>panji.sulaksono@inka.co.id</t>
  </si>
  <si>
    <t>0001134437242</t>
  </si>
  <si>
    <t>YUYUN FATIMAH LESTARI</t>
  </si>
  <si>
    <t>587580192604000</t>
  </si>
  <si>
    <t>Recall INKA</t>
  </si>
  <si>
    <t>BAMBANG SUTRISNO</t>
  </si>
  <si>
    <t>Direktur Komersial</t>
  </si>
  <si>
    <t>357701100573000 1</t>
  </si>
  <si>
    <t>Cassa Blok D No.02 Ling. Jaya RT.006 RW.003, Klegen, Kartoharjo, Kota Madiun</t>
  </si>
  <si>
    <t>0811 3484 929</t>
  </si>
  <si>
    <t>bambang.sutrisno@inka.co.id</t>
  </si>
  <si>
    <t>0001127773539</t>
  </si>
  <si>
    <t>RETNOWATI HAYUNINGSIH</t>
  </si>
  <si>
    <t>478616089621000</t>
  </si>
  <si>
    <t>SUCI HERLAMBANG</t>
  </si>
  <si>
    <t>351908100295000 2</t>
  </si>
  <si>
    <t>Jl Gatotkoco RT 010 RW 004 Desa Nglames Kec. Madiun Kab. Madiun</t>
  </si>
  <si>
    <t>0857 5486 2530</t>
  </si>
  <si>
    <t>suciherlambang7@gmail.com</t>
  </si>
  <si>
    <t>0001545122316</t>
  </si>
  <si>
    <t>MUHAMAD HIDAYAT ADI PRATAMA</t>
  </si>
  <si>
    <t>352005260498000 1</t>
  </si>
  <si>
    <t>Jl Kasianto 260 Gang Sawo RT/RW 11/02 Kawedanan,  Magetan</t>
  </si>
  <si>
    <t>0857 3599 5566</t>
  </si>
  <si>
    <t>hidayatadi404@gmail.com</t>
  </si>
  <si>
    <t>000073954289 2</t>
  </si>
  <si>
    <t>Teknik Tenaga Listrik</t>
  </si>
  <si>
    <t>SEMOGA JAYA</t>
  </si>
  <si>
    <t>352005050694000 2</t>
  </si>
  <si>
    <t>Lingkungan Jetak, RT/RW 17/04, Kawedanan, Magetan</t>
  </si>
  <si>
    <t>0822 3331 0769</t>
  </si>
  <si>
    <t>semogajaya8@gmail.com</t>
  </si>
  <si>
    <t>GANGSAR PURWANTO</t>
  </si>
  <si>
    <t>357702181081000 1</t>
  </si>
  <si>
    <t>Jl. Gembili RT/RW 15/05 Ngejong Manguharjo Madiun</t>
  </si>
  <si>
    <t>0815 1392 0322</t>
  </si>
  <si>
    <t>gangsarpur91@gmail.com</t>
  </si>
  <si>
    <t>0001703366482</t>
  </si>
  <si>
    <t>PB-9/XII/IMSS/2019</t>
  </si>
  <si>
    <t>DWI ARI WIBOWO</t>
  </si>
  <si>
    <t>351907180888000 7</t>
  </si>
  <si>
    <t>Dsn Brojo, Ds. Kresek RT/RW 002/001 Kec. Wungu Madiun</t>
  </si>
  <si>
    <t>0812 3899 4008</t>
  </si>
  <si>
    <t>Dwiariwibowo150718</t>
  </si>
  <si>
    <t>0002037838094</t>
  </si>
  <si>
    <t>SMK Penerbangan Antariksa Madiun</t>
  </si>
  <si>
    <t>PB-4/XII/IMSS/2019</t>
  </si>
  <si>
    <t>HADI SAPUTRA</t>
  </si>
  <si>
    <t>351904110198000 1</t>
  </si>
  <si>
    <t>Dagangan, RT/RW 004/002, Kel. Dagangan, Kec. Dagangan, Kab. Madiun</t>
  </si>
  <si>
    <t>0897 7955 501</t>
  </si>
  <si>
    <t>saputrahadi501@gmail.com</t>
  </si>
  <si>
    <t>000207288509 5</t>
  </si>
  <si>
    <t>BOBON SURYANA</t>
  </si>
  <si>
    <t>Sukabumi</t>
  </si>
  <si>
    <t>Kp Gandasoli RT/RW 001/007 Cipurut, Kec. Cireunghas, Sukabumi</t>
  </si>
  <si>
    <t>0878 2096 4992</t>
  </si>
  <si>
    <t>bobonsuryana@gmail.com</t>
  </si>
  <si>
    <t>000140834818 1</t>
  </si>
  <si>
    <t>Sekolah Teknik Sukabumi</t>
  </si>
  <si>
    <t>MUHAMMAD GUFRON FADLY</t>
  </si>
  <si>
    <t>1440010312855</t>
  </si>
  <si>
    <t>Direktur Keuangan, SDM dan Manajemen Risiko</t>
  </si>
  <si>
    <t>350216280186000 2</t>
  </si>
  <si>
    <t>Gambiran, Ds Makamhaji RT/RW 001/014, Makamhaji, Kec. Kartasura, Kab. Sukoharjo</t>
  </si>
  <si>
    <t>0811 3484 893</t>
  </si>
  <si>
    <t>gufron.fadly@inka.co.id</t>
  </si>
  <si>
    <t>896917952647000</t>
  </si>
  <si>
    <t>IDA SARWENI</t>
  </si>
  <si>
    <t>Ekonomi Manajemen</t>
  </si>
  <si>
    <t>Universitas Airlangga</t>
  </si>
  <si>
    <t>MUHAMMAD RIKI HAMDANI</t>
  </si>
  <si>
    <t>PALEMBANG</t>
  </si>
  <si>
    <t>167108181193000 4</t>
  </si>
  <si>
    <t>Jl. Indragiri Iii No.205, RT 049/RW 017, Kel. Sialang, Kec. Sako, Palembang</t>
  </si>
  <si>
    <t>0896 3303 0918</t>
  </si>
  <si>
    <t>0002767133182</t>
  </si>
  <si>
    <t>SMK PGRI 2 Palembang</t>
  </si>
  <si>
    <t>ANNIDA NUR NASHEKA</t>
  </si>
  <si>
    <t>1710006037264</t>
  </si>
  <si>
    <t>331003590498000 1</t>
  </si>
  <si>
    <t>Ngemplak RT/RW 13/006, Kel. Birit, Kec. Wedi, Klaten</t>
  </si>
  <si>
    <t>0858 0077 1134</t>
  </si>
  <si>
    <t>0000086995664</t>
  </si>
  <si>
    <t>19081661688</t>
  </si>
  <si>
    <t>Ekonomi Pembangunan</t>
  </si>
  <si>
    <t>Ekonomi Bangunan</t>
  </si>
  <si>
    <t>M. RIZANI</t>
  </si>
  <si>
    <t>Kayu Bangun</t>
  </si>
  <si>
    <t>630705220395000 1</t>
  </si>
  <si>
    <t>Jl Pemuda Selatan 2 RT/RW 002/008 Klaten</t>
  </si>
  <si>
    <t>0822 5544 9319</t>
  </si>
  <si>
    <t>mrizani088@gmail.com</t>
  </si>
  <si>
    <t>000154706419 1</t>
  </si>
  <si>
    <t>SMK Muda Kreatif</t>
  </si>
  <si>
    <t>RAMA SUTAMI SALIM</t>
  </si>
  <si>
    <t>Cinta Manis</t>
  </si>
  <si>
    <t>167102030295000 3</t>
  </si>
  <si>
    <t>Perum Azhar Blok B7 No 9, Tanah Mas, Kec. Talang, Kab Banyuasin</t>
  </si>
  <si>
    <t>0823 0664 3535</t>
  </si>
  <si>
    <t>ramasutamisalim@gmail.com</t>
  </si>
  <si>
    <t>000150555684 3</t>
  </si>
  <si>
    <t>UniversitasTridinanti Palembang</t>
  </si>
  <si>
    <t>Universitas Tridinanti Palembang</t>
  </si>
  <si>
    <t>CHOLIK MOCHAMAD ZAMZAM</t>
  </si>
  <si>
    <t>Direktur Utama</t>
  </si>
  <si>
    <t>357701060369000 3</t>
  </si>
  <si>
    <t>JL Ronggo Tohjoyo Kel. Kanigoro Kec. Kartoharjo Kota Madiun</t>
  </si>
  <si>
    <t>0812 316 1846</t>
  </si>
  <si>
    <t>cholik.mzamzam@inka.co.id</t>
  </si>
  <si>
    <t>0001127773574</t>
  </si>
  <si>
    <t>95N70012690</t>
  </si>
  <si>
    <t>SULISTIYAWASIH</t>
  </si>
  <si>
    <t>Institut Teknologi Bandung</t>
  </si>
  <si>
    <t>ALIFAN BASMAN</t>
  </si>
  <si>
    <t>Pemalang</t>
  </si>
  <si>
    <t>332709090193001 0</t>
  </si>
  <si>
    <t>Dusun III Banjardawa RT 001 RW 006 Desa Banjardawa Kec. Taman Kabupaten Pemalang</t>
  </si>
  <si>
    <t>0853 2697 3312</t>
  </si>
  <si>
    <t xml:space="preserve">Alfianbasman@gmail.com </t>
  </si>
  <si>
    <t>0000078798879</t>
  </si>
  <si>
    <t>Aeronautika</t>
  </si>
  <si>
    <t>Sekolah Tinggi Kedirgantaraan Yogyakarta</t>
  </si>
  <si>
    <t>RUDI HARTONO</t>
  </si>
  <si>
    <t>351909280875000 9</t>
  </si>
  <si>
    <t>Dusun IV RT/RW 009/008 Desa Wayut Jiwan Madiun</t>
  </si>
  <si>
    <t>0812 5969 6592</t>
  </si>
  <si>
    <t>rh3100775@gmail.com</t>
  </si>
  <si>
    <t>SMK Swasta PGRI Mangunharjo</t>
  </si>
  <si>
    <t>PB-20/XII/IMSS/2019</t>
  </si>
  <si>
    <t>IRMA WIDAYANTI</t>
  </si>
  <si>
    <t>357701480300000 5</t>
  </si>
  <si>
    <t>Jl Cokroaminoto No 157 B Madiun</t>
  </si>
  <si>
    <t>0896 8231 1002</t>
  </si>
  <si>
    <t>irmawdyntii@gmail.com</t>
  </si>
  <si>
    <t>SMA N 3 Madiun</t>
  </si>
  <si>
    <t>NUR SHOLEH</t>
  </si>
  <si>
    <t>357703150168000 3</t>
  </si>
  <si>
    <t>Perum Taman Salak Blok C 202 RT 002 RW 003 Kel. Taman Kec. Taman Kota Madiun</t>
  </si>
  <si>
    <t>0812 3425 5656</t>
  </si>
  <si>
    <t>nur.sholeh@inka.co.id</t>
  </si>
  <si>
    <t>0001127758869</t>
  </si>
  <si>
    <t>94N70013956</t>
  </si>
  <si>
    <t>Institut Teknologi Sepuluh November</t>
  </si>
  <si>
    <t>GALANT MAHASNA</t>
  </si>
  <si>
    <t>352514190184000 2</t>
  </si>
  <si>
    <t>JL. Umar Bin Khatab DD-5 RT 009 RW 009, Randuagung, Kebomas, Kota Gresik</t>
  </si>
  <si>
    <t>0822 3333 0910</t>
  </si>
  <si>
    <t>galant.mahasna@inka.co.id</t>
  </si>
  <si>
    <t>0001134427522</t>
  </si>
  <si>
    <t>FITRI IMANIAR</t>
  </si>
  <si>
    <t>ARRAN DZIKIR KALIMUSODO</t>
  </si>
  <si>
    <t>KINARAYU EI PANCANAKA</t>
  </si>
  <si>
    <t>GIRRI MALIK KALIMUSODO</t>
  </si>
  <si>
    <t>778058917629000</t>
  </si>
  <si>
    <t>SK-14/32/INKA/2023</t>
  </si>
  <si>
    <t>HANNA DITA PUSPITA</t>
  </si>
  <si>
    <t>357806610888000 2</t>
  </si>
  <si>
    <t>Manyar TiRToyoso Selatan, Manyar Sabrangan, Mulyorejo, Kota Surabaya</t>
  </si>
  <si>
    <t>0811 3484 935</t>
  </si>
  <si>
    <t>hanna.dpuspita@inka.co.id</t>
  </si>
  <si>
    <t>0001136180946</t>
  </si>
  <si>
    <t>ANDREI GITA HARDI</t>
  </si>
  <si>
    <t>SYAFIA AZZAHRA MALIKA</t>
  </si>
  <si>
    <t>896917895614000</t>
  </si>
  <si>
    <t>Ekonomi Bisnis</t>
  </si>
  <si>
    <t>DADANG KARTAWIJAYA</t>
  </si>
  <si>
    <t>006001084883 0</t>
  </si>
  <si>
    <t>PKWT-642006088 / D1/2020</t>
  </si>
  <si>
    <t>317501080575000 7</t>
  </si>
  <si>
    <t>Jl. Skip No 21, RT 13/RW 014, Pisangan Baru, Matraman, Jakarta Timur</t>
  </si>
  <si>
    <t>0813 8232 6116</t>
  </si>
  <si>
    <t>dadangkartawijaya01@gmail.com</t>
  </si>
  <si>
    <t>Mandiri</t>
  </si>
  <si>
    <t>20046861140</t>
  </si>
  <si>
    <t>Ilmu Sosial</t>
  </si>
  <si>
    <t>Universitas Bung Karno Jakarta</t>
  </si>
  <si>
    <t>63/V/130/IMSS/2023</t>
  </si>
  <si>
    <t>TEGUH PRIYATNA</t>
  </si>
  <si>
    <t>1640003793165</t>
  </si>
  <si>
    <t>1-Sep-21</t>
  </si>
  <si>
    <t>367407011175000 1</t>
  </si>
  <si>
    <t>Jl Bukit Permata Baru II No 26 RT/RW 002/008, Bakti Jaya, Kec. Setu, Tangerang Selatan</t>
  </si>
  <si>
    <t>0857 1145 6109</t>
  </si>
  <si>
    <t>teguh.ibnu.marhaen@gmail.com</t>
  </si>
  <si>
    <t>000236161535 5</t>
  </si>
  <si>
    <t>EPON HODIJAH</t>
  </si>
  <si>
    <t>KHANSA LATIFA IBNATU PRIYATNA</t>
  </si>
  <si>
    <t>KHAWARIZNI AL-MAHRUZ IBNU PRIYATNA</t>
  </si>
  <si>
    <t>SMA Nusantara Jakarta</t>
  </si>
  <si>
    <t>65/V/130/IMSS/2023</t>
  </si>
  <si>
    <t>SUGIYATNO</t>
  </si>
  <si>
    <t>SK-51/INKA/2019</t>
  </si>
  <si>
    <t>357703031274000 1</t>
  </si>
  <si>
    <t>Perum Griya Salak Blok D/08 RT 49/RW6 Kel. Taman Kec. Taman Kota Madiun</t>
  </si>
  <si>
    <t>0811 3484 907</t>
  </si>
  <si>
    <t>sugiyatno@inka.co.id</t>
  </si>
  <si>
    <t>0001127793587</t>
  </si>
  <si>
    <t>99N70012262</t>
  </si>
  <si>
    <t>NUNUNG HANDAYANI</t>
  </si>
  <si>
    <t>MUHAMMAD SHEVA RASYIDI</t>
  </si>
  <si>
    <t>NAFEESA KAYNA ZAFARANI</t>
  </si>
  <si>
    <t>NAFEESA KAYRA ZAFARANI</t>
  </si>
  <si>
    <t>SK-32/INKA/2023</t>
  </si>
  <si>
    <t>BINTANG GUMILAR</t>
  </si>
  <si>
    <t>Situbondo</t>
  </si>
  <si>
    <t>357701160370000 1</t>
  </si>
  <si>
    <t>Jl Hercules D.33 RT 45 RW 10, KLEGEN, Kartoharjo, Kota Madiun</t>
  </si>
  <si>
    <t>0811 3484 7</t>
  </si>
  <si>
    <t>bintang.gumilar@inka.co.id</t>
  </si>
  <si>
    <t>0001127793914</t>
  </si>
  <si>
    <t>97N70011789</t>
  </si>
  <si>
    <t>ENY KUSUMAWARDHA</t>
  </si>
  <si>
    <t>MUHAMMAD FA'IZ SINATRYA PUTRA</t>
  </si>
  <si>
    <t>TANIA CINDY PERMATA PUTRI</t>
  </si>
  <si>
    <t>382988699621000</t>
  </si>
  <si>
    <t>CHANDRA AGUNG SASONO</t>
  </si>
  <si>
    <t>SK-44/INKA/2022</t>
  </si>
  <si>
    <t>357702120576000 3</t>
  </si>
  <si>
    <t>JL. Jalak II No.6 RT. 005 RW. 002, Kel Nambangan Kidul, Kec Manguharjo Kota Madiun</t>
  </si>
  <si>
    <t>0812 3432 463</t>
  </si>
  <si>
    <t>chandra.agung@inka.co.id</t>
  </si>
  <si>
    <t>0001127793554</t>
  </si>
  <si>
    <t>99N70012239</t>
  </si>
  <si>
    <t>MIA RAHAJENG</t>
  </si>
  <si>
    <t>FAYZA KIRANA PUTRI</t>
  </si>
  <si>
    <t>ARDELIA CHANDRA PUTRI</t>
  </si>
  <si>
    <t>382991925621000</t>
  </si>
  <si>
    <t>SK-46/INKA/2023</t>
  </si>
  <si>
    <t>DONNY EROWADI</t>
  </si>
  <si>
    <t>357602270681000 3</t>
  </si>
  <si>
    <t>Lingk Kedungsari RT 002 RW 009, GUNUNG GEDANGAN, Magersari, Kota Mojokerto</t>
  </si>
  <si>
    <t>0811 3484 896</t>
  </si>
  <si>
    <t>donny.erowadi@inka.co.id</t>
  </si>
  <si>
    <t>0001137332441</t>
  </si>
  <si>
    <t>LINA YANTIKASARI</t>
  </si>
  <si>
    <t>AKMALLINO RAFFASYA EROWADI</t>
  </si>
  <si>
    <t>AKHTAR SYAHRIZA EROWADI</t>
  </si>
  <si>
    <t>449165059602000</t>
  </si>
  <si>
    <t>BAYU YULIANTO</t>
  </si>
  <si>
    <t>320102240787000 6</t>
  </si>
  <si>
    <t>Jl Taruna Jaya 2 No 10 RT/RW 018/002, Serdang, Kemayoran, Jakarta Pusat</t>
  </si>
  <si>
    <t>0896 6886 5316</t>
  </si>
  <si>
    <t>bayu_yulianto87@yahoo.com</t>
  </si>
  <si>
    <t>000174491937 9</t>
  </si>
  <si>
    <t>Kesehatan Masyarakat</t>
  </si>
  <si>
    <t>Universitas Muhammadiyah Semarang</t>
  </si>
  <si>
    <t>REFA SEPTIYANTO</t>
  </si>
  <si>
    <t>PKWT-642007091 /D1/2020</t>
  </si>
  <si>
    <t>320115080991000 6</t>
  </si>
  <si>
    <t>Jl Ardi Manis F2/19, Kel Manisrejo, Taman, Madiun</t>
  </si>
  <si>
    <t>0859 7410 6613</t>
  </si>
  <si>
    <t>refaseptiyanto@gmail.com</t>
  </si>
  <si>
    <t xml:space="preserve">000123337861 7 </t>
  </si>
  <si>
    <t>15041913441</t>
  </si>
  <si>
    <t>CINDY NUR ARIANI</t>
  </si>
  <si>
    <t>RASHYA ZAKIR KHAIRI</t>
  </si>
  <si>
    <t>Universitas Pasundan</t>
  </si>
  <si>
    <t>DIHAN KHOMIRUL AKHYAR</t>
  </si>
  <si>
    <t>317202080695000 5</t>
  </si>
  <si>
    <t>Jl Warakas IV Gg. 7 No 53, Warakas, Tanjung Priok, Jakarta Utara</t>
  </si>
  <si>
    <t>0899 8773 178</t>
  </si>
  <si>
    <t>dihankhomirul@gmail.com</t>
  </si>
  <si>
    <t>000165023036 8</t>
  </si>
  <si>
    <t>SUKIRNO</t>
  </si>
  <si>
    <t>320426270164000 2</t>
  </si>
  <si>
    <t>Kp Cigalumpit RT/RW 004/012, Citaman, Nagreg, Kab. Bandung</t>
  </si>
  <si>
    <t>0812 8006 0064</t>
  </si>
  <si>
    <t>000235647106 7</t>
  </si>
  <si>
    <t>SMK N 7 Taman Sari Jakarta</t>
  </si>
  <si>
    <t>SETYO WIBOWO</t>
  </si>
  <si>
    <t>357701170472000 3</t>
  </si>
  <si>
    <t>Aneka Sari No 7 RT 016 RW 05 Kec. Kartoharjo Kota Madiun</t>
  </si>
  <si>
    <t>0812 3417 917</t>
  </si>
  <si>
    <t>setyo.wibowo@inka.co.id</t>
  </si>
  <si>
    <t>0001127778772</t>
  </si>
  <si>
    <t>95N70011658</t>
  </si>
  <si>
    <t>KURNIASARI WIDOWATI</t>
  </si>
  <si>
    <t>ISNA ILYASARI</t>
  </si>
  <si>
    <t>AMMAR MUHAMMAD ZAKY</t>
  </si>
  <si>
    <t>NAVYA AZZAHRA</t>
  </si>
  <si>
    <t>1-May-2028</t>
  </si>
  <si>
    <t>SK-48/INKA/2023</t>
  </si>
  <si>
    <t>JOKO PRIYANTO</t>
  </si>
  <si>
    <t>Pemeliharaan Mesin</t>
  </si>
  <si>
    <t>357703121073000 2</t>
  </si>
  <si>
    <t>Jl. Tanjung Mekar No. 10 RT. 050 RW. 003, Manisrejo, Taman, Kota Madiun</t>
  </si>
  <si>
    <t>0852 3503 8460</t>
  </si>
  <si>
    <t>joko.priyanto@inka.co.id</t>
  </si>
  <si>
    <t>0001127778759</t>
  </si>
  <si>
    <t>96N70011203</t>
  </si>
  <si>
    <t>YULIANA ARBA'ATUN</t>
  </si>
  <si>
    <t>HILMY ABYAN RIZKY</t>
  </si>
  <si>
    <t>AULIA IZZATUNNISA FAUZIYYAH</t>
  </si>
  <si>
    <t>SK-52/INKA/2023</t>
  </si>
  <si>
    <t>RIANT ADZANDY</t>
  </si>
  <si>
    <t>357806200790000 1</t>
  </si>
  <si>
    <t>Simo Sidomulyo 8/63-A RT 007 RW 017 , Petemon, Sawahan, Kota Surabaya</t>
  </si>
  <si>
    <t>0857 3301 3137</t>
  </si>
  <si>
    <t>riant.adzandy@inka.co.id</t>
  </si>
  <si>
    <t>0001516953104</t>
  </si>
  <si>
    <t>PERWITASARI FITRAH LAZZARY</t>
  </si>
  <si>
    <t>SENA FATIH ADZANDY</t>
  </si>
  <si>
    <t>BIAN SANI ADZANDY</t>
  </si>
  <si>
    <t>462936451614000</t>
  </si>
  <si>
    <t>Politeknik Elektronika Negeri Surabaya</t>
  </si>
  <si>
    <t>1-Aug-2046</t>
  </si>
  <si>
    <t>AGUS TRI LEKSONO</t>
  </si>
  <si>
    <t xml:space="preserve">125003180870000 4 </t>
  </si>
  <si>
    <t>Jl Dwi Jaya IV No. 148 RT 035 RW 008, Klegen, Kartoharjo, Kota Madiun</t>
  </si>
  <si>
    <t>0822 3333 0991</t>
  </si>
  <si>
    <t>agus.trileksono@inka.co.id</t>
  </si>
  <si>
    <t>0001127744032</t>
  </si>
  <si>
    <t>91N72014263</t>
  </si>
  <si>
    <t>LILIK ERNAWATI</t>
  </si>
  <si>
    <t>INDRA SATRIA</t>
  </si>
  <si>
    <t>DEWI ANGGRAINI INDRASWARI</t>
  </si>
  <si>
    <t>FADHILA ZAHRA SAHAYANTI</t>
  </si>
  <si>
    <t>478616998621000</t>
  </si>
  <si>
    <t>JUHADI</t>
  </si>
  <si>
    <t>351903160773000 5</t>
  </si>
  <si>
    <t>Jl. Perdana No.560 RT.015 RW.004, Jatisari, Geger, Madiun</t>
  </si>
  <si>
    <t>0853 3162 4552</t>
  </si>
  <si>
    <t>juhadi@inka.co.id</t>
  </si>
  <si>
    <t>0001127744212</t>
  </si>
  <si>
    <t>98N70015192</t>
  </si>
  <si>
    <t>EKO SULISTIYANI</t>
  </si>
  <si>
    <t>ADITYA BAYU PRATAMA</t>
  </si>
  <si>
    <t>HAYA LAELITA ANDINI</t>
  </si>
  <si>
    <t>382988012621000</t>
  </si>
  <si>
    <t>1-Aug-2029</t>
  </si>
  <si>
    <t>TEGUH YULIANTO</t>
  </si>
  <si>
    <t>351905140788000 2</t>
  </si>
  <si>
    <t>Jl.Apotik Hidup No.40, RT.RW :006/002, Kel.Ngegong, Kec.Manguharjo, Ngegong, Manguharjo, Kota Madiun</t>
  </si>
  <si>
    <t>0812 1651 4741</t>
  </si>
  <si>
    <t>teguh.yulianto@inka.co.id</t>
  </si>
  <si>
    <t>0001315477506</t>
  </si>
  <si>
    <t>WULI WURYANDARI</t>
  </si>
  <si>
    <t>GALIH HANANDIANTO</t>
  </si>
  <si>
    <t>836416149621000</t>
  </si>
  <si>
    <t>1-Aug-2032</t>
  </si>
  <si>
    <t>YULI SETIYONO</t>
  </si>
  <si>
    <t>Supervisor</t>
  </si>
  <si>
    <t>357701280773000 2</t>
  </si>
  <si>
    <t>Perumahan Jari Kampir Indah No B-9 RT.023 RW.005 , Kanigoro, Kartoharjo, Kota Madiun</t>
  </si>
  <si>
    <t>0813 3571 1511</t>
  </si>
  <si>
    <t>yuli.setiyono@inka.co.id</t>
  </si>
  <si>
    <t>0001127768714</t>
  </si>
  <si>
    <t>94N70014681</t>
  </si>
  <si>
    <t>DWI SULISTYOWATI</t>
  </si>
  <si>
    <t>INEZ HAYU PUTRIA VESTY</t>
  </si>
  <si>
    <t>NATHAN YUSA WARASTIKA</t>
  </si>
  <si>
    <t>382992360621000</t>
  </si>
  <si>
    <t>STM YP 17-1 Madiun</t>
  </si>
  <si>
    <t>ANDI WIJAYA</t>
  </si>
  <si>
    <t>357701160571000 2</t>
  </si>
  <si>
    <t>Jl Dorang Mas No-10 RT.016 RW.004 , Kelun, Kartoharjo, Kota Madiun</t>
  </si>
  <si>
    <t>081803362555 / 081233515323</t>
  </si>
  <si>
    <t>andi.wijaya@inka.co.id</t>
  </si>
  <si>
    <t>0001127813602</t>
  </si>
  <si>
    <t>98N70014575</t>
  </si>
  <si>
    <t>HERI ERNAWATI</t>
  </si>
  <si>
    <t>NAUVAL PUTRA PRADANA</t>
  </si>
  <si>
    <t>NINO PUTRA ANARGHYA</t>
  </si>
  <si>
    <t>382992303621000</t>
  </si>
  <si>
    <t>STM Negeri Jenangan</t>
  </si>
  <si>
    <t>HERMAN EKO SUSILO</t>
  </si>
  <si>
    <t>350216050469000 7</t>
  </si>
  <si>
    <t>Jl. Ali Usman 72 RT.02 RW.02</t>
  </si>
  <si>
    <t>0812 341 1171</t>
  </si>
  <si>
    <t>herman.esusilo@inka.co.id</t>
  </si>
  <si>
    <t>0001127758735</t>
  </si>
  <si>
    <t>93N70014147</t>
  </si>
  <si>
    <t>VIVIN INDAH S</t>
  </si>
  <si>
    <t>ANISA LABIBAH ULYA</t>
  </si>
  <si>
    <t>ACHMAD IRFAN JABBAR</t>
  </si>
  <si>
    <t>478615933647000</t>
  </si>
  <si>
    <t>Institut Teknlogi Pembangunan Surabaya</t>
  </si>
  <si>
    <t>HARIYANTO</t>
  </si>
  <si>
    <t>352004231072000 2</t>
  </si>
  <si>
    <t>Kepuhrejo RT.06 RW.01, Kepuhrejo, Takeran, Kab. Magetan</t>
  </si>
  <si>
    <t>0857 3646 6617</t>
  </si>
  <si>
    <t>hariyanto.98012@inka.co.id</t>
  </si>
  <si>
    <t>0001127798627</t>
  </si>
  <si>
    <t>98N70009492</t>
  </si>
  <si>
    <t>YAYUK PUJI LESTARI</t>
  </si>
  <si>
    <t>MILA AGUSTINA AMBAR WATI</t>
  </si>
  <si>
    <t>382987527646001</t>
  </si>
  <si>
    <t>ACHMAD FITROH SAYEKTI</t>
  </si>
  <si>
    <t>Gresik</t>
  </si>
  <si>
    <t>352514050492000 1</t>
  </si>
  <si>
    <t>Sirapan RT/RW.013/004 Madiun, Sirapan, Madiun, Madiun</t>
  </si>
  <si>
    <t>0812 9728 5227</t>
  </si>
  <si>
    <t>achmad.fsayekti@inka.co.id</t>
  </si>
  <si>
    <t>0000762885369</t>
  </si>
  <si>
    <t>NARMA AJENG BELLAKARINA</t>
  </si>
  <si>
    <t>HUMAYRA HAMLATUN NUR</t>
  </si>
  <si>
    <t>SHEZA HAFSHAH ZAHIRA</t>
  </si>
  <si>
    <t>710921065612000</t>
  </si>
  <si>
    <t>1-May-2048</t>
  </si>
  <si>
    <t>MINARTO</t>
  </si>
  <si>
    <t>351909170771000 3</t>
  </si>
  <si>
    <t>Ds Klagen serut RT 10 RW 03 , klagen serut, Jiwan, Madiun</t>
  </si>
  <si>
    <t>0858 5052 3329</t>
  </si>
  <si>
    <t>minaRTo@inka.co.id</t>
  </si>
  <si>
    <t>0001127965869</t>
  </si>
  <si>
    <t>98N70015176</t>
  </si>
  <si>
    <t>RIYANTI</t>
  </si>
  <si>
    <t xml:space="preserve">AJENG SANGGITA </t>
  </si>
  <si>
    <t>SEKAR AZIZAH</t>
  </si>
  <si>
    <t>382987634621000</t>
  </si>
  <si>
    <t>1-Aug-2027</t>
  </si>
  <si>
    <t>FATKHURROZI</t>
  </si>
  <si>
    <t>351902021271000 1</t>
  </si>
  <si>
    <t>Jl. Sido mulyo RT 28 RW 09, Dolopo, Dolopo, Madiun</t>
  </si>
  <si>
    <t>0813 3569 3222</t>
  </si>
  <si>
    <t>fatkhurrozi@inka.co.id</t>
  </si>
  <si>
    <t>0001127768499</t>
  </si>
  <si>
    <t>94N70014434</t>
  </si>
  <si>
    <t>SITI NURAIDAH</t>
  </si>
  <si>
    <t>ZULKHAM ELQUDSI NEILIL MUNA</t>
  </si>
  <si>
    <t>FARRADINKA RISMA FAHIRA</t>
  </si>
  <si>
    <t>382992030621000</t>
  </si>
  <si>
    <t>STM Muhammadiyah 1 Ponorogo</t>
  </si>
  <si>
    <t>KASINUL UMAMI</t>
  </si>
  <si>
    <t>351902151272000 1</t>
  </si>
  <si>
    <t>Sidorejo RT.003 RW.001, Sidorejo, Kebonsari, Madiun</t>
  </si>
  <si>
    <t>0853 3077 8390</t>
  </si>
  <si>
    <t>kasinul.umami@inka.co.id</t>
  </si>
  <si>
    <t>0001127778682</t>
  </si>
  <si>
    <t>96N70011138</t>
  </si>
  <si>
    <t>ANIS NURHIDAYATI</t>
  </si>
  <si>
    <t>FATA IHDA UMAMI</t>
  </si>
  <si>
    <t>NABIL EKA ZAIDAN</t>
  </si>
  <si>
    <t>HANUNG AQILA TRI PAMBUDI</t>
  </si>
  <si>
    <t>478615792621000</t>
  </si>
  <si>
    <t xml:space="preserve">Teknik Listrik </t>
  </si>
  <si>
    <t>SUTANTO</t>
  </si>
  <si>
    <t>352103050690000 4</t>
  </si>
  <si>
    <t>Ds. Soco RT.10 RW.01 Kec. Jogorogo Kab Nagwi, Soco, Jogorogo, NGAWI</t>
  </si>
  <si>
    <t>0858 5296 7087</t>
  </si>
  <si>
    <t>sutanto.16036@inka.co.id</t>
  </si>
  <si>
    <t>0001788813742</t>
  </si>
  <si>
    <t>NURUL MUKHOLIFATUL HASANAH</t>
  </si>
  <si>
    <t>FELICIA UZDA NASYITHA HASANAH</t>
  </si>
  <si>
    <t>820716835646000</t>
  </si>
  <si>
    <t>SMK 10 Nopember Madiun</t>
  </si>
  <si>
    <t>KASTURI</t>
  </si>
  <si>
    <t>352110040669000 4</t>
  </si>
  <si>
    <t>Dsn Melikan RT 02  RW 08, Tempuran, Paron, Kab. Ngawi</t>
  </si>
  <si>
    <t>0812 5250 3852</t>
  </si>
  <si>
    <t>kasturi@inka.co.id</t>
  </si>
  <si>
    <t>0001127808562</t>
  </si>
  <si>
    <t>98N70013965</t>
  </si>
  <si>
    <t>SRI WAHYUNI</t>
  </si>
  <si>
    <t>RICHY SYAFRIZAL</t>
  </si>
  <si>
    <t>478615800646000</t>
  </si>
  <si>
    <t>LASIDI</t>
  </si>
  <si>
    <t>351908090172000 1</t>
  </si>
  <si>
    <t>Betek  RT 001  RW 001, BETEK, Madiun, Madiun</t>
  </si>
  <si>
    <t>0821 3122 2828</t>
  </si>
  <si>
    <t>lasidi@inka.co.id</t>
  </si>
  <si>
    <t>0001127895614</t>
  </si>
  <si>
    <t>98N70014435</t>
  </si>
  <si>
    <t>ISTRIYA ARIYANTI</t>
  </si>
  <si>
    <t>EKA BUDI PRAYOGA</t>
  </si>
  <si>
    <t>DONI GEMILANG SAPUTRA</t>
  </si>
  <si>
    <t>478615859621000</t>
  </si>
  <si>
    <t>SUTARBI</t>
  </si>
  <si>
    <t>357701170872000 1</t>
  </si>
  <si>
    <t>Letjen S. Parman No 4B RT 001  RW 001, Oro oro ombo, Kartoharjo, Kota Madiun</t>
  </si>
  <si>
    <t>0813 5928 3741</t>
  </si>
  <si>
    <t>sutarbi@inka.co.id</t>
  </si>
  <si>
    <t>0001127739328</t>
  </si>
  <si>
    <t>98N70014781</t>
  </si>
  <si>
    <t>TITIK SETYAWATI</t>
  </si>
  <si>
    <t>FERDIANSYAH PRASETYA UTAMA</t>
  </si>
  <si>
    <t>CITRA AYU KUSUMANINGRUM</t>
  </si>
  <si>
    <t>FAHREZA AMMAR FAUZAN</t>
  </si>
  <si>
    <t>382989697621000</t>
  </si>
  <si>
    <t>NUR CHOLIS</t>
  </si>
  <si>
    <t>351909270273000 2</t>
  </si>
  <si>
    <t>Ds klagen serut RT 08 RW 03 , Klagen serut, Jiwan, Madiun</t>
  </si>
  <si>
    <t>0857 3659 0706</t>
  </si>
  <si>
    <t>nur.cholis@inka.co.id</t>
  </si>
  <si>
    <t>0001127803544</t>
  </si>
  <si>
    <t>98N70009807</t>
  </si>
  <si>
    <t>RETNO HADI PURNAWATI</t>
  </si>
  <si>
    <t>ABIDANTI DIENNABILA KHALISHYA</t>
  </si>
  <si>
    <t>ZIDAN GUNTUR SASONGKO</t>
  </si>
  <si>
    <t>382987188621000</t>
  </si>
  <si>
    <t>SAIFULLOH ROZI</t>
  </si>
  <si>
    <t>351805020371000 2</t>
  </si>
  <si>
    <t>Gondang RT 005  RW 002, Gondang, Pace, Kab. Nganjuk</t>
  </si>
  <si>
    <t>0822 4513 6052</t>
  </si>
  <si>
    <t>saifulloh.rozi@inka.co.id</t>
  </si>
  <si>
    <t>0001127808584</t>
  </si>
  <si>
    <t>98N70013981</t>
  </si>
  <si>
    <t>NURHAJATI</t>
  </si>
  <si>
    <t>MUHAMMAD AKMAL FURQON</t>
  </si>
  <si>
    <t>NAILA HANUN NAZIZAH</t>
  </si>
  <si>
    <t>478616360622000</t>
  </si>
  <si>
    <t>STM PGRI Nganjuk</t>
  </si>
  <si>
    <t>351903100869000 1</t>
  </si>
  <si>
    <t>Setrowiryan RT 16 RW 003, Kaibon, Geger, Madiun</t>
  </si>
  <si>
    <t>08563446871</t>
  </si>
  <si>
    <t>supriyadi.98080@inka.co.id</t>
  </si>
  <si>
    <t>0001127966152</t>
  </si>
  <si>
    <t>98N70013858</t>
  </si>
  <si>
    <t>WINDARTI</t>
  </si>
  <si>
    <t>LELY S</t>
  </si>
  <si>
    <t>MUHAMAD RAKA PRIWARDANA</t>
  </si>
  <si>
    <t>587580267621000</t>
  </si>
  <si>
    <t>DJOKO ISWAHYUDI</t>
  </si>
  <si>
    <t>351909231069000 1</t>
  </si>
  <si>
    <t>Ds. Bibrik RT 12 RW 05 , Bibrik, Jiwan, Madiun</t>
  </si>
  <si>
    <t>085735650499</t>
  </si>
  <si>
    <t>djoko.iswahyudi@inka.co.id</t>
  </si>
  <si>
    <t>0001127803555</t>
  </si>
  <si>
    <t>98N70009815</t>
  </si>
  <si>
    <t>SRI EKA WIDIASTUTI</t>
  </si>
  <si>
    <t>WAHYU AYIK CANDRA IRAWATI</t>
  </si>
  <si>
    <t>ANDRY WAHYU WIDIANTO</t>
  </si>
  <si>
    <t>SUDARTO</t>
  </si>
  <si>
    <t>MINARNI</t>
  </si>
  <si>
    <t>382986651621000</t>
  </si>
  <si>
    <t>STM PGRI 2 Madiun</t>
  </si>
  <si>
    <t>SURYONO</t>
  </si>
  <si>
    <t>351903090370000 3</t>
  </si>
  <si>
    <t>Nglandung RT.006 RW.001, NGLANDUNG, Geger, Madiun</t>
  </si>
  <si>
    <t>082229034877</t>
  </si>
  <si>
    <t>suryono@inka.co.id</t>
  </si>
  <si>
    <t>0001127749331</t>
  </si>
  <si>
    <t>98N70015804</t>
  </si>
  <si>
    <t>WIDAKDO TRICAHYONO</t>
  </si>
  <si>
    <t>478615628621000</t>
  </si>
  <si>
    <t>STM 10 Nopember Madiun</t>
  </si>
  <si>
    <t>ARI EKO PRASETYO</t>
  </si>
  <si>
    <t>351903280290000 1</t>
  </si>
  <si>
    <t>Jl.Istirahat RT/RW :018/004, Kel : Kaibon, Kec: Geger, Kaibon, Geger, Madiun</t>
  </si>
  <si>
    <t>087858386528</t>
  </si>
  <si>
    <t>ari.eko.prasetyo@inka.co.id</t>
  </si>
  <si>
    <t>0001316139851</t>
  </si>
  <si>
    <t>SEPTIANA DEWI IRMAWATI</t>
  </si>
  <si>
    <t>SOFIA HASNA MAHIRA</t>
  </si>
  <si>
    <t>MUHAMMAD ABIZAR RAZQA PRASETYO</t>
  </si>
  <si>
    <t>812927234621000</t>
  </si>
  <si>
    <t>SMK YP17-1 Madiun</t>
  </si>
  <si>
    <t>DANANG SAMUDRO</t>
  </si>
  <si>
    <t>350209160292000 1</t>
  </si>
  <si>
    <t>Dkh. Winong I, RT : 001 RW : 001 , Winong, Jetis, Kab. Ponorogo</t>
  </si>
  <si>
    <t>085716449588</t>
  </si>
  <si>
    <t>danang.samudro@inka.co.id</t>
  </si>
  <si>
    <t>0001809250108</t>
  </si>
  <si>
    <t>DIAH AYU WARDANI</t>
  </si>
  <si>
    <t>ALBERN YUKI KHLAFANI</t>
  </si>
  <si>
    <t>836182329647000</t>
  </si>
  <si>
    <t>SMKN 1 Jenangan</t>
  </si>
  <si>
    <t>SUPRIYONO</t>
  </si>
  <si>
    <t>351907311271000 3</t>
  </si>
  <si>
    <t>Ds. Tempursari RT 02 RW 01, tempursari, Wungu, Madiun</t>
  </si>
  <si>
    <t>08174131977</t>
  </si>
  <si>
    <t>supriyono.94065@inka.co.id</t>
  </si>
  <si>
    <t>0001299596016</t>
  </si>
  <si>
    <t>94N70014442</t>
  </si>
  <si>
    <t>NINIK DAYANI</t>
  </si>
  <si>
    <t>PRIMA SURYADANI</t>
  </si>
  <si>
    <t>382989895621000</t>
  </si>
  <si>
    <t>MUDJIONO</t>
  </si>
  <si>
    <t>351905050769000 6</t>
  </si>
  <si>
    <t>Slaji  RT.032 RW.010, Randualas, Kare, Madiun</t>
  </si>
  <si>
    <t>082140956385</t>
  </si>
  <si>
    <t>mujiono@inka.co.id</t>
  </si>
  <si>
    <t>0001299022244</t>
  </si>
  <si>
    <t>96N70010858</t>
  </si>
  <si>
    <t>ATMINI</t>
  </si>
  <si>
    <t>RENY DIAH PUJIASTUTI</t>
  </si>
  <si>
    <t>86877941621000</t>
  </si>
  <si>
    <t>Teknik Pengerjaan Logam</t>
  </si>
  <si>
    <t>1-Aug-2025</t>
  </si>
  <si>
    <t>BAMBANG RUDIANTORO</t>
  </si>
  <si>
    <t>351915050672000 2</t>
  </si>
  <si>
    <t>Sidomulyo RT.018 RW.006, Sidomulyo, Wonoasri, Madiun</t>
  </si>
  <si>
    <t>bambang.rudiyanto@inka.co.id</t>
  </si>
  <si>
    <t>0001127749105</t>
  </si>
  <si>
    <t>98N70015515</t>
  </si>
  <si>
    <t>LILIS MARLIANI</t>
  </si>
  <si>
    <t>BERLIANA WIDIANTORO PUTRI</t>
  </si>
  <si>
    <t>RAMADHAN PUTRA WIDIANTORO</t>
  </si>
  <si>
    <t>BAGUS ANANDA WIDIANTORO</t>
  </si>
  <si>
    <t>382989515621000</t>
  </si>
  <si>
    <t>PUTRA MARULI TUA ARITONANG</t>
  </si>
  <si>
    <t>Tabalong</t>
  </si>
  <si>
    <t>630905270994000 1</t>
  </si>
  <si>
    <t>Kembang Kuning RT 003, Kec. Haruai, Kab. Tabalong</t>
  </si>
  <si>
    <t>0852 5259 1008</t>
  </si>
  <si>
    <t>putramaruli25@gmail.com</t>
  </si>
  <si>
    <t>0002886377218</t>
  </si>
  <si>
    <t>MAULINA SETYASIH</t>
  </si>
  <si>
    <t>SK-31/INKA/2020</t>
  </si>
  <si>
    <t>357701601282000 1</t>
  </si>
  <si>
    <t>Jl Tawang Sakti Gg 4 No 2, RT / RW 004/ 002 Tawangrejo, Kartoharjo, Kota Madiun</t>
  </si>
  <si>
    <t>0822 3122 7420</t>
  </si>
  <si>
    <t>maulina.saisy@gmail.com</t>
  </si>
  <si>
    <t>000114407965 1</t>
  </si>
  <si>
    <t>JAROT RAHMAT KURNIAWAN</t>
  </si>
  <si>
    <t>AISYA NUR MAHDIYA</t>
  </si>
  <si>
    <t>NUR BUSSAINA HANUM</t>
  </si>
  <si>
    <t>NUR CHAIRANI MASAYU</t>
  </si>
  <si>
    <t>REIHAN KUSUMA ALAM IRFANSAH</t>
  </si>
  <si>
    <t>357702080201000 2</t>
  </si>
  <si>
    <t>Perumahan Bumi Winongo Indah Blok B/12</t>
  </si>
  <si>
    <t>0813 3368 2608</t>
  </si>
  <si>
    <t>reihankai1@gmail.com</t>
  </si>
  <si>
    <t>0001381433286</t>
  </si>
  <si>
    <t>ADISCA DEWI NURIZZKY</t>
  </si>
  <si>
    <t>357701640700000 2</t>
  </si>
  <si>
    <t>JL.Sri Unggul No.30 Rt.05/Rw.01, Kanigoro Madiun</t>
  </si>
  <si>
    <t>0858 0676 8376</t>
  </si>
  <si>
    <t>adisdewi24@gmail.com</t>
  </si>
  <si>
    <t>IWAN MAULANA</t>
  </si>
  <si>
    <t>350614080301000 1</t>
  </si>
  <si>
    <t>Jalan Raya Papar No 79, RT/RW 001/007, Papar, Kediri</t>
  </si>
  <si>
    <t>0812 1601 8139</t>
  </si>
  <si>
    <t>iwanmaulana407612ipal@gmail.com</t>
  </si>
  <si>
    <t>0002463683466</t>
  </si>
  <si>
    <t>MOCHAMMAD AKBAR ADRIANSYAH</t>
  </si>
  <si>
    <t>327329020695000 1</t>
  </si>
  <si>
    <t>Jl Andes No 33, Pinus Regency RT/RW 002/001, Babakan Penghulu, Cinambo, Bandung</t>
  </si>
  <si>
    <t>0812 2281 1848</t>
  </si>
  <si>
    <t>mochakbaradriansyah@gmail.com</t>
  </si>
  <si>
    <t>000327830282 8</t>
  </si>
  <si>
    <t>SUTISNO</t>
  </si>
  <si>
    <t>327606010758000 4</t>
  </si>
  <si>
    <t>Komp Perumka RT/RW 003/008, Pondok Cina, Kec. Beji, Kota Depok</t>
  </si>
  <si>
    <t>0882 1085 8634</t>
  </si>
  <si>
    <t>Sutisno.ino18@gmail.com</t>
  </si>
  <si>
    <t>000220893182 8</t>
  </si>
  <si>
    <t>MARGIANTI</t>
  </si>
  <si>
    <t>SMK N 2 Surakarta</t>
  </si>
  <si>
    <t>PKWT-642002073/D1/2020</t>
  </si>
  <si>
    <t>ENDANG HERMAWAN</t>
  </si>
  <si>
    <t>PKWT</t>
  </si>
  <si>
    <t>320512031158000 1</t>
  </si>
  <si>
    <t>Kp Padasuka, RT/RW 002/006, Padasuka, Cibatu, Kab. Garut</t>
  </si>
  <si>
    <t>0878 8962 0963</t>
  </si>
  <si>
    <t>Pensiunan PNS</t>
  </si>
  <si>
    <t>EUIS TETI</t>
  </si>
  <si>
    <t>FAIZIN</t>
  </si>
  <si>
    <t>327501150459001 9</t>
  </si>
  <si>
    <t>Jl Kusuma Utara XIII C Blok 2C No.2, Wisma Jaya RT/RW 001/017, Duren Jaya, Bekasi Timur, Kota Bekasi</t>
  </si>
  <si>
    <t>0813 8594 8173</t>
  </si>
  <si>
    <t>000190557021 3</t>
  </si>
  <si>
    <t>SOPHIANI</t>
  </si>
  <si>
    <t>FAQITHA WIJAYA</t>
  </si>
  <si>
    <t>SMA Arena Siswa II Jakarta</t>
  </si>
  <si>
    <t>PKWT-641807161/D1/2020</t>
  </si>
  <si>
    <t>ADITYA NAUFAL FIRMANSYAH</t>
  </si>
  <si>
    <t>352109090301000 4</t>
  </si>
  <si>
    <t>Dungus, Karangsari, RT/RW 004/003, Ngawi</t>
  </si>
  <si>
    <t>0823 3745 5245</t>
  </si>
  <si>
    <t>SUDARNO (ALM)</t>
  </si>
  <si>
    <t>ERNI TRESNOWATI</t>
  </si>
  <si>
    <t>ANDRIANSYAH</t>
  </si>
  <si>
    <t>Timbaan</t>
  </si>
  <si>
    <t>120823191001000 5</t>
  </si>
  <si>
    <t>Huta VI, Pasar Pagi Nagori Perlanaan, Kec Bandar, Kab. Simalungun</t>
  </si>
  <si>
    <t>0823 1209 6615</t>
  </si>
  <si>
    <t>yansyahandri281@gmail.com</t>
  </si>
  <si>
    <t>000308827997 8</t>
  </si>
  <si>
    <t>SMK Swasta Satriya Budi 1 Perdagangan</t>
  </si>
  <si>
    <t>DATA MUTASI KARYAWAN TERHITUNG MULAI 9 MARET 2021</t>
  </si>
  <si>
    <t>NIP</t>
  </si>
  <si>
    <t>Tanggal Mutasi</t>
  </si>
  <si>
    <t>Dokumen Mutasi</t>
  </si>
  <si>
    <t>Unit Kerja/Proyek</t>
  </si>
  <si>
    <t>SK-5/D1/IMSS/2021</t>
  </si>
  <si>
    <t>RB Solo</t>
  </si>
  <si>
    <t>Bangladesh</t>
  </si>
  <si>
    <t>MG 500</t>
  </si>
  <si>
    <t>INOBUS</t>
  </si>
  <si>
    <t>ST-15/130/IMSS/2021</t>
  </si>
  <si>
    <t>ST-15/130/IMSS/2022</t>
  </si>
  <si>
    <t>ST-15/130/IMSS/2023</t>
  </si>
  <si>
    <t>ST-15/130/IMSS/2024</t>
  </si>
  <si>
    <t>ST-16/130/IMSS/2021</t>
  </si>
  <si>
    <t>ST-17/130/IMSS/2021</t>
  </si>
  <si>
    <t>ST-23/130/IMSS/2021</t>
  </si>
  <si>
    <t>ST-25/130/IMSS/2021</t>
  </si>
  <si>
    <t>RB Padang</t>
  </si>
  <si>
    <t>IMSS</t>
  </si>
  <si>
    <t>administrasi</t>
  </si>
  <si>
    <t>Administrasi/ teknisi</t>
  </si>
  <si>
    <t>Teknisi</t>
  </si>
  <si>
    <t>M AKHIRUL RAMADHAN</t>
  </si>
  <si>
    <t>R PRAJA KUSUMA NUGRAHA</t>
  </si>
  <si>
    <t>ALFIAN NOER CRISTANTO</t>
  </si>
  <si>
    <t>ANGGUN SETIO MITUHU</t>
  </si>
  <si>
    <t>BAGUS DWI CAHYONO</t>
  </si>
  <si>
    <t>BIMO TRI PRAKOSO</t>
  </si>
  <si>
    <t>DERIZA DEBY DWIANTO</t>
  </si>
  <si>
    <t>ERWIN BAGUS SAPUTRO</t>
  </si>
  <si>
    <t>MARSELO DWI LAKSONO</t>
  </si>
  <si>
    <t>MAULANA ZAKARIA</t>
  </si>
  <si>
    <t>NOVIKASARI</t>
  </si>
  <si>
    <t>RANDU ARIANDI SAPUTRA</t>
  </si>
  <si>
    <t>SADIKUN</t>
  </si>
  <si>
    <t>WIDHI MUSLIQIM SETYO PANGUDI</t>
  </si>
  <si>
    <t>YASIR ARAFAD</t>
  </si>
  <si>
    <t>YOGA INDRA IRAWAN</t>
  </si>
  <si>
    <t xml:space="preserve">KOTA/ LOKASI KERJA </t>
  </si>
  <si>
    <t>Sekretariat Perusahaan</t>
  </si>
  <si>
    <t>Kantor Salak</t>
  </si>
  <si>
    <t>IMSS PKWT</t>
  </si>
  <si>
    <t>Administrasi/ Non Teknis</t>
  </si>
  <si>
    <t>Teknisi/ teknis</t>
  </si>
  <si>
    <t xml:space="preserve">DIREKSI </t>
  </si>
  <si>
    <t>DIREKSI</t>
  </si>
  <si>
    <t>total</t>
  </si>
  <si>
    <t>MUHAMMAD BANGUN SABRINNA</t>
  </si>
  <si>
    <t>MOCHAMAD SANDI NUR RAMADAN</t>
  </si>
  <si>
    <t>MOHAMAD SUKRON</t>
  </si>
  <si>
    <t>MOHAMMAD RIDWAN ISMAIL</t>
  </si>
  <si>
    <t>MOHAMMAD RIZQI</t>
  </si>
  <si>
    <t>MUCHAMMAD NUR ISMAIL</t>
  </si>
  <si>
    <t>MUHAMAD FACHRI RIYANSAH</t>
  </si>
  <si>
    <t>MUHAMAD IRFAN</t>
  </si>
  <si>
    <t>MUHAMAD NURUL IRFAN</t>
  </si>
  <si>
    <t>MUHAMAD PRABOWO</t>
  </si>
  <si>
    <t>MUHAMMAD AL'SAUFI</t>
  </si>
  <si>
    <t>MUHAMMAD BAYU DIRGANTARA</t>
  </si>
  <si>
    <t>MUHAMMAD HIDAYAT</t>
  </si>
  <si>
    <t>MUHAMMAD IQBAL AL-BANJARI</t>
  </si>
  <si>
    <t>MUHAMMAD KASI GHUSOORY</t>
  </si>
  <si>
    <t>MUHAMMAD LINTANG A'RAFI ICHSAN</t>
  </si>
  <si>
    <t>MUHAMMAD VILLA ZAKHI</t>
  </si>
  <si>
    <t>MUHAMMAD VINANDO WISNUSETIAWAN</t>
  </si>
  <si>
    <t>MUHAMMAD YUNIAR FIJRIANTORO</t>
  </si>
  <si>
    <t>MOCH DONY ANGGORO</t>
  </si>
  <si>
    <t>FIGO MUHAMMAD HERNATIAS</t>
  </si>
  <si>
    <t>KMS MUHAMMAD JIMMI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</si>
</sst>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??_);_(@_)"/>
    <numFmt numFmtId="165" formatCode="[$-409]d\-mmm\-yy"/>
    <numFmt numFmtId="166" formatCode="[$-409]dd\-mmm\-yy"/>
    <numFmt numFmtId="167" formatCode="[$-13809]d\ mmm\ yyyy"/>
    <numFmt numFmtId="168" formatCode="yyyy\-mm\-dd"/>
    <numFmt numFmtId="169" formatCode="_(* #,##0.00_);_(* \(#,##0.00\);_(* &quot;-&quot;??_);_(@_)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2"/>
      <color rgb="FF374151"/>
      <name val="Quattrocento Sans"/>
    </font>
    <font>
      <sz val="11"/>
      <color rgb="FF1E1E1E"/>
      <name val="Quattrocento Sans"/>
    </font>
    <font>
      <sz val="8"/>
      <color theme="1"/>
      <name val="Calibri"/>
    </font>
    <font>
      <sz val="8"/>
      <color rgb="FF374151"/>
      <name val="Calibri"/>
    </font>
    <font>
      <b/>
      <sz val="8"/>
      <color theme="1"/>
      <name val="Calibri"/>
    </font>
    <font>
      <sz val="8"/>
      <color rgb="FF000000"/>
      <name val="Calibri"/>
    </font>
    <font>
      <u/>
      <sz val="8"/>
      <color rgb="FF0000FF"/>
      <name val="Calibri"/>
    </font>
    <font>
      <sz val="8"/>
      <color rgb="FFFF0000"/>
      <name val="Calibri"/>
    </font>
    <font>
      <u/>
      <sz val="8"/>
      <color theme="1"/>
      <name val="Calibri"/>
    </font>
    <font>
      <sz val="6"/>
      <color theme="1"/>
      <name val="Arial"/>
    </font>
    <font>
      <sz val="7"/>
      <color theme="1"/>
      <name val="Arial"/>
    </font>
    <font>
      <u/>
      <sz val="8"/>
      <color theme="1"/>
      <name val="Calibri"/>
    </font>
    <font>
      <sz val="8"/>
      <color theme="1"/>
      <name val="Arial"/>
    </font>
    <font>
      <u/>
      <sz val="8"/>
      <color theme="10"/>
      <name val="Calibri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ABBDD"/>
        <bgColor rgb="FFDABBDD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8">
    <border>
      <left/>
      <right/>
      <top/>
      <bottom/>
      <diagonal/>
    </border>
    <border>
      <left/>
      <right/>
      <top/>
      <bottom style="thin">
        <color rgb="FF0070C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2" borderId="2" xfId="0" applyNumberFormat="1" applyFont="1" applyFill="1" applyBorder="1"/>
    <xf numFmtId="0" fontId="3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9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64" fontId="2" fillId="0" borderId="12" xfId="0" applyNumberFormat="1" applyFon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1" xfId="0" applyNumberFormat="1" applyFont="1" applyBorder="1"/>
    <xf numFmtId="164" fontId="2" fillId="0" borderId="4" xfId="0" applyNumberFormat="1" applyFont="1" applyBorder="1"/>
    <xf numFmtId="0" fontId="3" fillId="0" borderId="9" xfId="0" applyFont="1" applyBorder="1"/>
    <xf numFmtId="0" fontId="2" fillId="0" borderId="15" xfId="0" applyFont="1" applyBorder="1"/>
    <xf numFmtId="164" fontId="2" fillId="0" borderId="16" xfId="0" applyNumberFormat="1" applyFont="1" applyBorder="1"/>
    <xf numFmtId="164" fontId="3" fillId="0" borderId="17" xfId="0" applyNumberFormat="1" applyFont="1" applyBorder="1"/>
    <xf numFmtId="164" fontId="3" fillId="0" borderId="18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7" xfId="0" applyFont="1" applyBorder="1"/>
    <xf numFmtId="164" fontId="2" fillId="2" borderId="19" xfId="0" applyNumberFormat="1" applyFont="1" applyFill="1" applyBorder="1"/>
    <xf numFmtId="0" fontId="3" fillId="0" borderId="4" xfId="0" applyFont="1" applyBorder="1"/>
    <xf numFmtId="0" fontId="2" fillId="0" borderId="20" xfId="0" applyFont="1" applyBorder="1"/>
    <xf numFmtId="164" fontId="2" fillId="3" borderId="21" xfId="0" applyNumberFormat="1" applyFont="1" applyFill="1" applyBorder="1"/>
    <xf numFmtId="164" fontId="2" fillId="3" borderId="22" xfId="0" applyNumberFormat="1" applyFont="1" applyFill="1" applyBorder="1"/>
    <xf numFmtId="164" fontId="2" fillId="3" borderId="23" xfId="0" applyNumberFormat="1" applyFont="1" applyFill="1" applyBorder="1"/>
    <xf numFmtId="164" fontId="2" fillId="3" borderId="24" xfId="0" applyNumberFormat="1" applyFont="1" applyFill="1" applyBorder="1"/>
    <xf numFmtId="164" fontId="3" fillId="3" borderId="21" xfId="0" applyNumberFormat="1" applyFont="1" applyFill="1" applyBorder="1"/>
    <xf numFmtId="164" fontId="3" fillId="3" borderId="22" xfId="0" applyNumberFormat="1" applyFont="1" applyFill="1" applyBorder="1"/>
    <xf numFmtId="164" fontId="3" fillId="3" borderId="24" xfId="0" applyNumberFormat="1" applyFont="1" applyFill="1" applyBorder="1"/>
    <xf numFmtId="164" fontId="3" fillId="3" borderId="23" xfId="0" applyNumberFormat="1" applyFont="1" applyFill="1" applyBorder="1"/>
    <xf numFmtId="164" fontId="3" fillId="3" borderId="25" xfId="0" applyNumberFormat="1" applyFont="1" applyFill="1" applyBorder="1"/>
    <xf numFmtId="164" fontId="3" fillId="0" borderId="26" xfId="0" applyNumberFormat="1" applyFont="1" applyBorder="1"/>
    <xf numFmtId="164" fontId="3" fillId="0" borderId="20" xfId="0" applyNumberFormat="1" applyFont="1" applyBorder="1"/>
    <xf numFmtId="164" fontId="3" fillId="3" borderId="2" xfId="0" applyNumberFormat="1" applyFont="1" applyFill="1" applyBorder="1"/>
    <xf numFmtId="164" fontId="3" fillId="0" borderId="27" xfId="0" applyNumberFormat="1" applyFont="1" applyBorder="1"/>
    <xf numFmtId="164" fontId="2" fillId="0" borderId="26" xfId="0" applyNumberFormat="1" applyFont="1" applyBorder="1"/>
    <xf numFmtId="164" fontId="3" fillId="0" borderId="28" xfId="0" applyNumberFormat="1" applyFont="1" applyBorder="1"/>
    <xf numFmtId="164" fontId="3" fillId="3" borderId="29" xfId="0" applyNumberFormat="1" applyFont="1" applyFill="1" applyBorder="1"/>
    <xf numFmtId="164" fontId="2" fillId="3" borderId="25" xfId="0" applyNumberFormat="1" applyFont="1" applyFill="1" applyBorder="1"/>
    <xf numFmtId="164" fontId="2" fillId="3" borderId="2" xfId="0" applyNumberFormat="1" applyFont="1" applyFill="1" applyBorder="1"/>
    <xf numFmtId="164" fontId="2" fillId="3" borderId="29" xfId="0" applyNumberFormat="1" applyFont="1" applyFill="1" applyBorder="1"/>
    <xf numFmtId="164" fontId="3" fillId="3" borderId="30" xfId="0" applyNumberFormat="1" applyFont="1" applyFill="1" applyBorder="1"/>
    <xf numFmtId="0" fontId="2" fillId="0" borderId="31" xfId="0" applyFont="1" applyBorder="1"/>
    <xf numFmtId="164" fontId="3" fillId="3" borderId="32" xfId="0" applyNumberFormat="1" applyFont="1" applyFill="1" applyBorder="1"/>
    <xf numFmtId="164" fontId="3" fillId="0" borderId="33" xfId="0" applyNumberFormat="1" applyFont="1" applyBorder="1"/>
    <xf numFmtId="164" fontId="2" fillId="2" borderId="36" xfId="0" applyNumberFormat="1" applyFont="1" applyFill="1" applyBorder="1"/>
    <xf numFmtId="164" fontId="2" fillId="2" borderId="37" xfId="0" applyNumberFormat="1" applyFont="1" applyFill="1" applyBorder="1"/>
    <xf numFmtId="164" fontId="2" fillId="2" borderId="13" xfId="0" applyNumberFormat="1" applyFont="1" applyFill="1" applyBorder="1"/>
    <xf numFmtId="164" fontId="2" fillId="2" borderId="38" xfId="0" applyNumberFormat="1" applyFont="1" applyFill="1" applyBorder="1"/>
    <xf numFmtId="164" fontId="2" fillId="2" borderId="39" xfId="0" applyNumberFormat="1" applyFont="1" applyFill="1" applyBorder="1"/>
    <xf numFmtId="164" fontId="2" fillId="2" borderId="40" xfId="0" applyNumberFormat="1" applyFont="1" applyFill="1" applyBorder="1"/>
    <xf numFmtId="164" fontId="2" fillId="2" borderId="12" xfId="0" applyNumberFormat="1" applyFont="1" applyFill="1" applyBorder="1"/>
    <xf numFmtId="164" fontId="2" fillId="4" borderId="41" xfId="0" applyNumberFormat="1" applyFont="1" applyFill="1" applyBorder="1"/>
    <xf numFmtId="164" fontId="2" fillId="0" borderId="42" xfId="0" applyNumberFormat="1" applyFont="1" applyBorder="1"/>
    <xf numFmtId="164" fontId="2" fillId="0" borderId="43" xfId="0" applyNumberFormat="1" applyFont="1" applyBorder="1"/>
    <xf numFmtId="164" fontId="2" fillId="0" borderId="44" xfId="0" applyNumberFormat="1" applyFont="1" applyBorder="1"/>
    <xf numFmtId="164" fontId="2" fillId="0" borderId="45" xfId="0" applyNumberFormat="1" applyFont="1" applyBorder="1"/>
    <xf numFmtId="164" fontId="2" fillId="0" borderId="46" xfId="0" applyNumberFormat="1" applyFont="1" applyBorder="1"/>
    <xf numFmtId="164" fontId="2" fillId="0" borderId="0" xfId="0" applyNumberFormat="1" applyFont="1" applyAlignment="1">
      <alignment horizontal="center"/>
    </xf>
    <xf numFmtId="0" fontId="3" fillId="0" borderId="5" xfId="0" applyFont="1" applyBorder="1"/>
    <xf numFmtId="0" fontId="2" fillId="0" borderId="8" xfId="0" applyFont="1" applyBorder="1"/>
    <xf numFmtId="164" fontId="3" fillId="0" borderId="47" xfId="0" applyNumberFormat="1" applyFont="1" applyBorder="1"/>
    <xf numFmtId="164" fontId="3" fillId="0" borderId="48" xfId="0" applyNumberFormat="1" applyFont="1" applyBorder="1"/>
    <xf numFmtId="164" fontId="3" fillId="0" borderId="49" xfId="0" applyNumberFormat="1" applyFont="1" applyBorder="1"/>
    <xf numFmtId="164" fontId="3" fillId="0" borderId="50" xfId="0" applyNumberFormat="1" applyFont="1" applyBorder="1"/>
    <xf numFmtId="164" fontId="3" fillId="0" borderId="7" xfId="0" applyNumberFormat="1" applyFont="1" applyBorder="1"/>
    <xf numFmtId="164" fontId="2" fillId="2" borderId="51" xfId="0" applyNumberFormat="1" applyFont="1" applyFill="1" applyBorder="1"/>
    <xf numFmtId="0" fontId="3" fillId="0" borderId="52" xfId="0" applyFont="1" applyBorder="1"/>
    <xf numFmtId="0" fontId="2" fillId="0" borderId="53" xfId="0" applyFont="1" applyBorder="1"/>
    <xf numFmtId="164" fontId="3" fillId="0" borderId="54" xfId="0" applyNumberFormat="1" applyFont="1" applyBorder="1"/>
    <xf numFmtId="164" fontId="3" fillId="0" borderId="55" xfId="0" applyNumberFormat="1" applyFont="1" applyBorder="1"/>
    <xf numFmtId="164" fontId="3" fillId="0" borderId="56" xfId="0" applyNumberFormat="1" applyFont="1" applyBorder="1"/>
    <xf numFmtId="164" fontId="3" fillId="0" borderId="57" xfId="0" applyNumberFormat="1" applyFont="1" applyBorder="1"/>
    <xf numFmtId="164" fontId="3" fillId="0" borderId="58" xfId="0" applyNumberFormat="1" applyFont="1" applyBorder="1"/>
    <xf numFmtId="164" fontId="2" fillId="2" borderId="59" xfId="0" applyNumberFormat="1" applyFont="1" applyFill="1" applyBorder="1"/>
    <xf numFmtId="164" fontId="3" fillId="0" borderId="57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52" xfId="0" applyFont="1" applyBorder="1"/>
    <xf numFmtId="164" fontId="2" fillId="2" borderId="62" xfId="0" applyNumberFormat="1" applyFont="1" applyFill="1" applyBorder="1"/>
    <xf numFmtId="164" fontId="2" fillId="2" borderId="63" xfId="0" applyNumberFormat="1" applyFont="1" applyFill="1" applyBorder="1"/>
    <xf numFmtId="164" fontId="2" fillId="2" borderId="64" xfId="0" applyNumberFormat="1" applyFont="1" applyFill="1" applyBorder="1"/>
    <xf numFmtId="164" fontId="2" fillId="4" borderId="65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56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66" xfId="0" applyFont="1" applyBorder="1"/>
    <xf numFmtId="0" fontId="3" fillId="0" borderId="67" xfId="0" applyFont="1" applyBorder="1" applyAlignment="1">
      <alignment horizontal="center"/>
    </xf>
    <xf numFmtId="0" fontId="3" fillId="0" borderId="67" xfId="0" applyFont="1" applyBorder="1"/>
    <xf numFmtId="0" fontId="3" fillId="0" borderId="68" xfId="0" applyFont="1" applyBorder="1" applyAlignment="1">
      <alignment horizontal="center"/>
    </xf>
    <xf numFmtId="0" fontId="3" fillId="0" borderId="68" xfId="0" applyFont="1" applyBorder="1"/>
    <xf numFmtId="0" fontId="2" fillId="0" borderId="5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66" xfId="0" applyFont="1" applyBorder="1"/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0" borderId="56" xfId="0" applyFont="1" applyBorder="1"/>
    <xf numFmtId="0" fontId="3" fillId="0" borderId="56" xfId="0" applyFont="1" applyBorder="1" applyAlignment="1">
      <alignment horizontal="center"/>
    </xf>
    <xf numFmtId="0" fontId="2" fillId="0" borderId="69" xfId="0" applyFont="1" applyBorder="1"/>
    <xf numFmtId="0" fontId="2" fillId="0" borderId="69" xfId="0" applyFont="1" applyBorder="1" applyAlignment="1">
      <alignment horizont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1" fontId="7" fillId="0" borderId="0" xfId="0" applyNumberFormat="1" applyFont="1" applyAlignment="1">
      <alignment horizontal="right" vertical="top"/>
    </xf>
    <xf numFmtId="165" fontId="7" fillId="0" borderId="0" xfId="0" applyNumberFormat="1" applyFont="1" applyAlignment="1">
      <alignment vertical="top"/>
    </xf>
    <xf numFmtId="166" fontId="7" fillId="0" borderId="0" xfId="0" applyNumberFormat="1" applyFont="1" applyAlignment="1">
      <alignment horizontal="right" vertical="top"/>
    </xf>
    <xf numFmtId="1" fontId="7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165" fontId="7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14" fontId="7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9" fillId="2" borderId="64" xfId="0" applyFont="1" applyFill="1" applyBorder="1" applyAlignment="1">
      <alignment horizontal="center" vertical="top"/>
    </xf>
    <xf numFmtId="0" fontId="9" fillId="2" borderId="64" xfId="0" applyFont="1" applyFill="1" applyBorder="1" applyAlignment="1">
      <alignment horizontal="right" vertical="top"/>
    </xf>
    <xf numFmtId="165" fontId="9" fillId="2" borderId="64" xfId="0" applyNumberFormat="1" applyFont="1" applyFill="1" applyBorder="1" applyAlignment="1">
      <alignment horizontal="center" vertical="top"/>
    </xf>
    <xf numFmtId="166" fontId="9" fillId="2" borderId="64" xfId="0" applyNumberFormat="1" applyFont="1" applyFill="1" applyBorder="1" applyAlignment="1">
      <alignment horizontal="center" vertical="top"/>
    </xf>
    <xf numFmtId="1" fontId="9" fillId="2" borderId="64" xfId="0" applyNumberFormat="1" applyFont="1" applyFill="1" applyBorder="1" applyAlignment="1">
      <alignment horizontal="center" vertical="top"/>
    </xf>
    <xf numFmtId="49" fontId="9" fillId="2" borderId="64" xfId="0" applyNumberFormat="1" applyFont="1" applyFill="1" applyBorder="1" applyAlignment="1">
      <alignment horizontal="center" vertical="top"/>
    </xf>
    <xf numFmtId="0" fontId="9" fillId="2" borderId="64" xfId="0" applyFont="1" applyFill="1" applyBorder="1" applyAlignment="1">
      <alignment horizontal="left" vertical="top"/>
    </xf>
    <xf numFmtId="165" fontId="9" fillId="5" borderId="64" xfId="0" applyNumberFormat="1" applyFont="1" applyFill="1" applyBorder="1" applyAlignment="1">
      <alignment horizontal="center" vertical="top"/>
    </xf>
    <xf numFmtId="3" fontId="7" fillId="0" borderId="0" xfId="0" applyNumberFormat="1" applyFont="1" applyAlignment="1">
      <alignment vertical="top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top"/>
    </xf>
    <xf numFmtId="1" fontId="7" fillId="0" borderId="0" xfId="0" applyNumberFormat="1" applyFont="1" applyAlignment="1">
      <alignment horizontal="left" vertical="top"/>
    </xf>
    <xf numFmtId="166" fontId="7" fillId="0" borderId="0" xfId="0" applyNumberFormat="1" applyFont="1" applyAlignment="1">
      <alignment vertical="top"/>
    </xf>
    <xf numFmtId="0" fontId="7" fillId="6" borderId="2" xfId="0" applyFont="1" applyFill="1" applyBorder="1" applyAlignment="1">
      <alignment vertical="top"/>
    </xf>
    <xf numFmtId="3" fontId="7" fillId="0" borderId="0" xfId="0" applyNumberFormat="1" applyFont="1" applyAlignment="1">
      <alignment horizontal="left" vertical="top"/>
    </xf>
    <xf numFmtId="3" fontId="12" fillId="0" borderId="0" xfId="0" applyNumberFormat="1" applyFont="1" applyAlignment="1">
      <alignment vertical="top"/>
    </xf>
    <xf numFmtId="49" fontId="7" fillId="0" borderId="0" xfId="0" quotePrefix="1" applyNumberFormat="1" applyFont="1" applyAlignment="1">
      <alignment vertical="top"/>
    </xf>
    <xf numFmtId="0" fontId="7" fillId="7" borderId="2" xfId="0" applyFont="1" applyFill="1" applyBorder="1" applyAlignment="1">
      <alignment vertical="top"/>
    </xf>
    <xf numFmtId="15" fontId="7" fillId="0" borderId="0" xfId="0" applyNumberFormat="1" applyFont="1" applyAlignment="1">
      <alignment vertical="top"/>
    </xf>
    <xf numFmtId="49" fontId="13" fillId="0" borderId="0" xfId="0" quotePrefix="1" applyNumberFormat="1" applyFont="1" applyAlignment="1">
      <alignment vertical="top"/>
    </xf>
    <xf numFmtId="0" fontId="14" fillId="0" borderId="0" xfId="0" applyFont="1"/>
    <xf numFmtId="0" fontId="7" fillId="0" borderId="0" xfId="0" quotePrefix="1" applyFont="1" applyAlignment="1">
      <alignment vertical="top"/>
    </xf>
    <xf numFmtId="49" fontId="7" fillId="0" borderId="0" xfId="0" applyNumberFormat="1" applyFont="1" applyAlignment="1">
      <alignment horizontal="left" vertical="top"/>
    </xf>
    <xf numFmtId="1" fontId="7" fillId="0" borderId="0" xfId="0" quotePrefix="1" applyNumberFormat="1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15" fillId="0" borderId="0" xfId="0" applyFont="1"/>
    <xf numFmtId="0" fontId="7" fillId="0" borderId="0" xfId="0" applyFont="1"/>
    <xf numFmtId="0" fontId="12" fillId="0" borderId="0" xfId="0" applyFont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0" xfId="0" applyNumberFormat="1" applyFont="1"/>
    <xf numFmtId="14" fontId="9" fillId="0" borderId="0" xfId="0" applyNumberFormat="1" applyFont="1" applyAlignment="1">
      <alignment vertical="top"/>
    </xf>
    <xf numFmtId="0" fontId="9" fillId="2" borderId="2" xfId="0" applyFont="1" applyFill="1" applyBorder="1" applyAlignment="1">
      <alignment horizontal="center" vertical="top"/>
    </xf>
    <xf numFmtId="1" fontId="9" fillId="2" borderId="2" xfId="0" applyNumberFormat="1" applyFont="1" applyFill="1" applyBorder="1" applyAlignment="1">
      <alignment vertical="top"/>
    </xf>
    <xf numFmtId="1" fontId="9" fillId="2" borderId="2" xfId="0" applyNumberFormat="1" applyFont="1" applyFill="1" applyBorder="1" applyAlignment="1">
      <alignment horizontal="center" vertical="top"/>
    </xf>
    <xf numFmtId="165" fontId="9" fillId="2" borderId="2" xfId="0" applyNumberFormat="1" applyFont="1" applyFill="1" applyBorder="1" applyAlignment="1">
      <alignment horizontal="center" vertical="top"/>
    </xf>
    <xf numFmtId="49" fontId="9" fillId="2" borderId="2" xfId="0" applyNumberFormat="1" applyFont="1" applyFill="1" applyBorder="1" applyAlignment="1">
      <alignment horizontal="right" vertical="top"/>
    </xf>
    <xf numFmtId="165" fontId="9" fillId="5" borderId="2" xfId="0" applyNumberFormat="1" applyFont="1" applyFill="1" applyBorder="1" applyAlignment="1">
      <alignment horizontal="center" vertical="top"/>
    </xf>
    <xf numFmtId="168" fontId="9" fillId="5" borderId="2" xfId="0" applyNumberFormat="1" applyFont="1" applyFill="1" applyBorder="1" applyAlignment="1">
      <alignment horizontal="center" vertical="top"/>
    </xf>
    <xf numFmtId="167" fontId="9" fillId="2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left"/>
    </xf>
    <xf numFmtId="0" fontId="10" fillId="0" borderId="0" xfId="0" applyFont="1" applyAlignment="1">
      <alignment vertical="top"/>
    </xf>
    <xf numFmtId="164" fontId="7" fillId="0" borderId="0" xfId="0" applyNumberFormat="1" applyFont="1" applyAlignment="1">
      <alignment vertical="top"/>
    </xf>
    <xf numFmtId="169" fontId="7" fillId="0" borderId="0" xfId="0" applyNumberFormat="1" applyFont="1" applyAlignment="1">
      <alignment vertical="top"/>
    </xf>
    <xf numFmtId="1" fontId="7" fillId="0" borderId="0" xfId="0" quotePrefix="1" applyNumberFormat="1" applyFont="1" applyAlignment="1">
      <alignment vertical="top"/>
    </xf>
    <xf numFmtId="0" fontId="16" fillId="0" borderId="0" xfId="0" applyFont="1" applyAlignment="1">
      <alignment vertical="top"/>
    </xf>
    <xf numFmtId="167" fontId="7" fillId="0" borderId="0" xfId="0" applyNumberFormat="1" applyFont="1"/>
    <xf numFmtId="15" fontId="7" fillId="0" borderId="0" xfId="0" applyNumberFormat="1" applyFont="1" applyAlignment="1">
      <alignment horizontal="right" vertical="top"/>
    </xf>
    <xf numFmtId="1" fontId="7" fillId="0" borderId="0" xfId="0" applyNumberFormat="1" applyFont="1"/>
    <xf numFmtId="1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 vertical="top"/>
    </xf>
    <xf numFmtId="1" fontId="7" fillId="0" borderId="0" xfId="0" applyNumberFormat="1" applyFont="1" applyAlignment="1">
      <alignment horizontal="right"/>
    </xf>
    <xf numFmtId="49" fontId="7" fillId="0" borderId="0" xfId="0" quotePrefix="1" applyNumberFormat="1" applyFont="1"/>
    <xf numFmtId="0" fontId="7" fillId="0" borderId="0" xfId="0" quotePrefix="1" applyFont="1"/>
    <xf numFmtId="0" fontId="17" fillId="0" borderId="0" xfId="0" applyFont="1" applyAlignment="1">
      <alignment vertical="top"/>
    </xf>
    <xf numFmtId="0" fontId="7" fillId="7" borderId="2" xfId="0" applyFont="1" applyFill="1" applyBorder="1"/>
    <xf numFmtId="165" fontId="7" fillId="6" borderId="2" xfId="0" applyNumberFormat="1" applyFont="1" applyFill="1" applyBorder="1"/>
    <xf numFmtId="0" fontId="18" fillId="0" borderId="0" xfId="0" applyFont="1" applyAlignment="1">
      <alignment horizontal="left" vertical="top"/>
    </xf>
    <xf numFmtId="166" fontId="7" fillId="0" borderId="0" xfId="0" applyNumberFormat="1" applyFont="1"/>
    <xf numFmtId="1" fontId="7" fillId="0" borderId="0" xfId="0" applyNumberFormat="1" applyFont="1" applyAlignment="1">
      <alignment horizontal="center" vertical="top"/>
    </xf>
    <xf numFmtId="168" fontId="7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14" fontId="7" fillId="0" borderId="0" xfId="0" applyNumberFormat="1" applyFont="1"/>
    <xf numFmtId="0" fontId="7" fillId="0" borderId="0" xfId="0" applyFont="1" applyAlignment="1">
      <alignment vertical="top" wrapText="1"/>
    </xf>
    <xf numFmtId="165" fontId="7" fillId="0" borderId="0" xfId="0" applyNumberFormat="1" applyFont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57" xfId="0" applyFont="1" applyBorder="1" applyAlignment="1">
      <alignment horizontal="center"/>
    </xf>
    <xf numFmtId="0" fontId="7" fillId="2" borderId="0" xfId="0" applyFont="1" applyFill="1" applyAlignment="1">
      <alignment horizontal="right" vertical="top"/>
    </xf>
    <xf numFmtId="0" fontId="7" fillId="0" borderId="2" xfId="0" applyFont="1" applyBorder="1" applyAlignment="1">
      <alignment horizontal="right" vertical="top"/>
    </xf>
    <xf numFmtId="0" fontId="7" fillId="6" borderId="0" xfId="0" applyFont="1" applyFill="1" applyAlignment="1">
      <alignment vertical="top"/>
    </xf>
    <xf numFmtId="0" fontId="7" fillId="0" borderId="2" xfId="0" applyFont="1" applyBorder="1" applyAlignment="1">
      <alignment vertical="top"/>
    </xf>
    <xf numFmtId="49" fontId="7" fillId="9" borderId="0" xfId="0" applyNumberFormat="1" applyFont="1" applyFill="1" applyAlignment="1">
      <alignment horizontal="left" vertical="top"/>
    </xf>
    <xf numFmtId="1" fontId="7" fillId="9" borderId="0" xfId="0" applyNumberFormat="1" applyFont="1" applyFill="1" applyAlignment="1">
      <alignment horizontal="left" vertical="top"/>
    </xf>
    <xf numFmtId="0" fontId="10" fillId="8" borderId="0" xfId="0" applyFont="1" applyFill="1" applyAlignment="1">
      <alignment vertical="center"/>
    </xf>
    <xf numFmtId="0" fontId="10" fillId="0" borderId="2" xfId="0" applyFont="1" applyBorder="1" applyAlignment="1">
      <alignment vertical="center"/>
    </xf>
    <xf numFmtId="0" fontId="10" fillId="10" borderId="0" xfId="0" applyFont="1" applyFill="1" applyAlignment="1">
      <alignment vertical="center"/>
    </xf>
    <xf numFmtId="0" fontId="7" fillId="9" borderId="0" xfId="0" applyFont="1" applyFill="1" applyAlignment="1">
      <alignment horizontal="left" vertical="top"/>
    </xf>
    <xf numFmtId="14" fontId="7" fillId="9" borderId="0" xfId="0" applyNumberFormat="1" applyFont="1" applyFill="1" applyAlignment="1">
      <alignment horizontal="left" vertical="top"/>
    </xf>
    <xf numFmtId="49" fontId="7" fillId="0" borderId="2" xfId="0" applyNumberFormat="1" applyFont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165" fontId="7" fillId="6" borderId="0" xfId="0" applyNumberFormat="1" applyFont="1" applyFill="1" applyAlignment="1">
      <alignment horizontal="right" vertical="top"/>
    </xf>
    <xf numFmtId="165" fontId="7" fillId="0" borderId="2" xfId="0" applyNumberFormat="1" applyFont="1" applyBorder="1" applyAlignment="1">
      <alignment horizontal="right" vertical="top"/>
    </xf>
    <xf numFmtId="0" fontId="7" fillId="7" borderId="0" xfId="0" applyFont="1" applyFill="1" applyAlignment="1">
      <alignment vertical="top"/>
    </xf>
    <xf numFmtId="165" fontId="7" fillId="6" borderId="0" xfId="0" applyNumberFormat="1" applyFont="1" applyFill="1" applyAlignment="1">
      <alignment vertical="top"/>
    </xf>
    <xf numFmtId="165" fontId="7" fillId="0" borderId="2" xfId="0" applyNumberFormat="1" applyFont="1" applyBorder="1" applyAlignment="1">
      <alignment vertical="top"/>
    </xf>
    <xf numFmtId="0" fontId="20" fillId="0" borderId="0" xfId="0" applyFont="1" applyAlignment="1">
      <alignment vertical="top"/>
    </xf>
    <xf numFmtId="0" fontId="19" fillId="2" borderId="64" xfId="0" applyFont="1" applyFill="1" applyBorder="1" applyAlignment="1">
      <alignment horizontal="center" vertical="top"/>
    </xf>
    <xf numFmtId="0" fontId="7" fillId="0" borderId="67" xfId="0" applyFont="1" applyBorder="1" applyAlignment="1">
      <alignment vertical="top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1" fillId="0" borderId="67" xfId="0" applyFont="1" applyBorder="1" applyAlignment="1">
      <alignment horizontal="left"/>
    </xf>
    <xf numFmtId="0" fontId="21" fillId="0" borderId="67" xfId="0" applyFont="1" applyBorder="1" applyAlignment="1">
      <alignment horizontal="left" vertical="top"/>
    </xf>
    <xf numFmtId="0" fontId="3" fillId="0" borderId="70" xfId="0" applyFont="1" applyBorder="1"/>
    <xf numFmtId="0" fontId="21" fillId="0" borderId="70" xfId="0" applyFont="1" applyBorder="1" applyAlignment="1">
      <alignment horizontal="left"/>
    </xf>
    <xf numFmtId="0" fontId="2" fillId="0" borderId="72" xfId="0" applyFont="1" applyBorder="1" applyAlignment="1">
      <alignment horizontal="center"/>
    </xf>
    <xf numFmtId="0" fontId="3" fillId="0" borderId="71" xfId="0" applyFont="1" applyBorder="1"/>
    <xf numFmtId="0" fontId="21" fillId="0" borderId="71" xfId="0" applyFont="1" applyBorder="1" applyAlignment="1">
      <alignment horizontal="left" vertical="top"/>
    </xf>
    <xf numFmtId="0" fontId="3" fillId="0" borderId="72" xfId="0" applyFont="1" applyBorder="1"/>
    <xf numFmtId="0" fontId="3" fillId="0" borderId="72" xfId="0" applyFont="1" applyBorder="1" applyAlignment="1">
      <alignment horizontal="center"/>
    </xf>
    <xf numFmtId="0" fontId="21" fillId="0" borderId="67" xfId="0" applyFont="1" applyBorder="1"/>
    <xf numFmtId="0" fontId="3" fillId="0" borderId="57" xfId="0" applyFont="1" applyBorder="1"/>
    <xf numFmtId="0" fontId="3" fillId="0" borderId="55" xfId="0" applyFont="1" applyBorder="1" applyAlignment="1">
      <alignment horizontal="center"/>
    </xf>
    <xf numFmtId="0" fontId="21" fillId="0" borderId="71" xfId="0" applyFont="1" applyBorder="1"/>
    <xf numFmtId="0" fontId="5" fillId="0" borderId="26" xfId="0" applyFont="1" applyBorder="1"/>
    <xf numFmtId="0" fontId="0" fillId="0" borderId="72" xfId="0" applyBorder="1"/>
    <xf numFmtId="0" fontId="2" fillId="0" borderId="56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26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7" fillId="0" borderId="75" xfId="0" applyFont="1" applyBorder="1" applyAlignment="1">
      <alignment vertical="top"/>
    </xf>
    <xf numFmtId="0" fontId="3" fillId="0" borderId="76" xfId="0" applyFont="1" applyBorder="1" applyAlignment="1">
      <alignment horizontal="center"/>
    </xf>
    <xf numFmtId="0" fontId="7" fillId="0" borderId="76" xfId="0" applyFont="1" applyBorder="1" applyAlignment="1">
      <alignment vertical="top"/>
    </xf>
    <xf numFmtId="0" fontId="20" fillId="0" borderId="76" xfId="0" applyFont="1" applyBorder="1" applyAlignment="1">
      <alignment vertical="top"/>
    </xf>
    <xf numFmtId="0" fontId="3" fillId="0" borderId="77" xfId="0" applyFont="1" applyBorder="1" applyAlignment="1">
      <alignment horizontal="center"/>
    </xf>
    <xf numFmtId="0" fontId="20" fillId="0" borderId="77" xfId="0" applyFont="1" applyBorder="1" applyAlignment="1">
      <alignment vertical="top"/>
    </xf>
    <xf numFmtId="164" fontId="2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2" fillId="2" borderId="34" xfId="0" applyFont="1" applyFill="1" applyBorder="1" applyAlignment="1">
      <alignment horizontal="center"/>
    </xf>
    <xf numFmtId="0" fontId="4" fillId="0" borderId="35" xfId="0" applyFont="1" applyBorder="1"/>
    <xf numFmtId="0" fontId="2" fillId="2" borderId="60" xfId="0" applyFont="1" applyFill="1" applyBorder="1" applyAlignment="1">
      <alignment horizontal="center"/>
    </xf>
    <xf numFmtId="0" fontId="4" fillId="0" borderId="61" xfId="0" applyFont="1" applyBorder="1"/>
    <xf numFmtId="0" fontId="2" fillId="0" borderId="72" xfId="0" applyFont="1" applyBorder="1" applyAlignment="1">
      <alignment horizontal="center" vertical="center"/>
    </xf>
    <xf numFmtId="0" fontId="4" fillId="0" borderId="72" xfId="0" applyFont="1" applyBorder="1"/>
    <xf numFmtId="0" fontId="3" fillId="0" borderId="72" xfId="0" applyFont="1" applyBorder="1" applyAlignment="1">
      <alignment horizontal="center"/>
    </xf>
    <xf numFmtId="0" fontId="22" fillId="0" borderId="72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22" fillId="0" borderId="72" xfId="0" applyFont="1" applyBorder="1" applyAlignment="1">
      <alignment horizontal="center" vertical="center"/>
    </xf>
    <xf numFmtId="1" fontId="9" fillId="2" borderId="64" xfId="0" applyNumberFormat="1" applyFont="1" applyFill="1" applyBorder="1" applyAlignment="1">
      <alignment horizontal="left" vertical="top"/>
    </xf>
    <xf numFmtId="1" fontId="7" fillId="0" borderId="2" xfId="0" applyNumberFormat="1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IV_SDM/AUDIT/2023/k3/Book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9.%20Data%20Karyawan%20IMSS%20Septe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rtifikasi"/>
    </sheetNames>
    <sheetDataSet>
      <sheetData sheetId="0">
        <row r="4">
          <cell r="B4" t="str">
            <v>R. PRAJA KUSUMA NUGRAHA</v>
          </cell>
          <cell r="C4" t="str">
            <v>IMSS</v>
          </cell>
          <cell r="D4">
            <v>32799</v>
          </cell>
          <cell r="E4" t="str">
            <v>S1</v>
          </cell>
          <cell r="F4" t="str">
            <v>6 Tahun 9 Bulan</v>
          </cell>
          <cell r="G4">
            <v>42767</v>
          </cell>
          <cell r="H4" t="str">
            <v>K3</v>
          </cell>
          <cell r="I4" t="str">
            <v>Pembinaan Dan Sertifikasi Calon Ahli K3 Umum</v>
          </cell>
        </row>
        <row r="5">
          <cell r="B5" t="str">
            <v>BUDIONO</v>
          </cell>
          <cell r="C5" t="str">
            <v>IMSS</v>
          </cell>
          <cell r="D5">
            <v>33268</v>
          </cell>
          <cell r="E5" t="str">
            <v>S1</v>
          </cell>
          <cell r="F5" t="str">
            <v>6 Tahun 9 Bulan</v>
          </cell>
          <cell r="G5">
            <v>42767</v>
          </cell>
          <cell r="H5" t="str">
            <v>K3</v>
          </cell>
          <cell r="I5" t="str">
            <v>Pembinaan Dan Sertifikasi Calon Ahli K3 Umum</v>
          </cell>
        </row>
        <row r="6">
          <cell r="B6" t="str">
            <v>BRIANTO CAHYO NUGROHO</v>
          </cell>
          <cell r="C6" t="str">
            <v>IMSS</v>
          </cell>
          <cell r="D6">
            <v>33263</v>
          </cell>
          <cell r="E6" t="str">
            <v>D3</v>
          </cell>
          <cell r="F6" t="str">
            <v>6 Tahun 4 Bulan</v>
          </cell>
          <cell r="G6">
            <v>42919</v>
          </cell>
          <cell r="H6" t="str">
            <v>K3</v>
          </cell>
          <cell r="I6" t="str">
            <v>Pembinaan Dan Sertifikasi Calon Ahli K3 Umum</v>
          </cell>
        </row>
        <row r="7">
          <cell r="B7" t="str">
            <v>ARI IRAWAN</v>
          </cell>
          <cell r="C7" t="str">
            <v>PKWT</v>
          </cell>
          <cell r="D7">
            <v>36643</v>
          </cell>
          <cell r="E7" t="str">
            <v>D3</v>
          </cell>
          <cell r="F7" t="str">
            <v>0 Tahun 10 Bulan</v>
          </cell>
          <cell r="G7">
            <v>44931</v>
          </cell>
          <cell r="H7" t="str">
            <v>K3</v>
          </cell>
          <cell r="I7" t="str">
            <v>Pembinaan Dan Sertifikasi Calon Ahli K3 Umum</v>
          </cell>
        </row>
        <row r="8">
          <cell r="B8" t="str">
            <v>ZA'IM NAUFAL HABIB</v>
          </cell>
          <cell r="C8" t="str">
            <v>PKWT</v>
          </cell>
          <cell r="D8">
            <v>36891</v>
          </cell>
          <cell r="E8" t="str">
            <v>D3</v>
          </cell>
          <cell r="F8" t="str">
            <v>0 Tahun 10 Bulan</v>
          </cell>
          <cell r="G8">
            <v>44931</v>
          </cell>
          <cell r="H8" t="str">
            <v>K3</v>
          </cell>
          <cell r="I8" t="str">
            <v>Pembinaan Dan Sertifikasi Calon Ahli K3 Umum</v>
          </cell>
        </row>
        <row r="9">
          <cell r="B9" t="str">
            <v>ALI OKTAVIAN HANDOKO</v>
          </cell>
          <cell r="C9" t="str">
            <v>PKWT</v>
          </cell>
          <cell r="D9">
            <v>36802</v>
          </cell>
          <cell r="E9" t="str">
            <v>D3</v>
          </cell>
          <cell r="F9" t="str">
            <v>0 Tahun 10 Bulan</v>
          </cell>
          <cell r="G9">
            <v>44931</v>
          </cell>
          <cell r="H9" t="str">
            <v>K3</v>
          </cell>
          <cell r="I9" t="str">
            <v>Pembinaan Dan Sertifikasi Calon Ahli K3 Umum</v>
          </cell>
        </row>
        <row r="10">
          <cell r="B10" t="str">
            <v>YOLANDHA ERHASYA TALITAFANI</v>
          </cell>
          <cell r="C10" t="str">
            <v>PKWT</v>
          </cell>
          <cell r="D10">
            <v>37103</v>
          </cell>
          <cell r="E10" t="str">
            <v>D3</v>
          </cell>
          <cell r="F10" t="str">
            <v>0 Tahun 10 Bulan</v>
          </cell>
          <cell r="G10">
            <v>44931</v>
          </cell>
          <cell r="H10" t="str">
            <v>K3</v>
          </cell>
          <cell r="I10" t="str">
            <v>Pembinaan Dan Sertifikasi Calon Ahli K3 Umum</v>
          </cell>
        </row>
        <row r="11">
          <cell r="B11" t="str">
            <v>DONI NUR ANGGI PRASETYO</v>
          </cell>
          <cell r="C11" t="str">
            <v>PKWT</v>
          </cell>
          <cell r="D11">
            <v>33683</v>
          </cell>
          <cell r="E11" t="str">
            <v>D3</v>
          </cell>
          <cell r="F11" t="str">
            <v>5 Tahun 5 Bulan</v>
          </cell>
          <cell r="G11">
            <v>43255</v>
          </cell>
          <cell r="H11" t="str">
            <v>K3</v>
          </cell>
          <cell r="I11" t="str">
            <v>Pembinaan Dan Sertifikasi Calon Ahli K3 Umum</v>
          </cell>
        </row>
        <row r="12">
          <cell r="B12" t="str">
            <v>SHOFWAN MAHSYURDIN</v>
          </cell>
          <cell r="C12" t="str">
            <v>PKWT</v>
          </cell>
          <cell r="D12">
            <v>34344</v>
          </cell>
          <cell r="E12" t="str">
            <v>S1</v>
          </cell>
          <cell r="F12" t="str">
            <v>5 Tahun 2 Bulan</v>
          </cell>
          <cell r="G12">
            <v>43325</v>
          </cell>
          <cell r="H12" t="str">
            <v>K3</v>
          </cell>
          <cell r="I12" t="str">
            <v>Pembinaan Dan Sertifikasi Calon Ahli K3 Umum</v>
          </cell>
        </row>
        <row r="13">
          <cell r="B13" t="str">
            <v>RANDI ARDIMAN</v>
          </cell>
          <cell r="C13" t="str">
            <v>PKWT</v>
          </cell>
          <cell r="D13">
            <v>33367</v>
          </cell>
          <cell r="E13" t="str">
            <v>D3</v>
          </cell>
          <cell r="F13" t="str">
            <v>5 Tahun 0 Bulan</v>
          </cell>
          <cell r="G13">
            <v>43395</v>
          </cell>
          <cell r="H13" t="str">
            <v>K3</v>
          </cell>
          <cell r="I13" t="str">
            <v>Pembinaan Dan Sertifikasi Calon Ahli K3 Umum</v>
          </cell>
        </row>
        <row r="14">
          <cell r="B14" t="str">
            <v>RIZKI NOVRIANSYAH</v>
          </cell>
          <cell r="C14" t="str">
            <v>PKWT</v>
          </cell>
          <cell r="D14">
            <v>33188</v>
          </cell>
          <cell r="E14" t="str">
            <v>S1</v>
          </cell>
          <cell r="F14" t="str">
            <v>5 Tahun 0 Bulan</v>
          </cell>
          <cell r="G14">
            <v>43395</v>
          </cell>
          <cell r="H14" t="str">
            <v>K3</v>
          </cell>
          <cell r="I14" t="str">
            <v>Pembinaan Dan Sertifikasi Calon Ahli K3 Umum</v>
          </cell>
        </row>
        <row r="15">
          <cell r="B15" t="str">
            <v>M. AKHIRUL RAMADHAN</v>
          </cell>
          <cell r="C15" t="str">
            <v>PKWT</v>
          </cell>
          <cell r="D15">
            <v>35823</v>
          </cell>
          <cell r="E15" t="str">
            <v>D3</v>
          </cell>
          <cell r="F15" t="str">
            <v>4 Tahun 4 Bulan</v>
          </cell>
          <cell r="G15">
            <v>43647</v>
          </cell>
          <cell r="H15" t="str">
            <v>K3</v>
          </cell>
          <cell r="I15" t="str">
            <v>Pembinaan Dan Sertifikasi Calon Ahli K3 Umum</v>
          </cell>
        </row>
        <row r="16">
          <cell r="B16" t="str">
            <v>FALLAH DZUNURAINI</v>
          </cell>
          <cell r="C16" t="str">
            <v>PKWT</v>
          </cell>
          <cell r="D16">
            <v>35285</v>
          </cell>
          <cell r="E16" t="str">
            <v>S1</v>
          </cell>
          <cell r="F16" t="str">
            <v>3 Tahun 10 Bulan</v>
          </cell>
          <cell r="G16">
            <v>43832</v>
          </cell>
          <cell r="H16" t="str">
            <v>K3</v>
          </cell>
          <cell r="I16" t="str">
            <v>Pembinaan Dan Sertifikasi Calon Ahli K3 Umum</v>
          </cell>
        </row>
        <row r="17">
          <cell r="B17" t="str">
            <v>FUAD AZIZ</v>
          </cell>
          <cell r="C17" t="str">
            <v>Organik</v>
          </cell>
          <cell r="D17">
            <v>28288</v>
          </cell>
          <cell r="E17" t="str">
            <v>S2</v>
          </cell>
          <cell r="F17" t="str">
            <v>4 Tahun 4 Bulan</v>
          </cell>
          <cell r="G17">
            <v>43647</v>
          </cell>
          <cell r="H17" t="str">
            <v>K3</v>
          </cell>
          <cell r="I17" t="str">
            <v>Pembinaan Dan Sertifikasi Calon Ahli K3 Umum</v>
          </cell>
        </row>
        <row r="18">
          <cell r="B18" t="str">
            <v>ASEP SAEPUL MUGNI</v>
          </cell>
          <cell r="C18" t="str">
            <v>PKWT</v>
          </cell>
          <cell r="D18">
            <v>32924</v>
          </cell>
          <cell r="E18" t="str">
            <v>S1</v>
          </cell>
          <cell r="F18" t="str">
            <v>1 Tahun 9 Bulan</v>
          </cell>
          <cell r="G18">
            <v>44594</v>
          </cell>
          <cell r="H18" t="str">
            <v>K3</v>
          </cell>
          <cell r="I18" t="str">
            <v>Pembinaan Dan Sertifikasi Calon Ahli K3 Umum</v>
          </cell>
        </row>
        <row r="19">
          <cell r="B19" t="str">
            <v>ALDIF REZA PRIATAMA</v>
          </cell>
          <cell r="C19" t="str">
            <v>PKWT</v>
          </cell>
          <cell r="D19">
            <v>36937</v>
          </cell>
          <cell r="E19" t="str">
            <v>D3</v>
          </cell>
          <cell r="F19" t="str">
            <v>0 Tahun 10 Bulan</v>
          </cell>
          <cell r="G19">
            <v>44931</v>
          </cell>
          <cell r="H19" t="str">
            <v>K3</v>
          </cell>
          <cell r="I19" t="str">
            <v>Pembinaan Dan Sertifikasi Calon Ahli K3 Umum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"/>
      <sheetName val="demografi"/>
      <sheetName val="demografi (-DRE"/>
      <sheetName val="Office"/>
      <sheetName val="Lapangan"/>
      <sheetName val="logut"/>
      <sheetName val="Data Mutasi"/>
      <sheetName val="Sheet1"/>
    </sheetNames>
    <sheetDataSet>
      <sheetData sheetId="0"/>
      <sheetData sheetId="1"/>
      <sheetData sheetId="2"/>
      <sheetData sheetId="3"/>
      <sheetData sheetId="4">
        <row r="3">
          <cell r="B3">
            <v>45205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dimassuhardiyono@gmail.com" TargetMode="External"/><Relationship Id="rId18" Type="http://schemas.openxmlformats.org/officeDocument/2006/relationships/hyperlink" Target="mailto:avi.chacyl@gmail.com" TargetMode="External"/><Relationship Id="rId26" Type="http://schemas.openxmlformats.org/officeDocument/2006/relationships/hyperlink" Target="mailto:satriagustiana@gmail.com" TargetMode="External"/><Relationship Id="rId21" Type="http://schemas.openxmlformats.org/officeDocument/2006/relationships/hyperlink" Target="mailto:oktasetyanida@gmail.com" TargetMode="External"/><Relationship Id="rId34" Type="http://schemas.openxmlformats.org/officeDocument/2006/relationships/hyperlink" Target="mailto:fallahdzu96@gmail.com" TargetMode="External"/><Relationship Id="rId7" Type="http://schemas.openxmlformats.org/officeDocument/2006/relationships/hyperlink" Target="mailto:flora.kendar@gmail.com" TargetMode="External"/><Relationship Id="rId12" Type="http://schemas.openxmlformats.org/officeDocument/2006/relationships/hyperlink" Target="mailto:prajakusumanugraha@gmail.com" TargetMode="External"/><Relationship Id="rId17" Type="http://schemas.openxmlformats.org/officeDocument/2006/relationships/hyperlink" Target="mailto:deby631@gmail.com" TargetMode="External"/><Relationship Id="rId25" Type="http://schemas.openxmlformats.org/officeDocument/2006/relationships/hyperlink" Target="mailto:harlistadwi@gmail.com" TargetMode="External"/><Relationship Id="rId33" Type="http://schemas.openxmlformats.org/officeDocument/2006/relationships/hyperlink" Target="mailto:rian.nafisha@gmail.com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mailto:kusuma.rika88@gmail.com" TargetMode="External"/><Relationship Id="rId16" Type="http://schemas.openxmlformats.org/officeDocument/2006/relationships/hyperlink" Target="mailto:korona.feby93@gmail.com" TargetMode="External"/><Relationship Id="rId20" Type="http://schemas.openxmlformats.org/officeDocument/2006/relationships/hyperlink" Target="mailto:bangkits26@gmail.com" TargetMode="External"/><Relationship Id="rId29" Type="http://schemas.openxmlformats.org/officeDocument/2006/relationships/hyperlink" Target="mailto:myfijriantoro@gmail.com" TargetMode="External"/><Relationship Id="rId1" Type="http://schemas.openxmlformats.org/officeDocument/2006/relationships/hyperlink" Target="mailto:dwiae18@gmail.com" TargetMode="External"/><Relationship Id="rId6" Type="http://schemas.openxmlformats.org/officeDocument/2006/relationships/hyperlink" Target="mailto:ratihwidi12@gmail.com" TargetMode="External"/><Relationship Id="rId11" Type="http://schemas.openxmlformats.org/officeDocument/2006/relationships/hyperlink" Target="mailto:idurs@yahoo.com" TargetMode="External"/><Relationship Id="rId24" Type="http://schemas.openxmlformats.org/officeDocument/2006/relationships/hyperlink" Target="mailto:bagaswirawan5@gmail.com" TargetMode="External"/><Relationship Id="rId32" Type="http://schemas.openxmlformats.org/officeDocument/2006/relationships/hyperlink" Target="mailto:fuadistofa@gmail.com" TargetMode="External"/><Relationship Id="rId37" Type="http://schemas.openxmlformats.org/officeDocument/2006/relationships/hyperlink" Target="mailto:arif.muhaimin@inka.co.id" TargetMode="External"/><Relationship Id="rId5" Type="http://schemas.openxmlformats.org/officeDocument/2006/relationships/hyperlink" Target="mailto:cdedy01@gmai.com" TargetMode="External"/><Relationship Id="rId15" Type="http://schemas.openxmlformats.org/officeDocument/2006/relationships/hyperlink" Target="mailto:failla02luthfi@gmail.com" TargetMode="External"/><Relationship Id="rId23" Type="http://schemas.openxmlformats.org/officeDocument/2006/relationships/hyperlink" Target="mailto:indrarahardian93@gmail.com" TargetMode="External"/><Relationship Id="rId28" Type="http://schemas.openxmlformats.org/officeDocument/2006/relationships/hyperlink" Target="mailto:sugabb19@yahoo.co.id" TargetMode="External"/><Relationship Id="rId36" Type="http://schemas.openxmlformats.org/officeDocument/2006/relationships/hyperlink" Target="mailto:sayujunea@gmail.com" TargetMode="External"/><Relationship Id="rId10" Type="http://schemas.openxmlformats.org/officeDocument/2006/relationships/hyperlink" Target="mailto:imronabidin10@gmail.com" TargetMode="External"/><Relationship Id="rId19" Type="http://schemas.openxmlformats.org/officeDocument/2006/relationships/hyperlink" Target="mailto:favawira@yahoo.co.id" TargetMode="External"/><Relationship Id="rId31" Type="http://schemas.openxmlformats.org/officeDocument/2006/relationships/hyperlink" Target="mailto:yovi.mahaputra10@gmail.com" TargetMode="External"/><Relationship Id="rId4" Type="http://schemas.openxmlformats.org/officeDocument/2006/relationships/hyperlink" Target="mailto:agusasfaro88@gmail.com" TargetMode="External"/><Relationship Id="rId9" Type="http://schemas.openxmlformats.org/officeDocument/2006/relationships/hyperlink" Target="mailto:noktaria25@gmail.com" TargetMode="External"/><Relationship Id="rId14" Type="http://schemas.openxmlformats.org/officeDocument/2006/relationships/hyperlink" Target="mailto:dion3lili@gmail.com" TargetMode="External"/><Relationship Id="rId22" Type="http://schemas.openxmlformats.org/officeDocument/2006/relationships/hyperlink" Target="mailto:ahmadyudhafitrianto@gmail.com" TargetMode="External"/><Relationship Id="rId27" Type="http://schemas.openxmlformats.org/officeDocument/2006/relationships/hyperlink" Target="mailto:rifqitegarlaksono@gmail.com" TargetMode="External"/><Relationship Id="rId30" Type="http://schemas.openxmlformats.org/officeDocument/2006/relationships/hyperlink" Target="mailto:safitri.yanti44@gmail.com" TargetMode="External"/><Relationship Id="rId35" Type="http://schemas.openxmlformats.org/officeDocument/2006/relationships/hyperlink" Target="mailto:tri.hari.santoso@inka.co.id" TargetMode="External"/><Relationship Id="rId8" Type="http://schemas.openxmlformats.org/officeDocument/2006/relationships/hyperlink" Target="mailto:bangkits26@gmail.com" TargetMode="External"/><Relationship Id="rId3" Type="http://schemas.openxmlformats.org/officeDocument/2006/relationships/hyperlink" Target="mailto:alfirina92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yubhanif71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lalakrnsr28@gmail.com" TargetMode="External"/><Relationship Id="rId1" Type="http://schemas.openxmlformats.org/officeDocument/2006/relationships/hyperlink" Target="mailto:chaesarbrianputra13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mochakbaradriansyah@gmail.com" TargetMode="External"/><Relationship Id="rId4" Type="http://schemas.openxmlformats.org/officeDocument/2006/relationships/hyperlink" Target="mailto:94.puspitasa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1000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14" sqref="G14"/>
    </sheetView>
  </sheetViews>
  <sheetFormatPr defaultColWidth="14.42578125" defaultRowHeight="15" customHeight="1"/>
  <cols>
    <col min="1" max="1" width="3.42578125" customWidth="1"/>
    <col min="2" max="2" width="30.140625" customWidth="1"/>
    <col min="3" max="3" width="6" customWidth="1"/>
    <col min="4" max="4" width="6.28515625" customWidth="1"/>
    <col min="5" max="6" width="5.7109375" customWidth="1"/>
    <col min="7" max="8" width="5" customWidth="1"/>
    <col min="9" max="9" width="6.140625" customWidth="1"/>
    <col min="10" max="10" width="5" customWidth="1"/>
    <col min="11" max="11" width="7" customWidth="1"/>
    <col min="12" max="15" width="5" customWidth="1"/>
    <col min="16" max="16" width="5.42578125" customWidth="1"/>
    <col min="17" max="19" width="5" customWidth="1"/>
    <col min="20" max="20" width="9.28515625" customWidth="1"/>
    <col min="21" max="22" width="5" customWidth="1"/>
    <col min="23" max="23" width="5.85546875" customWidth="1"/>
    <col min="24" max="25" width="7.5703125" customWidth="1"/>
    <col min="26" max="26" width="6.140625" customWidth="1"/>
    <col min="27" max="27" width="6.5703125" customWidth="1"/>
    <col min="28" max="29" width="7.5703125" customWidth="1"/>
    <col min="30" max="30" width="8.5703125" customWidth="1"/>
    <col min="31" max="32" width="7.5703125" customWidth="1"/>
    <col min="33" max="33" width="6.28515625" customWidth="1"/>
    <col min="34" max="34" width="6.5703125" customWidth="1"/>
    <col min="35" max="36" width="7.5703125" customWidth="1"/>
    <col min="37" max="38" width="8.5703125" customWidth="1"/>
    <col min="39" max="39" width="7.5703125" customWidth="1"/>
    <col min="40" max="40" width="8.85546875" customWidth="1"/>
    <col min="41" max="41" width="9.28515625" customWidth="1"/>
    <col min="42" max="43" width="8.7109375" customWidth="1"/>
  </cols>
  <sheetData>
    <row r="1" spans="1:43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3">
      <c r="A2" s="4" t="s">
        <v>0</v>
      </c>
      <c r="B2" s="4"/>
      <c r="C2" s="5"/>
      <c r="D2" s="5"/>
      <c r="E2" s="5"/>
      <c r="F2" s="5"/>
      <c r="G2" s="6"/>
      <c r="H2" s="6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3">
      <c r="A3" s="7"/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3"/>
    </row>
    <row r="4" spans="1:43">
      <c r="A4" s="9" t="s">
        <v>1</v>
      </c>
      <c r="B4" s="10" t="s">
        <v>2</v>
      </c>
      <c r="C4" s="245" t="s">
        <v>3</v>
      </c>
      <c r="D4" s="246"/>
      <c r="E4" s="246"/>
      <c r="F4" s="246"/>
      <c r="G4" s="246"/>
      <c r="H4" s="246"/>
      <c r="I4" s="247"/>
      <c r="J4" s="245" t="s">
        <v>4</v>
      </c>
      <c r="K4" s="246"/>
      <c r="L4" s="246"/>
      <c r="M4" s="246"/>
      <c r="N4" s="246"/>
      <c r="O4" s="246"/>
      <c r="P4" s="247"/>
      <c r="Q4" s="245" t="s">
        <v>5</v>
      </c>
      <c r="R4" s="246"/>
      <c r="S4" s="246"/>
      <c r="T4" s="246"/>
      <c r="U4" s="246"/>
      <c r="V4" s="246"/>
      <c r="W4" s="247"/>
      <c r="X4" s="245" t="s">
        <v>6</v>
      </c>
      <c r="Y4" s="246"/>
      <c r="Z4" s="246"/>
      <c r="AA4" s="246"/>
      <c r="AB4" s="246"/>
      <c r="AC4" s="246"/>
      <c r="AD4" s="247"/>
      <c r="AE4" s="245" t="s">
        <v>7</v>
      </c>
      <c r="AF4" s="246"/>
      <c r="AG4" s="246"/>
      <c r="AH4" s="246"/>
      <c r="AI4" s="246"/>
      <c r="AJ4" s="246"/>
      <c r="AK4" s="246"/>
      <c r="AL4" s="246"/>
      <c r="AM4" s="246"/>
      <c r="AN4" s="247"/>
      <c r="AO4" s="11" t="s">
        <v>8</v>
      </c>
      <c r="AP4" s="1"/>
      <c r="AQ4" s="1"/>
    </row>
    <row r="5" spans="1:43">
      <c r="A5" s="12"/>
      <c r="B5" s="13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5" t="s">
        <v>14</v>
      </c>
      <c r="H5" s="15" t="s">
        <v>15</v>
      </c>
      <c r="I5" s="17" t="s">
        <v>16</v>
      </c>
      <c r="J5" s="14" t="s">
        <v>10</v>
      </c>
      <c r="K5" s="15" t="s">
        <v>11</v>
      </c>
      <c r="L5" s="15" t="s">
        <v>12</v>
      </c>
      <c r="M5" s="15" t="s">
        <v>13</v>
      </c>
      <c r="N5" s="15" t="s">
        <v>14</v>
      </c>
      <c r="O5" s="15" t="s">
        <v>15</v>
      </c>
      <c r="P5" s="17" t="s">
        <v>16</v>
      </c>
      <c r="Q5" s="16" t="s">
        <v>10</v>
      </c>
      <c r="R5" s="15" t="s">
        <v>11</v>
      </c>
      <c r="S5" s="15" t="s">
        <v>12</v>
      </c>
      <c r="T5" s="15" t="s">
        <v>13</v>
      </c>
      <c r="U5" s="15" t="s">
        <v>14</v>
      </c>
      <c r="V5" s="15" t="s">
        <v>15</v>
      </c>
      <c r="W5" s="17" t="s">
        <v>16</v>
      </c>
      <c r="X5" s="16" t="s">
        <v>10</v>
      </c>
      <c r="Y5" s="15" t="s">
        <v>11</v>
      </c>
      <c r="Z5" s="15" t="s">
        <v>12</v>
      </c>
      <c r="AA5" s="15" t="s">
        <v>13</v>
      </c>
      <c r="AB5" s="15" t="s">
        <v>14</v>
      </c>
      <c r="AC5" s="15" t="s">
        <v>15</v>
      </c>
      <c r="AD5" s="17" t="s">
        <v>16</v>
      </c>
      <c r="AE5" s="16" t="s">
        <v>10</v>
      </c>
      <c r="AF5" s="15" t="s">
        <v>11</v>
      </c>
      <c r="AG5" s="15" t="s">
        <v>12</v>
      </c>
      <c r="AH5" s="15" t="s">
        <v>13</v>
      </c>
      <c r="AI5" s="15" t="s">
        <v>14</v>
      </c>
      <c r="AJ5" s="15" t="s">
        <v>15</v>
      </c>
      <c r="AK5" s="15" t="s">
        <v>16</v>
      </c>
      <c r="AL5" s="15" t="s">
        <v>17</v>
      </c>
      <c r="AM5" s="15" t="s">
        <v>18</v>
      </c>
      <c r="AN5" s="17" t="s">
        <v>19</v>
      </c>
      <c r="AO5" s="18"/>
      <c r="AP5" s="1"/>
      <c r="AQ5" s="1"/>
    </row>
    <row r="6" spans="1:43">
      <c r="A6" s="19">
        <v>1</v>
      </c>
      <c r="B6" s="20" t="s">
        <v>20</v>
      </c>
      <c r="C6" s="21">
        <f>COUNTIFS(Database!$L$5:$L$66,"Organik",Database!$P$5:$P$66,"Direksi",Database!$AX$5:$AX$66,"S3")</f>
        <v>0</v>
      </c>
      <c r="D6" s="22">
        <f>COUNTIFS(Database!$L$5:$L$66,"Organik",Database!$P$5:$P$66,"Direksi",Database!$AX$5:$AX$66,"S2")</f>
        <v>0</v>
      </c>
      <c r="E6" s="22">
        <f>COUNTIFS(Database!$L$5:$L$66,"Organik",Database!$P$5:$P$66,"Direksi",Database!$AX$5:$AX$66,"S1")</f>
        <v>0</v>
      </c>
      <c r="F6" s="23">
        <f>COUNTIFS(Database!$L$5:$L$66,"Organik",Database!$P$5:$P$66,"Direksi",Database!$AX$5:$AX$66,"D3")</f>
        <v>0</v>
      </c>
      <c r="G6" s="23">
        <f>COUNTIFS(Database!$L$5:$L$66,"Organik",Database!$P$5:$P$66,"Direksi",Database!$AX$5:$AX$66,"D2")</f>
        <v>0</v>
      </c>
      <c r="H6" s="23">
        <f>COUNTIFS(Database!$L$5:$L$66,"Organik",Database!$P$5:$P$66,"Direksi",Database!$AX$5:$AX$66,"D1")</f>
        <v>0</v>
      </c>
      <c r="I6" s="24">
        <f>COUNTIFS(Database!$L$5:$L$66,"Organik",Database!$P$5:$P$66,"Direksi",Database!$AX$5:$AX$66,"SMK")</f>
        <v>0</v>
      </c>
      <c r="J6" s="25">
        <f>COUNTIFS(Database!$L$5:$L$66,"Organik",Database!$P$5:$P$66,"Kepala Divisi",Database!$AX$5:$AX$66,"S3")</f>
        <v>0</v>
      </c>
      <c r="K6" s="22">
        <f>COUNTIFS(Database!$L$5:$L$66,"Organik",Database!$P$5:$P$66,"Kepala Divisi",Database!$AX$5:$AX$66,"S2")</f>
        <v>0</v>
      </c>
      <c r="L6" s="22">
        <f>COUNTIFS(Database!$L$5:$L$66,"Organik",Database!$P$5:$P$66,"Kepala Divisi",Database!$AX$5:$AX$66,"S1")</f>
        <v>1</v>
      </c>
      <c r="M6" s="22">
        <f>COUNTIFS(Database!$L$5:$L$66,"Organik",Database!$P$5:$P$66,"Kepala Divisi",Database!$AX$5:$AX$66,"D3")</f>
        <v>0</v>
      </c>
      <c r="N6" s="22">
        <f>COUNTIFS(Database!$L$5:$L$66,"Organik",Database!$P$5:$P$66,"Kepala Divisi",Database!$AX$5:$AX$66,"D2")</f>
        <v>0</v>
      </c>
      <c r="O6" s="22">
        <f>COUNTIFS(Database!$L$5:$L$66,"Organik",Database!$P$5:$P$66,"Kepala Divisi",Database!$AX$5:$AX$66,"D1")</f>
        <v>0</v>
      </c>
      <c r="P6" s="24">
        <f>COUNTIFS(Database!$L$5:$L$66,"Organik",Database!$P$5:$P$66,"Kepala Divisi",Database!$AX$5:$AX$66,"SMK")</f>
        <v>0</v>
      </c>
      <c r="Q6" s="23">
        <f>COUNTIFS(Database!$L$5:$L$66,"Organik",Database!$P$5:$P$66,"Kepala Departemen",Database!$AX$5:$AX$66,"S3")</f>
        <v>0</v>
      </c>
      <c r="R6" s="22">
        <f>COUNTIFS(Database!$L$5:$L$66,"Organik",Database!$P$5:$P$66,"Kepala Departemen",Database!$AX$5:$AX$66,"S2")</f>
        <v>0</v>
      </c>
      <c r="S6" s="22">
        <f>COUNTIFS(Database!$L$5:$L$66,"Organik",Database!$P$5:$P$66,"Kepala Departemen",Database!$AX$5:$AX$66,"S1")</f>
        <v>2</v>
      </c>
      <c r="T6" s="22">
        <f>COUNTIFS(Database!$L$5:$L$66,"Organik",Database!$P$5:$P$66,"Kepala Departemen",Database!$AX$5:$AX$66,"D3")</f>
        <v>0</v>
      </c>
      <c r="U6" s="22">
        <f>COUNTIFS(Database!$L$5:$L$66,"Organik",Database!$P$5:$P$66,"Kepala Departemen",Database!$AX$5:$AX$66,"D2")</f>
        <v>0</v>
      </c>
      <c r="V6" s="22">
        <f>COUNTIFS(Database!$L$5:$L$66,"Organik",Database!$P$5:$P$66,"Kepala Departemen",Database!$AX$5:$AX$66,"D1")</f>
        <v>0</v>
      </c>
      <c r="W6" s="24">
        <f>COUNTIFS(Database!$L$5:$L$66,"Organik",Database!$P$5:$P$66,"Kepala Departemen",Database!$AX$5:$AX$66,"SMK")+COUNTIFS(Database!$L$5:$L$66,"Organik",Database!$P$5:$P$66,"Kepala Departemen",Database!$AX$5:$AX$66,"SMA")</f>
        <v>0</v>
      </c>
      <c r="X6" s="23">
        <f>COUNTIFS(Database!$L$5:$L$66,"Organik",Database!$P$5:$P$66,"Kepala Bagian",Database!$AX$5:$AX$66,"S3")</f>
        <v>0</v>
      </c>
      <c r="Y6" s="22">
        <f>COUNTIFS(Database!$L$5:$L$66,"Organik",Database!$P$5:$P$66,"Kepala Bagian",Database!$AX$5:$AX$66,"S2")</f>
        <v>0</v>
      </c>
      <c r="Z6" s="26">
        <f>COUNTIFS(Database!$L$5:$L$66,"Organik",Database!$P$5:$P$66,"Kepala Bagian",Database!$AX$5:$AX$66,"S1")+COUNTIFS(Database!$L$5:$L$66,"Organik",Database!$P$5:$P$66,"Kepala Bagian",Database!$AX$5:$AX$66,"D4")</f>
        <v>0</v>
      </c>
      <c r="AA6" s="22">
        <f>COUNTIFS(Database!$L$5:$L$66,"Organik",Database!$P$5:$P$66,"Kepala Bagian",Database!$AX$5:$AX$66,"D3")</f>
        <v>0</v>
      </c>
      <c r="AB6" s="22">
        <f>COUNTIFS(Database!$L$5:$L$66,"Organik",Database!$P$5:$P$66,"Kepala Bagian",Database!$AX$5:$AX$66,"D2")</f>
        <v>0</v>
      </c>
      <c r="AC6" s="22">
        <f>COUNTIFS(Database!$L$5:$L$66,"Organik",Database!$P$5:$P$66,"Kepala Bagian",Database!$AX$5:$AX$66,"D1")</f>
        <v>0</v>
      </c>
      <c r="AD6" s="24">
        <f>COUNTIFS(Database!$L$5:$L$66,"Organik",Database!$P$5:$P$66,"Kepala Bagian",Database!$AX$5:$AX$66,"SMK")+COUNTIFS(Database!$L$5:$L$66,"Organik",Database!$P$5:$P$66,"Kepala Bagian",Database!$AX$5:$AX$66,"SMA")</f>
        <v>0</v>
      </c>
      <c r="AE6" s="23">
        <f>COUNTIFS(Database!$L$5:$L$66,"Organik",Database!$P$5:$P$66,"Staff",Database!$AX$5:$AX$66,"S3")</f>
        <v>0</v>
      </c>
      <c r="AF6" s="22">
        <f>COUNTIFS(Database!$L$5:$L$66,"Organik",Database!$P$5:$P$66,"Staff",Database!$AX$5:$AX$66,"S2")</f>
        <v>0</v>
      </c>
      <c r="AG6" s="22">
        <f>COUNTIFS(Database!$L$5:$L$66,"Organik",Database!$P$5:$P$66,"Staff",Database!$AX$5:$AX$66,"S1")+COUNTIFS(Database!$L$5:$L$66,"Organik",Database!$P$5:$P$66,"Staff",Database!$AX$5:$AX$66,"D4")</f>
        <v>0</v>
      </c>
      <c r="AH6" s="22">
        <f>COUNTIFS(Database!$L$5:$L$66,"Organik",Database!$P$5:$P$66,"Staff",Database!$AX$5:$AX$66,"D3")</f>
        <v>0</v>
      </c>
      <c r="AI6" s="22">
        <f>COUNTIFS(Database!$L$5:$L$66,"Organik",Database!$P$5:$P$66,"Staff",Database!$AX$5:$AX$66,"D2")</f>
        <v>0</v>
      </c>
      <c r="AJ6" s="22">
        <f>COUNTIFS(Database!$L$5:$L$66,"Organik",Database!$P$5:$P$66,"Staff",Database!$AX$5:$AX$66,"D1")</f>
        <v>0</v>
      </c>
      <c r="AK6" s="22">
        <f>COUNTIFS(Database!$L$5:$L$66,"Organik",Database!$P$5:$P$66,"Staff",Database!$AX$5:$AX$66,"SMK")+COUNTIFS(Database!$L$5:$L$66,"Organik",Database!$P$5:$P$66,"Staff",Database!$AX$5:$AX$66,"SMA")</f>
        <v>0</v>
      </c>
      <c r="AL6" s="22"/>
      <c r="AM6" s="22"/>
      <c r="AN6" s="24"/>
      <c r="AO6" s="27">
        <f t="shared" ref="AO6:AO14" si="0">SUM(C6:AN6)</f>
        <v>3</v>
      </c>
    </row>
    <row r="7" spans="1:43">
      <c r="A7" s="28">
        <v>2</v>
      </c>
      <c r="B7" s="29" t="s">
        <v>21</v>
      </c>
      <c r="C7" s="30"/>
      <c r="D7" s="31"/>
      <c r="E7" s="31"/>
      <c r="F7" s="32"/>
      <c r="G7" s="31"/>
      <c r="H7" s="31"/>
      <c r="I7" s="33"/>
      <c r="J7" s="34"/>
      <c r="K7" s="35"/>
      <c r="L7" s="35"/>
      <c r="M7" s="35"/>
      <c r="N7" s="31" t="s">
        <v>22</v>
      </c>
      <c r="O7" s="31"/>
      <c r="P7" s="36"/>
      <c r="Q7" s="37"/>
      <c r="R7" s="35"/>
      <c r="S7" s="35"/>
      <c r="T7" s="35"/>
      <c r="U7" s="31"/>
      <c r="V7" s="31"/>
      <c r="W7" s="36"/>
      <c r="X7" s="37"/>
      <c r="Y7" s="35"/>
      <c r="Z7" s="35"/>
      <c r="AA7" s="35"/>
      <c r="AB7" s="31"/>
      <c r="AC7" s="31"/>
      <c r="AD7" s="38"/>
      <c r="AE7" s="37"/>
      <c r="AF7" s="35"/>
      <c r="AG7" s="35"/>
      <c r="AH7" s="35"/>
      <c r="AI7" s="31"/>
      <c r="AJ7" s="31"/>
      <c r="AK7" s="39"/>
      <c r="AL7" s="39"/>
      <c r="AM7" s="39"/>
      <c r="AN7" s="40"/>
      <c r="AO7" s="27">
        <f t="shared" si="0"/>
        <v>0</v>
      </c>
    </row>
    <row r="8" spans="1:43">
      <c r="A8" s="28">
        <v>3</v>
      </c>
      <c r="B8" s="29" t="s">
        <v>23</v>
      </c>
      <c r="C8" s="41"/>
      <c r="D8" s="31"/>
      <c r="E8" s="31"/>
      <c r="F8" s="32"/>
      <c r="G8" s="31"/>
      <c r="H8" s="31"/>
      <c r="I8" s="33"/>
      <c r="J8" s="34"/>
      <c r="K8" s="35"/>
      <c r="L8" s="35"/>
      <c r="M8" s="35"/>
      <c r="N8" s="31"/>
      <c r="O8" s="31"/>
      <c r="P8" s="36"/>
      <c r="Q8" s="42">
        <f>COUNTIFS(Database!$L$5:$L$66,"Tetap",Database!$P$5:$P$66,"Kepala Departemen",Database!$AX$5:$AX$66,"S3")</f>
        <v>0</v>
      </c>
      <c r="R8" s="39">
        <f>COUNTIFS(Database!$L$5:$L$66,"Tetap",Database!$P$5:$P$66,"Kepala Departemen",Database!$AX$5:$AX$66,"S2")</f>
        <v>1</v>
      </c>
      <c r="S8" s="39">
        <f>COUNTIFS(Database!$L$5:$L$66,"Tetap",Database!$P$5:$P$66,"Kepala Departemen",Database!$AX$5:$AX$66,"S1")</f>
        <v>0</v>
      </c>
      <c r="T8" s="39">
        <f>COUNTIFS(Database!$L$5:$L$66,"Tetap",Database!$P$5:$P$66,"Kepala Departemen",Database!$AX$5:$AX$66,"D3")</f>
        <v>0</v>
      </c>
      <c r="U8" s="43">
        <f>COUNTIFS(Database!$L$5:$L$66,"Tetap",Database!$P$5:$P$66,"Kepala Departemen",Database!$AX$5:$AX$66,"D2")</f>
        <v>0</v>
      </c>
      <c r="V8" s="43">
        <f>COUNTIFS(Database!$L$5:$L$66,"Tetap",Database!$P$5:$P$66,"Kepala Departemen",Database!$AX$5:$AX$66,"D1")</f>
        <v>0</v>
      </c>
      <c r="W8" s="40">
        <f>COUNTIFS(Database!$L$5:$L$66,"Tetap",Database!$P$5:$P$66,"Kepala Departemen",Database!$AX$5:$AX$66,"SMK")</f>
        <v>0</v>
      </c>
      <c r="X8" s="42">
        <f>COUNTIFS(Database!$L$5:$L$66,"Tetap",Database!$P$5:$P$66,"Kepala Bagian",Database!$AX$5:$AX$66,"S3")+COUNTIFS(Database!$L$5:$L$66,"Tetap",Database!$P$5:$P$66,"Fungsional Pratama",Database!$AX$5:$AX$66,"S3")</f>
        <v>0</v>
      </c>
      <c r="Y8" s="39">
        <f>COUNTIFS(Database!$L$5:$L$66,"Tetap",Database!$P$5:$P$66,"Kepala Bagian",Database!$AX$5:$AX$66,"S2")+COUNTIFS(Database!$L$5:$L$66,"Tetap",Database!$P$5:$P$66,"Fungsional Pratama",Database!$AX$5:$AX$66,"S2")</f>
        <v>0</v>
      </c>
      <c r="Z8" s="39">
        <f>COUNTIFS(Database!$L$5:$L$66,"Tetap",Database!$P$5:$P$66,"Kepala Bagian",Database!$AX$5:$AX$66,"S1")+COUNTIFS(Database!$L$5:$L$66,"Tetap",Database!$P$5:$P$66,"Fungsional Pratama",Database!$AX$5:$AX$66,"S1")</f>
        <v>0</v>
      </c>
      <c r="AA8" s="39">
        <f>COUNTIFS(Database!$L$5:$L$66,"Tetap",Database!$P$5:$P$66,"Kepala Bagian",Database!$AX$5:$AX$66,"D3")+COUNTIFS(Database!$L$5:$L$66,"Tetap",Database!$P$5:$P$66,"Fungsional Pratama",Database!$AX$5:$AX$66,"D3")</f>
        <v>0</v>
      </c>
      <c r="AB8" s="43">
        <f>COUNTIFS(Database!$L$5:$L$66,"Tetap",Database!$P$5:$P$66,"Kepala Bagian",Database!$AX$5:$AX$66,"D2")+COUNTIFS(Database!$L$5:$L$66,"Tetap",Database!$P$5:$P$66,"Fungsional Pratama",Database!$AX$5:$AX$66,"D2")</f>
        <v>0</v>
      </c>
      <c r="AC8" s="43">
        <f>COUNTIFS(Database!$L$5:$L$66,"Tetap",Database!$P$5:$P$66,"Kepala Bagian",Database!$AX$5:$AX$66,"D1")+COUNTIFS(Database!$L$5:$L$66,"Tetap",Database!$P$5:$P$66,"Fungsional Pratama",Database!$AX$5:$AX$66,"D1")</f>
        <v>0</v>
      </c>
      <c r="AD8" s="44">
        <f>COUNTIFS(Database!$L$5:$L$66,"Tetap",Database!$P$5:$P$66,"Kepala Bagian",Database!$AX$5:$AX$66,"SMK")+COUNTIFS(Database!$L$5:$L$66,"Tetap",Database!$P$5:$P$66,"Kepala Bagian",Database!$AX$5:$AX$66,"SMA")</f>
        <v>0</v>
      </c>
      <c r="AE8" s="39">
        <f>COUNTIFS(Database!$L$5:$L$66,"Tetap",Database!$P$5:$P$66,"Staff",Database!$AX$5:$AX$66,"S3")</f>
        <v>0</v>
      </c>
      <c r="AF8" s="39">
        <f>COUNTIFS(Database!$L$5:$L$66,"Tetap",Database!$P$5:$P$66,"Staff",Database!$AX$5:$AX$66,"S2")</f>
        <v>0</v>
      </c>
      <c r="AG8" s="39">
        <f>COUNTIFS(Database!$L$5:$L$66,"Tetap",Database!$P$5:$P$66,"Staff",Database!$AX$5:$AX$66,"S1")+COUNTIFS(Database!$L$5:$L$66,"Tetap",Database!$P$5:$P$66,"Staff",Database!$AX$5:$AX$66,"D4")</f>
        <v>1</v>
      </c>
      <c r="AH8" s="39">
        <f>COUNTIFS(Database!$L$5:$L$66,"Tetap",Database!$P$5:$P$66,"Staff",Database!$AX$5:$AX$66,"D3")</f>
        <v>0</v>
      </c>
      <c r="AI8" s="39">
        <f>COUNTIFS(Database!$L$5:$L$66,"Tetap",Database!$P$5:$P$66,"Staff",Database!$AX$5:$AX$66,"D2")</f>
        <v>0</v>
      </c>
      <c r="AJ8" s="39">
        <f>COUNTIFS(Database!$L$5:$L$66,"Tetap",Database!$P$5:$P$66,"Staff",Database!$AX$5:$AX$66,"D1")</f>
        <v>0</v>
      </c>
      <c r="AK8" s="39">
        <f>COUNTIFS(Database!$L$5:$L$66,"Tetap",Database!$P$5:$P$66,"Staff",Database!$AX$5:$AX$66,"SMK")+COUNTIFS(Database!$L$5:$L$66,"Tetap",Database!$P$5:$P$66,"Staff",Database!$AX$5:$AX$66,"SMA")</f>
        <v>0</v>
      </c>
      <c r="AL8" s="39">
        <f>COUNTIFS(Database!$L$5:$L$66,"Tetap",Database!$P$5:$P$66,"Staff",Database!$AX$5:$AX$66,"SMP")</f>
        <v>0</v>
      </c>
      <c r="AM8" s="39"/>
      <c r="AN8" s="40"/>
      <c r="AO8" s="27">
        <f t="shared" si="0"/>
        <v>2</v>
      </c>
    </row>
    <row r="9" spans="1:43">
      <c r="A9" s="28">
        <v>4</v>
      </c>
      <c r="B9" s="29" t="s">
        <v>24</v>
      </c>
      <c r="C9" s="41"/>
      <c r="D9" s="31"/>
      <c r="E9" s="31"/>
      <c r="F9" s="32"/>
      <c r="G9" s="31"/>
      <c r="H9" s="31"/>
      <c r="I9" s="33"/>
      <c r="J9" s="34"/>
      <c r="K9" s="35"/>
      <c r="L9" s="35"/>
      <c r="M9" s="35"/>
      <c r="N9" s="31"/>
      <c r="O9" s="31"/>
      <c r="P9" s="36"/>
      <c r="Q9" s="37"/>
      <c r="R9" s="35"/>
      <c r="S9" s="35"/>
      <c r="T9" s="35"/>
      <c r="U9" s="31"/>
      <c r="V9" s="31"/>
      <c r="W9" s="36"/>
      <c r="X9" s="37"/>
      <c r="Y9" s="35"/>
      <c r="Z9" s="35"/>
      <c r="AA9" s="35"/>
      <c r="AB9" s="31"/>
      <c r="AC9" s="31"/>
      <c r="AD9" s="36"/>
      <c r="AE9" s="37"/>
      <c r="AF9" s="45"/>
      <c r="AG9" s="39" t="e">
        <f>COUNTIFS(#REF!,"Tetap",#REF!,"D4")+COUNTIFS(#REF!,"Tetap",#REF!,"S1")</f>
        <v>#REF!</v>
      </c>
      <c r="AH9" s="39" t="e">
        <f>COUNTIFS(#REF!,"Tetap",#REF!,"D3")</f>
        <v>#REF!</v>
      </c>
      <c r="AI9" s="43" t="e">
        <f>COUNTIFS(#REF!,"Tetap",#REF!,"D2")</f>
        <v>#REF!</v>
      </c>
      <c r="AJ9" s="43" t="e">
        <f>COUNTIFS(#REF!,"Tetap",#REF!,"D1")</f>
        <v>#REF!</v>
      </c>
      <c r="AK9" s="39" t="e">
        <f>COUNTIFS(#REF!,"Tetap",#REF!,"SMK")+COUNTIFS(#REF!,"Tetap",#REF!,"SMA")</f>
        <v>#REF!</v>
      </c>
      <c r="AL9" s="39"/>
      <c r="AM9" s="39"/>
      <c r="AN9" s="40"/>
      <c r="AO9" s="27" t="e">
        <f t="shared" si="0"/>
        <v>#REF!</v>
      </c>
    </row>
    <row r="10" spans="1:43">
      <c r="A10" s="28">
        <v>5</v>
      </c>
      <c r="B10" s="29" t="s">
        <v>25</v>
      </c>
      <c r="C10" s="41"/>
      <c r="D10" s="31"/>
      <c r="E10" s="31"/>
      <c r="F10" s="32"/>
      <c r="G10" s="31"/>
      <c r="H10" s="31"/>
      <c r="I10" s="33"/>
      <c r="J10" s="34"/>
      <c r="K10" s="35"/>
      <c r="L10" s="35"/>
      <c r="M10" s="35"/>
      <c r="N10" s="31"/>
      <c r="O10" s="31"/>
      <c r="P10" s="36"/>
      <c r="Q10" s="37"/>
      <c r="R10" s="35"/>
      <c r="S10" s="35"/>
      <c r="T10" s="35"/>
      <c r="U10" s="31"/>
      <c r="V10" s="31"/>
      <c r="W10" s="36"/>
      <c r="X10" s="37"/>
      <c r="Y10" s="35"/>
      <c r="Z10" s="35"/>
      <c r="AA10" s="35"/>
      <c r="AB10" s="31"/>
      <c r="AC10" s="31"/>
      <c r="AD10" s="36"/>
      <c r="AE10" s="37"/>
      <c r="AF10" s="45"/>
      <c r="AG10" s="39">
        <f>COUNTIFS(Database!$L$5:$L$66,"PKWT",Database!$P$5:$P$66,"Staff",Database!$AX$5:$AX$66,"S1")+COUNTIFS(Database!$L$5:$L$66,"PKWT",Database!$P$5:$P$66,"Staff",Database!$AX$5:$AX$66,"D4")</f>
        <v>0</v>
      </c>
      <c r="AH10" s="39">
        <f>COUNTIFS(Database!$L$5:$L$66,"PKWT",Database!$P$5:$P$66,"Staff",Database!$AX$5:$AX$66,"D3")</f>
        <v>1</v>
      </c>
      <c r="AI10" s="39">
        <f>COUNTIFS(Database!$L$5:$L$66,"PKWT",Database!$P$5:$P$66,"Staff",Database!$AX$5:$AX$66,"D2")</f>
        <v>0</v>
      </c>
      <c r="AJ10" s="39">
        <f>COUNTIFS(Database!$L$5:$L$66,"PKWT",Database!$P$5:$P$66,"Staff",Database!$AX$5:$AX$66,"D1")</f>
        <v>0</v>
      </c>
      <c r="AK10" s="39">
        <f>COUNTIFS(Database!$L$5:$L$66,"PKWT",Database!$P$5:$P$66,"Staff",Database!$AX$5:$AX$66,"SMK")+COUNTIFS(Database!$L$5:$L$66,"PKWT",Database!$P$5:$P$66,"Staff",Database!$AX$5:$AX$66,"SMA")</f>
        <v>0</v>
      </c>
      <c r="AL10" s="39"/>
      <c r="AM10" s="39"/>
      <c r="AN10" s="40"/>
      <c r="AO10" s="27">
        <f t="shared" si="0"/>
        <v>1</v>
      </c>
    </row>
    <row r="11" spans="1:43">
      <c r="A11" s="28">
        <v>6</v>
      </c>
      <c r="B11" s="29" t="s">
        <v>26</v>
      </c>
      <c r="C11" s="41"/>
      <c r="D11" s="31"/>
      <c r="E11" s="31"/>
      <c r="F11" s="32"/>
      <c r="G11" s="31"/>
      <c r="H11" s="31"/>
      <c r="I11" s="33"/>
      <c r="J11" s="34"/>
      <c r="K11" s="35"/>
      <c r="L11" s="35"/>
      <c r="M11" s="35"/>
      <c r="N11" s="31"/>
      <c r="O11" s="31"/>
      <c r="P11" s="36"/>
      <c r="Q11" s="37"/>
      <c r="R11" s="35"/>
      <c r="S11" s="35"/>
      <c r="T11" s="35"/>
      <c r="U11" s="31"/>
      <c r="V11" s="31"/>
      <c r="W11" s="36"/>
      <c r="X11" s="37"/>
      <c r="Y11" s="35"/>
      <c r="Z11" s="35"/>
      <c r="AA11" s="35"/>
      <c r="AB11" s="31"/>
      <c r="AC11" s="31"/>
      <c r="AD11" s="36"/>
      <c r="AE11" s="37"/>
      <c r="AF11" s="45"/>
      <c r="AG11" s="39"/>
      <c r="AH11" s="39"/>
      <c r="AI11" s="39"/>
      <c r="AJ11" s="39"/>
      <c r="AK11" s="39" t="e">
        <f>COUNTIFS(#REF!,"Fungsional",#REF!,"SMK")+COUNTIFS(#REF!,"Fungsional",#REF!,"SMA")</f>
        <v>#REF!</v>
      </c>
      <c r="AL11" s="39"/>
      <c r="AM11" s="39"/>
      <c r="AN11" s="40"/>
      <c r="AO11" s="27" t="e">
        <f t="shared" si="0"/>
        <v>#REF!</v>
      </c>
    </row>
    <row r="12" spans="1:43">
      <c r="A12" s="28">
        <v>7</v>
      </c>
      <c r="B12" s="9" t="s">
        <v>27</v>
      </c>
      <c r="C12" s="30"/>
      <c r="D12" s="31"/>
      <c r="E12" s="31"/>
      <c r="F12" s="32"/>
      <c r="G12" s="31"/>
      <c r="H12" s="31"/>
      <c r="I12" s="46"/>
      <c r="J12" s="34"/>
      <c r="K12" s="35"/>
      <c r="L12" s="35"/>
      <c r="M12" s="35"/>
      <c r="N12" s="31"/>
      <c r="O12" s="31"/>
      <c r="P12" s="36"/>
      <c r="Q12" s="34"/>
      <c r="R12" s="35"/>
      <c r="S12" s="35"/>
      <c r="T12" s="35"/>
      <c r="U12" s="31"/>
      <c r="V12" s="31"/>
      <c r="W12" s="36"/>
      <c r="X12" s="37"/>
      <c r="Y12" s="35"/>
      <c r="Z12" s="35"/>
      <c r="AA12" s="35"/>
      <c r="AB12" s="31"/>
      <c r="AC12" s="31"/>
      <c r="AD12" s="36"/>
      <c r="AE12" s="37"/>
      <c r="AF12" s="35"/>
      <c r="AG12" s="39" t="e">
        <f>COUNTIFS(#REF!,"PKWT",#REF!,"S1")+COUNTIFS(#REF!,"PKWT",#REF!,"D4")</f>
        <v>#REF!</v>
      </c>
      <c r="AH12" s="39" t="e">
        <f>COUNTIFS(#REF!,"PKWT",#REF!,"D3")</f>
        <v>#REF!</v>
      </c>
      <c r="AI12" s="43" t="e">
        <f>COUNTIFS(#REF!,"PKWT",#REF!,"D2")</f>
        <v>#REF!</v>
      </c>
      <c r="AJ12" s="43" t="e">
        <f>COUNTIFS(#REF!,"PKWT",#REF!,"D1")</f>
        <v>#REF!</v>
      </c>
      <c r="AK12" s="39" t="e">
        <f>COUNTIFS(#REF!,"PKWT",#REF!,"SMK")+COUNTIFS(#REF!,"PKWT",#REF!,"SMA")-AK11</f>
        <v>#REF!</v>
      </c>
      <c r="AL12" s="39" t="e">
        <f>COUNTIFS(#REF!,"PKWT",#REF!,"SMP")</f>
        <v>#REF!</v>
      </c>
      <c r="AM12" s="39"/>
      <c r="AN12" s="40" t="e">
        <f>COUNTIFS(#REF!,"PKWT",#REF!,"")</f>
        <v>#REF!</v>
      </c>
      <c r="AO12" s="27" t="e">
        <f t="shared" si="0"/>
        <v>#REF!</v>
      </c>
    </row>
    <row r="13" spans="1:43">
      <c r="A13" s="28">
        <v>8</v>
      </c>
      <c r="B13" s="9" t="s">
        <v>28</v>
      </c>
      <c r="C13" s="30"/>
      <c r="D13" s="47"/>
      <c r="E13" s="31"/>
      <c r="F13" s="47"/>
      <c r="G13" s="31"/>
      <c r="H13" s="48"/>
      <c r="I13" s="46"/>
      <c r="J13" s="49"/>
      <c r="K13" s="45"/>
      <c r="L13" s="45"/>
      <c r="M13" s="45"/>
      <c r="N13" s="31"/>
      <c r="O13" s="47"/>
      <c r="P13" s="38"/>
      <c r="Q13" s="41"/>
      <c r="R13" s="35"/>
      <c r="S13" s="41"/>
      <c r="T13" s="45"/>
      <c r="U13" s="48"/>
      <c r="V13" s="48"/>
      <c r="W13" s="38"/>
      <c r="X13" s="41"/>
      <c r="Y13" s="45"/>
      <c r="Z13" s="45"/>
      <c r="AA13" s="35"/>
      <c r="AB13" s="31"/>
      <c r="AC13" s="47"/>
      <c r="AD13" s="38"/>
      <c r="AE13" s="41"/>
      <c r="AF13" s="45"/>
      <c r="AG13" s="45"/>
      <c r="AH13" s="35"/>
      <c r="AI13" s="47"/>
      <c r="AJ13" s="48"/>
      <c r="AK13" s="39">
        <f>COUNTIFS(Database!$L$5:$L$66,"PKWT",Database!$P$5:$P$66,"Driver",Database!$AX$5:$AX$66,"SMK")+COUNTIFS(Database!$L$5:$L$66,"PKWT",Database!$P$5:$P$66,"Driver",Database!$AX$5:$AX$66,"SMA")</f>
        <v>0</v>
      </c>
      <c r="AL13" s="39">
        <f>COUNTIFS(Database!$L$5:$L$66,"PKWT",Database!$P$5:$P$66,"Driver",Database!$AX$5:$AX$66,"SMP")</f>
        <v>0</v>
      </c>
      <c r="AM13" s="39">
        <f>COUNTIFS(Database!$L$5:$L$66,"PKWT",Database!$P$5:$P$66,"Driver",Database!$AX$5:$AX$66,"SD")</f>
        <v>0</v>
      </c>
      <c r="AN13" s="42"/>
      <c r="AO13" s="27">
        <f t="shared" si="0"/>
        <v>0</v>
      </c>
    </row>
    <row r="14" spans="1:43">
      <c r="A14" s="28">
        <v>9</v>
      </c>
      <c r="B14" s="50" t="s">
        <v>29</v>
      </c>
      <c r="C14" s="30"/>
      <c r="D14" s="47"/>
      <c r="E14" s="31"/>
      <c r="F14" s="47"/>
      <c r="G14" s="31"/>
      <c r="H14" s="48"/>
      <c r="I14" s="46"/>
      <c r="J14" s="49"/>
      <c r="K14" s="45"/>
      <c r="L14" s="45"/>
      <c r="M14" s="45"/>
      <c r="N14" s="31"/>
      <c r="O14" s="47"/>
      <c r="P14" s="51"/>
      <c r="Q14" s="41"/>
      <c r="R14" s="35"/>
      <c r="S14" s="41"/>
      <c r="T14" s="45"/>
      <c r="U14" s="48"/>
      <c r="V14" s="48"/>
      <c r="W14" s="38"/>
      <c r="X14" s="41"/>
      <c r="Y14" s="45"/>
      <c r="Z14" s="45"/>
      <c r="AA14" s="35"/>
      <c r="AB14" s="31"/>
      <c r="AC14" s="47"/>
      <c r="AD14" s="51"/>
      <c r="AE14" s="41"/>
      <c r="AF14" s="45"/>
      <c r="AG14" s="45"/>
      <c r="AH14" s="35"/>
      <c r="AI14" s="47"/>
      <c r="AJ14" s="48"/>
      <c r="AK14" s="45"/>
      <c r="AL14" s="45"/>
      <c r="AM14" s="35"/>
      <c r="AN14" s="52">
        <f>COUNTIFS(Database!$L$5:$L$66,"PKWT",Database!$P$5:$P$66,"OB",Database!$AX$5:$AX$66,"")</f>
        <v>0</v>
      </c>
      <c r="AO14" s="27">
        <f t="shared" si="0"/>
        <v>0</v>
      </c>
    </row>
    <row r="15" spans="1:43">
      <c r="A15" s="248" t="s">
        <v>30</v>
      </c>
      <c r="B15" s="249"/>
      <c r="C15" s="53">
        <f t="shared" ref="C15:AO15" si="1">SUM(C6:C14)</f>
        <v>0</v>
      </c>
      <c r="D15" s="54">
        <f t="shared" si="1"/>
        <v>0</v>
      </c>
      <c r="E15" s="54">
        <f t="shared" si="1"/>
        <v>0</v>
      </c>
      <c r="F15" s="55">
        <f t="shared" si="1"/>
        <v>0</v>
      </c>
      <c r="G15" s="56">
        <f t="shared" si="1"/>
        <v>0</v>
      </c>
      <c r="H15" s="54">
        <f t="shared" si="1"/>
        <v>0</v>
      </c>
      <c r="I15" s="57">
        <f t="shared" si="1"/>
        <v>0</v>
      </c>
      <c r="J15" s="53">
        <f t="shared" si="1"/>
        <v>0</v>
      </c>
      <c r="K15" s="54">
        <f t="shared" si="1"/>
        <v>0</v>
      </c>
      <c r="L15" s="54">
        <f t="shared" si="1"/>
        <v>1</v>
      </c>
      <c r="M15" s="54">
        <f t="shared" si="1"/>
        <v>0</v>
      </c>
      <c r="N15" s="55">
        <f t="shared" si="1"/>
        <v>0</v>
      </c>
      <c r="O15" s="56">
        <f t="shared" si="1"/>
        <v>0</v>
      </c>
      <c r="P15" s="57">
        <f t="shared" si="1"/>
        <v>0</v>
      </c>
      <c r="Q15" s="53">
        <f t="shared" si="1"/>
        <v>0</v>
      </c>
      <c r="R15" s="54">
        <f t="shared" si="1"/>
        <v>1</v>
      </c>
      <c r="S15" s="54">
        <f t="shared" si="1"/>
        <v>2</v>
      </c>
      <c r="T15" s="54">
        <f t="shared" si="1"/>
        <v>0</v>
      </c>
      <c r="U15" s="55">
        <f t="shared" si="1"/>
        <v>0</v>
      </c>
      <c r="V15" s="56">
        <f t="shared" si="1"/>
        <v>0</v>
      </c>
      <c r="W15" s="57">
        <f t="shared" si="1"/>
        <v>0</v>
      </c>
      <c r="X15" s="53">
        <f t="shared" si="1"/>
        <v>0</v>
      </c>
      <c r="Y15" s="54">
        <f t="shared" si="1"/>
        <v>0</v>
      </c>
      <c r="Z15" s="55">
        <f t="shared" si="1"/>
        <v>0</v>
      </c>
      <c r="AA15" s="56">
        <f t="shared" si="1"/>
        <v>0</v>
      </c>
      <c r="AB15" s="55">
        <f t="shared" si="1"/>
        <v>0</v>
      </c>
      <c r="AC15" s="55">
        <f t="shared" si="1"/>
        <v>0</v>
      </c>
      <c r="AD15" s="58">
        <f t="shared" si="1"/>
        <v>0</v>
      </c>
      <c r="AE15" s="59">
        <f t="shared" si="1"/>
        <v>0</v>
      </c>
      <c r="AF15" s="56">
        <f t="shared" si="1"/>
        <v>0</v>
      </c>
      <c r="AG15" s="54" t="e">
        <f t="shared" si="1"/>
        <v>#REF!</v>
      </c>
      <c r="AH15" s="54" t="e">
        <f t="shared" si="1"/>
        <v>#REF!</v>
      </c>
      <c r="AI15" s="54" t="e">
        <f t="shared" si="1"/>
        <v>#REF!</v>
      </c>
      <c r="AJ15" s="54" t="e">
        <f t="shared" si="1"/>
        <v>#REF!</v>
      </c>
      <c r="AK15" s="55" t="e">
        <f t="shared" si="1"/>
        <v>#REF!</v>
      </c>
      <c r="AL15" s="56" t="e">
        <f t="shared" si="1"/>
        <v>#REF!</v>
      </c>
      <c r="AM15" s="55">
        <f t="shared" si="1"/>
        <v>0</v>
      </c>
      <c r="AN15" s="58" t="e">
        <f t="shared" si="1"/>
        <v>#REF!</v>
      </c>
      <c r="AO15" s="60" t="e">
        <f t="shared" si="1"/>
        <v>#REF!</v>
      </c>
      <c r="AQ15" s="3"/>
    </row>
    <row r="16" spans="1:43">
      <c r="B16" s="1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>
      <c r="A18" s="4" t="s">
        <v>31</v>
      </c>
      <c r="B18" s="4"/>
      <c r="C18" s="5"/>
      <c r="D18" s="5"/>
      <c r="E18" s="5"/>
      <c r="F18" s="5"/>
      <c r="G18" s="6"/>
      <c r="H18" s="6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>
      <c r="A19" s="7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>
      <c r="A20" s="12" t="s">
        <v>1</v>
      </c>
      <c r="B20" s="13" t="s">
        <v>32</v>
      </c>
      <c r="C20" s="14" t="s">
        <v>33</v>
      </c>
      <c r="D20" s="15" t="s">
        <v>34</v>
      </c>
      <c r="E20" s="15" t="s">
        <v>35</v>
      </c>
      <c r="F20" s="15" t="s">
        <v>36</v>
      </c>
      <c r="G20" s="16" t="s">
        <v>37</v>
      </c>
      <c r="H20" s="61" t="s">
        <v>38</v>
      </c>
      <c r="I20" s="62" t="s">
        <v>39</v>
      </c>
      <c r="J20" s="63" t="s">
        <v>40</v>
      </c>
      <c r="K20" s="64" t="s">
        <v>41</v>
      </c>
      <c r="L20" s="62" t="s">
        <v>42</v>
      </c>
      <c r="M20" s="61" t="s">
        <v>43</v>
      </c>
      <c r="N20" s="62" t="s">
        <v>44</v>
      </c>
      <c r="O20" s="61" t="s">
        <v>45</v>
      </c>
      <c r="P20" s="64" t="s">
        <v>46</v>
      </c>
      <c r="Q20" s="61" t="s">
        <v>47</v>
      </c>
      <c r="R20" s="62" t="s">
        <v>48</v>
      </c>
      <c r="S20" s="61" t="s">
        <v>49</v>
      </c>
      <c r="T20" s="65" t="s">
        <v>8</v>
      </c>
      <c r="U20" s="2"/>
      <c r="V20" s="2"/>
      <c r="W20" s="2"/>
      <c r="X20" s="66"/>
      <c r="Y20" s="66"/>
      <c r="Z20" s="66"/>
      <c r="AA20" s="66"/>
      <c r="AB20" s="2"/>
      <c r="AC20" s="2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ht="15.75" customHeight="1">
      <c r="A21" s="67">
        <v>1</v>
      </c>
      <c r="B21" s="68" t="s">
        <v>3</v>
      </c>
      <c r="C21" s="69"/>
      <c r="D21" s="70">
        <f>COUNTIFS(Database!$L$5:$L$66,"Direksi",Database!$R$5:$R$66,"Kantor")</f>
        <v>0</v>
      </c>
      <c r="E21" s="70"/>
      <c r="F21" s="71"/>
      <c r="G21" s="70"/>
      <c r="H21" s="72"/>
      <c r="I21" s="71"/>
      <c r="J21" s="73"/>
      <c r="K21" s="72"/>
      <c r="L21" s="72"/>
      <c r="M21" s="72"/>
      <c r="N21" s="72"/>
      <c r="O21" s="71"/>
      <c r="P21" s="73"/>
      <c r="Q21" s="72"/>
      <c r="R21" s="72"/>
      <c r="S21" s="72"/>
      <c r="T21" s="74">
        <f t="shared" ref="T21:T30" si="2">SUM(C21:S21)</f>
        <v>0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ht="15.75" customHeight="1">
      <c r="A22" s="75">
        <v>2</v>
      </c>
      <c r="B22" s="76" t="s">
        <v>20</v>
      </c>
      <c r="C22" s="77">
        <f>COUNTIFS(Database!$L$5:$L$66,"Organik",Database!$R$5:$R$66,"INKA")</f>
        <v>0</v>
      </c>
      <c r="D22" s="78">
        <f>COUNTIFS(Database!$L$5:$L$66,"Organik",Database!$R$5:$R$66,"Kantor")</f>
        <v>0</v>
      </c>
      <c r="E22" s="78">
        <f>COUNTIFS(Database!$L$5:$L$66,"Organik",Database!$R$5:$R$66,"PMU")</f>
        <v>0</v>
      </c>
      <c r="F22" s="79"/>
      <c r="G22" s="78"/>
      <c r="H22" s="80"/>
      <c r="I22" s="79"/>
      <c r="J22" s="81"/>
      <c r="K22" s="80"/>
      <c r="L22" s="80"/>
      <c r="M22" s="80"/>
      <c r="N22" s="80"/>
      <c r="O22" s="79"/>
      <c r="P22" s="81"/>
      <c r="Q22" s="80"/>
      <c r="R22" s="80"/>
      <c r="S22" s="80"/>
      <c r="T22" s="82">
        <f t="shared" si="2"/>
        <v>0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t="15.75" customHeight="1">
      <c r="A23" s="75">
        <v>3</v>
      </c>
      <c r="B23" s="76" t="s">
        <v>21</v>
      </c>
      <c r="C23" s="77"/>
      <c r="D23" s="78"/>
      <c r="E23" s="78"/>
      <c r="F23" s="79"/>
      <c r="G23" s="78"/>
      <c r="H23" s="80"/>
      <c r="I23" s="79"/>
      <c r="J23" s="81"/>
      <c r="K23" s="80"/>
      <c r="L23" s="80" t="s">
        <v>22</v>
      </c>
      <c r="M23" s="80"/>
      <c r="N23" s="80"/>
      <c r="O23" s="79"/>
      <c r="P23" s="81"/>
      <c r="Q23" s="80"/>
      <c r="R23" s="80"/>
      <c r="S23" s="80"/>
      <c r="T23" s="82">
        <f t="shared" si="2"/>
        <v>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t="15.75" customHeight="1">
      <c r="A24" s="75">
        <v>4</v>
      </c>
      <c r="B24" s="76" t="s">
        <v>23</v>
      </c>
      <c r="C24" s="77">
        <f>COUNTIFS(Database!$L$5:$L$66,"Tetap",Database!$R$5:$R$66,"INKA")</f>
        <v>0</v>
      </c>
      <c r="D24" s="78">
        <f>COUNTIFS(Database!$L$5:$L$66,"Tetap",Database!$R$5:$R$66,"Kantor")</f>
        <v>0</v>
      </c>
      <c r="E24" s="78"/>
      <c r="F24" s="79"/>
      <c r="G24" s="78"/>
      <c r="H24" s="80"/>
      <c r="I24" s="79"/>
      <c r="J24" s="81"/>
      <c r="K24" s="80">
        <f>COUNTIFS(Database!$L$5:$L$66,"Tetap",Database!$R$5:$R$66,"Jakarta")</f>
        <v>2</v>
      </c>
      <c r="L24" s="80"/>
      <c r="M24" s="80"/>
      <c r="N24" s="80"/>
      <c r="O24" s="79"/>
      <c r="P24" s="81"/>
      <c r="Q24" s="80"/>
      <c r="R24" s="80">
        <f>COUNTIFS(Database!$L$5:$L$66,"Tetap",Database!$R$5:$R$66,"Klaten")</f>
        <v>0</v>
      </c>
      <c r="S24" s="80"/>
      <c r="T24" s="82">
        <f t="shared" si="2"/>
        <v>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t="15.75" customHeight="1">
      <c r="A25" s="75">
        <v>5</v>
      </c>
      <c r="B25" s="76" t="s">
        <v>24</v>
      </c>
      <c r="C25" s="81" t="e">
        <f>COUNTIFS(#REF!,"Tetap",#REF!,"Madiun")</f>
        <v>#REF!</v>
      </c>
      <c r="D25" s="79"/>
      <c r="E25" s="79"/>
      <c r="F25" s="79" t="e">
        <f>COUNTIFS(#REF!,"Tetap",#REF!,"Aceh")</f>
        <v>#REF!</v>
      </c>
      <c r="G25" s="79" t="e">
        <f>COUNTIFS(#REF!,"Tetap",#REF!,"Medan")</f>
        <v>#REF!</v>
      </c>
      <c r="H25" s="80" t="e">
        <f>COUNTIFS(#REF!,"Tetap",#REF!,"Palembang")</f>
        <v>#REF!</v>
      </c>
      <c r="I25" s="79" t="e">
        <f>COUNTIFS(#REF!,"Tetap",#REF!,"Padang")</f>
        <v>#REF!</v>
      </c>
      <c r="J25" s="80" t="e">
        <f>COUNTIFS(#REF!,"Tetap",#REF!,"Lampung")</f>
        <v>#REF!</v>
      </c>
      <c r="K25" s="80" t="e">
        <f>COUNTIFS(#REF!,"Tetap",#REF!,"Jakarta")</f>
        <v>#REF!</v>
      </c>
      <c r="L25" s="80" t="e">
        <f>COUNTIFS(#REF!,"Tetap",#REF!,"Bandung")</f>
        <v>#REF!</v>
      </c>
      <c r="M25" s="80" t="e">
        <f>COUNTIFS(#REF!,"Tetap",#REF!,"Jatibarang")</f>
        <v>#REF!</v>
      </c>
      <c r="N25" s="80" t="e">
        <f>COUNTIFS(#REF!,"Tetap",#REF!,"Pekalongan")</f>
        <v>#REF!</v>
      </c>
      <c r="O25" s="79" t="e">
        <f>COUNTIFS(#REF!,"Tetap",#REF!,"Kroya")</f>
        <v>#REF!</v>
      </c>
      <c r="P25" s="80" t="e">
        <f>COUNTIFS(#REF!,"Tetap",#REF!,"Purwodadi")</f>
        <v>#REF!</v>
      </c>
      <c r="Q25" s="80" t="e">
        <f>COUNTIFS(#REF!,"Tetap",#REF!,"Solo")</f>
        <v>#REF!</v>
      </c>
      <c r="R25" s="80" t="e">
        <f>COUNTIFS(#REF!,"Tetap",#REF!,"Klaten")</f>
        <v>#REF!</v>
      </c>
      <c r="S25" s="80" t="e">
        <f>COUNTIFS(#REF!,"Tetap",#REF!,"Makassar")</f>
        <v>#REF!</v>
      </c>
      <c r="T25" s="82" t="e">
        <f t="shared" si="2"/>
        <v>#REF!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t="15.75" customHeight="1">
      <c r="A26" s="75">
        <v>6</v>
      </c>
      <c r="B26" s="76" t="s">
        <v>25</v>
      </c>
      <c r="C26" s="77">
        <f>COUNTIFS(Database!$L$5:$L$66,"PKWT",Database!$R$5:$R$66,"INKA")</f>
        <v>2</v>
      </c>
      <c r="D26" s="78">
        <f>COUNTIFS(Database!$L$5:$L$66,"pkwt",Database!$R$5:$R$66,"Kantor")-D29-D30</f>
        <v>0</v>
      </c>
      <c r="E26" s="78"/>
      <c r="F26" s="79"/>
      <c r="G26" s="78"/>
      <c r="H26" s="80"/>
      <c r="I26" s="79" t="s">
        <v>50</v>
      </c>
      <c r="J26" s="81"/>
      <c r="K26" s="80">
        <f>COUNTIFS(Database!$L$5:$L$66,"pkwt",Database!$R$5:$R$66,"Jakarta")</f>
        <v>22</v>
      </c>
      <c r="L26" s="80"/>
      <c r="M26" s="80"/>
      <c r="N26" s="80"/>
      <c r="O26" s="79"/>
      <c r="P26" s="81"/>
      <c r="Q26" s="80"/>
      <c r="R26" s="80"/>
      <c r="S26" s="80"/>
      <c r="T26" s="82">
        <f t="shared" si="2"/>
        <v>24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t="15.75" customHeight="1">
      <c r="A27" s="75">
        <v>7</v>
      </c>
      <c r="B27" s="76" t="s">
        <v>26</v>
      </c>
      <c r="C27" s="81" t="e">
        <f>COUNTIFS(#REF!,"Fungsional",#REF!,"Madiun")</f>
        <v>#REF!</v>
      </c>
      <c r="D27" s="79"/>
      <c r="E27" s="79"/>
      <c r="F27" s="79"/>
      <c r="G27" s="78"/>
      <c r="H27" s="83"/>
      <c r="I27" s="79"/>
      <c r="J27" s="83"/>
      <c r="K27" s="83"/>
      <c r="L27" s="83"/>
      <c r="M27" s="83"/>
      <c r="N27" s="83"/>
      <c r="O27" s="79"/>
      <c r="P27" s="83"/>
      <c r="Q27" s="83"/>
      <c r="R27" s="83"/>
      <c r="S27" s="83"/>
      <c r="T27" s="82" t="e">
        <f t="shared" si="2"/>
        <v>#REF!</v>
      </c>
      <c r="U27" s="3"/>
      <c r="V27" s="3"/>
      <c r="W27" s="84"/>
      <c r="X27" s="3"/>
      <c r="Y27" s="84"/>
      <c r="Z27" s="3"/>
      <c r="AA27" s="84"/>
      <c r="AB27" s="3"/>
      <c r="AC27" s="84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t="15.75" customHeight="1">
      <c r="A28" s="75">
        <v>8</v>
      </c>
      <c r="B28" s="85" t="s">
        <v>27</v>
      </c>
      <c r="C28" s="81" t="e">
        <f>COUNTIFS(#REF!,"PKWT",#REF!,"Madiun")-C27</f>
        <v>#REF!</v>
      </c>
      <c r="D28" s="79"/>
      <c r="E28" s="79"/>
      <c r="F28" s="79" t="e">
        <f>COUNTIFS(#REF!,"PKWT",#REF!,"Aceh")</f>
        <v>#REF!</v>
      </c>
      <c r="G28" s="79" t="e">
        <f>COUNTIFS(#REF!,"PKWT",#REF!,"Medan")</f>
        <v>#REF!</v>
      </c>
      <c r="H28" s="80" t="e">
        <f>COUNTIFS(#REF!,"PKWT",#REF!,"Palembang")</f>
        <v>#REF!</v>
      </c>
      <c r="I28" s="79" t="e">
        <f>COUNTIFS(#REF!,"PKWT",#REF!,"Padang")</f>
        <v>#REF!</v>
      </c>
      <c r="J28" s="80" t="e">
        <f>COUNTIFS(#REF!,"PKWT",#REF!,"Lampung")</f>
        <v>#REF!</v>
      </c>
      <c r="K28" s="80" t="e">
        <f>COUNTIFS(#REF!,"PKWT",#REF!,"Jakarta")</f>
        <v>#REF!</v>
      </c>
      <c r="L28" s="80" t="e">
        <f>COUNTIFS(#REF!,"PKWT",#REF!,"Bandung")</f>
        <v>#REF!</v>
      </c>
      <c r="M28" s="80" t="e">
        <f>COUNTIFS(#REF!,"PKWT",#REF!,"Jatibarang")</f>
        <v>#REF!</v>
      </c>
      <c r="N28" s="80" t="e">
        <f>COUNTIFS(#REF!,"PKWT",#REF!,"Pekalongan")</f>
        <v>#REF!</v>
      </c>
      <c r="O28" s="79" t="e">
        <f>COUNTIFS(#REF!,"PKWT",#REF!,"Kroya")</f>
        <v>#REF!</v>
      </c>
      <c r="P28" s="80" t="e">
        <f>COUNTIFS(#REF!,"PKWT",#REF!,"Purwodadi")</f>
        <v>#REF!</v>
      </c>
      <c r="Q28" s="80" t="e">
        <f>COUNTIFS(#REF!,"PKWT",#REF!,"Solo")</f>
        <v>#REF!</v>
      </c>
      <c r="R28" s="80" t="e">
        <f>COUNTIFS(#REF!,"PKWT",#REF!,"Klaten")</f>
        <v>#REF!</v>
      </c>
      <c r="S28" s="80" t="e">
        <f>COUNTIFS(#REF!,"PKWT",#REF!,"Makassar")</f>
        <v>#REF!</v>
      </c>
      <c r="T28" s="82" t="e">
        <f t="shared" si="2"/>
        <v>#REF!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t="15.75" customHeight="1">
      <c r="A29" s="75">
        <v>9</v>
      </c>
      <c r="B29" s="85" t="s">
        <v>28</v>
      </c>
      <c r="C29" s="81"/>
      <c r="D29" s="77">
        <f>COUNTIF(Database!$P$5:$P$66,"Driver")</f>
        <v>0</v>
      </c>
      <c r="E29" s="77"/>
      <c r="F29" s="79"/>
      <c r="G29" s="81"/>
      <c r="H29" s="80"/>
      <c r="I29" s="79"/>
      <c r="J29" s="81"/>
      <c r="K29" s="80"/>
      <c r="L29" s="80"/>
      <c r="M29" s="80"/>
      <c r="N29" s="80"/>
      <c r="O29" s="79"/>
      <c r="P29" s="81"/>
      <c r="Q29" s="80"/>
      <c r="R29" s="80"/>
      <c r="S29" s="80"/>
      <c r="T29" s="82">
        <f t="shared" si="2"/>
        <v>0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t="15.75" customHeight="1">
      <c r="A30" s="75">
        <v>10</v>
      </c>
      <c r="B30" s="85" t="s">
        <v>29</v>
      </c>
      <c r="C30" s="81"/>
      <c r="D30" s="77">
        <f>COUNTIF(Database!$P$5:$P$66,"OB")</f>
        <v>0</v>
      </c>
      <c r="E30" s="77"/>
      <c r="F30" s="79"/>
      <c r="G30" s="81"/>
      <c r="H30" s="80"/>
      <c r="I30" s="79"/>
      <c r="J30" s="81"/>
      <c r="K30" s="80"/>
      <c r="L30" s="80"/>
      <c r="M30" s="80"/>
      <c r="N30" s="80"/>
      <c r="O30" s="79"/>
      <c r="P30" s="81"/>
      <c r="Q30" s="80"/>
      <c r="R30" s="80"/>
      <c r="S30" s="80"/>
      <c r="T30" s="82">
        <f t="shared" si="2"/>
        <v>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t="15.75" customHeight="1">
      <c r="A31" s="250" t="s">
        <v>30</v>
      </c>
      <c r="B31" s="251"/>
      <c r="C31" s="86" t="e">
        <f t="shared" ref="C31:S31" si="3">SUM(C22:C30)</f>
        <v>#REF!</v>
      </c>
      <c r="D31" s="86">
        <f t="shared" si="3"/>
        <v>0</v>
      </c>
      <c r="E31" s="86">
        <f t="shared" si="3"/>
        <v>0</v>
      </c>
      <c r="F31" s="86" t="e">
        <f t="shared" si="3"/>
        <v>#REF!</v>
      </c>
      <c r="G31" s="87" t="e">
        <f t="shared" si="3"/>
        <v>#REF!</v>
      </c>
      <c r="H31" s="86" t="e">
        <f t="shared" si="3"/>
        <v>#REF!</v>
      </c>
      <c r="I31" s="87" t="e">
        <f t="shared" si="3"/>
        <v>#REF!</v>
      </c>
      <c r="J31" s="88" t="e">
        <f t="shared" si="3"/>
        <v>#REF!</v>
      </c>
      <c r="K31" s="86" t="e">
        <f t="shared" si="3"/>
        <v>#REF!</v>
      </c>
      <c r="L31" s="86" t="e">
        <f t="shared" si="3"/>
        <v>#REF!</v>
      </c>
      <c r="M31" s="86" t="e">
        <f t="shared" si="3"/>
        <v>#REF!</v>
      </c>
      <c r="N31" s="86" t="e">
        <f t="shared" si="3"/>
        <v>#REF!</v>
      </c>
      <c r="O31" s="87" t="e">
        <f t="shared" si="3"/>
        <v>#REF!</v>
      </c>
      <c r="P31" s="88" t="e">
        <f t="shared" si="3"/>
        <v>#REF!</v>
      </c>
      <c r="Q31" s="88" t="e">
        <f t="shared" si="3"/>
        <v>#REF!</v>
      </c>
      <c r="R31" s="88" t="e">
        <f t="shared" si="3"/>
        <v>#REF!</v>
      </c>
      <c r="S31" s="86" t="e">
        <f t="shared" si="3"/>
        <v>#REF!</v>
      </c>
      <c r="T31" s="89" t="e">
        <f>SUM(T21:T30)</f>
        <v>#REF!</v>
      </c>
      <c r="U31" s="3"/>
      <c r="V31" s="3"/>
      <c r="W31" s="2"/>
      <c r="X31" s="3"/>
      <c r="Y31" s="2"/>
      <c r="Z31" s="3"/>
      <c r="AA31" s="2"/>
      <c r="AB31" s="3"/>
      <c r="AC31" s="2"/>
      <c r="AD31" s="3"/>
      <c r="AE31" s="2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t="15.75" customHeight="1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3:41" ht="15.75" customHeight="1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3:41" ht="15.75" customHeight="1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3:41" ht="15.75" customHeight="1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3:41" ht="15.75" customHeight="1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3:41" ht="15.75" customHeight="1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3:41" ht="15.75" customHeight="1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3:41" ht="15.75" customHeight="1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3:41" ht="15.75" customHeight="1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3:41" ht="15.75" customHeight="1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3:41" ht="15.75" customHeight="1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3:41" ht="15.75" customHeight="1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3:41" ht="15.75" customHeight="1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3:41" ht="15.75" customHeight="1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3:41" ht="15.75" customHeight="1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3:41" ht="15.75" customHeight="1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3:41" ht="15.75" customHeight="1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3:41" ht="15.75" customHeight="1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3:41" ht="15.75" customHeight="1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3:41" ht="15.75" customHeight="1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3:41" ht="15.75" customHeight="1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3:41" ht="15.75" customHeight="1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3:41" ht="15.75" customHeight="1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3:41" ht="15.75" customHeight="1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3:41" ht="15.75" customHeight="1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3:41" ht="15.75" customHeight="1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3:41" ht="15.75" customHeight="1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3:41" ht="15.75" customHeight="1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3:41" ht="15.75" customHeight="1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3:41" ht="15.75" customHeight="1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3:41" ht="15.75" customHeight="1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3:41" ht="15.75" customHeight="1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3:41" ht="15.75" customHeight="1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3:41" ht="15.75" customHeight="1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3:41" ht="15.75" customHeight="1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3:41" ht="15.75" customHeight="1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3:41" ht="15.75" customHeight="1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3:41" ht="15.75" customHeight="1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3:41" ht="15.75" customHeight="1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3:41" ht="15.75" customHeight="1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3:41" ht="15.75" customHeight="1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3:41" ht="15.75" customHeight="1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3:41" ht="15.75" customHeight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3:41" ht="15.75" customHeight="1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3:41" ht="15.75" customHeight="1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3:41" ht="15.75" customHeight="1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3:41" ht="15.75" customHeight="1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3:41" ht="15.75" customHeight="1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3:41" ht="15.75" customHeight="1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3:41" ht="15.75" customHeight="1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3:41" ht="15.75" customHeight="1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3:41" ht="15.75" customHeight="1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3:41" ht="15.75" customHeight="1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3:41" ht="15.75" customHeight="1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3:41" ht="15.75" customHeight="1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3:41" ht="15.75" customHeight="1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3:41" ht="15.75" customHeight="1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3:41" ht="15.75" customHeight="1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3:41" ht="15.75" customHeight="1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3:41" ht="15.75" customHeight="1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3:41" ht="15.75" customHeight="1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3:41" ht="15.75" customHeight="1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3:41" ht="15.75" customHeight="1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3:41" ht="15.75" customHeight="1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spans="3:41" ht="15.75" customHeight="1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spans="3:41" ht="15.75" customHeight="1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3:41" ht="15.75" customHeight="1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3:41" ht="15.75" customHeight="1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3:41" ht="15.75" customHeight="1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3:41" ht="15.75" customHeight="1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3:41" ht="15.75" customHeight="1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3:41" ht="15.75" customHeight="1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3:41" ht="15.75" customHeight="1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3:41" ht="15.75" customHeight="1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3:41" ht="15.75" customHeight="1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3:41" ht="15.75" customHeight="1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3:41" ht="15.75" customHeight="1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3:41" ht="15.75" customHeight="1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3:41" ht="15.75" customHeight="1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3:41" ht="15.75" customHeight="1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3:41" ht="15.75" customHeight="1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3:41" ht="15.75" customHeight="1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3:41" ht="15.75" customHeight="1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3:41" ht="15.75" customHeight="1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3:41" ht="15.75" customHeight="1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3:41" ht="15.75" customHeight="1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3:41" ht="15.75" customHeight="1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3:41" ht="15.75" customHeight="1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3:41" ht="15.75" customHeight="1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3:41" ht="15.75" customHeight="1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3:41" ht="15.75" customHeight="1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3:41" ht="15.75" customHeight="1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3:41" ht="15.75" customHeight="1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3:41" ht="15.75" customHeight="1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3:41" ht="15.75" customHeight="1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3:41" ht="15.75" customHeight="1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3:41" ht="15.75" customHeight="1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3:41" ht="15.75" customHeight="1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3:41" ht="15.75" customHeight="1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spans="3:41" ht="15.75" customHeight="1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3:41" ht="15.75" customHeight="1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3:41" ht="15.75" customHeight="1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3:41" ht="15.75" customHeight="1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3:41" ht="15.75" customHeight="1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3:41" ht="15.75" customHeight="1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3:41" ht="15.75" customHeight="1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3:41" ht="15.75" customHeight="1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3:41" ht="15.75" customHeight="1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3:41" ht="15.75" customHeight="1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3:41" ht="15.75" customHeight="1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3:41" ht="15.75" customHeight="1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3:41" ht="15.75" customHeight="1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3:41" ht="15.75" customHeight="1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3:41" ht="15.75" customHeight="1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3:41" ht="15.75" customHeight="1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3:41" ht="15.75" customHeight="1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3:41" ht="15.75" customHeight="1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3:41" ht="15.75" customHeight="1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3:41" ht="15.75" customHeight="1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3:41" ht="15.75" customHeight="1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3:41" ht="15.75" customHeight="1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3:41" ht="15.75" customHeight="1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3:41" ht="15.75" customHeight="1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3:41" ht="15.75" customHeight="1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3:41" ht="15.75" customHeight="1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3:41" ht="15.75" customHeight="1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3:41" ht="15.75" customHeight="1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3:41" ht="15.75" customHeight="1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3:41" ht="15.75" customHeight="1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3:41" ht="15.75" customHeight="1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3:41" ht="15.75" customHeight="1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spans="3:41" ht="15.75" customHeight="1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3:41" ht="15.75" customHeight="1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3:41" ht="15.75" customHeight="1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3:41" ht="15.75" customHeight="1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spans="3:41" ht="15.75" customHeight="1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3:41" ht="15.75" customHeight="1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spans="3:41" ht="15.75" customHeight="1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3:41" ht="15.75" customHeight="1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 spans="3:41" ht="15.75" customHeight="1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3:41" ht="15.75" customHeight="1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3:41" ht="15.75" customHeight="1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 spans="3:41" ht="15.75" customHeight="1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</row>
    <row r="175" spans="3:41" ht="15.75" customHeight="1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</row>
    <row r="176" spans="3:41" ht="15.75" customHeight="1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3:41" ht="15.75" customHeight="1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  <row r="178" spans="3:41" ht="15.75" customHeight="1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</row>
    <row r="179" spans="3:41" ht="15.75" customHeight="1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</row>
    <row r="180" spans="3:41" ht="15.75" customHeight="1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 spans="3:41" ht="15.75" customHeight="1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</row>
    <row r="182" spans="3:41" ht="15.75" customHeight="1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</row>
    <row r="183" spans="3:41" ht="15.75" customHeight="1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  <row r="184" spans="3:41" ht="15.75" customHeight="1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  <row r="185" spans="3:41" ht="15.75" customHeight="1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</row>
    <row r="186" spans="3:41" ht="15.75" customHeight="1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</row>
    <row r="187" spans="3:41" ht="15.75" customHeight="1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</row>
    <row r="188" spans="3:41" ht="15.75" customHeight="1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</row>
    <row r="189" spans="3:41" ht="15.75" customHeight="1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</row>
    <row r="190" spans="3:41" ht="15.75" customHeight="1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</row>
    <row r="191" spans="3:41" ht="15.75" customHeight="1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</row>
    <row r="192" spans="3:41" ht="15.75" customHeight="1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</row>
    <row r="193" spans="3:41" ht="15.75" customHeight="1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3:41" ht="15.75" customHeight="1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3:41" ht="15.75" customHeight="1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3:41" ht="15.75" customHeight="1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</row>
    <row r="197" spans="3:41" ht="15.75" customHeight="1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3:41" ht="15.75" customHeight="1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3:41" ht="15.75" customHeight="1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3:41" ht="15.75" customHeight="1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3:41" ht="15.75" customHeight="1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3:41" ht="15.75" customHeight="1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  <row r="203" spans="3:41" ht="15.75" customHeight="1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3:41" ht="15.75" customHeight="1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3:41" ht="15.75" customHeight="1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3:41" ht="15.75" customHeight="1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3:41" ht="15.75" customHeight="1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3:41" ht="15.75" customHeight="1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3:41" ht="15.75" customHeight="1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3:41" ht="15.75" customHeight="1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3:41" ht="15.75" customHeight="1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3:41" ht="15.75" customHeight="1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</row>
    <row r="213" spans="3:41" ht="15.75" customHeight="1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</row>
    <row r="214" spans="3:41" ht="15.75" customHeight="1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</row>
    <row r="215" spans="3:41" ht="15.75" customHeight="1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</row>
    <row r="216" spans="3:41" ht="15.75" customHeight="1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</row>
    <row r="217" spans="3:41" ht="15.75" customHeight="1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</row>
    <row r="218" spans="3:41" ht="15.75" customHeight="1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</row>
    <row r="219" spans="3:41" ht="15.75" customHeight="1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</row>
    <row r="220" spans="3:41" ht="15.75" customHeight="1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</row>
    <row r="221" spans="3:41" ht="15.75" customHeight="1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</row>
    <row r="222" spans="3:41" ht="15.75" customHeight="1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3:41" ht="15.75" customHeight="1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3:41" ht="15.75" customHeight="1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3:41" ht="15.75" customHeight="1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3:41" ht="15.75" customHeight="1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3:41" ht="15.75" customHeight="1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3:41" ht="15.75" customHeight="1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3:41" ht="15.75" customHeight="1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3:41" ht="15.75" customHeight="1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3:41" ht="15.75" customHeight="1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3:41" ht="15.75" customHeight="1"/>
    <row r="233" spans="3:41" ht="15.75" customHeight="1"/>
    <row r="234" spans="3:41" ht="15.75" customHeight="1"/>
    <row r="235" spans="3:41" ht="15.75" customHeight="1"/>
    <row r="236" spans="3:41" ht="15.75" customHeight="1"/>
    <row r="237" spans="3:41" ht="15.75" customHeight="1"/>
    <row r="238" spans="3:41" ht="15.75" customHeight="1"/>
    <row r="239" spans="3:41" ht="15.75" customHeight="1"/>
    <row r="240" spans="3:4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X4:AD4"/>
    <mergeCell ref="AE4:AN4"/>
    <mergeCell ref="A15:B15"/>
    <mergeCell ref="A31:B31"/>
    <mergeCell ref="C4:I4"/>
    <mergeCell ref="J4:P4"/>
    <mergeCell ref="Q4:W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  <pageSetUpPr fitToPage="1"/>
  </sheetPr>
  <dimension ref="A1:H998"/>
  <sheetViews>
    <sheetView tabSelected="1" topLeftCell="A88" zoomScale="85" zoomScaleNormal="85" workbookViewId="0">
      <selection activeCell="AD263" sqref="AD263"/>
    </sheetView>
  </sheetViews>
  <sheetFormatPr defaultColWidth="14.42578125" defaultRowHeight="15" customHeight="1"/>
  <cols>
    <col min="1" max="1" width="8.7109375" customWidth="1"/>
    <col min="2" max="2" width="23.140625" bestFit="1" customWidth="1"/>
    <col min="3" max="7" width="15.140625" customWidth="1"/>
    <col min="8" max="8" width="10.85546875" bestFit="1" customWidth="1"/>
    <col min="31" max="31" width="15.5703125" customWidth="1"/>
  </cols>
  <sheetData>
    <row r="1" spans="1:8">
      <c r="C1" s="90"/>
      <c r="D1" s="90"/>
      <c r="E1" s="90"/>
      <c r="F1" s="90"/>
      <c r="G1" s="90"/>
    </row>
    <row r="2" spans="1:8">
      <c r="A2" s="1" t="s">
        <v>51</v>
      </c>
      <c r="B2" s="91"/>
      <c r="C2" s="90"/>
      <c r="D2" s="90"/>
      <c r="E2" s="90"/>
      <c r="F2" s="90"/>
      <c r="G2" s="90"/>
    </row>
    <row r="3" spans="1:8">
      <c r="A3" s="252" t="s">
        <v>1</v>
      </c>
      <c r="B3" s="259" t="s">
        <v>53</v>
      </c>
      <c r="C3" s="255" t="s">
        <v>52</v>
      </c>
      <c r="D3" s="256"/>
      <c r="E3" s="256"/>
      <c r="F3" s="256"/>
      <c r="G3" s="252" t="s">
        <v>54</v>
      </c>
      <c r="H3" s="1"/>
    </row>
    <row r="4" spans="1:8">
      <c r="A4" s="253"/>
      <c r="B4" s="253"/>
      <c r="C4" s="221" t="s">
        <v>3</v>
      </c>
      <c r="D4" s="221" t="s">
        <v>20</v>
      </c>
      <c r="E4" s="221" t="s">
        <v>57</v>
      </c>
      <c r="F4" s="221" t="s">
        <v>4051</v>
      </c>
      <c r="G4" s="253"/>
      <c r="H4" s="1"/>
    </row>
    <row r="5" spans="1:8">
      <c r="A5" s="219">
        <v>1</v>
      </c>
      <c r="B5" s="220" t="s">
        <v>4121</v>
      </c>
      <c r="C5" s="213">
        <f>COUNTIFS(Database!$L$5:$L$329,"Direksi",Database!$R$5:$R$329,"IMSS")</f>
        <v>3</v>
      </c>
      <c r="D5" s="213">
        <f>COUNTIFS(Database!$L$5:$L$329,"ORGANIK",Database!$R$5:$R$329,"IMSS")</f>
        <v>15</v>
      </c>
      <c r="E5" s="213">
        <f>COUNTIFS(Database!$L$5:$L$329,"TETAP",Database!$R$5:$R$329,"IMSS")</f>
        <v>27</v>
      </c>
      <c r="F5" s="213">
        <f>COUNTIFS(Database!$L$5:$L$329,"PKWT",Database!$R$5:$R$329,"IMSS")</f>
        <v>18</v>
      </c>
      <c r="G5" s="213">
        <f>SUM(C5:F5)</f>
        <v>63</v>
      </c>
    </row>
    <row r="6" spans="1:8">
      <c r="A6" s="96">
        <v>2</v>
      </c>
      <c r="B6" s="217" t="s">
        <v>55</v>
      </c>
      <c r="C6" s="95">
        <f>COUNTIFS(Database!$L$5:$L$329,"Direksi",Database!$R$5:$R$329,"GUDANG")</f>
        <v>0</v>
      </c>
      <c r="D6" s="95">
        <f>COUNTIFS(Database!$L$5:$L$329,"ORGANIK",Database!$R$5:$R$329,"GUDANG")</f>
        <v>1</v>
      </c>
      <c r="E6" s="95">
        <f>COUNTIFS(Database!$L$5:$L$329,"TETAP",Database!$R$5:$R$329,"GUDANG")</f>
        <v>1</v>
      </c>
      <c r="F6" s="95">
        <f>COUNTIFS(Database!$L$5:$L$329,"PKWT",Database!$R$5:$R$329,"GUDANG")</f>
        <v>2</v>
      </c>
      <c r="G6" s="95">
        <f t="shared" ref="G6:G20" si="0">SUM(C6:F6)</f>
        <v>4</v>
      </c>
    </row>
    <row r="7" spans="1:8">
      <c r="A7" s="96">
        <v>3</v>
      </c>
      <c r="B7" s="217" t="s">
        <v>56</v>
      </c>
      <c r="C7" s="95">
        <f>COUNTIFS(Database!$L$5:$L$329,"Direksi",Database!$R$5:$R$329,"INKA")</f>
        <v>0</v>
      </c>
      <c r="D7" s="95">
        <f>COUNTIFS(Database!$L$5:$L$329,"ORGANIK",Database!$R$5:$R$329,"INKA")</f>
        <v>1</v>
      </c>
      <c r="E7" s="95">
        <f>COUNTIFS(Database!$L$5:$L$329,"TETAP",Database!$R$5:$R$329,"INKA")</f>
        <v>3</v>
      </c>
      <c r="F7" s="95">
        <f>COUNTIFS(Database!$L$5:$L$329,"PKWT",Database!$R$5:$R$329,"INKA")</f>
        <v>8</v>
      </c>
      <c r="G7" s="95">
        <f>SUM(C7:F7)</f>
        <v>12</v>
      </c>
    </row>
    <row r="8" spans="1:8">
      <c r="A8" s="96">
        <v>4</v>
      </c>
      <c r="B8" s="217" t="s">
        <v>2085</v>
      </c>
      <c r="C8" s="95">
        <f>COUNTIFS(Database!$L$5:$L$329,"Direksi",Database!$R$5:$R$329,"MRO")</f>
        <v>0</v>
      </c>
      <c r="D8" s="95">
        <f>COUNTIFS(Database!$L$5:$L$329,"ORGANIK",Database!$R$5:$R$329,"MRO")</f>
        <v>0</v>
      </c>
      <c r="E8" s="95">
        <f>COUNTIFS(Database!$L$5:$L$329,"TETAP",Database!$R$5:$R$329,"MRO")</f>
        <v>4</v>
      </c>
      <c r="F8" s="95">
        <f>COUNTIFS(Database!$L$5:$L$329,"PKWT",Database!$R$5:$R$329,"MRO")</f>
        <v>26</v>
      </c>
      <c r="G8" s="95">
        <f t="shared" si="0"/>
        <v>30</v>
      </c>
    </row>
    <row r="9" spans="1:8">
      <c r="A9" s="96">
        <v>5</v>
      </c>
      <c r="B9" s="217" t="s">
        <v>35</v>
      </c>
      <c r="C9" s="95">
        <f>COUNTIFS(Database!$L$5:$L$329,"Direksi",Database!$R$5:$R$329,"PMU")</f>
        <v>0</v>
      </c>
      <c r="D9" s="95">
        <f>COUNTIFS(Database!$L$5:$L$329,"ORGANIK",Database!$R$5:$R$329,"PMU")</f>
        <v>1</v>
      </c>
      <c r="E9" s="95">
        <f>COUNTIFS(Database!$L$5:$L$329,"TETAP",Database!$R$5:$R$329,"PMU")</f>
        <v>0</v>
      </c>
      <c r="F9" s="95">
        <f>COUNTIFS(Database!$L$5:$L$329,"PKWT",Database!$R$5:$R$329,"PMU")</f>
        <v>0</v>
      </c>
      <c r="G9" s="95">
        <f t="shared" si="0"/>
        <v>1</v>
      </c>
    </row>
    <row r="10" spans="1:8">
      <c r="A10" s="96">
        <v>6</v>
      </c>
      <c r="B10" s="218" t="s">
        <v>1834</v>
      </c>
      <c r="C10" s="95">
        <f>COUNTIFS(Database!$L$5:$L$329,"Direksi",Database!$R$5:$R$329,"BANDUNG")</f>
        <v>0</v>
      </c>
      <c r="D10" s="95">
        <f>COUNTIFS(Database!$L$5:$L$329,"ORGANIK",Database!$R$5:$R$329,"BANDUNG")</f>
        <v>0</v>
      </c>
      <c r="E10" s="95">
        <f>COUNTIFS(Database!$L$5:$L$329,"TETAP",Database!$R$5:$R$329,"BANDUNG")</f>
        <v>0</v>
      </c>
      <c r="F10" s="95">
        <f>COUNTIFS(Database!$L$5:$L$329,"PKWT",Database!$R$5:$R$329,"BANDUNG")</f>
        <v>2</v>
      </c>
      <c r="G10" s="95">
        <f t="shared" si="0"/>
        <v>2</v>
      </c>
    </row>
    <row r="11" spans="1:8">
      <c r="A11" s="96">
        <v>7</v>
      </c>
      <c r="B11" s="218" t="s">
        <v>36</v>
      </c>
      <c r="C11" s="95">
        <f>COUNTIFS(Database!$L$5:$L$329,"Direksi",Database!$R$5:$R$329,"ACEH")</f>
        <v>0</v>
      </c>
      <c r="D11" s="95">
        <f>COUNTIFS(Database!$L$5:$L$329,"ORGANIK",Database!$R$5:$R$329,"ACEH")</f>
        <v>0</v>
      </c>
      <c r="E11" s="95">
        <f>COUNTIFS(Database!$L$5:$L$329,"TETAP",Database!$R$5:$R$329,"ACEH")</f>
        <v>1</v>
      </c>
      <c r="F11" s="95">
        <f>COUNTIFS(Database!$L$5:$L$329,"PKWT",Database!$R$5:$R$329,"ACEH")</f>
        <v>4</v>
      </c>
      <c r="G11" s="95">
        <f t="shared" si="0"/>
        <v>5</v>
      </c>
    </row>
    <row r="12" spans="1:8">
      <c r="A12" s="96">
        <v>8</v>
      </c>
      <c r="B12" s="218" t="s">
        <v>274</v>
      </c>
      <c r="C12" s="95">
        <f>COUNTIFS(Database!$L$5:$L$329,"Direksi",Database!$R$5:$R$329,"MAKASSAR")</f>
        <v>0</v>
      </c>
      <c r="D12" s="95">
        <f>COUNTIFS(Database!$L$5:$L$329,"ORGANIK",Database!$R$5:$R$329,"MAKASSAR")</f>
        <v>1</v>
      </c>
      <c r="E12" s="95">
        <f>COUNTIFS(Database!$L$5:$L$329,"TETAP",Database!$R$5:$R$329,"MAKASSAR")</f>
        <v>2</v>
      </c>
      <c r="F12" s="95">
        <f>COUNTIFS(Database!$L$5:$L$329,"PKWT",Database!$R$5:$R$329,"MAKASSAR")</f>
        <v>4</v>
      </c>
      <c r="G12" s="95">
        <f t="shared" si="0"/>
        <v>7</v>
      </c>
    </row>
    <row r="13" spans="1:8">
      <c r="A13" s="96">
        <v>9</v>
      </c>
      <c r="B13" s="218" t="s">
        <v>409</v>
      </c>
      <c r="C13" s="95">
        <f>COUNTIFS(Database!$L$5:$L$329,"Direksi",Database!$R$5:$R$329,"KLATEN")</f>
        <v>0</v>
      </c>
      <c r="D13" s="95">
        <f>COUNTIFS(Database!$L$5:$L$329,"ORGANIK",Database!$R$5:$R$329,"KLATEN")</f>
        <v>0</v>
      </c>
      <c r="E13" s="95">
        <f>COUNTIFS(Database!$L$5:$L$329,"TETAP",Database!$R$5:$R$329,"KLATEN")</f>
        <v>3</v>
      </c>
      <c r="F13" s="95">
        <f>COUNTIFS(Database!$L$5:$L$329,"PKWT",Database!$R$5:$R$329,"KLATEN")</f>
        <v>27</v>
      </c>
      <c r="G13" s="95">
        <f t="shared" si="0"/>
        <v>30</v>
      </c>
    </row>
    <row r="14" spans="1:8">
      <c r="A14" s="96">
        <v>10</v>
      </c>
      <c r="B14" s="218" t="s">
        <v>259</v>
      </c>
      <c r="C14" s="95">
        <f>COUNTIFS(Database!$L$5:$L$329,"Direksi",Database!$R$5:$R$329,"JAKARTA")</f>
        <v>0</v>
      </c>
      <c r="D14" s="95">
        <f>COUNTIFS(Database!$L$5:$L$329,"ORGANIK",Database!$R$5:$R$329,"JAKARTA")</f>
        <v>0</v>
      </c>
      <c r="E14" s="95">
        <f>COUNTIFS(Database!$L$5:$L$329,"TETAP",Database!$R$5:$R$329,"JAKARTA")</f>
        <v>4</v>
      </c>
      <c r="F14" s="95">
        <f>COUNTIFS(Database!$L$5:$L$329,"PKWT",Database!$R$5:$R$329,"JAKARTA")</f>
        <v>111</v>
      </c>
      <c r="G14" s="95">
        <f t="shared" si="0"/>
        <v>115</v>
      </c>
    </row>
    <row r="15" spans="1:8">
      <c r="A15" s="96">
        <v>11</v>
      </c>
      <c r="B15" s="218" t="s">
        <v>575</v>
      </c>
      <c r="C15" s="95">
        <f>COUNTIFS(Database!$L$5:$L$329,"Direksi",Database!$R$5:$R$329,"PALEMBANG")</f>
        <v>0</v>
      </c>
      <c r="D15" s="95">
        <f>COUNTIFS(Database!$L$5:$L$329,"ORGANIK",Database!$R$5:$R$329,"PALEMBANG")</f>
        <v>0</v>
      </c>
      <c r="E15" s="95">
        <f>COUNTIFS(Database!$L$5:$L$329,"TETAP",Database!$R$5:$R$329,"PALEMBANG")</f>
        <v>2</v>
      </c>
      <c r="F15" s="95">
        <f>COUNTIFS(Database!$L$5:$L$329,"PKWT",Database!$R$5:$R$329,"PALEMBANG")</f>
        <v>34</v>
      </c>
      <c r="G15" s="95">
        <f t="shared" si="0"/>
        <v>36</v>
      </c>
    </row>
    <row r="16" spans="1:8">
      <c r="A16" s="96">
        <v>12</v>
      </c>
      <c r="B16" s="218" t="s">
        <v>1276</v>
      </c>
      <c r="C16" s="95">
        <f>COUNTIFS(Database!$L$5:$L$329,"Direksi",Database!$R$5:$R$329,"PADANG")</f>
        <v>0</v>
      </c>
      <c r="D16" s="95">
        <f>COUNTIFS(Database!$L$5:$L$329,"ORGANIK",Database!$R$5:$R$329,"PADANG")</f>
        <v>0</v>
      </c>
      <c r="E16" s="95">
        <f>COUNTIFS(Database!$L$5:$L$329,"TETAP",Database!$R$5:$R$329,"PADANG")</f>
        <v>0</v>
      </c>
      <c r="F16" s="95">
        <f>COUNTIFS(Database!$L$5:$L$329,"PKWT",Database!$R$5:$R$329,"PADANG")</f>
        <v>5</v>
      </c>
      <c r="G16" s="95">
        <f t="shared" si="0"/>
        <v>5</v>
      </c>
    </row>
    <row r="17" spans="1:8">
      <c r="A17" s="96">
        <v>13</v>
      </c>
      <c r="B17" s="218" t="s">
        <v>422</v>
      </c>
      <c r="C17" s="95">
        <f>COUNTIFS(Database!$L$5:$L$329,"Direksi",Database!$R$5:$R$329,"SOLO")</f>
        <v>0</v>
      </c>
      <c r="D17" s="95">
        <f>COUNTIFS(Database!$L$5:$L$329,"ORGANIK",Database!$R$5:$R$329,"SOLO")</f>
        <v>0</v>
      </c>
      <c r="E17" s="95">
        <f>COUNTIFS(Database!$L$5:$L$329,"TETAP",Database!$R$5:$R$329,"SOLO")</f>
        <v>1</v>
      </c>
      <c r="F17" s="95">
        <f>COUNTIFS(Database!$L$5:$L$329,"PKWT",Database!$R$5:$R$329,"SOLO")</f>
        <v>5</v>
      </c>
      <c r="G17" s="95">
        <f t="shared" si="0"/>
        <v>6</v>
      </c>
    </row>
    <row r="18" spans="1:8">
      <c r="A18" s="96">
        <v>14</v>
      </c>
      <c r="B18" s="218" t="s">
        <v>475</v>
      </c>
      <c r="C18" s="95">
        <f>COUNTIFS(Database!$L$5:$L$329,"Direksi",Database!$R$5:$R$329,"PURWODADI")</f>
        <v>0</v>
      </c>
      <c r="D18" s="95">
        <f>COUNTIFS(Database!$L$5:$L$329,"ORGANIK",Database!$R$5:$R$329,"PURWODADI")</f>
        <v>0</v>
      </c>
      <c r="E18" s="95">
        <f>COUNTIFS(Database!$L$5:$L$329,"TETAP",Database!$R$5:$R$329,"PURWODADI")</f>
        <v>0</v>
      </c>
      <c r="F18" s="95">
        <f>COUNTIFS(Database!$L$5:$L$329,"PKWT",Database!$R$5:$R$329,"PURWODADI")</f>
        <v>5</v>
      </c>
      <c r="G18" s="95">
        <f t="shared" si="0"/>
        <v>5</v>
      </c>
    </row>
    <row r="19" spans="1:8">
      <c r="A19" s="96">
        <v>15</v>
      </c>
      <c r="B19" s="218" t="s">
        <v>1436</v>
      </c>
      <c r="C19" s="95">
        <f>COUNTIFS(Database!$L$5:$L$329,"Direksi",Database!$R$5:$R$329,"LAMPUNG")</f>
        <v>0</v>
      </c>
      <c r="D19" s="95">
        <f>COUNTIFS(Database!$L$5:$L$329,"ORGANIK",Database!$R$5:$R$329,"LAMPUNG")</f>
        <v>0</v>
      </c>
      <c r="E19" s="95">
        <f>COUNTIFS(Database!$L$5:$L$329,"TETAP",Database!$R$5:$R$329,"LAMPUNG")</f>
        <v>0</v>
      </c>
      <c r="F19" s="95">
        <f>COUNTIFS(Database!$L$5:$L$329,"PKWT",Database!$R$5:$R$329,"LAMPUNG")</f>
        <v>2</v>
      </c>
      <c r="G19" s="95">
        <f t="shared" si="0"/>
        <v>2</v>
      </c>
    </row>
    <row r="20" spans="1:8">
      <c r="A20" s="222">
        <v>16</v>
      </c>
      <c r="B20" s="223" t="s">
        <v>37</v>
      </c>
      <c r="C20" s="214">
        <f>COUNTIFS(Database!$L$5:$L$329,"Direksi",Database!$R$5:$R$329,"MEDAN")</f>
        <v>0</v>
      </c>
      <c r="D20" s="214">
        <f>COUNTIFS(Database!$L$5:$L$329,"ORGANIK",Database!$R$5:$R$329,"MEDAN")</f>
        <v>0</v>
      </c>
      <c r="E20" s="214">
        <f>COUNTIFS(Database!$L$5:$L$329,"TETAP",Database!$R$5:$R$329,"MEDAN")</f>
        <v>0</v>
      </c>
      <c r="F20" s="214">
        <f>COUNTIFS(Database!$L$5:$L$329,"PKWT",Database!$R$5:$R$329,"MEDAN")</f>
        <v>2</v>
      </c>
      <c r="G20" s="214">
        <f t="shared" si="0"/>
        <v>2</v>
      </c>
    </row>
    <row r="21" spans="1:8">
      <c r="A21" s="224"/>
      <c r="B21" s="254" t="s">
        <v>30</v>
      </c>
      <c r="C21" s="254"/>
      <c r="D21" s="254"/>
      <c r="E21" s="254"/>
      <c r="F21" s="254"/>
      <c r="G21" s="225">
        <f>SUM(G5:G20)</f>
        <v>325</v>
      </c>
    </row>
    <row r="22" spans="1:8">
      <c r="A22" s="91"/>
      <c r="B22" s="91"/>
      <c r="C22" s="90"/>
      <c r="D22" s="90"/>
      <c r="E22" s="90"/>
      <c r="F22" s="90"/>
      <c r="G22" s="90"/>
    </row>
    <row r="23" spans="1:8">
      <c r="A23" s="1" t="s">
        <v>58</v>
      </c>
      <c r="B23" s="91"/>
      <c r="C23" s="90"/>
      <c r="D23" s="90"/>
      <c r="E23" s="90"/>
      <c r="F23" s="90"/>
      <c r="G23" s="90"/>
    </row>
    <row r="24" spans="1:8">
      <c r="A24" s="99" t="s">
        <v>1</v>
      </c>
      <c r="B24" s="99" t="s">
        <v>52</v>
      </c>
      <c r="C24" s="99" t="s">
        <v>59</v>
      </c>
      <c r="D24" s="99" t="s">
        <v>60</v>
      </c>
      <c r="E24" s="92" t="s">
        <v>8</v>
      </c>
      <c r="F24" s="215"/>
      <c r="G24" s="100"/>
      <c r="H24" s="100"/>
    </row>
    <row r="25" spans="1:8" ht="15.75">
      <c r="A25" s="93">
        <v>1</v>
      </c>
      <c r="B25" s="94" t="s">
        <v>3</v>
      </c>
      <c r="C25" s="101">
        <f>COUNTIFS(Database!$L$5:$L$329,"Direksi",Database!$Y$5:$Y$329,"Laki-laki")</f>
        <v>3</v>
      </c>
      <c r="D25" s="101">
        <f>COUNTIFS(Database!$L$5:$L$329,"Direksi",Database!$Y$5:$Y$329,"Perempuan")</f>
        <v>0</v>
      </c>
      <c r="E25" s="93">
        <f t="shared" ref="E25:E28" si="1">SUM(C25:D25)</f>
        <v>3</v>
      </c>
      <c r="F25" s="216"/>
      <c r="G25" s="90"/>
      <c r="H25" s="102"/>
    </row>
    <row r="26" spans="1:8" ht="15.75">
      <c r="A26" s="95">
        <v>2</v>
      </c>
      <c r="B26" s="96" t="s">
        <v>20</v>
      </c>
      <c r="C26" s="101">
        <f>COUNTIFS(Database!$L$5:$L$329,"ORGANIK",Database!$Y$5:$Y$329,"Laki-laki")</f>
        <v>15</v>
      </c>
      <c r="D26" s="101">
        <f>COUNTIFS(Database!$L$5:$L$329,"ORGANIK",Database!$Y$5:$Y$329,"Perempuan")</f>
        <v>4</v>
      </c>
      <c r="E26" s="95">
        <f t="shared" si="1"/>
        <v>19</v>
      </c>
      <c r="F26" s="216"/>
      <c r="G26" s="90"/>
    </row>
    <row r="27" spans="1:8" ht="15.75">
      <c r="A27" s="95">
        <v>3</v>
      </c>
      <c r="B27" s="226" t="s">
        <v>57</v>
      </c>
      <c r="C27" s="101">
        <f>COUNTIFS(Database!$L$5:$L$329,"TETAP",Database!$Y$5:$Y$329,"Laki-laki")</f>
        <v>37</v>
      </c>
      <c r="D27" s="101">
        <f>COUNTIFS(Database!$L$5:$L$329,"TETAP",Database!$Y$5:$Y$329,"Perempuan")</f>
        <v>11</v>
      </c>
      <c r="E27" s="95">
        <f t="shared" si="1"/>
        <v>48</v>
      </c>
      <c r="F27" s="216"/>
      <c r="G27" s="90"/>
    </row>
    <row r="28" spans="1:8" ht="15.75">
      <c r="A28" s="95">
        <v>5</v>
      </c>
      <c r="B28" s="226" t="s">
        <v>4122</v>
      </c>
      <c r="C28" s="101">
        <f>COUNTIFS(Database!$L$5:$L$329,"PKWT",Database!$Y$5:$Y$329,"Laki-laki")</f>
        <v>246</v>
      </c>
      <c r="D28" s="101">
        <f>COUNTIFS(Database!$L$5:$L$329,"PKWT",Database!$Y$5:$Y$329,"Perempuan")</f>
        <v>9</v>
      </c>
      <c r="E28" s="95">
        <f t="shared" si="1"/>
        <v>255</v>
      </c>
      <c r="F28" s="216"/>
      <c r="G28" s="90"/>
    </row>
    <row r="29" spans="1:8" ht="15.75" customHeight="1">
      <c r="A29" s="92"/>
      <c r="B29" s="92" t="s">
        <v>8</v>
      </c>
      <c r="C29" s="92">
        <f>SUM(C25:C28)</f>
        <v>301</v>
      </c>
      <c r="D29" s="92">
        <f>SUM(D25:D28)</f>
        <v>24</v>
      </c>
      <c r="E29" s="92">
        <f>C29+D29</f>
        <v>325</v>
      </c>
      <c r="F29" s="215"/>
      <c r="G29" s="103"/>
      <c r="H29" s="1"/>
    </row>
    <row r="30" spans="1:8" ht="15.75" customHeight="1">
      <c r="A30" s="91"/>
      <c r="B30" s="91"/>
      <c r="C30" s="90"/>
      <c r="D30" s="90"/>
      <c r="E30" s="90"/>
      <c r="F30" s="90"/>
      <c r="G30" s="90"/>
    </row>
    <row r="31" spans="1:8" ht="15.75" customHeight="1">
      <c r="C31" s="90"/>
      <c r="D31" s="90"/>
      <c r="E31" s="90"/>
      <c r="F31" s="90"/>
      <c r="G31" s="90"/>
    </row>
    <row r="32" spans="1:8" ht="15.75" customHeight="1">
      <c r="A32" s="1" t="s">
        <v>61</v>
      </c>
      <c r="B32" s="91"/>
      <c r="C32" s="90"/>
      <c r="D32" s="90"/>
      <c r="E32" s="90"/>
      <c r="F32" s="90"/>
      <c r="G32" s="90"/>
    </row>
    <row r="33" spans="1:8" ht="15.75" customHeight="1">
      <c r="A33" s="191" t="s">
        <v>1</v>
      </c>
      <c r="B33" s="221" t="s">
        <v>62</v>
      </c>
      <c r="C33" s="224" t="s">
        <v>65</v>
      </c>
      <c r="D33" s="224" t="s">
        <v>66</v>
      </c>
      <c r="E33" s="224" t="s">
        <v>67</v>
      </c>
      <c r="F33" s="221" t="s">
        <v>8</v>
      </c>
      <c r="G33" s="215"/>
    </row>
    <row r="34" spans="1:8" ht="15.75" customHeight="1">
      <c r="A34" s="93">
        <v>1</v>
      </c>
      <c r="B34" s="94" t="s">
        <v>3</v>
      </c>
      <c r="C34" s="101">
        <f ca="1">COUNTIFS(Database!$L$5:$L$329,"Direksi",Database!$AB$5:$AB$329,"&lt;=25")</f>
        <v>0</v>
      </c>
      <c r="D34" s="101">
        <f ca="1">COUNTIFS(Database!$L$5:$L$329,"Direksi",Database!$AB$5:$AB$329,"&gt;25",Database!$AB$5:$AB$329,"&lt;=40")</f>
        <v>1</v>
      </c>
      <c r="E34" s="101">
        <f ca="1">COUNTIFS(Database!$L$5:$L$329,"Direksi",Database!$AB$5:$AB$329,"&gt;40")</f>
        <v>2</v>
      </c>
      <c r="F34" s="93">
        <f ca="1">SUM(C34:E34)</f>
        <v>3</v>
      </c>
      <c r="G34" s="216"/>
    </row>
    <row r="35" spans="1:8" ht="15.75" customHeight="1">
      <c r="A35" s="95">
        <v>2</v>
      </c>
      <c r="B35" s="96" t="s">
        <v>20</v>
      </c>
      <c r="C35" s="101">
        <f ca="1">COUNTIFS(Database!$L$5:$L$329,"ORGANIK",Database!$AB$5:$AB$329,"&lt;=25")</f>
        <v>0</v>
      </c>
      <c r="D35" s="101">
        <f ca="1">COUNTIFS(Database!$L$5:$L$329,"ORGANIK",Database!$AB$5:$AB$329,"&gt;25",Database!$AB$5:$AB$329,"&lt;=40")</f>
        <v>9</v>
      </c>
      <c r="E35" s="101">
        <f ca="1">COUNTIFS(Database!$L$5:$L$329,"ORGANIK",Database!$AB$5:$AB$329,"&gt;40")</f>
        <v>10</v>
      </c>
      <c r="F35" s="93">
        <f t="shared" ref="F35:F36" ca="1" si="2">SUM(C35:E35)</f>
        <v>19</v>
      </c>
      <c r="G35" s="216"/>
    </row>
    <row r="36" spans="1:8" ht="15.75" customHeight="1">
      <c r="A36" s="97">
        <v>3</v>
      </c>
      <c r="B36" s="226" t="s">
        <v>57</v>
      </c>
      <c r="C36" s="101">
        <f ca="1">COUNTIFS(Database!$L$5:$L$329,"TETAP",Database!$AB$5:$AB$329,"&lt;=25")</f>
        <v>0</v>
      </c>
      <c r="D36" s="101">
        <f ca="1">COUNTIFS(Database!$L$5:$L$329,"TETAP",Database!$AB$5:$AB$329,"&gt;25",Database!$AB$5:$AB$329,"&lt;=40")</f>
        <v>41</v>
      </c>
      <c r="E36" s="101">
        <f ca="1">COUNTIFS(Database!$L$5:$L$329,"TETAP",Database!$AB$5:$AB$329,"&gt;40")</f>
        <v>7</v>
      </c>
      <c r="F36" s="93">
        <f t="shared" ca="1" si="2"/>
        <v>48</v>
      </c>
      <c r="G36" s="216"/>
    </row>
    <row r="37" spans="1:8" ht="15.75" customHeight="1">
      <c r="A37" s="95">
        <v>4</v>
      </c>
      <c r="B37" s="229" t="s">
        <v>4122</v>
      </c>
      <c r="C37" s="230">
        <f ca="1">COUNTIFS(Database!$L$5:$L$329,"PKWT",Database!$AB$5:$AB$329,"&lt;=25")</f>
        <v>111</v>
      </c>
      <c r="D37" s="230">
        <f ca="1">COUNTIFS(Database!$L$5:$L$329,"PKWT",Database!$AB$5:$AB$329,"&gt;25",Database!$AB$5:$AB$329,"&lt;=40")</f>
        <v>133</v>
      </c>
      <c r="E37" s="230">
        <f ca="1">COUNTIFS(Database!$L$5:$L$329,"PKWT",Database!$AB$5:$AB$329,"&gt;40")</f>
        <v>11</v>
      </c>
      <c r="F37" s="93">
        <f ca="1">SUM(C37:E37)</f>
        <v>255</v>
      </c>
      <c r="G37" s="216"/>
    </row>
    <row r="38" spans="1:8" ht="15.75" customHeight="1">
      <c r="A38" s="227"/>
      <c r="B38" s="221" t="s">
        <v>8</v>
      </c>
      <c r="C38" s="231">
        <f ca="1">SUM(C34:C37)</f>
        <v>111</v>
      </c>
      <c r="D38" s="231">
        <f t="shared" ref="D38:E38" ca="1" si="3">SUM(D34:D37)</f>
        <v>184</v>
      </c>
      <c r="E38" s="231">
        <f t="shared" ca="1" si="3"/>
        <v>30</v>
      </c>
      <c r="F38" s="228">
        <f ca="1">SUM(F34:F37)</f>
        <v>325</v>
      </c>
      <c r="G38" s="216"/>
      <c r="H38" s="90"/>
    </row>
    <row r="39" spans="1:8" ht="15.75" customHeight="1">
      <c r="A39" s="91"/>
      <c r="B39" s="91"/>
      <c r="C39" s="90"/>
      <c r="D39" s="90"/>
      <c r="E39" s="90"/>
      <c r="F39" s="90"/>
      <c r="G39" s="90"/>
    </row>
    <row r="40" spans="1:8" ht="15.75" customHeight="1">
      <c r="A40" s="106" t="s">
        <v>68</v>
      </c>
      <c r="B40" s="106"/>
      <c r="C40" s="107"/>
      <c r="D40" s="107"/>
      <c r="E40" s="107"/>
      <c r="F40" s="215"/>
      <c r="G40" s="103"/>
      <c r="H40" s="1"/>
    </row>
    <row r="41" spans="1:8" s="236" customFormat="1" ht="30">
      <c r="A41" s="232" t="s">
        <v>1</v>
      </c>
      <c r="B41" s="232" t="s">
        <v>62</v>
      </c>
      <c r="C41" s="233" t="s">
        <v>4123</v>
      </c>
      <c r="D41" s="233" t="s">
        <v>4124</v>
      </c>
      <c r="E41" s="232" t="s">
        <v>8</v>
      </c>
      <c r="F41" s="234"/>
      <c r="G41" s="235"/>
      <c r="H41" s="235"/>
    </row>
    <row r="42" spans="1:8" ht="15.75" customHeight="1">
      <c r="A42" s="93">
        <v>1</v>
      </c>
      <c r="B42" s="94" t="s">
        <v>17</v>
      </c>
      <c r="C42" s="101">
        <f>COUNTIFS(Database!$Q$5:$Q$329,"ADMINISTRASI",Database!$AX$5:$AX$329,"SMP")</f>
        <v>0</v>
      </c>
      <c r="D42" s="101">
        <f>COUNTIFS(Database!$Q$5:$Q$329,"TEKNISI",Database!$AX$5:$AX$329,"SMP")</f>
        <v>3</v>
      </c>
      <c r="E42" s="93">
        <f t="shared" ref="E42:E48" si="4">SUM(C42:D42)</f>
        <v>3</v>
      </c>
      <c r="F42" s="216"/>
      <c r="G42" s="90"/>
    </row>
    <row r="43" spans="1:8" ht="15.75" customHeight="1">
      <c r="A43" s="95">
        <v>2</v>
      </c>
      <c r="B43" s="96" t="s">
        <v>69</v>
      </c>
      <c r="C43" s="101">
        <f>COUNTIFS(Database!$Q$5:$Q$329,"ADMINISTRASI",Database!$AX$5:$AX$329,"SMA")+COUNTIFS(Database!$Q$5:$Q$329,"ADMINISTRASI",Database!$AX$5:$AX$329,"SMK")</f>
        <v>13</v>
      </c>
      <c r="D43" s="101">
        <f>COUNTIFS(Database!$Q$5:$Q$329,"TEKNISI",Database!$AX$5:$AX$329,"SMA")+COUNTIFS(Database!$Q$5:$Q$329,"TEKNISI",Database!$AX$5:$AX$329,"SMK")</f>
        <v>205</v>
      </c>
      <c r="E43" s="95">
        <f t="shared" si="4"/>
        <v>218</v>
      </c>
      <c r="F43" s="216"/>
      <c r="G43" s="90"/>
    </row>
    <row r="44" spans="1:8" ht="15.75" customHeight="1">
      <c r="A44" s="95">
        <v>3</v>
      </c>
      <c r="B44" s="96" t="s">
        <v>14</v>
      </c>
      <c r="C44" s="101">
        <f>COUNTIFS(Database!$Q$5:$Q$329,"ADMINISTRASI",Database!$AX$5:$AX$329,"D2")</f>
        <v>1</v>
      </c>
      <c r="D44" s="101">
        <f>COUNTIFS(Database!$Q$5:$Q$329,"TEKNISI",Database!$AX$5:$AX$329,"D2")</f>
        <v>0</v>
      </c>
      <c r="E44" s="95">
        <f t="shared" si="4"/>
        <v>1</v>
      </c>
      <c r="F44" s="216"/>
      <c r="G44" s="90"/>
    </row>
    <row r="45" spans="1:8" ht="15.75" customHeight="1">
      <c r="A45" s="95">
        <v>4</v>
      </c>
      <c r="B45" s="96" t="s">
        <v>13</v>
      </c>
      <c r="C45" s="101">
        <f>COUNTIFS(Database!$Q$5:$Q$329,"ADMINISTRASI",Database!$AX$5:$AX$329,"D3")</f>
        <v>22</v>
      </c>
      <c r="D45" s="101">
        <f>COUNTIFS(Database!$Q$5:$Q$329,"TEKNISI",Database!$AX$5:$AX$329,"D3")</f>
        <v>27</v>
      </c>
      <c r="E45" s="95">
        <f t="shared" si="4"/>
        <v>49</v>
      </c>
      <c r="F45" s="216"/>
      <c r="G45" s="90"/>
    </row>
    <row r="46" spans="1:8" ht="15.75" customHeight="1">
      <c r="A46" s="95">
        <v>5</v>
      </c>
      <c r="B46" s="96" t="s">
        <v>70</v>
      </c>
      <c r="C46" s="101">
        <f>COUNTIFS(Database!$Q$5:$Q$329,"ADMINISTRASI",Database!$AX$5:$AX$329,"D4")</f>
        <v>0</v>
      </c>
      <c r="D46" s="101">
        <f>COUNTIFS(Database!$Q$5:$Q$329,"TEKNISI",Database!$AX$5:$AX$329,"D4")</f>
        <v>0</v>
      </c>
      <c r="E46" s="95">
        <f t="shared" si="4"/>
        <v>0</v>
      </c>
      <c r="F46" s="216"/>
      <c r="G46" s="90"/>
    </row>
    <row r="47" spans="1:8" ht="15.75" customHeight="1">
      <c r="A47" s="95">
        <v>6</v>
      </c>
      <c r="B47" s="96" t="s">
        <v>12</v>
      </c>
      <c r="C47" s="101">
        <f>COUNTIFS(Database!$Q$5:$Q$329,"ADMINISTRASI",Database!$AX$5:$AX$329,"S1")</f>
        <v>36</v>
      </c>
      <c r="D47" s="101">
        <f>COUNTIFS(Database!$Q$5:$Q$329,"TEKNISI",Database!$AX$5:$AX$329,"S1")</f>
        <v>13</v>
      </c>
      <c r="E47" s="95">
        <f t="shared" si="4"/>
        <v>49</v>
      </c>
      <c r="F47" s="216"/>
      <c r="G47" s="90"/>
    </row>
    <row r="48" spans="1:8" ht="15.75" customHeight="1">
      <c r="A48" s="97">
        <v>7</v>
      </c>
      <c r="B48" s="98" t="s">
        <v>11</v>
      </c>
      <c r="C48" s="101">
        <f>COUNTIFS(Database!$Q$5:$Q$329,"ADMINISTRASI",Database!$AX$5:$AX$329,"S2")</f>
        <v>5</v>
      </c>
      <c r="D48" s="101">
        <f>COUNTIFS(Database!$Q$5:$Q$329,"TEKNISI",Database!$AX$5:$AX$329,"S2")</f>
        <v>0</v>
      </c>
      <c r="E48" s="97">
        <f t="shared" si="4"/>
        <v>5</v>
      </c>
      <c r="F48" s="216"/>
      <c r="G48" s="90"/>
    </row>
    <row r="49" spans="1:8" ht="15.75" customHeight="1">
      <c r="A49" s="104"/>
      <c r="B49" s="92" t="s">
        <v>8</v>
      </c>
      <c r="C49" s="105">
        <f>SUM(C42:C48)</f>
        <v>77</v>
      </c>
      <c r="D49" s="105">
        <f t="shared" ref="D49:E49" si="5">SUM(D42:D48)</f>
        <v>248</v>
      </c>
      <c r="E49" s="105">
        <f t="shared" si="5"/>
        <v>325</v>
      </c>
      <c r="F49" s="216"/>
    </row>
    <row r="50" spans="1:8" ht="15.75" customHeight="1">
      <c r="A50" s="91"/>
      <c r="B50" s="91"/>
      <c r="C50" s="90"/>
      <c r="D50" s="90"/>
      <c r="E50" s="90"/>
      <c r="F50" s="90"/>
      <c r="G50" s="90"/>
    </row>
    <row r="51" spans="1:8" ht="15.75" customHeight="1">
      <c r="A51" s="91"/>
      <c r="B51" s="91"/>
      <c r="C51" s="90"/>
      <c r="D51" s="90"/>
      <c r="E51" s="90"/>
      <c r="F51" s="90"/>
      <c r="G51" s="90"/>
    </row>
    <row r="52" spans="1:8" ht="15.75" customHeight="1">
      <c r="A52" s="91"/>
      <c r="B52" s="91"/>
      <c r="C52" s="90"/>
      <c r="D52" s="90"/>
      <c r="E52" s="90"/>
      <c r="F52" s="90"/>
      <c r="G52" s="90"/>
    </row>
    <row r="53" spans="1:8" ht="15.75" customHeight="1">
      <c r="A53" s="106" t="s">
        <v>73</v>
      </c>
      <c r="B53" s="106"/>
      <c r="C53" s="107"/>
      <c r="D53" s="107"/>
      <c r="E53" s="107"/>
      <c r="F53" s="215"/>
      <c r="G53" s="90"/>
    </row>
    <row r="54" spans="1:8" ht="15.75" customHeight="1">
      <c r="A54" s="92" t="s">
        <v>1</v>
      </c>
      <c r="B54" s="92" t="s">
        <v>62</v>
      </c>
      <c r="C54" s="92" t="s">
        <v>63</v>
      </c>
      <c r="D54" s="92" t="s">
        <v>64</v>
      </c>
      <c r="E54" s="92" t="s">
        <v>8</v>
      </c>
      <c r="F54" s="215"/>
      <c r="G54" s="90"/>
    </row>
    <row r="55" spans="1:8" ht="15.75" customHeight="1">
      <c r="A55" s="93">
        <v>1</v>
      </c>
      <c r="B55" s="94" t="s">
        <v>74</v>
      </c>
      <c r="C55" s="101">
        <f>COUNTIFS(Database!$Q$5:$Q$329,"ADMINISTRASI",Database!$AW$5:$AW$329,"ISLAM")</f>
        <v>72</v>
      </c>
      <c r="D55" s="101">
        <f>COUNTIFS(Database!$Q$5:$Q$329,"TEKNISI",Database!$AW$5:$AW$329,"ISLAM")</f>
        <v>247</v>
      </c>
      <c r="E55" s="93">
        <f t="shared" ref="E55:E59" si="6">SUM(C55:D55)</f>
        <v>319</v>
      </c>
      <c r="F55" s="216"/>
      <c r="G55" s="90"/>
    </row>
    <row r="56" spans="1:8" ht="15.75" customHeight="1">
      <c r="A56" s="95">
        <v>2</v>
      </c>
      <c r="B56" s="96" t="s">
        <v>75</v>
      </c>
      <c r="C56" s="101">
        <f>COUNTIFS(Database!$Q$5:$Q$329,"ADMINISTRASI",Database!$AW$5:$AW$329,"KRISTEN")</f>
        <v>1</v>
      </c>
      <c r="D56" s="101">
        <f>COUNTIFS(Database!$Q$5:$Q$329,"TEKNISI",Database!$AW$5:$AW$329,"KRISTEN")</f>
        <v>0</v>
      </c>
      <c r="E56" s="95">
        <f t="shared" si="6"/>
        <v>1</v>
      </c>
      <c r="F56" s="216"/>
      <c r="G56" s="90"/>
    </row>
    <row r="57" spans="1:8" ht="15.75" customHeight="1">
      <c r="A57" s="95">
        <v>3</v>
      </c>
      <c r="B57" s="96" t="s">
        <v>76</v>
      </c>
      <c r="C57" s="101">
        <f>COUNTIFS(Database!$Q$5:$Q$329,"ADMINISTRASI",Database!$AW$5:$AW$329,"KATOLIK")</f>
        <v>4</v>
      </c>
      <c r="D57" s="101">
        <f>COUNTIFS(Database!$Q$5:$Q$329,"TEKNISI",Database!$AW$5:$AW$329,"KATOLIK")</f>
        <v>1</v>
      </c>
      <c r="E57" s="95">
        <f t="shared" si="6"/>
        <v>5</v>
      </c>
      <c r="F57" s="216"/>
      <c r="G57" s="90"/>
    </row>
    <row r="58" spans="1:8" ht="15.75" customHeight="1">
      <c r="A58" s="95">
        <v>4</v>
      </c>
      <c r="B58" s="96" t="s">
        <v>77</v>
      </c>
      <c r="C58" s="101">
        <f>COUNTIFS(Database!$Q$5:$Q$329,"ADMINISTRASI",Database!$AW$5:$AW$329,"HINDU")</f>
        <v>0</v>
      </c>
      <c r="D58" s="101">
        <f>COUNTIFS(Database!$Q$5:$Q$329,"TEKNISI",Database!$AW$5:$AW$329,"HINDU")</f>
        <v>0</v>
      </c>
      <c r="E58" s="95">
        <f t="shared" si="6"/>
        <v>0</v>
      </c>
      <c r="F58" s="216"/>
      <c r="G58" s="90"/>
    </row>
    <row r="59" spans="1:8" ht="15.75" customHeight="1">
      <c r="A59" s="95">
        <v>5</v>
      </c>
      <c r="B59" s="96" t="s">
        <v>78</v>
      </c>
      <c r="C59" s="101">
        <f>COUNTIFS(Database!$Q$5:$Q$329,"ADMINISTRASI",Database!$AW$5:$AW$329,"BUDHA")</f>
        <v>0</v>
      </c>
      <c r="D59" s="101">
        <f>COUNTIFS(Database!$Q$5:$Q$329,"TEKNISI",Database!$AW$5:$AW$329,"BUDHA")</f>
        <v>0</v>
      </c>
      <c r="E59" s="95">
        <f t="shared" si="6"/>
        <v>0</v>
      </c>
      <c r="F59" s="216"/>
      <c r="G59" s="90"/>
    </row>
    <row r="60" spans="1:8" ht="15.75" customHeight="1">
      <c r="A60" s="104"/>
      <c r="B60" s="92" t="s">
        <v>8</v>
      </c>
      <c r="C60" s="105">
        <f t="shared" ref="C60:E60" si="7">SUM(C55:C59)</f>
        <v>77</v>
      </c>
      <c r="D60" s="105">
        <f t="shared" si="7"/>
        <v>248</v>
      </c>
      <c r="E60" s="105">
        <f t="shared" si="7"/>
        <v>325</v>
      </c>
      <c r="F60" s="216"/>
      <c r="G60" s="90"/>
    </row>
    <row r="61" spans="1:8" ht="15.75" customHeight="1">
      <c r="A61" s="91"/>
      <c r="B61" s="91"/>
      <c r="C61" s="90"/>
      <c r="D61" s="90"/>
      <c r="E61" s="90"/>
      <c r="F61" s="90"/>
      <c r="G61" s="90"/>
    </row>
    <row r="62" spans="1:8" ht="15.75" customHeight="1">
      <c r="A62" s="106" t="s">
        <v>79</v>
      </c>
      <c r="B62" s="106"/>
      <c r="C62" s="107"/>
      <c r="D62" s="103"/>
      <c r="E62" s="103"/>
      <c r="F62" s="1"/>
      <c r="G62" s="1"/>
      <c r="H62" s="1"/>
    </row>
    <row r="63" spans="1:8" ht="15.75" customHeight="1">
      <c r="A63" s="237" t="s">
        <v>1</v>
      </c>
      <c r="B63" s="237" t="s">
        <v>52</v>
      </c>
      <c r="C63" s="237" t="s">
        <v>80</v>
      </c>
      <c r="D63" s="103"/>
      <c r="E63" s="103"/>
      <c r="F63" s="1"/>
      <c r="G63" s="1"/>
      <c r="H63" s="1"/>
    </row>
    <row r="64" spans="1:8" ht="15.75" customHeight="1">
      <c r="A64" s="238">
        <v>1</v>
      </c>
      <c r="B64" s="239" t="s">
        <v>698</v>
      </c>
      <c r="C64" s="238">
        <f>COUNTIFS(Database!$T$5:$T$329,"5R")</f>
        <v>2</v>
      </c>
      <c r="D64" s="90"/>
      <c r="E64" s="90"/>
      <c r="F64" s="90"/>
      <c r="G64" s="90"/>
    </row>
    <row r="65" spans="1:8" ht="15.75" customHeight="1">
      <c r="A65" s="240">
        <v>2</v>
      </c>
      <c r="B65" s="241" t="s">
        <v>81</v>
      </c>
      <c r="C65" s="240">
        <f>COUNTIFS(Database!$T$5:$T$329,"AC")</f>
        <v>4</v>
      </c>
      <c r="D65" s="90"/>
      <c r="E65" s="90"/>
      <c r="F65" s="90"/>
      <c r="G65" s="90"/>
    </row>
    <row r="66" spans="1:8" ht="15.75" customHeight="1">
      <c r="A66" s="240">
        <v>3</v>
      </c>
      <c r="B66" s="241" t="s">
        <v>793</v>
      </c>
      <c r="C66" s="240">
        <f>COUNTIFS(Database!$T$5:$T$329,"AKUNTANSI")</f>
        <v>3</v>
      </c>
      <c r="D66" s="90"/>
      <c r="E66" s="90"/>
      <c r="F66" s="90"/>
      <c r="G66" s="90"/>
    </row>
    <row r="67" spans="1:8" ht="15.75" customHeight="1">
      <c r="A67" s="240">
        <v>4</v>
      </c>
      <c r="B67" s="241" t="s">
        <v>86</v>
      </c>
      <c r="C67" s="240">
        <f>COUNTIFS(Database!$T$5:$T$329,"BIAS")</f>
        <v>2</v>
      </c>
      <c r="D67" s="90"/>
      <c r="E67" s="90"/>
      <c r="F67" s="90"/>
      <c r="G67" s="90"/>
    </row>
    <row r="68" spans="1:8" ht="15.75" customHeight="1">
      <c r="A68" s="240">
        <v>5</v>
      </c>
      <c r="B68" s="241" t="s">
        <v>82</v>
      </c>
      <c r="C68" s="240">
        <f>COUNTIFS(Database!$T$5:$T$329,"BOGIE")</f>
        <v>4</v>
      </c>
      <c r="D68" s="90"/>
      <c r="E68" s="90"/>
      <c r="F68" s="90"/>
      <c r="G68" s="90"/>
    </row>
    <row r="69" spans="1:8" ht="15.75" customHeight="1">
      <c r="A69" s="240">
        <v>6</v>
      </c>
      <c r="B69" s="241" t="s">
        <v>87</v>
      </c>
      <c r="C69" s="240">
        <f>COUNTIFS(Database!$T$5:$T$329,"CUT MEUTIA")</f>
        <v>5</v>
      </c>
      <c r="D69" s="90"/>
      <c r="E69" s="90"/>
      <c r="F69" s="90"/>
      <c r="G69" s="90"/>
      <c r="H69" s="90"/>
    </row>
    <row r="70" spans="1:8" ht="15.75" customHeight="1">
      <c r="A70" s="240">
        <v>7</v>
      </c>
      <c r="B70" s="242" t="s">
        <v>854</v>
      </c>
      <c r="C70" s="240">
        <f>COUNTIFS(Database!$T$5:$T$329,"Pengelolaan Proyek Wilayah I")</f>
        <v>8</v>
      </c>
      <c r="D70" s="90"/>
      <c r="E70" s="90"/>
      <c r="F70" s="90"/>
      <c r="G70" s="90"/>
      <c r="H70" s="90"/>
    </row>
    <row r="71" spans="1:8" ht="15.75" customHeight="1">
      <c r="A71" s="240">
        <v>8</v>
      </c>
      <c r="B71" s="242" t="s">
        <v>4125</v>
      </c>
      <c r="C71" s="240">
        <f>COUNTIFS(Database!$T$5:$T$329,"DIREKSI")</f>
        <v>3</v>
      </c>
      <c r="D71" s="90"/>
      <c r="E71" s="90"/>
      <c r="F71" s="90"/>
      <c r="G71" s="90"/>
      <c r="H71" s="90"/>
    </row>
    <row r="72" spans="1:8" ht="15.75" customHeight="1">
      <c r="A72" s="240">
        <v>9</v>
      </c>
      <c r="B72" s="242" t="s">
        <v>179</v>
      </c>
      <c r="C72" s="240">
        <f>COUNTIFS(Database!$T$5:$T$329,"Fasilitas Pemeliharaan dan Sipil")</f>
        <v>3</v>
      </c>
      <c r="D72" s="90"/>
      <c r="E72" s="90"/>
      <c r="F72" s="90"/>
      <c r="G72" s="90"/>
      <c r="H72" s="90"/>
    </row>
    <row r="73" spans="1:8" ht="15.75" customHeight="1">
      <c r="A73" s="240">
        <v>10</v>
      </c>
      <c r="B73" s="242" t="s">
        <v>83</v>
      </c>
      <c r="C73" s="240">
        <f>COUNTIFS(Database!$T$5:$T$329,"Forklift")</f>
        <v>1</v>
      </c>
      <c r="D73" s="90"/>
      <c r="E73" s="90"/>
      <c r="F73" s="90"/>
      <c r="G73" s="90"/>
      <c r="H73" s="90"/>
    </row>
    <row r="74" spans="1:8" ht="15.75" customHeight="1">
      <c r="A74" s="240">
        <v>11</v>
      </c>
      <c r="B74" s="242" t="s">
        <v>85</v>
      </c>
      <c r="C74" s="240">
        <f>COUNTIFS(Database!$T$5:$T$329,"Gudang")</f>
        <v>2</v>
      </c>
      <c r="D74" s="90"/>
      <c r="E74" s="90"/>
      <c r="F74" s="90"/>
      <c r="G74" s="90"/>
      <c r="H74" s="90"/>
    </row>
    <row r="75" spans="1:8" ht="15.75" customHeight="1">
      <c r="A75" s="240">
        <v>12</v>
      </c>
      <c r="B75" s="242" t="s">
        <v>661</v>
      </c>
      <c r="C75" s="240">
        <f>COUNTIFS(Database!$T$5:$T$329,"Keuangan")</f>
        <v>3</v>
      </c>
      <c r="D75" s="90"/>
      <c r="E75" s="90"/>
      <c r="F75" s="90"/>
      <c r="G75" s="90"/>
      <c r="H75" s="90"/>
    </row>
    <row r="76" spans="1:8" ht="15.75" customHeight="1">
      <c r="A76" s="240">
        <v>13</v>
      </c>
      <c r="B76" s="242" t="s">
        <v>496</v>
      </c>
      <c r="C76" s="240">
        <f>COUNTIFS(Database!$T$5:$T$329,"KRDE Makassar- Parepare")</f>
        <v>7</v>
      </c>
      <c r="D76" s="90"/>
      <c r="E76" s="90"/>
      <c r="F76" s="90"/>
      <c r="G76" s="90"/>
      <c r="H76" s="90"/>
    </row>
    <row r="77" spans="1:8" ht="15.75" customHeight="1">
      <c r="A77" s="240">
        <v>14</v>
      </c>
      <c r="B77" s="242" t="s">
        <v>88</v>
      </c>
      <c r="C77" s="240">
        <f>COUNTIFS(Database!$T$5:$T$329,"KRL KfW")</f>
        <v>30</v>
      </c>
      <c r="D77" s="90"/>
      <c r="E77" s="90"/>
      <c r="F77" s="90"/>
      <c r="G77" s="90"/>
      <c r="H77" s="90"/>
    </row>
    <row r="78" spans="1:8" ht="15.75" customHeight="1">
      <c r="A78" s="240">
        <v>15</v>
      </c>
      <c r="B78" s="242" t="s">
        <v>89</v>
      </c>
      <c r="C78" s="240">
        <f>COUNTIFS(Database!$T$5:$T$329,"KRL Soetta")</f>
        <v>45</v>
      </c>
      <c r="D78" s="90"/>
      <c r="E78" s="90"/>
      <c r="F78" s="90"/>
      <c r="G78" s="90"/>
      <c r="H78" s="90"/>
    </row>
    <row r="79" spans="1:8" ht="15.75" customHeight="1">
      <c r="A79" s="240">
        <v>16</v>
      </c>
      <c r="B79" s="242" t="s">
        <v>84</v>
      </c>
      <c r="C79" s="240">
        <f>COUNTIFS(Database!$T$5:$T$329,"Listrik")</f>
        <v>3</v>
      </c>
      <c r="D79" s="90"/>
      <c r="E79" s="90"/>
      <c r="F79" s="90"/>
      <c r="G79" s="90"/>
      <c r="H79" s="90"/>
    </row>
    <row r="80" spans="1:8" ht="15.75" customHeight="1">
      <c r="A80" s="240">
        <v>17</v>
      </c>
      <c r="B80" s="242" t="s">
        <v>361</v>
      </c>
      <c r="C80" s="240">
        <f>COUNTIFS(Database!$T$5:$T$329,"Logistik")</f>
        <v>8</v>
      </c>
      <c r="D80" s="90"/>
      <c r="E80" s="90"/>
      <c r="F80" s="90"/>
      <c r="G80" s="90"/>
      <c r="H80" s="90"/>
    </row>
    <row r="81" spans="1:8" ht="15.75" customHeight="1">
      <c r="A81" s="240">
        <v>18</v>
      </c>
      <c r="B81" s="242" t="s">
        <v>432</v>
      </c>
      <c r="C81" s="240">
        <f>COUNTIFS(Database!$T$5:$T$329,"LRT Jabodebek")</f>
        <v>68</v>
      </c>
      <c r="D81" s="90"/>
      <c r="E81" s="90"/>
      <c r="F81" s="90"/>
      <c r="G81" s="90"/>
      <c r="H81" s="90"/>
    </row>
    <row r="82" spans="1:8" ht="15.75" customHeight="1">
      <c r="A82" s="240">
        <v>19</v>
      </c>
      <c r="B82" s="242" t="s">
        <v>92</v>
      </c>
      <c r="C82" s="240">
        <f>COUNTIFS(Database!$T$5:$T$329,"LRT Palembang")</f>
        <v>36</v>
      </c>
      <c r="D82" s="90"/>
      <c r="E82" s="90"/>
      <c r="F82" s="90"/>
      <c r="G82" s="90"/>
      <c r="H82" s="90"/>
    </row>
    <row r="83" spans="1:8" ht="15.75" customHeight="1">
      <c r="A83" s="240">
        <v>20</v>
      </c>
      <c r="B83" s="242" t="s">
        <v>214</v>
      </c>
      <c r="C83" s="240">
        <f>COUNTIFS(Database!$T$5:$T$329,"Maintenance Repair Overhaul")</f>
        <v>10</v>
      </c>
      <c r="D83" s="90"/>
      <c r="E83" s="90"/>
      <c r="F83" s="90"/>
      <c r="G83" s="90"/>
      <c r="H83" s="90"/>
    </row>
    <row r="84" spans="1:8" ht="15.75" customHeight="1">
      <c r="A84" s="240">
        <v>21</v>
      </c>
      <c r="B84" s="242" t="s">
        <v>674</v>
      </c>
      <c r="C84" s="240">
        <f>COUNTIFS(Database!$T$5:$T$329,"Pemasaran")</f>
        <v>10</v>
      </c>
      <c r="D84" s="90"/>
      <c r="E84" s="90"/>
      <c r="F84" s="90"/>
      <c r="G84" s="90"/>
      <c r="H84" s="90"/>
    </row>
    <row r="85" spans="1:8" ht="15.75" customHeight="1">
      <c r="A85" s="240">
        <v>22</v>
      </c>
      <c r="B85" s="242" t="s">
        <v>1498</v>
      </c>
      <c r="C85" s="240">
        <f>COUNTIFS(Database!$T$5:$T$329,"Pengelolaan Proyek Wilayah II")</f>
        <v>8</v>
      </c>
      <c r="D85" s="90"/>
      <c r="E85" s="90"/>
      <c r="F85" s="90"/>
      <c r="G85" s="90"/>
      <c r="H85" s="90"/>
    </row>
    <row r="86" spans="1:8" ht="15.75" customHeight="1">
      <c r="A86" s="240">
        <v>23</v>
      </c>
      <c r="B86" s="242" t="s">
        <v>35</v>
      </c>
      <c r="C86" s="240">
        <f>COUNTIFS(Database!$T$5:$T$329,"PMU")</f>
        <v>1</v>
      </c>
      <c r="D86" s="90"/>
      <c r="E86" s="90"/>
      <c r="F86" s="90"/>
      <c r="G86" s="90"/>
      <c r="H86" s="90"/>
    </row>
    <row r="87" spans="1:8" ht="15.75" customHeight="1">
      <c r="A87" s="240">
        <v>24</v>
      </c>
      <c r="B87" s="242" t="s">
        <v>93</v>
      </c>
      <c r="C87" s="240">
        <f>COUNTIFS(Database!$T$5:$T$329,"RB Bathara Kresna")</f>
        <v>6</v>
      </c>
      <c r="D87" s="90"/>
      <c r="E87" s="90"/>
      <c r="F87" s="90"/>
      <c r="G87" s="90"/>
      <c r="H87" s="90"/>
    </row>
    <row r="88" spans="1:8" ht="15.75" customHeight="1">
      <c r="A88" s="240">
        <v>25</v>
      </c>
      <c r="B88" s="242" t="s">
        <v>94</v>
      </c>
      <c r="C88" s="240">
        <f>COUNTIFS(Database!$T$5:$T$329,"RB Lembah Anai")</f>
        <v>5</v>
      </c>
      <c r="D88" s="90"/>
      <c r="E88" s="90"/>
      <c r="F88" s="90"/>
      <c r="G88" s="90"/>
      <c r="H88" s="90"/>
    </row>
    <row r="89" spans="1:8" ht="15.75" customHeight="1">
      <c r="A89" s="240">
        <v>26</v>
      </c>
      <c r="B89" s="242" t="s">
        <v>841</v>
      </c>
      <c r="C89" s="240">
        <f>COUNTIFS(Database!$T$5:$T$329,"SDM")</f>
        <v>2</v>
      </c>
      <c r="D89" s="90"/>
      <c r="E89" s="90"/>
      <c r="F89" s="90"/>
      <c r="G89" s="90"/>
      <c r="H89" s="90"/>
    </row>
    <row r="90" spans="1:8" ht="15.75" customHeight="1">
      <c r="A90" s="240">
        <v>27</v>
      </c>
      <c r="B90" s="242" t="s">
        <v>785</v>
      </c>
      <c r="C90" s="240">
        <f>COUNTIFS(Database!$T$5:$T$329,"SDM dan Umum")</f>
        <v>1</v>
      </c>
      <c r="D90" s="90"/>
      <c r="E90" s="90"/>
      <c r="F90" s="90"/>
      <c r="G90" s="90"/>
      <c r="H90" s="90"/>
    </row>
    <row r="91" spans="1:8" ht="15.75" customHeight="1">
      <c r="A91" s="240">
        <v>28</v>
      </c>
      <c r="B91" s="242" t="s">
        <v>246</v>
      </c>
      <c r="C91" s="240">
        <f>COUNTIFS(Database!$T$5:$T$329,"Sekper, Legal dan Tata Kelola")</f>
        <v>1</v>
      </c>
      <c r="D91" s="90"/>
      <c r="E91" s="90"/>
      <c r="F91" s="90"/>
      <c r="G91" s="90"/>
    </row>
    <row r="92" spans="1:8" ht="15.75" customHeight="1">
      <c r="A92" s="240">
        <v>29</v>
      </c>
      <c r="B92" s="242" t="s">
        <v>95</v>
      </c>
      <c r="C92" s="240">
        <f>COUNTIFS(Database!$T$5:$T$329,"Sipil")</f>
        <v>3</v>
      </c>
      <c r="D92" s="90"/>
      <c r="E92" s="90"/>
      <c r="F92" s="90"/>
      <c r="G92" s="90"/>
    </row>
    <row r="93" spans="1:8" ht="15.75" customHeight="1">
      <c r="A93" s="240">
        <v>30</v>
      </c>
      <c r="B93" s="242" t="s">
        <v>1742</v>
      </c>
      <c r="C93" s="240">
        <f>COUNTIFS(Database!$T$5:$T$329,"SMK3")</f>
        <v>2</v>
      </c>
      <c r="D93" s="90"/>
      <c r="E93" s="90"/>
      <c r="F93" s="90"/>
      <c r="G93" s="90"/>
    </row>
    <row r="94" spans="1:8" ht="15.75" customHeight="1">
      <c r="A94" s="240">
        <v>31</v>
      </c>
      <c r="B94" s="242" t="s">
        <v>96</v>
      </c>
      <c r="C94" s="240">
        <f>COUNTIFS(Database!$T$5:$T$329,"SMN loko Admin")</f>
        <v>1</v>
      </c>
      <c r="D94" s="90"/>
      <c r="E94" s="90"/>
      <c r="F94" s="90"/>
      <c r="G94" s="90"/>
    </row>
    <row r="95" spans="1:8" ht="15.75" customHeight="1">
      <c r="A95" s="240">
        <v>32</v>
      </c>
      <c r="B95" s="242" t="s">
        <v>97</v>
      </c>
      <c r="C95" s="240">
        <f>COUNTIFS(Database!$T$5:$T$329,"SMN Loko Jakarta")</f>
        <v>2</v>
      </c>
      <c r="D95" s="90"/>
      <c r="E95" s="90"/>
      <c r="F95" s="90"/>
      <c r="G95" s="90"/>
    </row>
    <row r="96" spans="1:8" ht="15.75" customHeight="1">
      <c r="A96" s="240">
        <v>33</v>
      </c>
      <c r="B96" s="242" t="s">
        <v>98</v>
      </c>
      <c r="C96" s="240">
        <f>COUNTIFS(Database!$T$5:$T$329,"SMN Loko Lampung")</f>
        <v>2</v>
      </c>
      <c r="D96" s="90"/>
      <c r="E96" s="90"/>
      <c r="F96" s="90"/>
      <c r="G96" s="90"/>
    </row>
    <row r="97" spans="1:7" ht="15.75" customHeight="1">
      <c r="A97" s="240">
        <v>34</v>
      </c>
      <c r="B97" s="242" t="s">
        <v>100</v>
      </c>
      <c r="C97" s="240">
        <f>COUNTIFS(Database!$T$5:$T$329,"SMN Loko Medan")</f>
        <v>2</v>
      </c>
      <c r="D97" s="90"/>
      <c r="E97" s="90"/>
      <c r="F97" s="90"/>
      <c r="G97" s="90"/>
    </row>
    <row r="98" spans="1:7" ht="15.75" customHeight="1">
      <c r="A98" s="240">
        <v>35</v>
      </c>
      <c r="B98" s="242" t="s">
        <v>99</v>
      </c>
      <c r="C98" s="240">
        <f>COUNTIFS(Database!$T$5:$T$329,"SMN Loko Purwodadi")</f>
        <v>4</v>
      </c>
      <c r="D98" s="90"/>
      <c r="E98" s="90"/>
      <c r="F98" s="90"/>
      <c r="G98" s="90"/>
    </row>
    <row r="99" spans="1:7" ht="15.75" customHeight="1">
      <c r="A99" s="240">
        <v>36</v>
      </c>
      <c r="B99" s="242" t="s">
        <v>2113</v>
      </c>
      <c r="C99" s="240">
        <f>COUNTIFS(Database!$T$5:$T$329,"SPI")</f>
        <v>1</v>
      </c>
      <c r="D99" s="90"/>
      <c r="E99" s="90"/>
      <c r="F99" s="90"/>
      <c r="G99" s="90"/>
    </row>
    <row r="100" spans="1:7" ht="15.75" customHeight="1">
      <c r="A100" s="240">
        <v>37</v>
      </c>
      <c r="B100" s="242" t="s">
        <v>900</v>
      </c>
      <c r="C100" s="240">
        <f>COUNTIFS(Database!$T$5:$T$329,"Teknik")</f>
        <v>10</v>
      </c>
      <c r="D100" s="90"/>
      <c r="E100" s="90"/>
      <c r="F100" s="90"/>
      <c r="G100" s="90"/>
    </row>
    <row r="101" spans="1:7" ht="15.75" customHeight="1">
      <c r="A101" s="240">
        <v>38</v>
      </c>
      <c r="B101" s="242" t="s">
        <v>362</v>
      </c>
      <c r="C101" s="240">
        <f>COUNTIFS(Database!$T$5:$T$329,"Teknik dan Logistik")</f>
        <v>1</v>
      </c>
      <c r="D101" s="90"/>
      <c r="E101" s="90"/>
      <c r="F101" s="90"/>
      <c r="G101" s="90"/>
    </row>
    <row r="102" spans="1:7" ht="15.75" customHeight="1">
      <c r="A102" s="240">
        <v>39</v>
      </c>
      <c r="B102" s="242" t="s">
        <v>784</v>
      </c>
      <c r="C102" s="240">
        <f>COUNTIFS(Database!$T$5:$T$329,"Umum")</f>
        <v>4</v>
      </c>
      <c r="D102" s="90"/>
      <c r="E102" s="90"/>
      <c r="F102" s="90"/>
      <c r="G102" s="90"/>
    </row>
    <row r="103" spans="1:7" ht="15.75" customHeight="1">
      <c r="A103" s="243">
        <v>40</v>
      </c>
      <c r="B103" s="244" t="s">
        <v>199</v>
      </c>
      <c r="C103" s="243">
        <f>COUNTIFS(Database!$T$5:$T$329,"Wilayah I")</f>
        <v>12</v>
      </c>
      <c r="D103" s="90"/>
      <c r="E103" s="90"/>
      <c r="F103" s="90"/>
      <c r="G103" s="90"/>
    </row>
    <row r="104" spans="1:7" ht="15.75" customHeight="1">
      <c r="A104" s="257" t="s">
        <v>4127</v>
      </c>
      <c r="B104" s="258"/>
      <c r="C104" s="216">
        <f>SUM(C64:C103)</f>
        <v>325</v>
      </c>
      <c r="D104" s="90"/>
      <c r="E104" s="90"/>
      <c r="F104" s="90"/>
      <c r="G104" s="90"/>
    </row>
    <row r="105" spans="1:7" ht="15.75" customHeight="1">
      <c r="C105" s="90"/>
      <c r="D105" s="90"/>
      <c r="E105" s="90"/>
      <c r="F105" s="90"/>
      <c r="G105" s="90"/>
    </row>
    <row r="106" spans="1:7" ht="15.75" customHeight="1">
      <c r="C106" s="90"/>
      <c r="D106" s="90"/>
      <c r="E106" s="90"/>
      <c r="F106" s="90"/>
      <c r="G106" s="90"/>
    </row>
    <row r="107" spans="1:7" ht="15.75" customHeight="1">
      <c r="C107" s="90"/>
      <c r="D107" s="90"/>
      <c r="E107" s="90"/>
      <c r="F107" s="90"/>
      <c r="G107" s="90"/>
    </row>
    <row r="108" spans="1:7" ht="15.75" customHeight="1">
      <c r="C108" s="90"/>
      <c r="D108" s="90"/>
      <c r="E108" s="90"/>
      <c r="F108" s="90"/>
      <c r="G108" s="90"/>
    </row>
    <row r="109" spans="1:7" ht="15.75" customHeight="1">
      <c r="C109" s="90"/>
      <c r="D109" s="90"/>
      <c r="E109" s="90"/>
      <c r="F109" s="90"/>
      <c r="G109" s="90"/>
    </row>
    <row r="110" spans="1:7" ht="15.75" customHeight="1">
      <c r="C110" s="90"/>
      <c r="D110" s="90"/>
      <c r="E110" s="90"/>
      <c r="F110" s="90"/>
      <c r="G110" s="90"/>
    </row>
    <row r="111" spans="1:7" ht="15.75" customHeight="1">
      <c r="C111" s="90"/>
      <c r="D111" s="90"/>
      <c r="E111" s="90"/>
      <c r="F111" s="90"/>
      <c r="G111" s="90"/>
    </row>
    <row r="112" spans="1:7" ht="15.75" customHeight="1">
      <c r="C112" s="90"/>
      <c r="D112" s="90"/>
      <c r="E112" s="90"/>
      <c r="F112" s="90"/>
      <c r="G112" s="90"/>
    </row>
    <row r="113" spans="3:7" ht="15.75" customHeight="1">
      <c r="C113" s="90"/>
      <c r="D113" s="90"/>
      <c r="E113" s="90"/>
      <c r="F113" s="90"/>
      <c r="G113" s="90"/>
    </row>
    <row r="114" spans="3:7" ht="15.75" customHeight="1">
      <c r="C114" s="90"/>
      <c r="D114" s="90"/>
      <c r="E114" s="90"/>
      <c r="F114" s="90"/>
      <c r="G114" s="90"/>
    </row>
    <row r="115" spans="3:7" ht="15.75" customHeight="1">
      <c r="C115" s="90"/>
      <c r="D115" s="90"/>
      <c r="E115" s="90"/>
      <c r="F115" s="90"/>
      <c r="G115" s="90"/>
    </row>
    <row r="116" spans="3:7" ht="15.75" customHeight="1">
      <c r="C116" s="90"/>
      <c r="D116" s="90"/>
      <c r="E116" s="90"/>
      <c r="F116" s="90"/>
      <c r="G116" s="90"/>
    </row>
    <row r="117" spans="3:7" ht="15.75" customHeight="1">
      <c r="C117" s="90"/>
      <c r="D117" s="90"/>
      <c r="E117" s="90"/>
      <c r="F117" s="90"/>
      <c r="G117" s="90"/>
    </row>
    <row r="118" spans="3:7" ht="15.75" customHeight="1">
      <c r="C118" s="90"/>
      <c r="D118" s="90"/>
      <c r="E118" s="90"/>
      <c r="F118" s="90"/>
      <c r="G118" s="90"/>
    </row>
    <row r="119" spans="3:7" ht="15.75" customHeight="1">
      <c r="C119" s="90"/>
      <c r="D119" s="90"/>
      <c r="E119" s="90"/>
      <c r="F119" s="90"/>
      <c r="G119" s="90"/>
    </row>
    <row r="120" spans="3:7" ht="15.75" customHeight="1">
      <c r="C120" s="90"/>
      <c r="D120" s="90"/>
      <c r="E120" s="90"/>
      <c r="F120" s="90"/>
      <c r="G120" s="90"/>
    </row>
    <row r="121" spans="3:7" ht="15.75" customHeight="1">
      <c r="C121" s="90"/>
      <c r="D121" s="90"/>
      <c r="E121" s="90"/>
      <c r="F121" s="90"/>
      <c r="G121" s="90"/>
    </row>
    <row r="122" spans="3:7" ht="15.75" customHeight="1">
      <c r="C122" s="90"/>
      <c r="D122" s="90"/>
      <c r="E122" s="90"/>
      <c r="F122" s="90"/>
      <c r="G122" s="90"/>
    </row>
    <row r="123" spans="3:7" ht="15.75" customHeight="1">
      <c r="C123" s="90"/>
      <c r="D123" s="90"/>
      <c r="E123" s="90"/>
      <c r="F123" s="90"/>
      <c r="G123" s="90"/>
    </row>
    <row r="124" spans="3:7" ht="15.75" customHeight="1">
      <c r="C124" s="90"/>
      <c r="D124" s="90"/>
      <c r="E124" s="90"/>
      <c r="F124" s="90"/>
      <c r="G124" s="90"/>
    </row>
    <row r="125" spans="3:7" ht="15.75" customHeight="1">
      <c r="C125" s="90"/>
      <c r="D125" s="90"/>
      <c r="E125" s="90"/>
      <c r="F125" s="90"/>
      <c r="G125" s="90"/>
    </row>
    <row r="126" spans="3:7" ht="15.75" customHeight="1">
      <c r="C126" s="90"/>
      <c r="D126" s="90"/>
      <c r="E126" s="90"/>
      <c r="F126" s="90"/>
      <c r="G126" s="90"/>
    </row>
    <row r="127" spans="3:7" ht="15.75" customHeight="1">
      <c r="C127" s="90"/>
      <c r="D127" s="90"/>
      <c r="E127" s="90"/>
      <c r="F127" s="90"/>
      <c r="G127" s="90"/>
    </row>
    <row r="128" spans="3:7" ht="15.75" customHeight="1">
      <c r="C128" s="90"/>
      <c r="D128" s="90"/>
      <c r="E128" s="90"/>
      <c r="F128" s="90"/>
      <c r="G128" s="90"/>
    </row>
    <row r="129" spans="3:7" ht="15.75" customHeight="1">
      <c r="C129" s="90"/>
      <c r="D129" s="90"/>
      <c r="E129" s="90"/>
      <c r="F129" s="90"/>
      <c r="G129" s="90"/>
    </row>
    <row r="130" spans="3:7" ht="15.75" customHeight="1">
      <c r="C130" s="90"/>
      <c r="D130" s="90"/>
      <c r="E130" s="90"/>
      <c r="F130" s="90"/>
      <c r="G130" s="90"/>
    </row>
    <row r="131" spans="3:7" ht="15.75" customHeight="1">
      <c r="C131" s="90"/>
      <c r="D131" s="90"/>
      <c r="E131" s="90"/>
      <c r="F131" s="90"/>
      <c r="G131" s="90"/>
    </row>
    <row r="132" spans="3:7" ht="15.75" customHeight="1">
      <c r="C132" s="90"/>
      <c r="D132" s="90"/>
      <c r="E132" s="90"/>
      <c r="F132" s="90"/>
      <c r="G132" s="90"/>
    </row>
    <row r="133" spans="3:7" ht="15.75" customHeight="1">
      <c r="C133" s="90"/>
      <c r="D133" s="90"/>
      <c r="E133" s="90"/>
      <c r="F133" s="90"/>
      <c r="G133" s="90"/>
    </row>
    <row r="134" spans="3:7" ht="15.75" customHeight="1">
      <c r="C134" s="90"/>
      <c r="D134" s="90"/>
      <c r="E134" s="90"/>
      <c r="F134" s="90"/>
      <c r="G134" s="90"/>
    </row>
    <row r="135" spans="3:7" ht="15.75" customHeight="1">
      <c r="C135" s="90"/>
      <c r="D135" s="90"/>
      <c r="E135" s="90"/>
      <c r="F135" s="90"/>
      <c r="G135" s="90"/>
    </row>
    <row r="136" spans="3:7" ht="15.75" customHeight="1">
      <c r="C136" s="90"/>
      <c r="D136" s="90"/>
      <c r="E136" s="90"/>
      <c r="F136" s="90"/>
      <c r="G136" s="90"/>
    </row>
    <row r="137" spans="3:7" ht="15.75" customHeight="1">
      <c r="C137" s="90"/>
      <c r="D137" s="90"/>
      <c r="E137" s="90"/>
      <c r="F137" s="90"/>
      <c r="G137" s="90"/>
    </row>
    <row r="138" spans="3:7" ht="15.75" customHeight="1">
      <c r="C138" s="90"/>
      <c r="D138" s="90"/>
      <c r="E138" s="90"/>
      <c r="F138" s="90"/>
      <c r="G138" s="90"/>
    </row>
    <row r="139" spans="3:7" ht="15.75" customHeight="1">
      <c r="C139" s="90"/>
      <c r="D139" s="90"/>
      <c r="E139" s="90"/>
      <c r="F139" s="90"/>
      <c r="G139" s="90"/>
    </row>
    <row r="140" spans="3:7" ht="15.75" customHeight="1">
      <c r="C140" s="90"/>
      <c r="D140" s="90"/>
      <c r="E140" s="90"/>
      <c r="F140" s="90"/>
      <c r="G140" s="90"/>
    </row>
    <row r="141" spans="3:7" ht="15.75" customHeight="1">
      <c r="C141" s="90"/>
      <c r="D141" s="90"/>
      <c r="E141" s="90"/>
      <c r="F141" s="90"/>
      <c r="G141" s="90"/>
    </row>
    <row r="142" spans="3:7" ht="15.75" customHeight="1">
      <c r="C142" s="90"/>
      <c r="D142" s="90"/>
      <c r="E142" s="90"/>
      <c r="F142" s="90"/>
      <c r="G142" s="90"/>
    </row>
    <row r="143" spans="3:7" ht="15.75" customHeight="1">
      <c r="C143" s="90"/>
      <c r="D143" s="90"/>
      <c r="E143" s="90"/>
      <c r="F143" s="90"/>
      <c r="G143" s="90"/>
    </row>
    <row r="144" spans="3:7" ht="15.75" customHeight="1">
      <c r="C144" s="90"/>
      <c r="D144" s="90"/>
      <c r="E144" s="90"/>
      <c r="F144" s="90"/>
      <c r="G144" s="90"/>
    </row>
    <row r="145" spans="3:7" ht="15.75" customHeight="1">
      <c r="C145" s="90"/>
      <c r="D145" s="90"/>
      <c r="E145" s="90"/>
      <c r="F145" s="90"/>
      <c r="G145" s="90"/>
    </row>
    <row r="146" spans="3:7" ht="15.75" customHeight="1">
      <c r="C146" s="90"/>
      <c r="D146" s="90"/>
      <c r="E146" s="90"/>
      <c r="F146" s="90"/>
      <c r="G146" s="90"/>
    </row>
    <row r="147" spans="3:7" ht="15.75" customHeight="1">
      <c r="C147" s="90"/>
      <c r="D147" s="90"/>
      <c r="E147" s="90"/>
      <c r="F147" s="90"/>
      <c r="G147" s="90"/>
    </row>
    <row r="148" spans="3:7" ht="15.75" customHeight="1">
      <c r="C148" s="90"/>
      <c r="D148" s="90"/>
      <c r="E148" s="90"/>
      <c r="F148" s="90"/>
      <c r="G148" s="90"/>
    </row>
    <row r="149" spans="3:7" ht="15.75" customHeight="1">
      <c r="C149" s="90"/>
      <c r="D149" s="90"/>
      <c r="E149" s="90"/>
      <c r="F149" s="90"/>
      <c r="G149" s="90"/>
    </row>
    <row r="150" spans="3:7" ht="15.75" customHeight="1">
      <c r="C150" s="90"/>
      <c r="D150" s="90"/>
      <c r="E150" s="90"/>
      <c r="F150" s="90"/>
      <c r="G150" s="90"/>
    </row>
    <row r="151" spans="3:7" ht="15.75" customHeight="1">
      <c r="C151" s="90"/>
      <c r="D151" s="90"/>
      <c r="E151" s="90"/>
      <c r="F151" s="90"/>
      <c r="G151" s="90"/>
    </row>
    <row r="152" spans="3:7" ht="15.75" customHeight="1">
      <c r="C152" s="90"/>
      <c r="D152" s="90"/>
      <c r="E152" s="90"/>
      <c r="F152" s="90"/>
      <c r="G152" s="90"/>
    </row>
    <row r="153" spans="3:7" ht="15.75" customHeight="1">
      <c r="C153" s="90"/>
      <c r="D153" s="90"/>
      <c r="E153" s="90"/>
      <c r="F153" s="90"/>
      <c r="G153" s="90"/>
    </row>
    <row r="154" spans="3:7" ht="15.75" customHeight="1">
      <c r="C154" s="90"/>
      <c r="D154" s="90"/>
      <c r="E154" s="90"/>
      <c r="F154" s="90"/>
      <c r="G154" s="90"/>
    </row>
    <row r="155" spans="3:7" ht="15.75" customHeight="1">
      <c r="C155" s="90"/>
      <c r="D155" s="90"/>
      <c r="E155" s="90"/>
      <c r="F155" s="90"/>
      <c r="G155" s="90"/>
    </row>
    <row r="156" spans="3:7" ht="15.75" customHeight="1">
      <c r="C156" s="90"/>
      <c r="D156" s="90"/>
      <c r="E156" s="90"/>
      <c r="F156" s="90"/>
      <c r="G156" s="90"/>
    </row>
    <row r="157" spans="3:7" ht="15.75" customHeight="1">
      <c r="C157" s="90"/>
      <c r="D157" s="90"/>
      <c r="E157" s="90"/>
      <c r="F157" s="90"/>
      <c r="G157" s="90"/>
    </row>
    <row r="158" spans="3:7" ht="15.75" customHeight="1">
      <c r="C158" s="90"/>
      <c r="D158" s="90"/>
      <c r="E158" s="90"/>
      <c r="F158" s="90"/>
      <c r="G158" s="90"/>
    </row>
    <row r="159" spans="3:7" ht="15.75" customHeight="1">
      <c r="C159" s="90"/>
      <c r="D159" s="90"/>
      <c r="E159" s="90"/>
      <c r="F159" s="90"/>
      <c r="G159" s="90"/>
    </row>
    <row r="160" spans="3:7" ht="15.75" customHeight="1">
      <c r="C160" s="90"/>
      <c r="D160" s="90"/>
      <c r="E160" s="90"/>
      <c r="F160" s="90"/>
      <c r="G160" s="90"/>
    </row>
    <row r="161" spans="3:7" ht="15.75" customHeight="1">
      <c r="C161" s="90"/>
      <c r="D161" s="90"/>
      <c r="E161" s="90"/>
      <c r="F161" s="90"/>
      <c r="G161" s="90"/>
    </row>
    <row r="162" spans="3:7" ht="15.75" customHeight="1">
      <c r="C162" s="90"/>
      <c r="D162" s="90"/>
      <c r="E162" s="90"/>
      <c r="F162" s="90"/>
      <c r="G162" s="90"/>
    </row>
    <row r="163" spans="3:7" ht="15.75" customHeight="1">
      <c r="C163" s="90"/>
      <c r="D163" s="90"/>
      <c r="E163" s="90"/>
      <c r="F163" s="90"/>
      <c r="G163" s="90"/>
    </row>
    <row r="164" spans="3:7" ht="15.75" customHeight="1">
      <c r="C164" s="90"/>
      <c r="D164" s="90"/>
      <c r="E164" s="90"/>
      <c r="F164" s="90"/>
      <c r="G164" s="90"/>
    </row>
    <row r="165" spans="3:7" ht="15.75" customHeight="1">
      <c r="C165" s="90"/>
      <c r="D165" s="90"/>
      <c r="E165" s="90"/>
      <c r="F165" s="90"/>
      <c r="G165" s="90"/>
    </row>
    <row r="166" spans="3:7" ht="15.75" customHeight="1">
      <c r="C166" s="90"/>
      <c r="D166" s="90"/>
      <c r="E166" s="90"/>
      <c r="F166" s="90"/>
      <c r="G166" s="90"/>
    </row>
    <row r="167" spans="3:7" ht="15.75" customHeight="1">
      <c r="C167" s="90"/>
      <c r="D167" s="90"/>
      <c r="E167" s="90"/>
      <c r="F167" s="90"/>
      <c r="G167" s="90"/>
    </row>
    <row r="168" spans="3:7" ht="15.75" customHeight="1">
      <c r="C168" s="90"/>
      <c r="D168" s="90"/>
      <c r="E168" s="90"/>
      <c r="F168" s="90"/>
      <c r="G168" s="90"/>
    </row>
    <row r="169" spans="3:7" ht="15.75" customHeight="1">
      <c r="C169" s="90"/>
      <c r="D169" s="90"/>
      <c r="E169" s="90"/>
      <c r="F169" s="90"/>
      <c r="G169" s="90"/>
    </row>
    <row r="170" spans="3:7" ht="15.75" customHeight="1">
      <c r="C170" s="90"/>
      <c r="D170" s="90"/>
      <c r="E170" s="90"/>
      <c r="F170" s="90"/>
      <c r="G170" s="90"/>
    </row>
    <row r="171" spans="3:7" ht="15.75" customHeight="1">
      <c r="C171" s="90"/>
      <c r="D171" s="90"/>
      <c r="E171" s="90"/>
      <c r="F171" s="90"/>
      <c r="G171" s="90"/>
    </row>
    <row r="172" spans="3:7" ht="15.75" customHeight="1">
      <c r="C172" s="90"/>
      <c r="D172" s="90"/>
      <c r="E172" s="90"/>
      <c r="F172" s="90"/>
      <c r="G172" s="90"/>
    </row>
    <row r="173" spans="3:7" ht="15.75" customHeight="1">
      <c r="C173" s="90"/>
      <c r="D173" s="90"/>
      <c r="E173" s="90"/>
      <c r="F173" s="90"/>
      <c r="G173" s="90"/>
    </row>
    <row r="174" spans="3:7" ht="15.75" customHeight="1">
      <c r="C174" s="90"/>
      <c r="D174" s="90"/>
      <c r="E174" s="90"/>
      <c r="F174" s="90"/>
      <c r="G174" s="90"/>
    </row>
    <row r="175" spans="3:7" ht="15.75" customHeight="1">
      <c r="C175" s="90"/>
      <c r="D175" s="90"/>
      <c r="E175" s="90"/>
      <c r="F175" s="90"/>
      <c r="G175" s="90"/>
    </row>
    <row r="176" spans="3:7" ht="15.75" customHeight="1">
      <c r="C176" s="90"/>
      <c r="D176" s="90"/>
      <c r="E176" s="90"/>
      <c r="F176" s="90"/>
      <c r="G176" s="90"/>
    </row>
    <row r="177" spans="3:7" ht="15.75" customHeight="1">
      <c r="C177" s="90"/>
      <c r="D177" s="90"/>
      <c r="E177" s="90"/>
      <c r="F177" s="90"/>
      <c r="G177" s="90"/>
    </row>
    <row r="178" spans="3:7" ht="15.75" customHeight="1">
      <c r="C178" s="90"/>
      <c r="D178" s="90"/>
      <c r="E178" s="90"/>
      <c r="F178" s="90"/>
      <c r="G178" s="90"/>
    </row>
    <row r="179" spans="3:7" ht="15.75" customHeight="1">
      <c r="C179" s="90"/>
      <c r="D179" s="90"/>
      <c r="E179" s="90"/>
      <c r="F179" s="90"/>
      <c r="G179" s="90"/>
    </row>
    <row r="180" spans="3:7" ht="15.75" customHeight="1">
      <c r="C180" s="90"/>
      <c r="D180" s="90"/>
      <c r="E180" s="90"/>
      <c r="F180" s="90"/>
      <c r="G180" s="90"/>
    </row>
    <row r="181" spans="3:7" ht="15.75" customHeight="1">
      <c r="C181" s="90"/>
      <c r="D181" s="90"/>
      <c r="E181" s="90"/>
      <c r="F181" s="90"/>
      <c r="G181" s="90"/>
    </row>
    <row r="182" spans="3:7" ht="15.75" customHeight="1">
      <c r="C182" s="90"/>
      <c r="D182" s="90"/>
      <c r="E182" s="90"/>
      <c r="F182" s="90"/>
      <c r="G182" s="90"/>
    </row>
    <row r="183" spans="3:7" ht="15.75" customHeight="1">
      <c r="C183" s="90"/>
      <c r="D183" s="90"/>
      <c r="E183" s="90"/>
      <c r="F183" s="90"/>
      <c r="G183" s="90"/>
    </row>
    <row r="184" spans="3:7" ht="15.75" customHeight="1">
      <c r="C184" s="90"/>
      <c r="D184" s="90"/>
      <c r="E184" s="90"/>
      <c r="F184" s="90"/>
      <c r="G184" s="90"/>
    </row>
    <row r="185" spans="3:7" ht="15.75" customHeight="1">
      <c r="C185" s="90"/>
      <c r="D185" s="90"/>
      <c r="E185" s="90"/>
      <c r="F185" s="90"/>
      <c r="G185" s="90"/>
    </row>
    <row r="186" spans="3:7" ht="15.75" customHeight="1">
      <c r="C186" s="90"/>
      <c r="D186" s="90"/>
      <c r="E186" s="90"/>
      <c r="F186" s="90"/>
      <c r="G186" s="90"/>
    </row>
    <row r="187" spans="3:7" ht="15.75" customHeight="1">
      <c r="C187" s="90"/>
      <c r="D187" s="90"/>
      <c r="E187" s="90"/>
      <c r="F187" s="90"/>
      <c r="G187" s="90"/>
    </row>
    <row r="188" spans="3:7" ht="15.75" customHeight="1">
      <c r="C188" s="90"/>
      <c r="D188" s="90"/>
      <c r="E188" s="90"/>
      <c r="F188" s="90"/>
      <c r="G188" s="90"/>
    </row>
    <row r="189" spans="3:7" ht="15.75" customHeight="1">
      <c r="C189" s="90"/>
      <c r="D189" s="90"/>
      <c r="E189" s="90"/>
      <c r="F189" s="90"/>
      <c r="G189" s="90"/>
    </row>
    <row r="190" spans="3:7" ht="15.75" customHeight="1">
      <c r="C190" s="90"/>
      <c r="D190" s="90"/>
      <c r="E190" s="90"/>
      <c r="F190" s="90"/>
      <c r="G190" s="90"/>
    </row>
    <row r="191" spans="3:7" ht="15.75" customHeight="1">
      <c r="C191" s="90"/>
      <c r="D191" s="90"/>
      <c r="E191" s="90"/>
      <c r="F191" s="90"/>
      <c r="G191" s="90"/>
    </row>
    <row r="192" spans="3:7" ht="15.75" customHeight="1">
      <c r="C192" s="90"/>
      <c r="D192" s="90"/>
      <c r="E192" s="90"/>
      <c r="F192" s="90"/>
      <c r="G192" s="90"/>
    </row>
    <row r="193" spans="3:7" ht="15.75" customHeight="1">
      <c r="C193" s="90"/>
      <c r="D193" s="90"/>
      <c r="E193" s="90"/>
      <c r="F193" s="90"/>
      <c r="G193" s="90"/>
    </row>
    <row r="194" spans="3:7" ht="15.75" customHeight="1">
      <c r="C194" s="90"/>
      <c r="D194" s="90"/>
      <c r="E194" s="90"/>
      <c r="F194" s="90"/>
      <c r="G194" s="90"/>
    </row>
    <row r="195" spans="3:7" ht="15.75" customHeight="1">
      <c r="C195" s="90"/>
      <c r="D195" s="90"/>
      <c r="E195" s="90"/>
      <c r="F195" s="90"/>
      <c r="G195" s="90"/>
    </row>
    <row r="196" spans="3:7" ht="15.75" customHeight="1">
      <c r="C196" s="90"/>
      <c r="D196" s="90"/>
      <c r="E196" s="90"/>
      <c r="F196" s="90"/>
      <c r="G196" s="90"/>
    </row>
    <row r="197" spans="3:7" ht="15.75" customHeight="1">
      <c r="C197" s="90"/>
      <c r="D197" s="90"/>
      <c r="E197" s="90"/>
      <c r="F197" s="90"/>
      <c r="G197" s="90"/>
    </row>
    <row r="198" spans="3:7" ht="15.75" customHeight="1">
      <c r="C198" s="90"/>
      <c r="D198" s="90"/>
      <c r="E198" s="90"/>
      <c r="F198" s="90"/>
      <c r="G198" s="90"/>
    </row>
    <row r="199" spans="3:7" ht="15.75" customHeight="1">
      <c r="C199" s="90"/>
      <c r="D199" s="90"/>
      <c r="E199" s="90"/>
      <c r="F199" s="90"/>
      <c r="G199" s="90"/>
    </row>
    <row r="200" spans="3:7" ht="15.75" customHeight="1">
      <c r="C200" s="90"/>
      <c r="D200" s="90"/>
      <c r="E200" s="90"/>
      <c r="F200" s="90"/>
      <c r="G200" s="90"/>
    </row>
    <row r="201" spans="3:7" ht="15.75" customHeight="1">
      <c r="C201" s="90"/>
      <c r="D201" s="90"/>
      <c r="E201" s="90"/>
      <c r="F201" s="90"/>
      <c r="G201" s="90"/>
    </row>
    <row r="202" spans="3:7" ht="15.75" customHeight="1">
      <c r="C202" s="90"/>
      <c r="D202" s="90"/>
      <c r="E202" s="90"/>
      <c r="F202" s="90"/>
      <c r="G202" s="90"/>
    </row>
    <row r="203" spans="3:7" ht="15.75" customHeight="1">
      <c r="C203" s="90"/>
      <c r="D203" s="90"/>
      <c r="E203" s="90"/>
      <c r="F203" s="90"/>
      <c r="G203" s="90"/>
    </row>
    <row r="204" spans="3:7" ht="15.75" customHeight="1">
      <c r="C204" s="90"/>
      <c r="D204" s="90"/>
      <c r="E204" s="90"/>
      <c r="F204" s="90"/>
      <c r="G204" s="90"/>
    </row>
    <row r="205" spans="3:7" ht="15.75" customHeight="1">
      <c r="C205" s="90"/>
      <c r="D205" s="90"/>
      <c r="E205" s="90"/>
      <c r="F205" s="90"/>
      <c r="G205" s="90"/>
    </row>
    <row r="206" spans="3:7" ht="15.75" customHeight="1">
      <c r="C206" s="90"/>
      <c r="D206" s="90"/>
      <c r="E206" s="90"/>
      <c r="F206" s="90"/>
      <c r="G206" s="90"/>
    </row>
    <row r="207" spans="3:7" ht="15.75" customHeight="1">
      <c r="C207" s="90"/>
      <c r="D207" s="90"/>
      <c r="E207" s="90"/>
      <c r="F207" s="90"/>
      <c r="G207" s="90"/>
    </row>
    <row r="208" spans="3:7" ht="15.75" customHeight="1">
      <c r="C208" s="90"/>
      <c r="D208" s="90"/>
      <c r="E208" s="90"/>
      <c r="F208" s="90"/>
      <c r="G208" s="90"/>
    </row>
    <row r="209" spans="3:7" ht="15.75" customHeight="1">
      <c r="C209" s="90"/>
      <c r="D209" s="90"/>
      <c r="E209" s="90"/>
      <c r="F209" s="90"/>
      <c r="G209" s="90"/>
    </row>
    <row r="210" spans="3:7" ht="15.75" customHeight="1">
      <c r="C210" s="90"/>
      <c r="D210" s="90"/>
      <c r="E210" s="90"/>
      <c r="F210" s="90"/>
      <c r="G210" s="90"/>
    </row>
    <row r="211" spans="3:7" ht="15.75" customHeight="1">
      <c r="C211" s="90"/>
      <c r="D211" s="90"/>
      <c r="E211" s="90"/>
      <c r="F211" s="90"/>
      <c r="G211" s="90"/>
    </row>
    <row r="212" spans="3:7" ht="15.75" customHeight="1">
      <c r="C212" s="90"/>
      <c r="D212" s="90"/>
      <c r="E212" s="90"/>
      <c r="F212" s="90"/>
      <c r="G212" s="90"/>
    </row>
    <row r="213" spans="3:7" ht="15.75" customHeight="1">
      <c r="C213" s="90"/>
      <c r="D213" s="90"/>
      <c r="E213" s="90"/>
      <c r="F213" s="90"/>
      <c r="G213" s="90"/>
    </row>
    <row r="214" spans="3:7" ht="15.75" customHeight="1">
      <c r="C214" s="90"/>
      <c r="D214" s="90"/>
      <c r="E214" s="90"/>
      <c r="F214" s="90"/>
      <c r="G214" s="90"/>
    </row>
    <row r="215" spans="3:7" ht="15.75" customHeight="1">
      <c r="C215" s="90"/>
      <c r="D215" s="90"/>
      <c r="E215" s="90"/>
      <c r="F215" s="90"/>
      <c r="G215" s="90"/>
    </row>
    <row r="216" spans="3:7" ht="15.75" customHeight="1">
      <c r="C216" s="90"/>
      <c r="D216" s="90"/>
      <c r="E216" s="90"/>
      <c r="F216" s="90"/>
      <c r="G216" s="90"/>
    </row>
    <row r="217" spans="3:7" ht="15.75" customHeight="1">
      <c r="C217" s="90"/>
      <c r="D217" s="90"/>
      <c r="E217" s="90"/>
      <c r="F217" s="90"/>
      <c r="G217" s="90"/>
    </row>
    <row r="218" spans="3:7" ht="15.75" customHeight="1">
      <c r="C218" s="90"/>
      <c r="D218" s="90"/>
      <c r="E218" s="90"/>
      <c r="F218" s="90"/>
      <c r="G218" s="90"/>
    </row>
    <row r="219" spans="3:7" ht="15.75" customHeight="1">
      <c r="C219" s="90"/>
      <c r="D219" s="90"/>
      <c r="E219" s="90"/>
      <c r="F219" s="90"/>
      <c r="G219" s="90"/>
    </row>
    <row r="220" spans="3:7" ht="15.75" customHeight="1">
      <c r="C220" s="90"/>
      <c r="D220" s="90"/>
      <c r="E220" s="90"/>
      <c r="F220" s="90"/>
      <c r="G220" s="90"/>
    </row>
    <row r="221" spans="3:7" ht="15.75" customHeight="1">
      <c r="C221" s="90"/>
      <c r="D221" s="90"/>
      <c r="E221" s="90"/>
      <c r="F221" s="90"/>
      <c r="G221" s="90"/>
    </row>
    <row r="222" spans="3:7" ht="15.75" customHeight="1">
      <c r="C222" s="90"/>
      <c r="D222" s="90"/>
      <c r="E222" s="90"/>
      <c r="F222" s="90"/>
      <c r="G222" s="90"/>
    </row>
    <row r="223" spans="3:7" ht="15.75" customHeight="1">
      <c r="C223" s="90"/>
      <c r="D223" s="90"/>
      <c r="E223" s="90"/>
      <c r="F223" s="90"/>
      <c r="G223" s="90"/>
    </row>
    <row r="224" spans="3:7" ht="15.75" customHeight="1">
      <c r="C224" s="90"/>
      <c r="D224" s="90"/>
      <c r="E224" s="90"/>
      <c r="F224" s="90"/>
      <c r="G224" s="90"/>
    </row>
    <row r="225" spans="3:7" ht="15.75" customHeight="1">
      <c r="C225" s="90"/>
      <c r="D225" s="90"/>
      <c r="E225" s="90"/>
      <c r="F225" s="90"/>
      <c r="G225" s="90"/>
    </row>
    <row r="226" spans="3:7" ht="15.75" customHeight="1">
      <c r="C226" s="90"/>
      <c r="D226" s="90"/>
      <c r="E226" s="90"/>
      <c r="F226" s="90"/>
      <c r="G226" s="90"/>
    </row>
    <row r="227" spans="3:7" ht="15.75" customHeight="1">
      <c r="C227" s="90"/>
      <c r="D227" s="90"/>
      <c r="E227" s="90"/>
      <c r="F227" s="90"/>
      <c r="G227" s="90"/>
    </row>
    <row r="228" spans="3:7" ht="15.75" customHeight="1">
      <c r="C228" s="90"/>
      <c r="D228" s="90"/>
      <c r="E228" s="90"/>
      <c r="F228" s="90"/>
      <c r="G228" s="90"/>
    </row>
    <row r="229" spans="3:7" ht="15.75" customHeight="1">
      <c r="C229" s="90"/>
      <c r="D229" s="90"/>
      <c r="E229" s="90"/>
      <c r="F229" s="90"/>
      <c r="G229" s="90"/>
    </row>
    <row r="230" spans="3:7" ht="15.75" customHeight="1">
      <c r="C230" s="90"/>
      <c r="D230" s="90"/>
      <c r="E230" s="90"/>
      <c r="F230" s="90"/>
      <c r="G230" s="90"/>
    </row>
    <row r="231" spans="3:7" ht="15.75" customHeight="1">
      <c r="C231" s="90"/>
      <c r="D231" s="90"/>
      <c r="E231" s="90"/>
      <c r="F231" s="90"/>
      <c r="G231" s="90"/>
    </row>
    <row r="232" spans="3:7" ht="15.75" customHeight="1">
      <c r="C232" s="90"/>
      <c r="D232" s="90"/>
      <c r="E232" s="90"/>
      <c r="F232" s="90"/>
      <c r="G232" s="90"/>
    </row>
    <row r="233" spans="3:7" ht="15.75" customHeight="1">
      <c r="C233" s="90"/>
      <c r="D233" s="90"/>
      <c r="E233" s="90"/>
      <c r="F233" s="90"/>
      <c r="G233" s="90"/>
    </row>
    <row r="234" spans="3:7" ht="15.75" customHeight="1">
      <c r="C234" s="90"/>
      <c r="D234" s="90"/>
      <c r="E234" s="90"/>
      <c r="F234" s="90"/>
      <c r="G234" s="90"/>
    </row>
    <row r="235" spans="3:7" ht="15.75" customHeight="1">
      <c r="C235" s="90"/>
      <c r="D235" s="90"/>
      <c r="E235" s="90"/>
      <c r="F235" s="90"/>
      <c r="G235" s="90"/>
    </row>
    <row r="236" spans="3:7" ht="15.75" customHeight="1">
      <c r="C236" s="90"/>
      <c r="D236" s="90"/>
      <c r="E236" s="90"/>
      <c r="F236" s="90"/>
      <c r="G236" s="90"/>
    </row>
    <row r="237" spans="3:7" ht="15.75" customHeight="1">
      <c r="C237" s="90"/>
      <c r="D237" s="90"/>
      <c r="E237" s="90"/>
      <c r="F237" s="90"/>
      <c r="G237" s="90"/>
    </row>
    <row r="238" spans="3:7" ht="15.75" customHeight="1">
      <c r="C238" s="90"/>
      <c r="D238" s="90"/>
      <c r="E238" s="90"/>
      <c r="F238" s="90"/>
      <c r="G238" s="90"/>
    </row>
    <row r="239" spans="3:7" ht="15.75" customHeight="1">
      <c r="C239" s="90"/>
      <c r="D239" s="90"/>
      <c r="E239" s="90"/>
      <c r="F239" s="90"/>
      <c r="G239" s="90"/>
    </row>
    <row r="240" spans="3:7" ht="15.75" customHeight="1">
      <c r="C240" s="90"/>
      <c r="D240" s="90"/>
      <c r="E240" s="90"/>
      <c r="F240" s="90"/>
      <c r="G240" s="90"/>
    </row>
    <row r="241" spans="3:7" ht="15.75" customHeight="1">
      <c r="C241" s="90"/>
      <c r="D241" s="90"/>
      <c r="E241" s="90"/>
      <c r="F241" s="90"/>
      <c r="G241" s="90"/>
    </row>
    <row r="242" spans="3:7" ht="15.75" customHeight="1">
      <c r="C242" s="90"/>
      <c r="D242" s="90"/>
      <c r="E242" s="90"/>
      <c r="F242" s="90"/>
      <c r="G242" s="90"/>
    </row>
    <row r="243" spans="3:7" ht="15.75" customHeight="1">
      <c r="C243" s="90"/>
      <c r="D243" s="90"/>
      <c r="E243" s="90"/>
      <c r="F243" s="90"/>
      <c r="G243" s="90"/>
    </row>
    <row r="244" spans="3:7" ht="15.75" customHeight="1">
      <c r="C244" s="90"/>
      <c r="D244" s="90"/>
      <c r="E244" s="90"/>
      <c r="F244" s="90"/>
      <c r="G244" s="90"/>
    </row>
    <row r="245" spans="3:7" ht="15.75" customHeight="1">
      <c r="C245" s="90"/>
      <c r="D245" s="90"/>
      <c r="E245" s="90"/>
      <c r="F245" s="90"/>
      <c r="G245" s="90"/>
    </row>
    <row r="246" spans="3:7" ht="15.75" customHeight="1">
      <c r="C246" s="90"/>
      <c r="D246" s="90"/>
      <c r="E246" s="90"/>
      <c r="F246" s="90"/>
      <c r="G246" s="90"/>
    </row>
    <row r="247" spans="3:7" ht="15.75" customHeight="1">
      <c r="C247" s="90"/>
      <c r="D247" s="90"/>
      <c r="E247" s="90"/>
      <c r="F247" s="90"/>
      <c r="G247" s="90"/>
    </row>
    <row r="248" spans="3:7" ht="15.75" customHeight="1">
      <c r="C248" s="90"/>
      <c r="D248" s="90"/>
      <c r="E248" s="90"/>
      <c r="F248" s="90"/>
      <c r="G248" s="90"/>
    </row>
    <row r="249" spans="3:7" ht="15.75" customHeight="1">
      <c r="C249" s="90"/>
      <c r="D249" s="90"/>
      <c r="E249" s="90"/>
      <c r="F249" s="90"/>
      <c r="G249" s="90"/>
    </row>
    <row r="250" spans="3:7" ht="15.75" customHeight="1">
      <c r="C250" s="90"/>
      <c r="D250" s="90"/>
      <c r="E250" s="90"/>
      <c r="F250" s="90"/>
      <c r="G250" s="90"/>
    </row>
    <row r="251" spans="3:7" ht="15.75" customHeight="1">
      <c r="C251" s="90"/>
      <c r="D251" s="90"/>
      <c r="E251" s="90"/>
      <c r="F251" s="90"/>
      <c r="G251" s="90"/>
    </row>
    <row r="252" spans="3:7" ht="15.75" customHeight="1">
      <c r="C252" s="90"/>
      <c r="D252" s="90"/>
      <c r="E252" s="90"/>
      <c r="F252" s="90"/>
      <c r="G252" s="90"/>
    </row>
    <row r="253" spans="3:7" ht="15.75" customHeight="1">
      <c r="C253" s="90"/>
      <c r="D253" s="90"/>
      <c r="E253" s="90"/>
      <c r="F253" s="90"/>
      <c r="G253" s="90"/>
    </row>
    <row r="254" spans="3:7" ht="15.75" customHeight="1">
      <c r="C254" s="90"/>
      <c r="D254" s="90"/>
      <c r="E254" s="90"/>
      <c r="F254" s="90"/>
      <c r="G254" s="90"/>
    </row>
    <row r="255" spans="3:7" ht="15.75" customHeight="1">
      <c r="C255" s="90"/>
      <c r="D255" s="90"/>
      <c r="E255" s="90"/>
      <c r="F255" s="90"/>
      <c r="G255" s="90"/>
    </row>
    <row r="256" spans="3:7" ht="15.75" customHeight="1">
      <c r="C256" s="90"/>
      <c r="D256" s="90"/>
      <c r="E256" s="90"/>
      <c r="F256" s="90"/>
      <c r="G256" s="90"/>
    </row>
    <row r="257" spans="3:7" ht="15.75" customHeight="1">
      <c r="C257" s="90"/>
      <c r="D257" s="90"/>
      <c r="E257" s="90"/>
      <c r="F257" s="90"/>
      <c r="G257" s="90"/>
    </row>
    <row r="258" spans="3:7" ht="15.75" customHeight="1">
      <c r="C258" s="90"/>
      <c r="D258" s="90"/>
      <c r="E258" s="90"/>
      <c r="F258" s="90"/>
      <c r="G258" s="90"/>
    </row>
    <row r="259" spans="3:7" ht="15.75" customHeight="1">
      <c r="C259" s="90"/>
      <c r="D259" s="90"/>
      <c r="E259" s="90"/>
      <c r="F259" s="90"/>
      <c r="G259" s="90"/>
    </row>
    <row r="260" spans="3:7" ht="15.75" customHeight="1">
      <c r="C260" s="90"/>
      <c r="D260" s="90"/>
      <c r="E260" s="90"/>
      <c r="F260" s="90"/>
      <c r="G260" s="90"/>
    </row>
    <row r="261" spans="3:7" ht="15.75" customHeight="1">
      <c r="C261" s="90"/>
      <c r="D261" s="90"/>
      <c r="E261" s="90"/>
      <c r="F261" s="90"/>
      <c r="G261" s="90"/>
    </row>
    <row r="262" spans="3:7" ht="15.75" customHeight="1">
      <c r="C262" s="90"/>
      <c r="D262" s="90"/>
      <c r="E262" s="90"/>
      <c r="F262" s="90"/>
      <c r="G262" s="90"/>
    </row>
    <row r="263" spans="3:7" ht="15.75" customHeight="1">
      <c r="C263" s="90"/>
      <c r="D263" s="90"/>
      <c r="E263" s="90"/>
      <c r="F263" s="90"/>
      <c r="G263" s="90"/>
    </row>
    <row r="264" spans="3:7" ht="15.75" customHeight="1">
      <c r="C264" s="90"/>
      <c r="D264" s="90"/>
      <c r="E264" s="90"/>
      <c r="F264" s="90"/>
      <c r="G264" s="90"/>
    </row>
    <row r="265" spans="3:7" ht="15.75" customHeight="1">
      <c r="C265" s="90"/>
      <c r="D265" s="90"/>
      <c r="E265" s="90"/>
      <c r="F265" s="90"/>
      <c r="G265" s="90"/>
    </row>
    <row r="266" spans="3:7" ht="15.75" customHeight="1">
      <c r="C266" s="90"/>
      <c r="D266" s="90"/>
      <c r="E266" s="90"/>
      <c r="F266" s="90"/>
      <c r="G266" s="90"/>
    </row>
    <row r="267" spans="3:7" ht="15.75" customHeight="1">
      <c r="C267" s="90"/>
      <c r="D267" s="90"/>
      <c r="E267" s="90"/>
      <c r="F267" s="90"/>
      <c r="G267" s="90"/>
    </row>
    <row r="268" spans="3:7" ht="15.75" customHeight="1">
      <c r="C268" s="90"/>
      <c r="D268" s="90"/>
      <c r="E268" s="90"/>
      <c r="F268" s="90"/>
      <c r="G268" s="90"/>
    </row>
    <row r="269" spans="3:7" ht="15.75" customHeight="1">
      <c r="C269" s="90"/>
      <c r="D269" s="90"/>
      <c r="E269" s="90"/>
      <c r="F269" s="90"/>
      <c r="G269" s="90"/>
    </row>
    <row r="270" spans="3:7" ht="15.75" customHeight="1">
      <c r="C270" s="90"/>
      <c r="D270" s="90"/>
      <c r="E270" s="90"/>
      <c r="F270" s="90"/>
      <c r="G270" s="90"/>
    </row>
    <row r="271" spans="3:7" ht="15.75" customHeight="1">
      <c r="C271" s="90"/>
      <c r="D271" s="90"/>
      <c r="E271" s="90"/>
      <c r="F271" s="90"/>
      <c r="G271" s="90"/>
    </row>
    <row r="272" spans="3:7" ht="15.75" customHeight="1">
      <c r="C272" s="90"/>
      <c r="D272" s="90"/>
      <c r="E272" s="90"/>
      <c r="F272" s="90"/>
      <c r="G272" s="90"/>
    </row>
    <row r="273" spans="3:7" ht="15.75" customHeight="1">
      <c r="C273" s="90"/>
      <c r="D273" s="90"/>
      <c r="E273" s="90"/>
      <c r="F273" s="90"/>
      <c r="G273" s="90"/>
    </row>
    <row r="274" spans="3:7" ht="15.75" customHeight="1">
      <c r="C274" s="90"/>
      <c r="D274" s="90"/>
      <c r="E274" s="90"/>
      <c r="F274" s="90"/>
      <c r="G274" s="90"/>
    </row>
    <row r="275" spans="3:7" ht="15.75" customHeight="1">
      <c r="C275" s="90"/>
      <c r="D275" s="90"/>
      <c r="E275" s="90"/>
      <c r="F275" s="90"/>
      <c r="G275" s="90"/>
    </row>
    <row r="276" spans="3:7" ht="15.75" customHeight="1">
      <c r="C276" s="90"/>
      <c r="D276" s="90"/>
      <c r="E276" s="90"/>
      <c r="F276" s="90"/>
      <c r="G276" s="90"/>
    </row>
    <row r="277" spans="3:7" ht="15.75" customHeight="1">
      <c r="C277" s="90"/>
      <c r="D277" s="90"/>
      <c r="E277" s="90"/>
      <c r="F277" s="90"/>
      <c r="G277" s="90"/>
    </row>
    <row r="278" spans="3:7" ht="15.75" customHeight="1">
      <c r="C278" s="90"/>
      <c r="D278" s="90"/>
      <c r="E278" s="90"/>
      <c r="F278" s="90"/>
      <c r="G278" s="90"/>
    </row>
    <row r="279" spans="3:7" ht="15.75" customHeight="1">
      <c r="C279" s="90"/>
      <c r="D279" s="90"/>
      <c r="E279" s="90"/>
      <c r="F279" s="90"/>
      <c r="G279" s="90"/>
    </row>
    <row r="280" spans="3:7" ht="15.75" customHeight="1">
      <c r="C280" s="90"/>
      <c r="D280" s="90"/>
      <c r="E280" s="90"/>
      <c r="F280" s="90"/>
      <c r="G280" s="90"/>
    </row>
    <row r="281" spans="3:7" ht="15.75" customHeight="1">
      <c r="C281" s="90"/>
      <c r="D281" s="90"/>
      <c r="E281" s="90"/>
      <c r="F281" s="90"/>
      <c r="G281" s="90"/>
    </row>
    <row r="282" spans="3:7" ht="15.75" customHeight="1">
      <c r="C282" s="90"/>
      <c r="D282" s="90"/>
      <c r="E282" s="90"/>
      <c r="F282" s="90"/>
      <c r="G282" s="90"/>
    </row>
    <row r="283" spans="3:7" ht="15.75" customHeight="1">
      <c r="C283" s="90"/>
      <c r="D283" s="90"/>
      <c r="E283" s="90"/>
      <c r="F283" s="90"/>
      <c r="G283" s="90"/>
    </row>
    <row r="284" spans="3:7" ht="15.75" customHeight="1">
      <c r="C284" s="90"/>
      <c r="D284" s="90"/>
      <c r="E284" s="90"/>
      <c r="F284" s="90"/>
      <c r="G284" s="90"/>
    </row>
    <row r="285" spans="3:7" ht="15.75" customHeight="1">
      <c r="C285" s="90"/>
      <c r="D285" s="90"/>
      <c r="E285" s="90"/>
      <c r="F285" s="90"/>
      <c r="G285" s="90"/>
    </row>
    <row r="286" spans="3:7" ht="15.75" customHeight="1">
      <c r="C286" s="90"/>
      <c r="D286" s="90"/>
      <c r="E286" s="90"/>
      <c r="F286" s="90"/>
      <c r="G286" s="90"/>
    </row>
    <row r="287" spans="3:7" ht="15.75" customHeight="1">
      <c r="C287" s="90"/>
      <c r="D287" s="90"/>
      <c r="E287" s="90"/>
      <c r="F287" s="90"/>
      <c r="G287" s="90"/>
    </row>
    <row r="288" spans="3:7" ht="15.75" customHeight="1">
      <c r="C288" s="90"/>
      <c r="D288" s="90"/>
      <c r="E288" s="90"/>
      <c r="F288" s="90"/>
      <c r="G288" s="90"/>
    </row>
    <row r="289" spans="3:7" ht="15.75" customHeight="1">
      <c r="C289" s="90"/>
      <c r="D289" s="90"/>
      <c r="E289" s="90"/>
      <c r="F289" s="90"/>
      <c r="G289" s="90"/>
    </row>
    <row r="290" spans="3:7" ht="15.75" customHeight="1">
      <c r="C290" s="90"/>
      <c r="D290" s="90"/>
      <c r="E290" s="90"/>
      <c r="F290" s="90"/>
      <c r="G290" s="90"/>
    </row>
    <row r="291" spans="3:7" ht="15.75" customHeight="1"/>
    <row r="292" spans="3:7" ht="15.75" customHeight="1"/>
    <row r="293" spans="3:7" ht="15.75" customHeight="1"/>
    <row r="294" spans="3:7" ht="15.75" customHeight="1"/>
    <row r="295" spans="3:7" ht="15.75" customHeight="1"/>
    <row r="296" spans="3:7" ht="15.75" customHeight="1"/>
    <row r="297" spans="3:7" ht="15.75" customHeight="1"/>
    <row r="298" spans="3:7" ht="15.75" customHeight="1"/>
    <row r="299" spans="3:7" ht="15.75" customHeight="1"/>
    <row r="300" spans="3:7" ht="15.75" customHeight="1"/>
    <row r="301" spans="3:7" ht="15.75" customHeight="1"/>
    <row r="302" spans="3:7" ht="15.75" customHeight="1"/>
    <row r="303" spans="3:7" ht="15.75" customHeight="1"/>
    <row r="304" spans="3: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6">
    <mergeCell ref="G3:G4"/>
    <mergeCell ref="B21:F21"/>
    <mergeCell ref="C3:F3"/>
    <mergeCell ref="A104:B104"/>
    <mergeCell ref="A3:A4"/>
    <mergeCell ref="B3:B4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</sheetPr>
  <dimension ref="A1:BZ330"/>
  <sheetViews>
    <sheetView tabSelected="1" zoomScaleNormal="100" workbookViewId="0">
      <pane xSplit="3" ySplit="4" topLeftCell="AD254" activePane="bottomRight" state="frozen"/>
      <selection activeCell="D103" sqref="D103"/>
      <selection pane="topRight" activeCell="D103" sqref="D103"/>
      <selection pane="bottomLeft" activeCell="D103" sqref="D103"/>
      <selection pane="bottomRight" activeCell="AD263" sqref="AD263"/>
    </sheetView>
  </sheetViews>
  <sheetFormatPr defaultColWidth="14.42578125" defaultRowHeight="15" customHeight="1"/>
  <cols>
    <col min="1" max="1" width="1.140625" customWidth="1"/>
    <col min="2" max="2" width="5.7109375" customWidth="1"/>
    <col min="3" max="3" width="28.140625" customWidth="1"/>
    <col min="4" max="4" width="18.42578125" customWidth="1"/>
    <col min="5" max="5" width="12.7109375" style="262" customWidth="1"/>
    <col min="6" max="6" width="12.42578125" style="262" customWidth="1"/>
    <col min="7" max="7" width="12.140625" customWidth="1"/>
    <col min="8" max="8" width="10.140625" customWidth="1"/>
    <col min="9" max="9" width="16.7109375" customWidth="1"/>
    <col min="10" max="10" width="17.28515625" customWidth="1"/>
    <col min="11" max="11" width="16.85546875" customWidth="1"/>
    <col min="12" max="12" width="14.5703125" customWidth="1"/>
    <col min="13" max="13" width="29.85546875" customWidth="1"/>
    <col min="14" max="14" width="26.5703125" customWidth="1"/>
    <col min="15" max="17" width="13.42578125" customWidth="1"/>
    <col min="18" max="18" width="18.42578125" customWidth="1"/>
    <col min="19" max="20" width="31.42578125" customWidth="1"/>
    <col min="21" max="21" width="21.7109375" customWidth="1"/>
    <col min="22" max="22" width="23.5703125" customWidth="1"/>
    <col min="23" max="23" width="15.140625" customWidth="1"/>
    <col min="24" max="24" width="21.42578125" customWidth="1"/>
    <col min="25" max="26" width="13.42578125" customWidth="1"/>
    <col min="27" max="27" width="10.42578125" customWidth="1"/>
    <col min="28" max="28" width="7.7109375" customWidth="1"/>
    <col min="29" max="29" width="13.140625" customWidth="1"/>
    <col min="30" max="30" width="30.7109375" customWidth="1"/>
    <col min="31" max="31" width="15.5703125" customWidth="1"/>
    <col min="32" max="32" width="13.7109375" customWidth="1"/>
    <col min="33" max="33" width="19.42578125" customWidth="1"/>
    <col min="34" max="34" width="12.42578125" bestFit="1" customWidth="1"/>
    <col min="35" max="35" width="11.28515625" bestFit="1" customWidth="1"/>
    <col min="36" max="36" width="16.5703125" customWidth="1"/>
    <col min="37" max="37" width="22.42578125" customWidth="1"/>
    <col min="38" max="38" width="28" customWidth="1"/>
    <col min="39" max="39" width="24.42578125" customWidth="1"/>
    <col min="40" max="40" width="20.5703125" customWidth="1"/>
    <col min="41" max="41" width="17.5703125" customWidth="1"/>
    <col min="42" max="42" width="18.5703125" customWidth="1"/>
    <col min="43" max="43" width="15.140625" customWidth="1"/>
    <col min="44" max="44" width="13.42578125" customWidth="1"/>
    <col min="45" max="45" width="12.140625" customWidth="1"/>
    <col min="46" max="46" width="17.5703125" customWidth="1"/>
    <col min="47" max="47" width="12.85546875" customWidth="1"/>
    <col min="48" max="48" width="16.140625" customWidth="1"/>
    <col min="49" max="49" width="9.42578125" customWidth="1"/>
    <col min="50" max="50" width="12.5703125" customWidth="1"/>
    <col min="51" max="51" width="19.140625" customWidth="1"/>
    <col min="52" max="52" width="22.5703125" customWidth="1"/>
    <col min="53" max="53" width="12.5703125" customWidth="1"/>
    <col min="54" max="54" width="14.28515625" customWidth="1"/>
    <col min="55" max="55" width="23.7109375" customWidth="1"/>
    <col min="56" max="56" width="23.28515625" customWidth="1"/>
    <col min="57" max="57" width="12.5703125" customWidth="1"/>
    <col min="58" max="58" width="8.140625" customWidth="1"/>
    <col min="59" max="59" width="10.140625" customWidth="1"/>
    <col min="60" max="60" width="17.7109375" customWidth="1"/>
    <col min="61" max="61" width="19.140625" customWidth="1"/>
    <col min="62" max="62" width="19.7109375" customWidth="1"/>
    <col min="63" max="63" width="9.85546875" customWidth="1"/>
    <col min="64" max="64" width="10.28515625" customWidth="1"/>
    <col min="65" max="65" width="10.5703125" customWidth="1"/>
    <col min="66" max="66" width="12.42578125" customWidth="1"/>
    <col min="67" max="67" width="8.28515625" customWidth="1"/>
    <col min="68" max="68" width="8.5703125" customWidth="1"/>
    <col min="69" max="69" width="7.5703125" customWidth="1"/>
    <col min="70" max="70" width="13.140625" customWidth="1"/>
    <col min="71" max="71" width="12.140625" customWidth="1"/>
    <col min="72" max="72" width="12.7109375" customWidth="1"/>
    <col min="73" max="73" width="11.28515625" customWidth="1"/>
    <col min="74" max="74" width="13.140625" customWidth="1"/>
    <col min="75" max="75" width="9" customWidth="1"/>
    <col min="76" max="76" width="9.28515625" customWidth="1"/>
    <col min="77" max="77" width="11.85546875" customWidth="1"/>
  </cols>
  <sheetData>
    <row r="1" spans="1:78" ht="11.25" customHeight="1">
      <c r="A1" s="108"/>
      <c r="B1" s="108"/>
      <c r="C1" s="108"/>
      <c r="D1" s="109"/>
      <c r="E1" s="131"/>
      <c r="F1" s="131"/>
      <c r="G1" s="108"/>
      <c r="H1" s="108"/>
      <c r="I1" s="111"/>
      <c r="J1" s="108"/>
      <c r="K1" s="108"/>
      <c r="L1" s="108"/>
      <c r="M1" s="108"/>
      <c r="N1" s="112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11"/>
      <c r="AB1" s="113"/>
      <c r="AC1" s="108"/>
      <c r="AD1" s="108"/>
      <c r="AE1" s="108"/>
      <c r="AF1" s="108"/>
      <c r="AG1" s="108"/>
      <c r="AH1" s="114"/>
      <c r="AI1" s="115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15"/>
      <c r="AW1" s="108"/>
      <c r="AX1" s="108"/>
      <c r="AY1" s="108"/>
      <c r="AZ1" s="108"/>
      <c r="BA1" s="108"/>
      <c r="BB1" s="108"/>
      <c r="BC1" s="108"/>
      <c r="BD1" s="108"/>
      <c r="BE1" s="108"/>
      <c r="BF1" s="116"/>
      <c r="BG1" s="116"/>
      <c r="BH1" s="108"/>
      <c r="BI1" s="108"/>
      <c r="BJ1" s="108"/>
      <c r="BK1" s="111"/>
      <c r="BL1" s="111"/>
      <c r="BM1" s="111"/>
      <c r="BN1" s="111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</row>
    <row r="2" spans="1:78" ht="11.25" customHeight="1">
      <c r="A2" s="108"/>
      <c r="B2" s="108"/>
      <c r="C2" s="108"/>
      <c r="D2" s="109"/>
      <c r="E2" s="131"/>
      <c r="F2" s="131"/>
      <c r="G2" s="108"/>
      <c r="H2" s="108"/>
      <c r="I2" s="111"/>
      <c r="J2" s="108"/>
      <c r="K2" s="108"/>
      <c r="L2" s="108"/>
      <c r="M2" s="117">
        <f ca="1">SUMIF(L5:L9,"Direksi",P5:P8)</f>
        <v>0</v>
      </c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11"/>
      <c r="AB2" s="113"/>
      <c r="AC2" s="108"/>
      <c r="AD2" s="108"/>
      <c r="AE2" s="108"/>
      <c r="AF2" s="108"/>
      <c r="AG2" s="108"/>
      <c r="AH2" s="114"/>
      <c r="AI2" s="115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15"/>
      <c r="AW2" s="108"/>
      <c r="AX2" s="108"/>
      <c r="AY2" s="108"/>
      <c r="AZ2" s="108"/>
      <c r="BA2" s="108"/>
      <c r="BB2" s="108"/>
      <c r="BC2" s="108"/>
      <c r="BD2" s="108"/>
      <c r="BE2" s="108"/>
      <c r="BF2" s="116"/>
      <c r="BG2" s="116"/>
      <c r="BH2" s="108"/>
      <c r="BI2" s="108"/>
      <c r="BJ2" s="108"/>
      <c r="BK2" s="111"/>
      <c r="BL2" s="111"/>
      <c r="BM2" s="111"/>
      <c r="BN2" s="111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</row>
    <row r="3" spans="1:78" ht="11.25" customHeight="1">
      <c r="A3" s="108"/>
      <c r="B3" s="108"/>
      <c r="C3" s="118">
        <f ca="1">TODAY()</f>
        <v>45246</v>
      </c>
      <c r="D3" s="109"/>
      <c r="E3" s="131"/>
      <c r="F3" s="131"/>
      <c r="G3" s="108"/>
      <c r="H3" s="108"/>
      <c r="I3" s="111"/>
      <c r="J3" s="108"/>
      <c r="K3" s="108"/>
      <c r="L3" s="108"/>
      <c r="M3" s="108"/>
      <c r="N3" s="112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11"/>
      <c r="AB3" s="113"/>
      <c r="AC3" s="108"/>
      <c r="AD3" s="108"/>
      <c r="AE3" s="108"/>
      <c r="AF3" s="108"/>
      <c r="AG3" s="108"/>
      <c r="AH3" s="114"/>
      <c r="AI3" s="115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15"/>
      <c r="AW3" s="108"/>
      <c r="AX3" s="108"/>
      <c r="AY3" s="108"/>
      <c r="AZ3" s="108"/>
      <c r="BA3" s="108"/>
      <c r="BB3" s="108"/>
      <c r="BC3" s="108"/>
      <c r="BD3" s="108"/>
      <c r="BE3" s="108"/>
      <c r="BF3" s="116"/>
      <c r="BG3" s="116"/>
      <c r="BH3" s="108"/>
      <c r="BI3" s="108"/>
      <c r="BJ3" s="108"/>
      <c r="BK3" s="111"/>
      <c r="BL3" s="111"/>
      <c r="BM3" s="111"/>
      <c r="BN3" s="119" t="s">
        <v>102</v>
      </c>
      <c r="BO3" s="108"/>
      <c r="BP3" s="108"/>
      <c r="BQ3" s="108"/>
      <c r="BR3" s="119" t="s">
        <v>103</v>
      </c>
      <c r="BS3" s="108"/>
      <c r="BT3" s="108"/>
      <c r="BU3" s="108"/>
      <c r="BV3" s="119" t="s">
        <v>104</v>
      </c>
      <c r="BW3" s="108"/>
      <c r="BX3" s="108"/>
      <c r="BY3" s="108"/>
      <c r="BZ3" s="108"/>
    </row>
    <row r="4" spans="1:78" ht="11.25" customHeight="1">
      <c r="A4" s="119"/>
      <c r="B4" s="120" t="s">
        <v>1</v>
      </c>
      <c r="C4" s="120" t="s">
        <v>105</v>
      </c>
      <c r="D4" s="121" t="s">
        <v>106</v>
      </c>
      <c r="E4" s="260" t="s">
        <v>107</v>
      </c>
      <c r="F4" s="260" t="s">
        <v>108</v>
      </c>
      <c r="G4" s="120" t="s">
        <v>109</v>
      </c>
      <c r="H4" s="120" t="s">
        <v>110</v>
      </c>
      <c r="I4" s="122" t="s">
        <v>111</v>
      </c>
      <c r="J4" s="120" t="s">
        <v>112</v>
      </c>
      <c r="K4" s="120" t="s">
        <v>113</v>
      </c>
      <c r="L4" s="120" t="s">
        <v>114</v>
      </c>
      <c r="M4" s="120" t="s">
        <v>115</v>
      </c>
      <c r="N4" s="123" t="s">
        <v>116</v>
      </c>
      <c r="O4" s="122" t="s">
        <v>117</v>
      </c>
      <c r="P4" s="120" t="s">
        <v>118</v>
      </c>
      <c r="Q4" s="211" t="s">
        <v>4101</v>
      </c>
      <c r="R4" s="120" t="s">
        <v>4119</v>
      </c>
      <c r="S4" s="120" t="s">
        <v>119</v>
      </c>
      <c r="T4" s="120" t="s">
        <v>120</v>
      </c>
      <c r="U4" s="120" t="s">
        <v>121</v>
      </c>
      <c r="V4" s="120" t="s">
        <v>122</v>
      </c>
      <c r="W4" s="120" t="s">
        <v>123</v>
      </c>
      <c r="X4" s="120" t="s">
        <v>124</v>
      </c>
      <c r="Y4" s="120" t="s">
        <v>125</v>
      </c>
      <c r="Z4" s="120" t="s">
        <v>126</v>
      </c>
      <c r="AA4" s="122" t="s">
        <v>127</v>
      </c>
      <c r="AB4" s="124" t="s">
        <v>128</v>
      </c>
      <c r="AC4" s="120" t="s">
        <v>129</v>
      </c>
      <c r="AD4" s="120" t="s">
        <v>130</v>
      </c>
      <c r="AE4" s="120" t="s">
        <v>131</v>
      </c>
      <c r="AF4" s="120" t="s">
        <v>132</v>
      </c>
      <c r="AG4" s="120" t="s">
        <v>133</v>
      </c>
      <c r="AH4" s="125" t="s">
        <v>134</v>
      </c>
      <c r="AI4" s="126" t="s">
        <v>135</v>
      </c>
      <c r="AJ4" s="120" t="s">
        <v>136</v>
      </c>
      <c r="AK4" s="120" t="s">
        <v>137</v>
      </c>
      <c r="AL4" s="120" t="s">
        <v>138</v>
      </c>
      <c r="AM4" s="120" t="s">
        <v>139</v>
      </c>
      <c r="AN4" s="120" t="s">
        <v>140</v>
      </c>
      <c r="AO4" s="120" t="s">
        <v>141</v>
      </c>
      <c r="AP4" s="120" t="s">
        <v>142</v>
      </c>
      <c r="AQ4" s="120" t="s">
        <v>143</v>
      </c>
      <c r="AR4" s="120" t="s">
        <v>144</v>
      </c>
      <c r="AS4" s="120" t="s">
        <v>145</v>
      </c>
      <c r="AT4" s="120" t="s">
        <v>146</v>
      </c>
      <c r="AU4" s="120" t="s">
        <v>147</v>
      </c>
      <c r="AV4" s="126" t="s">
        <v>148</v>
      </c>
      <c r="AW4" s="120" t="s">
        <v>149</v>
      </c>
      <c r="AX4" s="120" t="s">
        <v>150</v>
      </c>
      <c r="AY4" s="120" t="s">
        <v>151</v>
      </c>
      <c r="AZ4" s="120" t="s">
        <v>152</v>
      </c>
      <c r="BA4" s="120" t="s">
        <v>153</v>
      </c>
      <c r="BB4" s="120" t="s">
        <v>154</v>
      </c>
      <c r="BC4" s="120" t="s">
        <v>155</v>
      </c>
      <c r="BD4" s="120" t="s">
        <v>156</v>
      </c>
      <c r="BE4" s="120" t="s">
        <v>153</v>
      </c>
      <c r="BF4" s="122" t="s">
        <v>157</v>
      </c>
      <c r="BG4" s="122" t="s">
        <v>158</v>
      </c>
      <c r="BH4" s="120" t="s">
        <v>159</v>
      </c>
      <c r="BI4" s="120" t="s">
        <v>160</v>
      </c>
      <c r="BJ4" s="120" t="s">
        <v>161</v>
      </c>
      <c r="BK4" s="127" t="s">
        <v>162</v>
      </c>
      <c r="BL4" s="127" t="s">
        <v>163</v>
      </c>
      <c r="BM4" s="127" t="s">
        <v>164</v>
      </c>
      <c r="BN4" s="120" t="s">
        <v>165</v>
      </c>
      <c r="BO4" s="120" t="s">
        <v>166</v>
      </c>
      <c r="BP4" s="120" t="s">
        <v>167</v>
      </c>
      <c r="BQ4" s="120" t="s">
        <v>168</v>
      </c>
      <c r="BR4" s="120" t="s">
        <v>169</v>
      </c>
      <c r="BS4" s="120" t="s">
        <v>170</v>
      </c>
      <c r="BT4" s="120" t="s">
        <v>171</v>
      </c>
      <c r="BU4" s="120" t="s">
        <v>172</v>
      </c>
      <c r="BV4" s="120" t="s">
        <v>173</v>
      </c>
      <c r="BW4" s="120" t="s">
        <v>174</v>
      </c>
      <c r="BX4" s="120" t="s">
        <v>175</v>
      </c>
      <c r="BY4" s="120" t="s">
        <v>176</v>
      </c>
      <c r="BZ4" s="108"/>
    </row>
    <row r="5" spans="1:78" ht="11.25" customHeight="1">
      <c r="A5" s="108"/>
      <c r="B5" s="108">
        <v>306</v>
      </c>
      <c r="C5" s="108" t="s">
        <v>443</v>
      </c>
      <c r="D5" s="109">
        <v>971900031</v>
      </c>
      <c r="E5" s="131">
        <v>1710003987842</v>
      </c>
      <c r="F5" s="131"/>
      <c r="G5" s="108" t="s">
        <v>71</v>
      </c>
      <c r="H5" s="108" t="s">
        <v>71</v>
      </c>
      <c r="I5" s="111">
        <v>42125</v>
      </c>
      <c r="J5" s="108">
        <v>8</v>
      </c>
      <c r="K5" s="108">
        <v>5</v>
      </c>
      <c r="L5" s="108" t="str">
        <f t="shared" ref="L5:L13" si="0">IF(LEFT(D5,2)="99","Organik",IF(LEFT(D5,2)="97","Tetap",IF(LEFT(D5,2)="75","Capeg",IF(LEFT(D5,2)="64","PKWT","Resign"))))</f>
        <v>Tetap</v>
      </c>
      <c r="M5" s="108" t="s">
        <v>408</v>
      </c>
      <c r="N5" s="112">
        <v>43647</v>
      </c>
      <c r="O5" s="108"/>
      <c r="P5" s="108" t="s">
        <v>311</v>
      </c>
      <c r="Q5" s="210" t="s">
        <v>4102</v>
      </c>
      <c r="R5" s="108" t="s">
        <v>422</v>
      </c>
      <c r="S5" s="108" t="s">
        <v>275</v>
      </c>
      <c r="T5" s="108" t="s">
        <v>93</v>
      </c>
      <c r="U5" s="108" t="s">
        <v>276</v>
      </c>
      <c r="V5" s="108" t="s">
        <v>180</v>
      </c>
      <c r="W5" s="108" t="s">
        <v>277</v>
      </c>
      <c r="X5" s="108" t="s">
        <v>215</v>
      </c>
      <c r="Y5" s="108" t="s">
        <v>216</v>
      </c>
      <c r="Z5" s="108" t="s">
        <v>444</v>
      </c>
      <c r="AA5" s="111">
        <v>32896</v>
      </c>
      <c r="AB5" s="113">
        <v>33</v>
      </c>
      <c r="AC5" s="108" t="s">
        <v>445</v>
      </c>
      <c r="AD5" s="129" t="s">
        <v>446</v>
      </c>
      <c r="AE5" s="108" t="s">
        <v>447</v>
      </c>
      <c r="AF5" s="108"/>
      <c r="AG5" s="108" t="s">
        <v>448</v>
      </c>
      <c r="AH5" s="114" t="s">
        <v>449</v>
      </c>
      <c r="AI5" s="115">
        <v>16006272138</v>
      </c>
      <c r="AJ5" s="108" t="s">
        <v>189</v>
      </c>
      <c r="AK5" s="108"/>
      <c r="AL5" s="108"/>
      <c r="AM5" s="108"/>
      <c r="AN5" s="108"/>
      <c r="AO5" s="108"/>
      <c r="AP5" s="108"/>
      <c r="AQ5" s="108"/>
      <c r="AR5" s="108"/>
      <c r="AS5" s="108"/>
      <c r="AT5" s="108">
        <v>0</v>
      </c>
      <c r="AU5" s="108" t="s">
        <v>390</v>
      </c>
      <c r="AV5" s="115">
        <v>0</v>
      </c>
      <c r="AW5" s="108" t="s">
        <v>74</v>
      </c>
      <c r="AX5" s="108" t="s">
        <v>391</v>
      </c>
      <c r="AY5" s="108" t="s">
        <v>450</v>
      </c>
      <c r="AZ5" s="108" t="s">
        <v>451</v>
      </c>
      <c r="BA5" s="108"/>
      <c r="BB5" s="108" t="s">
        <v>391</v>
      </c>
      <c r="BC5" s="108" t="s">
        <v>450</v>
      </c>
      <c r="BD5" s="108" t="s">
        <v>451</v>
      </c>
      <c r="BE5" s="108"/>
      <c r="BF5" s="116">
        <v>53144</v>
      </c>
      <c r="BG5" s="116">
        <v>53509</v>
      </c>
      <c r="BH5" s="108" t="s">
        <v>228</v>
      </c>
      <c r="BI5" s="108">
        <v>36</v>
      </c>
      <c r="BJ5" s="108">
        <v>41</v>
      </c>
      <c r="BK5" s="111">
        <v>44436</v>
      </c>
      <c r="BL5" s="111"/>
      <c r="BM5" s="111">
        <v>44701</v>
      </c>
      <c r="BN5" s="111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 t="e">
        <f>VLOOKUP(C5,[1]Sertifikasi!$B$4:$I$19,8,0)</f>
        <v>#N/A</v>
      </c>
    </row>
    <row r="6" spans="1:78" ht="11.25" customHeight="1">
      <c r="A6" s="108"/>
      <c r="B6" s="108">
        <v>151</v>
      </c>
      <c r="C6" s="108" t="s">
        <v>1200</v>
      </c>
      <c r="D6" s="109">
        <v>641801141</v>
      </c>
      <c r="E6" s="131">
        <v>1710003988162</v>
      </c>
      <c r="F6" s="131"/>
      <c r="G6" s="108" t="s">
        <v>259</v>
      </c>
      <c r="H6" s="108" t="s">
        <v>259</v>
      </c>
      <c r="I6" s="111">
        <v>43160</v>
      </c>
      <c r="J6" s="108">
        <v>5</v>
      </c>
      <c r="K6" s="108">
        <v>7</v>
      </c>
      <c r="L6" s="108" t="str">
        <f t="shared" si="0"/>
        <v>PKWT</v>
      </c>
      <c r="M6" s="108"/>
      <c r="N6" s="112">
        <v>45291</v>
      </c>
      <c r="O6" s="108"/>
      <c r="P6" s="108" t="s">
        <v>213</v>
      </c>
      <c r="Q6" s="210" t="s">
        <v>4102</v>
      </c>
      <c r="R6" s="108" t="s">
        <v>259</v>
      </c>
      <c r="S6" s="108" t="s">
        <v>262</v>
      </c>
      <c r="T6" s="108" t="s">
        <v>89</v>
      </c>
      <c r="U6" s="108" t="s">
        <v>199</v>
      </c>
      <c r="V6" s="108" t="s">
        <v>180</v>
      </c>
      <c r="W6" s="108" t="s">
        <v>277</v>
      </c>
      <c r="X6" s="108" t="s">
        <v>215</v>
      </c>
      <c r="Y6" s="108" t="s">
        <v>216</v>
      </c>
      <c r="Z6" s="108" t="s">
        <v>1201</v>
      </c>
      <c r="AA6" s="111">
        <v>34095</v>
      </c>
      <c r="AB6" s="113">
        <v>30</v>
      </c>
      <c r="AC6" s="108" t="s">
        <v>1202</v>
      </c>
      <c r="AD6" s="129" t="s">
        <v>1203</v>
      </c>
      <c r="AE6" s="108" t="s">
        <v>1204</v>
      </c>
      <c r="AF6" s="108"/>
      <c r="AG6" s="108" t="s">
        <v>1205</v>
      </c>
      <c r="AH6" s="114" t="s">
        <v>1206</v>
      </c>
      <c r="AI6" s="115">
        <v>18035613381</v>
      </c>
      <c r="AJ6" s="108" t="s">
        <v>189</v>
      </c>
      <c r="AK6" s="108" t="s">
        <v>1207</v>
      </c>
      <c r="AL6" s="108" t="s">
        <v>1208</v>
      </c>
      <c r="AM6" s="108"/>
      <c r="AN6" s="108"/>
      <c r="AO6" s="108"/>
      <c r="AP6" s="108"/>
      <c r="AQ6" s="108"/>
      <c r="AR6" s="108"/>
      <c r="AS6" s="108"/>
      <c r="AT6" s="108">
        <v>1</v>
      </c>
      <c r="AU6" s="108" t="s">
        <v>225</v>
      </c>
      <c r="AV6" s="115">
        <v>0</v>
      </c>
      <c r="AW6" s="108" t="s">
        <v>74</v>
      </c>
      <c r="AX6" s="108" t="s">
        <v>16</v>
      </c>
      <c r="AY6" s="108" t="s">
        <v>331</v>
      </c>
      <c r="AZ6" s="108" t="s">
        <v>1209</v>
      </c>
      <c r="BA6" s="108">
        <v>2011</v>
      </c>
      <c r="BB6" s="108" t="s">
        <v>16</v>
      </c>
      <c r="BC6" s="108" t="s">
        <v>331</v>
      </c>
      <c r="BD6" s="108" t="s">
        <v>1209</v>
      </c>
      <c r="BE6" s="108">
        <v>2011</v>
      </c>
      <c r="BF6" s="116"/>
      <c r="BG6" s="116"/>
      <c r="BH6" s="108" t="s">
        <v>345</v>
      </c>
      <c r="BI6" s="108">
        <v>32</v>
      </c>
      <c r="BJ6" s="195">
        <v>42</v>
      </c>
      <c r="BK6" s="111"/>
      <c r="BL6" s="111"/>
      <c r="BM6" s="111"/>
      <c r="BN6" s="111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 t="e">
        <f>VLOOKUP(C6,[1]Sertifikasi!$B$4:$I$19,8,0)</f>
        <v>#N/A</v>
      </c>
    </row>
    <row r="7" spans="1:78" ht="11.25" customHeight="1">
      <c r="A7" s="108"/>
      <c r="B7" s="108">
        <v>121</v>
      </c>
      <c r="C7" s="108" t="s">
        <v>1788</v>
      </c>
      <c r="D7" s="109">
        <v>641907245</v>
      </c>
      <c r="E7" s="131">
        <v>1710005658417</v>
      </c>
      <c r="F7" s="131"/>
      <c r="G7" s="108" t="s">
        <v>1789</v>
      </c>
      <c r="H7" s="108" t="s">
        <v>475</v>
      </c>
      <c r="I7" s="111">
        <v>43647</v>
      </c>
      <c r="J7" s="108">
        <v>4</v>
      </c>
      <c r="K7" s="108">
        <v>3</v>
      </c>
      <c r="L7" s="108" t="str">
        <f t="shared" si="0"/>
        <v>PKWT</v>
      </c>
      <c r="M7" s="108"/>
      <c r="N7" s="112">
        <v>45291</v>
      </c>
      <c r="O7" s="108"/>
      <c r="P7" s="108" t="s">
        <v>213</v>
      </c>
      <c r="Q7" s="210" t="s">
        <v>4102</v>
      </c>
      <c r="R7" s="108" t="s">
        <v>409</v>
      </c>
      <c r="S7" s="108" t="s">
        <v>33</v>
      </c>
      <c r="T7" s="108" t="s">
        <v>88</v>
      </c>
      <c r="U7" s="108" t="s">
        <v>199</v>
      </c>
      <c r="V7" s="108" t="s">
        <v>180</v>
      </c>
      <c r="W7" s="108"/>
      <c r="X7" s="108" t="s">
        <v>215</v>
      </c>
      <c r="Y7" s="108" t="s">
        <v>216</v>
      </c>
      <c r="Z7" s="108" t="s">
        <v>1790</v>
      </c>
      <c r="AA7" s="111">
        <v>35816</v>
      </c>
      <c r="AB7" s="113">
        <v>25</v>
      </c>
      <c r="AC7" s="108" t="s">
        <v>1791</v>
      </c>
      <c r="AD7" s="129" t="s">
        <v>1792</v>
      </c>
      <c r="AE7" s="108" t="s">
        <v>602</v>
      </c>
      <c r="AF7" s="108"/>
      <c r="AG7" s="108" t="s">
        <v>1793</v>
      </c>
      <c r="AH7" s="114" t="s">
        <v>1794</v>
      </c>
      <c r="AI7" s="115">
        <v>19047644034</v>
      </c>
      <c r="AJ7" s="108" t="s">
        <v>255</v>
      </c>
      <c r="AK7" s="108"/>
      <c r="AL7" s="108"/>
      <c r="AM7" s="108"/>
      <c r="AN7" s="108"/>
      <c r="AO7" s="108"/>
      <c r="AP7" s="108"/>
      <c r="AQ7" s="108"/>
      <c r="AR7" s="108"/>
      <c r="AS7" s="108"/>
      <c r="AT7" s="108">
        <v>0</v>
      </c>
      <c r="AU7" s="108" t="s">
        <v>304</v>
      </c>
      <c r="AV7" s="115">
        <v>0</v>
      </c>
      <c r="AW7" s="108" t="s">
        <v>74</v>
      </c>
      <c r="AX7" s="108" t="s">
        <v>16</v>
      </c>
      <c r="AY7" s="108" t="s">
        <v>226</v>
      </c>
      <c r="AZ7" s="108" t="s">
        <v>1795</v>
      </c>
      <c r="BA7" s="108">
        <v>2016</v>
      </c>
      <c r="BB7" s="108" t="s">
        <v>287</v>
      </c>
      <c r="BC7" s="108" t="s">
        <v>226</v>
      </c>
      <c r="BD7" s="108" t="s">
        <v>1795</v>
      </c>
      <c r="BE7" s="108">
        <v>2016</v>
      </c>
      <c r="BF7" s="116"/>
      <c r="BG7" s="116"/>
      <c r="BH7" s="108" t="s">
        <v>345</v>
      </c>
      <c r="BI7" s="108">
        <v>32</v>
      </c>
      <c r="BJ7" s="108">
        <v>41</v>
      </c>
      <c r="BK7" s="111">
        <v>44399</v>
      </c>
      <c r="BL7" s="111">
        <v>44427</v>
      </c>
      <c r="BM7" s="111"/>
      <c r="BN7" s="111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 t="e">
        <f>VLOOKUP(C7,[1]Sertifikasi!$B$4:$I$19,8,0)</f>
        <v>#N/A</v>
      </c>
    </row>
    <row r="8" spans="1:78" ht="11.25" customHeight="1">
      <c r="A8" s="108"/>
      <c r="B8" s="108">
        <v>313</v>
      </c>
      <c r="C8" s="108" t="s">
        <v>598</v>
      </c>
      <c r="D8" s="109">
        <v>971900033</v>
      </c>
      <c r="E8" s="131">
        <v>1710003986927</v>
      </c>
      <c r="F8" s="131"/>
      <c r="G8" s="108" t="s">
        <v>71</v>
      </c>
      <c r="H8" s="108" t="s">
        <v>71</v>
      </c>
      <c r="I8" s="111">
        <v>42401</v>
      </c>
      <c r="J8" s="108">
        <v>7</v>
      </c>
      <c r="K8" s="108">
        <v>8</v>
      </c>
      <c r="L8" s="108" t="str">
        <f t="shared" si="0"/>
        <v>Tetap</v>
      </c>
      <c r="M8" s="108" t="s">
        <v>408</v>
      </c>
      <c r="N8" s="112">
        <v>43647</v>
      </c>
      <c r="O8" s="108"/>
      <c r="P8" s="108" t="s">
        <v>311</v>
      </c>
      <c r="Q8" s="210" t="s">
        <v>4102</v>
      </c>
      <c r="R8" s="108" t="s">
        <v>259</v>
      </c>
      <c r="S8" s="108" t="s">
        <v>476</v>
      </c>
      <c r="T8" s="108" t="s">
        <v>97</v>
      </c>
      <c r="U8" s="108" t="s">
        <v>276</v>
      </c>
      <c r="V8" s="108" t="s">
        <v>180</v>
      </c>
      <c r="W8" s="108" t="s">
        <v>277</v>
      </c>
      <c r="X8" s="108" t="s">
        <v>215</v>
      </c>
      <c r="Y8" s="108" t="s">
        <v>216</v>
      </c>
      <c r="Z8" s="108" t="s">
        <v>433</v>
      </c>
      <c r="AA8" s="111">
        <v>33963</v>
      </c>
      <c r="AB8" s="113">
        <v>30</v>
      </c>
      <c r="AC8" s="108" t="s">
        <v>599</v>
      </c>
      <c r="AD8" s="129" t="s">
        <v>600</v>
      </c>
      <c r="AE8" s="108" t="s">
        <v>601</v>
      </c>
      <c r="AF8" s="108" t="s">
        <v>602</v>
      </c>
      <c r="AG8" s="108" t="s">
        <v>603</v>
      </c>
      <c r="AH8" s="114" t="s">
        <v>604</v>
      </c>
      <c r="AI8" s="115">
        <v>16006272203</v>
      </c>
      <c r="AJ8" s="108" t="s">
        <v>189</v>
      </c>
      <c r="AK8" s="108"/>
      <c r="AL8" s="108"/>
      <c r="AM8" s="108"/>
      <c r="AN8" s="108"/>
      <c r="AO8" s="108"/>
      <c r="AP8" s="108"/>
      <c r="AQ8" s="108"/>
      <c r="AR8" s="108"/>
      <c r="AS8" s="108"/>
      <c r="AT8" s="108">
        <v>0</v>
      </c>
      <c r="AU8" s="108" t="s">
        <v>390</v>
      </c>
      <c r="AV8" s="115">
        <v>965581903646000</v>
      </c>
      <c r="AW8" s="108" t="s">
        <v>74</v>
      </c>
      <c r="AX8" s="108" t="s">
        <v>16</v>
      </c>
      <c r="AY8" s="108" t="s">
        <v>331</v>
      </c>
      <c r="AZ8" s="108" t="s">
        <v>605</v>
      </c>
      <c r="BA8" s="108">
        <v>2011</v>
      </c>
      <c r="BB8" s="108" t="s">
        <v>287</v>
      </c>
      <c r="BC8" s="108" t="s">
        <v>331</v>
      </c>
      <c r="BD8" s="108" t="s">
        <v>605</v>
      </c>
      <c r="BE8" s="108">
        <v>2011</v>
      </c>
      <c r="BF8" s="116">
        <v>54240</v>
      </c>
      <c r="BG8" s="116">
        <v>54605</v>
      </c>
      <c r="BH8" s="108" t="s">
        <v>345</v>
      </c>
      <c r="BI8" s="108">
        <v>32</v>
      </c>
      <c r="BJ8" s="108">
        <v>40</v>
      </c>
      <c r="BK8" s="111">
        <v>44365</v>
      </c>
      <c r="BL8" s="111">
        <v>44403</v>
      </c>
      <c r="BM8" s="111">
        <v>44672</v>
      </c>
      <c r="BN8" s="111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 t="e">
        <f>VLOOKUP(C8,[1]Sertifikasi!$B$4:$I$19,8,0)</f>
        <v>#N/A</v>
      </c>
    </row>
    <row r="9" spans="1:78" ht="11.25" customHeight="1">
      <c r="A9" s="108"/>
      <c r="B9" s="108">
        <v>264</v>
      </c>
      <c r="C9" s="108" t="s">
        <v>1629</v>
      </c>
      <c r="D9" s="109">
        <v>641810203</v>
      </c>
      <c r="E9" s="131">
        <v>1710004810845</v>
      </c>
      <c r="F9" s="131"/>
      <c r="G9" s="108" t="s">
        <v>575</v>
      </c>
      <c r="H9" s="108" t="s">
        <v>575</v>
      </c>
      <c r="I9" s="111">
        <v>43395</v>
      </c>
      <c r="J9" s="108">
        <v>4</v>
      </c>
      <c r="K9" s="108">
        <v>11</v>
      </c>
      <c r="L9" s="108" t="str">
        <f t="shared" si="0"/>
        <v>PKWT</v>
      </c>
      <c r="M9" s="108"/>
      <c r="N9" s="112">
        <v>45586</v>
      </c>
      <c r="O9" s="108"/>
      <c r="P9" s="108" t="s">
        <v>213</v>
      </c>
      <c r="Q9" s="210" t="s">
        <v>4102</v>
      </c>
      <c r="R9" s="108" t="s">
        <v>575</v>
      </c>
      <c r="S9" s="108" t="s">
        <v>262</v>
      </c>
      <c r="T9" s="108" t="s">
        <v>92</v>
      </c>
      <c r="U9" s="108" t="s">
        <v>276</v>
      </c>
      <c r="V9" s="108" t="s">
        <v>180</v>
      </c>
      <c r="W9" s="108"/>
      <c r="X9" s="108" t="s">
        <v>215</v>
      </c>
      <c r="Y9" s="108" t="s">
        <v>216</v>
      </c>
      <c r="Z9" s="108" t="s">
        <v>1630</v>
      </c>
      <c r="AA9" s="111">
        <v>35839</v>
      </c>
      <c r="AB9" s="113">
        <v>25</v>
      </c>
      <c r="AC9" s="108" t="s">
        <v>1631</v>
      </c>
      <c r="AD9" s="129" t="s">
        <v>1632</v>
      </c>
      <c r="AE9" s="108" t="s">
        <v>1633</v>
      </c>
      <c r="AF9" s="108" t="s">
        <v>601</v>
      </c>
      <c r="AG9" s="108" t="s">
        <v>1634</v>
      </c>
      <c r="AH9" s="114" t="s">
        <v>1635</v>
      </c>
      <c r="AI9" s="115">
        <v>18099947428</v>
      </c>
      <c r="AJ9" s="108" t="s">
        <v>255</v>
      </c>
      <c r="AK9" s="108"/>
      <c r="AL9" s="108"/>
      <c r="AM9" s="108"/>
      <c r="AN9" s="108"/>
      <c r="AO9" s="108"/>
      <c r="AP9" s="108"/>
      <c r="AQ9" s="108"/>
      <c r="AR9" s="108"/>
      <c r="AS9" s="108"/>
      <c r="AT9" s="108">
        <v>0</v>
      </c>
      <c r="AU9" s="108" t="s">
        <v>304</v>
      </c>
      <c r="AV9" s="115">
        <v>0</v>
      </c>
      <c r="AW9" s="108" t="s">
        <v>74</v>
      </c>
      <c r="AX9" s="108" t="s">
        <v>16</v>
      </c>
      <c r="AY9" s="108" t="s">
        <v>331</v>
      </c>
      <c r="AZ9" s="108" t="s">
        <v>1559</v>
      </c>
      <c r="BA9" s="108">
        <v>2015</v>
      </c>
      <c r="BB9" s="108" t="s">
        <v>287</v>
      </c>
      <c r="BC9" s="108" t="s">
        <v>331</v>
      </c>
      <c r="BD9" s="108" t="s">
        <v>1559</v>
      </c>
      <c r="BE9" s="108">
        <v>2015</v>
      </c>
      <c r="BF9" s="116"/>
      <c r="BG9" s="116"/>
      <c r="BH9" s="108" t="s">
        <v>241</v>
      </c>
      <c r="BI9" s="108">
        <v>31</v>
      </c>
      <c r="BJ9" s="195">
        <v>41</v>
      </c>
      <c r="BK9" s="111">
        <v>44390</v>
      </c>
      <c r="BL9" s="111"/>
      <c r="BM9" s="111"/>
      <c r="BN9" s="111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 t="e">
        <f>VLOOKUP(C9,[1]Sertifikasi!$B$4:$I$19,8,0)</f>
        <v>#N/A</v>
      </c>
    </row>
    <row r="10" spans="1:78" ht="11.25" customHeight="1">
      <c r="A10" s="108"/>
      <c r="B10" s="108">
        <v>265</v>
      </c>
      <c r="C10" s="108" t="s">
        <v>1905</v>
      </c>
      <c r="D10" s="109">
        <v>641907240</v>
      </c>
      <c r="E10" s="131">
        <v>1710005658441</v>
      </c>
      <c r="F10" s="131"/>
      <c r="G10" s="108" t="s">
        <v>575</v>
      </c>
      <c r="H10" s="108" t="s">
        <v>575</v>
      </c>
      <c r="I10" s="111">
        <v>43647</v>
      </c>
      <c r="J10" s="108">
        <v>4</v>
      </c>
      <c r="K10" s="108">
        <v>3</v>
      </c>
      <c r="L10" s="108" t="str">
        <f t="shared" si="0"/>
        <v>PKWT</v>
      </c>
      <c r="M10" s="108"/>
      <c r="N10" s="112">
        <v>45473</v>
      </c>
      <c r="O10" s="108"/>
      <c r="P10" s="108" t="s">
        <v>213</v>
      </c>
      <c r="Q10" s="210" t="s">
        <v>4102</v>
      </c>
      <c r="R10" s="108" t="s">
        <v>575</v>
      </c>
      <c r="S10" s="108" t="s">
        <v>262</v>
      </c>
      <c r="T10" s="108" t="s">
        <v>92</v>
      </c>
      <c r="U10" s="108" t="s">
        <v>276</v>
      </c>
      <c r="V10" s="108" t="s">
        <v>180</v>
      </c>
      <c r="W10" s="108"/>
      <c r="X10" s="108" t="s">
        <v>215</v>
      </c>
      <c r="Y10" s="108" t="s">
        <v>216</v>
      </c>
      <c r="Z10" s="108" t="s">
        <v>575</v>
      </c>
      <c r="AA10" s="111">
        <v>36045</v>
      </c>
      <c r="AB10" s="113">
        <v>25</v>
      </c>
      <c r="AC10" s="108" t="s">
        <v>1906</v>
      </c>
      <c r="AD10" s="129" t="s">
        <v>1907</v>
      </c>
      <c r="AE10" s="108" t="s">
        <v>1908</v>
      </c>
      <c r="AF10" s="108" t="s">
        <v>1909</v>
      </c>
      <c r="AG10" s="108" t="s">
        <v>1910</v>
      </c>
      <c r="AH10" s="114" t="s">
        <v>1911</v>
      </c>
      <c r="AI10" s="115">
        <v>19047643986</v>
      </c>
      <c r="AJ10" s="108" t="s">
        <v>255</v>
      </c>
      <c r="AK10" s="108"/>
      <c r="AL10" s="108"/>
      <c r="AM10" s="108"/>
      <c r="AN10" s="108"/>
      <c r="AO10" s="108"/>
      <c r="AP10" s="108"/>
      <c r="AQ10" s="108"/>
      <c r="AR10" s="108"/>
      <c r="AS10" s="108"/>
      <c r="AT10" s="108">
        <v>0</v>
      </c>
      <c r="AU10" s="108" t="s">
        <v>304</v>
      </c>
      <c r="AV10" s="115">
        <v>0</v>
      </c>
      <c r="AW10" s="108" t="s">
        <v>74</v>
      </c>
      <c r="AX10" s="108" t="s">
        <v>16</v>
      </c>
      <c r="AY10" s="108" t="s">
        <v>1912</v>
      </c>
      <c r="AZ10" s="108" t="s">
        <v>1419</v>
      </c>
      <c r="BA10" s="108">
        <v>2016</v>
      </c>
      <c r="BB10" s="108" t="s">
        <v>13</v>
      </c>
      <c r="BC10" s="108" t="s">
        <v>210</v>
      </c>
      <c r="BD10" s="108" t="s">
        <v>1913</v>
      </c>
      <c r="BE10" s="108">
        <v>2019</v>
      </c>
      <c r="BF10" s="116"/>
      <c r="BG10" s="116"/>
      <c r="BH10" s="108" t="s">
        <v>241</v>
      </c>
      <c r="BI10" s="108">
        <v>30</v>
      </c>
      <c r="BJ10" s="108">
        <v>41</v>
      </c>
      <c r="BK10" s="111"/>
      <c r="BL10" s="111"/>
      <c r="BM10" s="111"/>
      <c r="BN10" s="111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 t="e">
        <f>VLOOKUP(C10,[1]Sertifikasi!$B$4:$I$19,8,0)</f>
        <v>#N/A</v>
      </c>
    </row>
    <row r="11" spans="1:78" ht="11.25" customHeight="1">
      <c r="A11" s="108"/>
      <c r="B11" s="108">
        <v>205</v>
      </c>
      <c r="C11" s="108" t="s">
        <v>1121</v>
      </c>
      <c r="D11" s="109">
        <v>642001022</v>
      </c>
      <c r="E11" s="131">
        <v>1710003988402</v>
      </c>
      <c r="F11" s="131"/>
      <c r="G11" s="108" t="s">
        <v>71</v>
      </c>
      <c r="H11" s="108" t="s">
        <v>71</v>
      </c>
      <c r="I11" s="111">
        <v>42919</v>
      </c>
      <c r="J11" s="108">
        <v>6</v>
      </c>
      <c r="K11" s="108">
        <v>3</v>
      </c>
      <c r="L11" s="108" t="str">
        <f t="shared" si="0"/>
        <v>PKWT</v>
      </c>
      <c r="M11" s="108"/>
      <c r="N11" s="112">
        <v>45291</v>
      </c>
      <c r="O11" s="108"/>
      <c r="P11" s="108" t="s">
        <v>213</v>
      </c>
      <c r="Q11" s="210" t="s">
        <v>4102</v>
      </c>
      <c r="R11" s="108" t="s">
        <v>259</v>
      </c>
      <c r="S11" s="108" t="s">
        <v>33</v>
      </c>
      <c r="T11" s="108" t="s">
        <v>432</v>
      </c>
      <c r="U11" s="108" t="s">
        <v>199</v>
      </c>
      <c r="V11" s="108" t="s">
        <v>180</v>
      </c>
      <c r="W11" s="108"/>
      <c r="X11" s="108" t="s">
        <v>215</v>
      </c>
      <c r="Y11" s="108" t="s">
        <v>216</v>
      </c>
      <c r="Z11" s="108" t="s">
        <v>1122</v>
      </c>
      <c r="AA11" s="111">
        <v>35922</v>
      </c>
      <c r="AB11" s="113">
        <v>25</v>
      </c>
      <c r="AC11" s="108" t="s">
        <v>1123</v>
      </c>
      <c r="AD11" s="129" t="s">
        <v>1124</v>
      </c>
      <c r="AE11" s="108" t="s">
        <v>1125</v>
      </c>
      <c r="AF11" s="108" t="s">
        <v>1126</v>
      </c>
      <c r="AG11" s="108" t="s">
        <v>1127</v>
      </c>
      <c r="AH11" s="114" t="s">
        <v>1128</v>
      </c>
      <c r="AI11" s="115">
        <v>17043907710</v>
      </c>
      <c r="AJ11" s="108" t="s">
        <v>255</v>
      </c>
      <c r="AK11" s="108"/>
      <c r="AL11" s="108"/>
      <c r="AM11" s="108"/>
      <c r="AN11" s="108"/>
      <c r="AO11" s="108"/>
      <c r="AP11" s="108"/>
      <c r="AQ11" s="108"/>
      <c r="AR11" s="108"/>
      <c r="AS11" s="108"/>
      <c r="AT11" s="108">
        <v>0</v>
      </c>
      <c r="AU11" s="108" t="s">
        <v>304</v>
      </c>
      <c r="AV11" s="115">
        <v>0</v>
      </c>
      <c r="AW11" s="108" t="s">
        <v>74</v>
      </c>
      <c r="AX11" s="108" t="s">
        <v>16</v>
      </c>
      <c r="AY11" s="108" t="s">
        <v>285</v>
      </c>
      <c r="AZ11" s="108" t="s">
        <v>306</v>
      </c>
      <c r="BA11" s="108">
        <v>2016</v>
      </c>
      <c r="BB11" s="108" t="s">
        <v>287</v>
      </c>
      <c r="BC11" s="108" t="s">
        <v>285</v>
      </c>
      <c r="BD11" s="108" t="s">
        <v>306</v>
      </c>
      <c r="BE11" s="108">
        <v>2016</v>
      </c>
      <c r="BF11" s="116"/>
      <c r="BG11" s="116"/>
      <c r="BH11" s="108" t="s">
        <v>228</v>
      </c>
      <c r="BI11" s="108">
        <v>36</v>
      </c>
      <c r="BJ11" s="108">
        <v>42</v>
      </c>
      <c r="BK11" s="111">
        <v>44365</v>
      </c>
      <c r="BL11" s="111">
        <v>44400</v>
      </c>
      <c r="BM11" s="111"/>
      <c r="BN11" s="111"/>
      <c r="BO11" s="108">
        <v>43467</v>
      </c>
      <c r="BP11" s="108">
        <v>43830</v>
      </c>
      <c r="BQ11" s="108" t="s">
        <v>1129</v>
      </c>
      <c r="BR11" s="108" t="s">
        <v>1130</v>
      </c>
      <c r="BS11" s="108"/>
      <c r="BT11" s="108"/>
      <c r="BU11" s="108"/>
      <c r="BV11" s="108"/>
      <c r="BW11" s="108"/>
      <c r="BX11" s="108"/>
      <c r="BY11" s="108"/>
      <c r="BZ11" s="108" t="e">
        <f>VLOOKUP(C11,[1]Sertifikasi!$B$4:$I$19,8,0)</f>
        <v>#N/A</v>
      </c>
    </row>
    <row r="12" spans="1:78" ht="11.25" customHeight="1">
      <c r="A12" s="108"/>
      <c r="B12" s="108">
        <v>115</v>
      </c>
      <c r="C12" s="108" t="s">
        <v>1772</v>
      </c>
      <c r="D12" s="109">
        <v>641907252</v>
      </c>
      <c r="E12" s="131">
        <v>1710005658466</v>
      </c>
      <c r="F12" s="131"/>
      <c r="G12" s="108" t="s">
        <v>274</v>
      </c>
      <c r="H12" s="108" t="s">
        <v>274</v>
      </c>
      <c r="I12" s="111">
        <v>43647</v>
      </c>
      <c r="J12" s="108">
        <v>4</v>
      </c>
      <c r="K12" s="108">
        <v>3</v>
      </c>
      <c r="L12" s="108" t="str">
        <f t="shared" si="0"/>
        <v>PKWT</v>
      </c>
      <c r="M12" s="108"/>
      <c r="N12" s="112">
        <v>45291</v>
      </c>
      <c r="O12" s="108"/>
      <c r="P12" s="108" t="s">
        <v>213</v>
      </c>
      <c r="Q12" s="210" t="s">
        <v>4102</v>
      </c>
      <c r="R12" s="108" t="s">
        <v>274</v>
      </c>
      <c r="S12" s="108" t="s">
        <v>275</v>
      </c>
      <c r="T12" s="108" t="s">
        <v>496</v>
      </c>
      <c r="U12" s="108" t="s">
        <v>276</v>
      </c>
      <c r="V12" s="108" t="s">
        <v>180</v>
      </c>
      <c r="W12" s="108"/>
      <c r="X12" s="108" t="s">
        <v>215</v>
      </c>
      <c r="Y12" s="108" t="s">
        <v>216</v>
      </c>
      <c r="Z12" s="108" t="s">
        <v>1773</v>
      </c>
      <c r="AA12" s="111">
        <v>36696</v>
      </c>
      <c r="AB12" s="113">
        <v>23</v>
      </c>
      <c r="AC12" s="108" t="s">
        <v>1774</v>
      </c>
      <c r="AD12" s="129" t="s">
        <v>1775</v>
      </c>
      <c r="AE12" s="108" t="s">
        <v>1776</v>
      </c>
      <c r="AF12" s="108"/>
      <c r="AG12" s="108" t="s">
        <v>1777</v>
      </c>
      <c r="AH12" s="114" t="s">
        <v>1778</v>
      </c>
      <c r="AI12" s="115">
        <v>19047644067</v>
      </c>
      <c r="AJ12" s="108" t="s">
        <v>255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>
        <v>0</v>
      </c>
      <c r="AU12" s="108" t="s">
        <v>304</v>
      </c>
      <c r="AV12" s="115">
        <v>0</v>
      </c>
      <c r="AW12" s="108" t="s">
        <v>74</v>
      </c>
      <c r="AX12" s="108" t="s">
        <v>16</v>
      </c>
      <c r="AY12" s="108" t="s">
        <v>331</v>
      </c>
      <c r="AZ12" s="108" t="s">
        <v>1779</v>
      </c>
      <c r="BA12" s="108">
        <v>2018</v>
      </c>
      <c r="BB12" s="108" t="s">
        <v>287</v>
      </c>
      <c r="BC12" s="108" t="s">
        <v>331</v>
      </c>
      <c r="BD12" s="108" t="s">
        <v>1779</v>
      </c>
      <c r="BE12" s="108">
        <v>2018</v>
      </c>
      <c r="BF12" s="116"/>
      <c r="BG12" s="116"/>
      <c r="BH12" s="108" t="s">
        <v>241</v>
      </c>
      <c r="BI12" s="108">
        <v>28</v>
      </c>
      <c r="BJ12" s="108">
        <v>40</v>
      </c>
      <c r="BK12" s="111"/>
      <c r="BL12" s="111"/>
      <c r="BM12" s="111"/>
      <c r="BN12" s="111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 t="e">
        <f>VLOOKUP(C12,[1]Sertifikasi!$B$4:$I$19,8,0)</f>
        <v>#N/A</v>
      </c>
    </row>
    <row r="13" spans="1:78" ht="11.25" customHeight="1">
      <c r="A13" s="108"/>
      <c r="B13" s="108">
        <v>152</v>
      </c>
      <c r="C13" s="108" t="s">
        <v>1335</v>
      </c>
      <c r="D13" s="109">
        <v>641807164</v>
      </c>
      <c r="E13" s="131">
        <v>1710004387612</v>
      </c>
      <c r="F13" s="131"/>
      <c r="G13" s="108" t="s">
        <v>71</v>
      </c>
      <c r="H13" s="108" t="s">
        <v>71</v>
      </c>
      <c r="I13" s="111">
        <v>43282</v>
      </c>
      <c r="J13" s="108">
        <v>5</v>
      </c>
      <c r="K13" s="108">
        <v>3</v>
      </c>
      <c r="L13" s="108" t="str">
        <f t="shared" si="0"/>
        <v>PKWT</v>
      </c>
      <c r="M13" s="108"/>
      <c r="N13" s="112">
        <v>45291</v>
      </c>
      <c r="O13" s="108"/>
      <c r="P13" s="108" t="s">
        <v>213</v>
      </c>
      <c r="Q13" s="210" t="s">
        <v>4102</v>
      </c>
      <c r="R13" s="108" t="s">
        <v>259</v>
      </c>
      <c r="S13" s="108" t="s">
        <v>262</v>
      </c>
      <c r="T13" s="108" t="s">
        <v>89</v>
      </c>
      <c r="U13" s="108" t="s">
        <v>199</v>
      </c>
      <c r="V13" s="108" t="s">
        <v>180</v>
      </c>
      <c r="W13" s="108" t="s">
        <v>277</v>
      </c>
      <c r="X13" s="108" t="s">
        <v>215</v>
      </c>
      <c r="Y13" s="108" t="s">
        <v>216</v>
      </c>
      <c r="Z13" s="108" t="s">
        <v>72</v>
      </c>
      <c r="AA13" s="111">
        <v>34088</v>
      </c>
      <c r="AB13" s="113">
        <v>30</v>
      </c>
      <c r="AC13" s="108" t="s">
        <v>1336</v>
      </c>
      <c r="AD13" s="129" t="s">
        <v>1337</v>
      </c>
      <c r="AE13" s="108" t="s">
        <v>1338</v>
      </c>
      <c r="AF13" s="108" t="s">
        <v>1339</v>
      </c>
      <c r="AG13" s="108" t="s">
        <v>1340</v>
      </c>
      <c r="AH13" s="114" t="s">
        <v>1341</v>
      </c>
      <c r="AI13" s="115">
        <v>18056171970</v>
      </c>
      <c r="AJ13" s="108" t="s">
        <v>255</v>
      </c>
      <c r="AK13" s="108" t="s">
        <v>1342</v>
      </c>
      <c r="AL13" s="108" t="s">
        <v>1343</v>
      </c>
      <c r="AM13" s="108"/>
      <c r="AN13" s="108"/>
      <c r="AO13" s="108"/>
      <c r="AP13" s="108"/>
      <c r="AQ13" s="108"/>
      <c r="AR13" s="108"/>
      <c r="AS13" s="108"/>
      <c r="AT13" s="108">
        <v>1</v>
      </c>
      <c r="AU13" s="108" t="s">
        <v>646</v>
      </c>
      <c r="AV13" s="115">
        <v>0</v>
      </c>
      <c r="AW13" s="108" t="s">
        <v>74</v>
      </c>
      <c r="AX13" s="108" t="s">
        <v>16</v>
      </c>
      <c r="AY13" s="108" t="s">
        <v>331</v>
      </c>
      <c r="AZ13" s="108" t="s">
        <v>1237</v>
      </c>
      <c r="BA13" s="108">
        <v>2014</v>
      </c>
      <c r="BB13" s="108" t="s">
        <v>287</v>
      </c>
      <c r="BC13" s="108" t="s">
        <v>331</v>
      </c>
      <c r="BD13" s="108" t="s">
        <v>1237</v>
      </c>
      <c r="BE13" s="108">
        <v>2014</v>
      </c>
      <c r="BF13" s="116"/>
      <c r="BG13" s="116"/>
      <c r="BH13" s="108" t="s">
        <v>345</v>
      </c>
      <c r="BI13" s="108">
        <v>30</v>
      </c>
      <c r="BJ13" s="108">
        <v>42</v>
      </c>
      <c r="BK13" s="111"/>
      <c r="BL13" s="111"/>
      <c r="BM13" s="111">
        <v>44761</v>
      </c>
      <c r="BN13" s="111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 t="e">
        <f>VLOOKUP(C13,[1]Sertifikasi!$B$4:$I$19,8,0)</f>
        <v>#N/A</v>
      </c>
    </row>
    <row r="14" spans="1:78" ht="11.25" customHeight="1">
      <c r="A14" s="108"/>
      <c r="B14" s="108">
        <v>323</v>
      </c>
      <c r="C14" s="210" t="s">
        <v>2513</v>
      </c>
      <c r="D14" s="109">
        <v>991000002</v>
      </c>
      <c r="E14" s="131" t="s">
        <v>2514</v>
      </c>
      <c r="F14" s="131"/>
      <c r="G14" s="108" t="s">
        <v>33</v>
      </c>
      <c r="H14" s="108" t="s">
        <v>71</v>
      </c>
      <c r="I14" s="111">
        <v>44575</v>
      </c>
      <c r="J14" s="108">
        <f ca="1">DATEDIF(I14,$C$3,"y")</f>
        <v>1</v>
      </c>
      <c r="K14" s="108">
        <f ca="1">DATEDIF(I14,$C$3,"ym")</f>
        <v>10</v>
      </c>
      <c r="L14" s="108" t="s">
        <v>3</v>
      </c>
      <c r="M14" s="108" t="s">
        <v>2496</v>
      </c>
      <c r="N14" s="112">
        <v>40210</v>
      </c>
      <c r="O14" s="108" t="s">
        <v>2121</v>
      </c>
      <c r="P14" s="108" t="s">
        <v>3</v>
      </c>
      <c r="Q14" s="210" t="s">
        <v>4100</v>
      </c>
      <c r="R14" s="108" t="s">
        <v>4099</v>
      </c>
      <c r="S14" s="108" t="s">
        <v>180</v>
      </c>
      <c r="T14" s="210" t="s">
        <v>4126</v>
      </c>
      <c r="U14" s="108" t="s">
        <v>180</v>
      </c>
      <c r="V14" s="108" t="s">
        <v>180</v>
      </c>
      <c r="W14" s="108"/>
      <c r="X14" s="108"/>
      <c r="Y14" s="108" t="s">
        <v>59</v>
      </c>
      <c r="Z14" s="108" t="s">
        <v>71</v>
      </c>
      <c r="AA14" s="111">
        <v>30825</v>
      </c>
      <c r="AB14" s="113">
        <f ca="1">DATEDIF(AA14,$C$3,"y")</f>
        <v>39</v>
      </c>
      <c r="AC14" s="108" t="s">
        <v>2515</v>
      </c>
      <c r="AD14" s="129" t="s">
        <v>2516</v>
      </c>
      <c r="AE14" s="108" t="s">
        <v>2517</v>
      </c>
      <c r="AF14" s="108"/>
      <c r="AG14" s="108" t="s">
        <v>2518</v>
      </c>
      <c r="AH14" s="114" t="s">
        <v>2519</v>
      </c>
      <c r="AI14" s="115" t="s">
        <v>2520</v>
      </c>
      <c r="AJ14" s="108" t="s">
        <v>189</v>
      </c>
      <c r="AK14" s="108" t="s">
        <v>2521</v>
      </c>
      <c r="AL14" s="108"/>
      <c r="AM14" s="108"/>
      <c r="AN14" s="108"/>
      <c r="AO14" s="108"/>
      <c r="AP14" s="108"/>
      <c r="AQ14" s="108"/>
      <c r="AR14" s="108"/>
      <c r="AS14" s="108"/>
      <c r="AT14" s="108">
        <f>COUNTA(AL14:AO14)</f>
        <v>0</v>
      </c>
      <c r="AU14" s="108" t="str">
        <f>IF(AJ14="Menikah","K","TK")&amp;"/"&amp;AT14</f>
        <v>K/0</v>
      </c>
      <c r="AV14" s="115" t="s">
        <v>2522</v>
      </c>
      <c r="AW14" s="108" t="s">
        <v>74</v>
      </c>
      <c r="AX14" s="108" t="s">
        <v>12</v>
      </c>
      <c r="AY14" s="108" t="s">
        <v>2523</v>
      </c>
      <c r="AZ14" s="108" t="s">
        <v>2147</v>
      </c>
      <c r="BA14" s="108"/>
      <c r="BB14" s="108" t="s">
        <v>12</v>
      </c>
      <c r="BC14" s="108" t="s">
        <v>2523</v>
      </c>
      <c r="BD14" s="108" t="s">
        <v>2147</v>
      </c>
      <c r="BE14" s="108"/>
      <c r="BF14" s="116">
        <v>50922</v>
      </c>
      <c r="BG14" s="116">
        <v>15373</v>
      </c>
      <c r="BH14" s="108"/>
      <c r="BI14" s="108"/>
      <c r="BJ14" s="207"/>
      <c r="BK14" s="111"/>
      <c r="BL14" s="111"/>
      <c r="BM14" s="208"/>
      <c r="BN14" s="111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 t="e">
        <f>VLOOKUP(C14,[1]Sertifikasi!$B$4:$I$19,8,0)</f>
        <v>#N/A</v>
      </c>
    </row>
    <row r="15" spans="1:78" ht="11.25" customHeight="1">
      <c r="A15" s="108"/>
      <c r="B15" s="108">
        <v>33</v>
      </c>
      <c r="C15" s="108" t="s">
        <v>2817</v>
      </c>
      <c r="D15" s="109">
        <v>991800001</v>
      </c>
      <c r="E15" s="131">
        <v>1710003190264</v>
      </c>
      <c r="F15" s="131"/>
      <c r="G15" s="113" t="s">
        <v>33</v>
      </c>
      <c r="H15" s="108" t="s">
        <v>71</v>
      </c>
      <c r="I15" s="116">
        <v>44714</v>
      </c>
      <c r="J15" s="108">
        <f ca="1">DATEDIF(I15,$C$3,"y")</f>
        <v>1</v>
      </c>
      <c r="K15" s="108">
        <f ca="1">DATEDIF(I15,$C$3,"ym")</f>
        <v>5</v>
      </c>
      <c r="L15" s="108" t="str">
        <f t="shared" ref="L15:L59" si="1">IF(LEFT(D15,2)="99","Organik",IF(LEFT(D15,2)="97","Tetap",IF(LEFT(D15,2)="75","Capeg",IF(LEFT(D15,2)="64","PKWT","Resign"))))</f>
        <v>Organik</v>
      </c>
      <c r="M15" s="108"/>
      <c r="N15" s="112">
        <v>44714</v>
      </c>
      <c r="O15" s="108" t="s">
        <v>261</v>
      </c>
      <c r="P15" s="108" t="s">
        <v>5</v>
      </c>
      <c r="Q15" s="210" t="s">
        <v>4100</v>
      </c>
      <c r="R15" s="108" t="s">
        <v>4099</v>
      </c>
      <c r="S15" s="108" t="s">
        <v>1498</v>
      </c>
      <c r="T15" s="108" t="s">
        <v>1498</v>
      </c>
      <c r="U15" s="108" t="s">
        <v>276</v>
      </c>
      <c r="V15" s="108" t="s">
        <v>180</v>
      </c>
      <c r="W15" s="108"/>
      <c r="X15" s="108"/>
      <c r="Y15" s="108" t="s">
        <v>59</v>
      </c>
      <c r="Z15" s="108" t="s">
        <v>1898</v>
      </c>
      <c r="AA15" s="111">
        <v>32077</v>
      </c>
      <c r="AB15" s="113">
        <f ca="1">DATEDIF(AA15,$C$3,"y")</f>
        <v>36</v>
      </c>
      <c r="AC15" s="108" t="s">
        <v>2818</v>
      </c>
      <c r="AD15" s="129" t="s">
        <v>2819</v>
      </c>
      <c r="AE15" s="108" t="s">
        <v>2820</v>
      </c>
      <c r="AF15" s="108"/>
      <c r="AG15" s="108" t="s">
        <v>2821</v>
      </c>
      <c r="AH15" s="114" t="s">
        <v>2822</v>
      </c>
      <c r="AI15" s="115">
        <v>16053405961</v>
      </c>
      <c r="AJ15" s="108" t="s">
        <v>189</v>
      </c>
      <c r="AK15" s="108" t="s">
        <v>2823</v>
      </c>
      <c r="AL15" s="108" t="s">
        <v>2824</v>
      </c>
      <c r="AM15" s="108"/>
      <c r="AN15" s="108"/>
      <c r="AO15" s="108"/>
      <c r="AP15" s="108"/>
      <c r="AQ15" s="108"/>
      <c r="AR15" s="108"/>
      <c r="AS15" s="108"/>
      <c r="AT15" s="108">
        <f>COUNTA(AL15:AO15)</f>
        <v>1</v>
      </c>
      <c r="AU15" s="108" t="str">
        <f>IF(AJ15="Menikah","K","TK")&amp;"/"&amp;AT15</f>
        <v>K/1</v>
      </c>
      <c r="AV15" s="131" t="s">
        <v>2825</v>
      </c>
      <c r="AW15" s="113" t="s">
        <v>74</v>
      </c>
      <c r="AX15" s="108" t="s">
        <v>12</v>
      </c>
      <c r="AY15" s="108" t="s">
        <v>1017</v>
      </c>
      <c r="AZ15" s="108" t="s">
        <v>2826</v>
      </c>
      <c r="BA15" s="108">
        <v>2013</v>
      </c>
      <c r="BB15" s="108" t="s">
        <v>12</v>
      </c>
      <c r="BC15" s="108" t="s">
        <v>1017</v>
      </c>
      <c r="BD15" s="108" t="s">
        <v>2826</v>
      </c>
      <c r="BE15" s="108">
        <v>2013</v>
      </c>
      <c r="BF15" s="116"/>
      <c r="BG15" s="116"/>
      <c r="BH15" s="108"/>
      <c r="BI15" s="108"/>
      <c r="BJ15" s="207"/>
      <c r="BK15" s="111"/>
      <c r="BL15" s="111"/>
      <c r="BM15" s="111">
        <v>44581</v>
      </c>
      <c r="BN15" s="111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 t="e">
        <f>VLOOKUP(C15,[1]Sertifikasi!$B$4:$I$19,8,0)</f>
        <v>#N/A</v>
      </c>
    </row>
    <row r="16" spans="1:78" ht="11.25" customHeight="1">
      <c r="A16" s="108"/>
      <c r="B16" s="108">
        <v>153</v>
      </c>
      <c r="C16" s="108" t="s">
        <v>1813</v>
      </c>
      <c r="D16" s="109">
        <v>641907255</v>
      </c>
      <c r="E16" s="131">
        <v>1710005658375</v>
      </c>
      <c r="F16" s="131"/>
      <c r="G16" s="108" t="s">
        <v>259</v>
      </c>
      <c r="H16" s="108" t="s">
        <v>259</v>
      </c>
      <c r="I16" s="111">
        <v>43647</v>
      </c>
      <c r="J16" s="108">
        <v>4</v>
      </c>
      <c r="K16" s="108">
        <v>3</v>
      </c>
      <c r="L16" s="108" t="str">
        <f t="shared" si="1"/>
        <v>PKWT</v>
      </c>
      <c r="M16" s="108"/>
      <c r="N16" s="112">
        <v>45291</v>
      </c>
      <c r="O16" s="108"/>
      <c r="P16" s="108" t="s">
        <v>213</v>
      </c>
      <c r="Q16" s="210" t="s">
        <v>4102</v>
      </c>
      <c r="R16" s="108" t="s">
        <v>259</v>
      </c>
      <c r="S16" s="108" t="s">
        <v>262</v>
      </c>
      <c r="T16" s="108" t="s">
        <v>89</v>
      </c>
      <c r="U16" s="108" t="s">
        <v>199</v>
      </c>
      <c r="V16" s="108" t="s">
        <v>180</v>
      </c>
      <c r="W16" s="108"/>
      <c r="X16" s="108" t="s">
        <v>215</v>
      </c>
      <c r="Y16" s="108" t="s">
        <v>216</v>
      </c>
      <c r="Z16" s="108" t="s">
        <v>1499</v>
      </c>
      <c r="AA16" s="111">
        <v>36326</v>
      </c>
      <c r="AB16" s="113">
        <v>24</v>
      </c>
      <c r="AC16" s="108" t="s">
        <v>1814</v>
      </c>
      <c r="AD16" s="129" t="s">
        <v>1815</v>
      </c>
      <c r="AE16" s="108" t="s">
        <v>1816</v>
      </c>
      <c r="AF16" s="108"/>
      <c r="AG16" s="108" t="s">
        <v>1817</v>
      </c>
      <c r="AH16" s="114" t="s">
        <v>1818</v>
      </c>
      <c r="AI16" s="115">
        <v>19047644128</v>
      </c>
      <c r="AJ16" s="108" t="s">
        <v>255</v>
      </c>
      <c r="AK16" s="108"/>
      <c r="AL16" s="108"/>
      <c r="AM16" s="108"/>
      <c r="AN16" s="108"/>
      <c r="AO16" s="108"/>
      <c r="AP16" s="108"/>
      <c r="AQ16" s="108"/>
      <c r="AR16" s="108"/>
      <c r="AS16" s="108"/>
      <c r="AT16" s="108">
        <v>0</v>
      </c>
      <c r="AU16" s="108" t="s">
        <v>304</v>
      </c>
      <c r="AV16" s="115">
        <v>0</v>
      </c>
      <c r="AW16" s="108" t="s">
        <v>74</v>
      </c>
      <c r="AX16" s="108" t="s">
        <v>16</v>
      </c>
      <c r="AY16" s="108" t="s">
        <v>226</v>
      </c>
      <c r="AZ16" s="108" t="s">
        <v>1819</v>
      </c>
      <c r="BA16" s="108">
        <v>2017</v>
      </c>
      <c r="BB16" s="108" t="s">
        <v>287</v>
      </c>
      <c r="BC16" s="108" t="s">
        <v>226</v>
      </c>
      <c r="BD16" s="108" t="s">
        <v>1819</v>
      </c>
      <c r="BE16" s="108">
        <v>2017</v>
      </c>
      <c r="BF16" s="116"/>
      <c r="BG16" s="116"/>
      <c r="BH16" s="108" t="s">
        <v>345</v>
      </c>
      <c r="BI16" s="108">
        <v>30</v>
      </c>
      <c r="BJ16" s="108">
        <v>43</v>
      </c>
      <c r="BK16" s="111"/>
      <c r="BL16" s="111"/>
      <c r="BM16" s="111">
        <v>44655</v>
      </c>
      <c r="BN16" s="111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 t="e">
        <f>VLOOKUP(C16,[1]Sertifikasi!$B$4:$I$19,8,0)</f>
        <v>#N/A</v>
      </c>
    </row>
    <row r="17" spans="1:78" ht="11.25" customHeight="1">
      <c r="A17" s="108"/>
      <c r="B17" s="108">
        <v>122</v>
      </c>
      <c r="C17" s="108" t="s">
        <v>1796</v>
      </c>
      <c r="D17" s="109">
        <v>641907257</v>
      </c>
      <c r="E17" s="131">
        <v>1710005658334</v>
      </c>
      <c r="F17" s="131"/>
      <c r="G17" s="108" t="s">
        <v>71</v>
      </c>
      <c r="H17" s="108" t="s">
        <v>71</v>
      </c>
      <c r="I17" s="111">
        <v>43647</v>
      </c>
      <c r="J17" s="108">
        <v>4</v>
      </c>
      <c r="K17" s="108">
        <v>3</v>
      </c>
      <c r="L17" s="108" t="str">
        <f t="shared" si="1"/>
        <v>PKWT</v>
      </c>
      <c r="M17" s="108"/>
      <c r="N17" s="112">
        <v>45291</v>
      </c>
      <c r="O17" s="108"/>
      <c r="P17" s="108" t="s">
        <v>213</v>
      </c>
      <c r="Q17" s="210" t="s">
        <v>4102</v>
      </c>
      <c r="R17" s="108" t="s">
        <v>409</v>
      </c>
      <c r="S17" s="108" t="s">
        <v>33</v>
      </c>
      <c r="T17" s="108" t="s">
        <v>88</v>
      </c>
      <c r="U17" s="108" t="s">
        <v>199</v>
      </c>
      <c r="V17" s="108" t="s">
        <v>180</v>
      </c>
      <c r="W17" s="108"/>
      <c r="X17" s="108" t="s">
        <v>215</v>
      </c>
      <c r="Y17" s="108" t="s">
        <v>216</v>
      </c>
      <c r="Z17" s="108" t="s">
        <v>72</v>
      </c>
      <c r="AA17" s="111">
        <v>36540</v>
      </c>
      <c r="AB17" s="113">
        <v>23</v>
      </c>
      <c r="AC17" s="108" t="s">
        <v>1797</v>
      </c>
      <c r="AD17" s="129" t="s">
        <v>1798</v>
      </c>
      <c r="AE17" s="108" t="s">
        <v>1799</v>
      </c>
      <c r="AF17" s="108" t="s">
        <v>1799</v>
      </c>
      <c r="AG17" s="108" t="s">
        <v>1800</v>
      </c>
      <c r="AH17" s="114" t="s">
        <v>1801</v>
      </c>
      <c r="AI17" s="115">
        <v>19063315980</v>
      </c>
      <c r="AJ17" s="108" t="s">
        <v>255</v>
      </c>
      <c r="AK17" s="108"/>
      <c r="AL17" s="108"/>
      <c r="AM17" s="108"/>
      <c r="AN17" s="108"/>
      <c r="AO17" s="108"/>
      <c r="AP17" s="108" t="s">
        <v>1802</v>
      </c>
      <c r="AQ17" s="108"/>
      <c r="AR17" s="108"/>
      <c r="AS17" s="108"/>
      <c r="AT17" s="108">
        <v>0</v>
      </c>
      <c r="AU17" s="108" t="s">
        <v>304</v>
      </c>
      <c r="AV17" s="115">
        <v>0</v>
      </c>
      <c r="AW17" s="108" t="s">
        <v>74</v>
      </c>
      <c r="AX17" s="108" t="s">
        <v>16</v>
      </c>
      <c r="AY17" s="108" t="s">
        <v>331</v>
      </c>
      <c r="AZ17" s="108" t="s">
        <v>1165</v>
      </c>
      <c r="BA17" s="108">
        <v>2018</v>
      </c>
      <c r="BB17" s="108" t="s">
        <v>287</v>
      </c>
      <c r="BC17" s="108" t="s">
        <v>331</v>
      </c>
      <c r="BD17" s="108" t="s">
        <v>1165</v>
      </c>
      <c r="BE17" s="108">
        <v>2018</v>
      </c>
      <c r="BF17" s="116"/>
      <c r="BG17" s="116"/>
      <c r="BH17" s="108" t="s">
        <v>241</v>
      </c>
      <c r="BI17" s="108">
        <v>30</v>
      </c>
      <c r="BJ17" s="108">
        <v>40</v>
      </c>
      <c r="BK17" s="111"/>
      <c r="BL17" s="111"/>
      <c r="BM17" s="111"/>
      <c r="BN17" s="111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 t="e">
        <f>VLOOKUP(C17,[1]Sertifikasi!$B$4:$I$19,8,0)</f>
        <v>#N/A</v>
      </c>
    </row>
    <row r="18" spans="1:78" ht="11.25" customHeight="1">
      <c r="A18" s="108"/>
      <c r="B18" s="108">
        <v>206</v>
      </c>
      <c r="C18" s="108" t="s">
        <v>517</v>
      </c>
      <c r="D18" s="109">
        <v>642001009</v>
      </c>
      <c r="E18" s="131">
        <v>1710004045129</v>
      </c>
      <c r="F18" s="131"/>
      <c r="G18" s="108" t="s">
        <v>71</v>
      </c>
      <c r="H18" s="108" t="s">
        <v>71</v>
      </c>
      <c r="I18" s="111">
        <v>42278</v>
      </c>
      <c r="J18" s="108">
        <v>8</v>
      </c>
      <c r="K18" s="108">
        <v>0</v>
      </c>
      <c r="L18" s="108" t="str">
        <f t="shared" si="1"/>
        <v>PKWT</v>
      </c>
      <c r="M18" s="108"/>
      <c r="N18" s="112">
        <v>45291</v>
      </c>
      <c r="O18" s="108"/>
      <c r="P18" s="108" t="s">
        <v>213</v>
      </c>
      <c r="Q18" s="210" t="s">
        <v>4102</v>
      </c>
      <c r="R18" s="108" t="s">
        <v>259</v>
      </c>
      <c r="S18" s="108" t="s">
        <v>33</v>
      </c>
      <c r="T18" s="108" t="s">
        <v>432</v>
      </c>
      <c r="U18" s="108" t="s">
        <v>199</v>
      </c>
      <c r="V18" s="108" t="s">
        <v>180</v>
      </c>
      <c r="W18" s="108" t="s">
        <v>277</v>
      </c>
      <c r="X18" s="108" t="s">
        <v>215</v>
      </c>
      <c r="Y18" s="108" t="s">
        <v>216</v>
      </c>
      <c r="Z18" s="108" t="s">
        <v>71</v>
      </c>
      <c r="AA18" s="111">
        <v>35130</v>
      </c>
      <c r="AB18" s="113">
        <v>27</v>
      </c>
      <c r="AC18" s="108" t="s">
        <v>518</v>
      </c>
      <c r="AD18" s="129" t="s">
        <v>519</v>
      </c>
      <c r="AE18" s="108" t="s">
        <v>520</v>
      </c>
      <c r="AF18" s="108"/>
      <c r="AG18" s="108" t="s">
        <v>521</v>
      </c>
      <c r="AH18" s="114" t="s">
        <v>522</v>
      </c>
      <c r="AI18" s="115">
        <v>16006272153</v>
      </c>
      <c r="AJ18" s="108" t="s">
        <v>189</v>
      </c>
      <c r="AK18" s="108" t="s">
        <v>523</v>
      </c>
      <c r="AL18" s="108" t="s">
        <v>524</v>
      </c>
      <c r="AM18" s="108"/>
      <c r="AN18" s="108"/>
      <c r="AO18" s="108"/>
      <c r="AP18" s="108" t="s">
        <v>525</v>
      </c>
      <c r="AQ18" s="108" t="s">
        <v>526</v>
      </c>
      <c r="AR18" s="108"/>
      <c r="AS18" s="108"/>
      <c r="AT18" s="108">
        <v>1</v>
      </c>
      <c r="AU18" s="108" t="s">
        <v>225</v>
      </c>
      <c r="AV18" s="115">
        <v>0</v>
      </c>
      <c r="AW18" s="108" t="s">
        <v>74</v>
      </c>
      <c r="AX18" s="108" t="s">
        <v>16</v>
      </c>
      <c r="AY18" s="108" t="s">
        <v>331</v>
      </c>
      <c r="AZ18" s="108" t="s">
        <v>306</v>
      </c>
      <c r="BA18" s="108">
        <v>2015</v>
      </c>
      <c r="BB18" s="108" t="s">
        <v>287</v>
      </c>
      <c r="BC18" s="108" t="s">
        <v>331</v>
      </c>
      <c r="BD18" s="108" t="s">
        <v>306</v>
      </c>
      <c r="BE18" s="108">
        <v>2015</v>
      </c>
      <c r="BF18" s="116"/>
      <c r="BG18" s="116"/>
      <c r="BH18" s="108" t="s">
        <v>228</v>
      </c>
      <c r="BI18" s="108">
        <v>36</v>
      </c>
      <c r="BJ18" s="108">
        <v>43</v>
      </c>
      <c r="BK18" s="111"/>
      <c r="BL18" s="111"/>
      <c r="BM18" s="111">
        <v>44864</v>
      </c>
      <c r="BN18" s="111"/>
      <c r="BO18" s="108">
        <v>43467</v>
      </c>
      <c r="BP18" s="108">
        <v>43830</v>
      </c>
      <c r="BQ18" s="108" t="s">
        <v>527</v>
      </c>
      <c r="BR18" s="108" t="s">
        <v>528</v>
      </c>
      <c r="BS18" s="108"/>
      <c r="BT18" s="108"/>
      <c r="BU18" s="108"/>
      <c r="BV18" s="108"/>
      <c r="BW18" s="108"/>
      <c r="BX18" s="108"/>
      <c r="BY18" s="108"/>
      <c r="BZ18" s="108" t="e">
        <f>VLOOKUP(C18,[1]Sertifikasi!$B$4:$I$19,8,0)</f>
        <v>#N/A</v>
      </c>
    </row>
    <row r="19" spans="1:78" ht="11.25" customHeight="1">
      <c r="A19" s="108"/>
      <c r="B19" s="108">
        <v>154</v>
      </c>
      <c r="C19" s="108" t="s">
        <v>288</v>
      </c>
      <c r="D19" s="109">
        <v>971900047</v>
      </c>
      <c r="E19" s="131">
        <v>1710003987651</v>
      </c>
      <c r="F19" s="131">
        <v>7177540034</v>
      </c>
      <c r="G19" s="108" t="s">
        <v>71</v>
      </c>
      <c r="H19" s="108" t="s">
        <v>71</v>
      </c>
      <c r="I19" s="111">
        <v>42095</v>
      </c>
      <c r="J19" s="108">
        <v>8</v>
      </c>
      <c r="K19" s="108">
        <v>6</v>
      </c>
      <c r="L19" s="108" t="str">
        <f t="shared" si="1"/>
        <v>Tetap</v>
      </c>
      <c r="M19" s="108" t="s">
        <v>273</v>
      </c>
      <c r="N19" s="112">
        <v>43789</v>
      </c>
      <c r="O19" s="108"/>
      <c r="P19" s="108" t="s">
        <v>213</v>
      </c>
      <c r="Q19" s="210" t="s">
        <v>4102</v>
      </c>
      <c r="R19" s="108" t="s">
        <v>259</v>
      </c>
      <c r="S19" s="108" t="s">
        <v>262</v>
      </c>
      <c r="T19" s="108" t="s">
        <v>89</v>
      </c>
      <c r="U19" s="108" t="s">
        <v>199</v>
      </c>
      <c r="V19" s="108" t="s">
        <v>180</v>
      </c>
      <c r="W19" s="108" t="s">
        <v>277</v>
      </c>
      <c r="X19" s="108" t="s">
        <v>215</v>
      </c>
      <c r="Y19" s="108" t="s">
        <v>216</v>
      </c>
      <c r="Z19" s="108" t="s">
        <v>71</v>
      </c>
      <c r="AA19" s="111">
        <v>32609</v>
      </c>
      <c r="AB19" s="113">
        <v>34</v>
      </c>
      <c r="AC19" s="108" t="s">
        <v>289</v>
      </c>
      <c r="AD19" s="129" t="s">
        <v>290</v>
      </c>
      <c r="AE19" s="108" t="s">
        <v>291</v>
      </c>
      <c r="AF19" s="108" t="s">
        <v>291</v>
      </c>
      <c r="AG19" s="108" t="s">
        <v>292</v>
      </c>
      <c r="AH19" s="114" t="s">
        <v>293</v>
      </c>
      <c r="AI19" s="115">
        <v>16006272278</v>
      </c>
      <c r="AJ19" s="108" t="s">
        <v>189</v>
      </c>
      <c r="AK19" s="108" t="s">
        <v>294</v>
      </c>
      <c r="AL19" s="108" t="s">
        <v>295</v>
      </c>
      <c r="AM19" s="108"/>
      <c r="AN19" s="108"/>
      <c r="AO19" s="108"/>
      <c r="AP19" s="108" t="s">
        <v>296</v>
      </c>
      <c r="AQ19" s="108"/>
      <c r="AR19" s="108"/>
      <c r="AS19" s="108"/>
      <c r="AT19" s="108">
        <v>1</v>
      </c>
      <c r="AU19" s="108" t="s">
        <v>225</v>
      </c>
      <c r="AV19" s="115">
        <v>428439947647000</v>
      </c>
      <c r="AW19" s="108" t="s">
        <v>74</v>
      </c>
      <c r="AX19" s="108" t="s">
        <v>16</v>
      </c>
      <c r="AY19" s="108" t="s">
        <v>285</v>
      </c>
      <c r="AZ19" s="108" t="s">
        <v>297</v>
      </c>
      <c r="BA19" s="108"/>
      <c r="BB19" s="108" t="s">
        <v>287</v>
      </c>
      <c r="BC19" s="108" t="s">
        <v>285</v>
      </c>
      <c r="BD19" s="108" t="s">
        <v>297</v>
      </c>
      <c r="BE19" s="108"/>
      <c r="BF19" s="116">
        <v>52921</v>
      </c>
      <c r="BG19" s="116">
        <v>53286</v>
      </c>
      <c r="BH19" s="108" t="s">
        <v>228</v>
      </c>
      <c r="BI19" s="108">
        <v>36</v>
      </c>
      <c r="BJ19" s="108">
        <v>42</v>
      </c>
      <c r="BK19" s="111"/>
      <c r="BL19" s="111"/>
      <c r="BM19" s="111">
        <v>44650</v>
      </c>
      <c r="BN19" s="111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 t="e">
        <f>VLOOKUP(C19,[1]Sertifikasi!$B$4:$I$19,8,0)</f>
        <v>#N/A</v>
      </c>
    </row>
    <row r="20" spans="1:78" ht="11.25" customHeight="1">
      <c r="A20" s="108"/>
      <c r="B20" s="108">
        <v>109</v>
      </c>
      <c r="C20" s="108" t="s">
        <v>485</v>
      </c>
      <c r="D20" s="109">
        <v>971900028</v>
      </c>
      <c r="E20" s="131">
        <v>1710004029065</v>
      </c>
      <c r="F20" s="131"/>
      <c r="G20" s="108" t="s">
        <v>71</v>
      </c>
      <c r="H20" s="108" t="s">
        <v>71</v>
      </c>
      <c r="I20" s="111">
        <v>42248</v>
      </c>
      <c r="J20" s="108">
        <v>8</v>
      </c>
      <c r="K20" s="108">
        <v>1</v>
      </c>
      <c r="L20" s="108" t="str">
        <f t="shared" si="1"/>
        <v>Tetap</v>
      </c>
      <c r="M20" s="108" t="s">
        <v>408</v>
      </c>
      <c r="N20" s="112">
        <v>43647</v>
      </c>
      <c r="O20" s="108"/>
      <c r="P20" s="108" t="s">
        <v>311</v>
      </c>
      <c r="Q20" s="210" t="s">
        <v>4102</v>
      </c>
      <c r="R20" s="108" t="s">
        <v>36</v>
      </c>
      <c r="S20" s="108" t="s">
        <v>275</v>
      </c>
      <c r="T20" s="108" t="s">
        <v>87</v>
      </c>
      <c r="U20" s="108" t="s">
        <v>276</v>
      </c>
      <c r="V20" s="108" t="s">
        <v>180</v>
      </c>
      <c r="W20" s="108"/>
      <c r="X20" s="108" t="s">
        <v>215</v>
      </c>
      <c r="Y20" s="108" t="s">
        <v>216</v>
      </c>
      <c r="Z20" s="108" t="s">
        <v>486</v>
      </c>
      <c r="AA20" s="111">
        <v>31048</v>
      </c>
      <c r="AB20" s="113">
        <v>38</v>
      </c>
      <c r="AC20" s="108" t="s">
        <v>487</v>
      </c>
      <c r="AD20" s="129" t="s">
        <v>488</v>
      </c>
      <c r="AE20" s="108" t="s">
        <v>489</v>
      </c>
      <c r="AF20" s="108"/>
      <c r="AG20" s="108" t="s">
        <v>490</v>
      </c>
      <c r="AH20" s="114" t="s">
        <v>491</v>
      </c>
      <c r="AI20" s="115">
        <v>16006272047</v>
      </c>
      <c r="AJ20" s="108" t="s">
        <v>189</v>
      </c>
      <c r="AK20" s="108"/>
      <c r="AL20" s="108" t="s">
        <v>492</v>
      </c>
      <c r="AM20" s="108" t="s">
        <v>493</v>
      </c>
      <c r="AN20" s="108"/>
      <c r="AO20" s="108"/>
      <c r="AP20" s="108"/>
      <c r="AQ20" s="108"/>
      <c r="AR20" s="108"/>
      <c r="AS20" s="108"/>
      <c r="AT20" s="108">
        <v>2</v>
      </c>
      <c r="AU20" s="108" t="s">
        <v>330</v>
      </c>
      <c r="AV20" s="115">
        <v>862806585649000</v>
      </c>
      <c r="AW20" s="108" t="s">
        <v>74</v>
      </c>
      <c r="AX20" s="108" t="s">
        <v>391</v>
      </c>
      <c r="AY20" s="108" t="s">
        <v>450</v>
      </c>
      <c r="AZ20" s="108" t="s">
        <v>494</v>
      </c>
      <c r="BA20" s="108"/>
      <c r="BB20" s="108" t="s">
        <v>391</v>
      </c>
      <c r="BC20" s="108" t="s">
        <v>450</v>
      </c>
      <c r="BD20" s="108" t="s">
        <v>494</v>
      </c>
      <c r="BE20" s="108"/>
      <c r="BF20" s="116">
        <v>51318</v>
      </c>
      <c r="BG20" s="116">
        <v>51683</v>
      </c>
      <c r="BH20" s="108" t="s">
        <v>345</v>
      </c>
      <c r="BI20" s="108">
        <v>32</v>
      </c>
      <c r="BJ20" s="108">
        <v>42</v>
      </c>
      <c r="BK20" s="111"/>
      <c r="BL20" s="111"/>
      <c r="BM20" s="111">
        <v>44715</v>
      </c>
      <c r="BN20" s="111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 t="e">
        <f>VLOOKUP(C20,[1]Sertifikasi!$B$4:$I$19,8,0)</f>
        <v>#N/A</v>
      </c>
    </row>
    <row r="21" spans="1:78" ht="11.25" customHeight="1">
      <c r="A21" s="108"/>
      <c r="B21" s="108">
        <v>155</v>
      </c>
      <c r="C21" s="108" t="s">
        <v>1820</v>
      </c>
      <c r="D21" s="109">
        <v>641907275</v>
      </c>
      <c r="E21" s="131">
        <v>1710005658359</v>
      </c>
      <c r="F21" s="131"/>
      <c r="G21" s="108" t="s">
        <v>259</v>
      </c>
      <c r="H21" s="108" t="s">
        <v>259</v>
      </c>
      <c r="I21" s="111">
        <v>43647</v>
      </c>
      <c r="J21" s="108">
        <v>4</v>
      </c>
      <c r="K21" s="108">
        <v>3</v>
      </c>
      <c r="L21" s="108" t="str">
        <f t="shared" si="1"/>
        <v>PKWT</v>
      </c>
      <c r="M21" s="108"/>
      <c r="N21" s="112">
        <v>45291</v>
      </c>
      <c r="O21" s="108"/>
      <c r="P21" s="108" t="s">
        <v>213</v>
      </c>
      <c r="Q21" s="210" t="s">
        <v>4102</v>
      </c>
      <c r="R21" s="108" t="s">
        <v>259</v>
      </c>
      <c r="S21" s="108" t="s">
        <v>262</v>
      </c>
      <c r="T21" s="108" t="s">
        <v>89</v>
      </c>
      <c r="U21" s="108" t="s">
        <v>199</v>
      </c>
      <c r="V21" s="108" t="s">
        <v>180</v>
      </c>
      <c r="W21" s="108" t="s">
        <v>277</v>
      </c>
      <c r="X21" s="108" t="s">
        <v>215</v>
      </c>
      <c r="Y21" s="108" t="s">
        <v>216</v>
      </c>
      <c r="Z21" s="108" t="s">
        <v>1821</v>
      </c>
      <c r="AA21" s="111">
        <v>31528</v>
      </c>
      <c r="AB21" s="113">
        <v>37</v>
      </c>
      <c r="AC21" s="108" t="s">
        <v>1822</v>
      </c>
      <c r="AD21" s="129" t="s">
        <v>1823</v>
      </c>
      <c r="AE21" s="108" t="s">
        <v>1824</v>
      </c>
      <c r="AF21" s="108" t="s">
        <v>1825</v>
      </c>
      <c r="AG21" s="108" t="s">
        <v>1826</v>
      </c>
      <c r="AH21" s="114" t="s">
        <v>1827</v>
      </c>
      <c r="AI21" s="115">
        <v>19047644208</v>
      </c>
      <c r="AJ21" s="108" t="s">
        <v>189</v>
      </c>
      <c r="AK21" s="108" t="s">
        <v>1828</v>
      </c>
      <c r="AL21" s="108" t="s">
        <v>1829</v>
      </c>
      <c r="AM21" s="108" t="s">
        <v>1830</v>
      </c>
      <c r="AN21" s="108" t="s">
        <v>1831</v>
      </c>
      <c r="AO21" s="108"/>
      <c r="AP21" s="108"/>
      <c r="AQ21" s="108"/>
      <c r="AR21" s="108"/>
      <c r="AS21" s="108"/>
      <c r="AT21" s="108">
        <v>3</v>
      </c>
      <c r="AU21" s="108" t="s">
        <v>343</v>
      </c>
      <c r="AV21" s="115">
        <v>0</v>
      </c>
      <c r="AW21" s="108" t="s">
        <v>74</v>
      </c>
      <c r="AX21" s="108" t="s">
        <v>16</v>
      </c>
      <c r="AY21" s="108" t="s">
        <v>210</v>
      </c>
      <c r="AZ21" s="108" t="s">
        <v>1832</v>
      </c>
      <c r="BA21" s="108">
        <v>2007</v>
      </c>
      <c r="BB21" s="108" t="s">
        <v>16</v>
      </c>
      <c r="BC21" s="108" t="s">
        <v>210</v>
      </c>
      <c r="BD21" s="108" t="s">
        <v>1832</v>
      </c>
      <c r="BE21" s="108">
        <v>2007</v>
      </c>
      <c r="BF21" s="116"/>
      <c r="BG21" s="116"/>
      <c r="BH21" s="108" t="s">
        <v>345</v>
      </c>
      <c r="BI21" s="108">
        <v>33</v>
      </c>
      <c r="BJ21" s="108">
        <v>41</v>
      </c>
      <c r="BK21" s="111"/>
      <c r="BL21" s="111"/>
      <c r="BM21" s="111">
        <v>44805</v>
      </c>
      <c r="BN21" s="111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 t="e">
        <f>VLOOKUP(C21,[1]Sertifikasi!$B$4:$I$19,8,0)</f>
        <v>#N/A</v>
      </c>
    </row>
    <row r="22" spans="1:78" ht="11.25" customHeight="1">
      <c r="A22" s="108"/>
      <c r="B22" s="108">
        <v>67</v>
      </c>
      <c r="C22" s="108" t="s">
        <v>697</v>
      </c>
      <c r="D22" s="109">
        <v>642001057</v>
      </c>
      <c r="E22" s="131">
        <v>1710003987024</v>
      </c>
      <c r="F22" s="131"/>
      <c r="G22" s="108" t="s">
        <v>71</v>
      </c>
      <c r="H22" s="108" t="s">
        <v>71</v>
      </c>
      <c r="I22" s="111">
        <v>42522</v>
      </c>
      <c r="J22" s="108">
        <v>7</v>
      </c>
      <c r="K22" s="108">
        <v>4</v>
      </c>
      <c r="L22" s="108" t="str">
        <f t="shared" si="1"/>
        <v>PKWT</v>
      </c>
      <c r="M22" s="108"/>
      <c r="N22" s="112">
        <v>45291</v>
      </c>
      <c r="O22" s="108"/>
      <c r="P22" s="108" t="s">
        <v>213</v>
      </c>
      <c r="Q22" s="210" t="s">
        <v>4102</v>
      </c>
      <c r="R22" s="108" t="s">
        <v>2085</v>
      </c>
      <c r="S22" s="108" t="s">
        <v>33</v>
      </c>
      <c r="T22" s="108" t="s">
        <v>698</v>
      </c>
      <c r="U22" s="108" t="s">
        <v>214</v>
      </c>
      <c r="V22" s="108" t="s">
        <v>180</v>
      </c>
      <c r="W22" s="108" t="s">
        <v>83</v>
      </c>
      <c r="X22" s="108" t="s">
        <v>215</v>
      </c>
      <c r="Y22" s="108" t="s">
        <v>216</v>
      </c>
      <c r="Z22" s="108" t="s">
        <v>182</v>
      </c>
      <c r="AA22" s="111">
        <v>32214</v>
      </c>
      <c r="AB22" s="113">
        <v>35</v>
      </c>
      <c r="AC22" s="108" t="s">
        <v>699</v>
      </c>
      <c r="AD22" s="129" t="s">
        <v>700</v>
      </c>
      <c r="AE22" s="108" t="s">
        <v>701</v>
      </c>
      <c r="AF22" s="108"/>
      <c r="AG22" s="108" t="s">
        <v>702</v>
      </c>
      <c r="AH22" s="114" t="s">
        <v>703</v>
      </c>
      <c r="AI22" s="115">
        <v>16030084434</v>
      </c>
      <c r="AJ22" s="108" t="s">
        <v>255</v>
      </c>
      <c r="AK22" s="108"/>
      <c r="AL22" s="108"/>
      <c r="AM22" s="108"/>
      <c r="AN22" s="108"/>
      <c r="AO22" s="108"/>
      <c r="AP22" s="108"/>
      <c r="AQ22" s="108"/>
      <c r="AR22" s="108"/>
      <c r="AS22" s="108"/>
      <c r="AT22" s="108">
        <v>0</v>
      </c>
      <c r="AU22" s="108" t="s">
        <v>304</v>
      </c>
      <c r="AV22" s="115">
        <v>0</v>
      </c>
      <c r="AW22" s="108" t="s">
        <v>74</v>
      </c>
      <c r="AX22" s="108" t="s">
        <v>16</v>
      </c>
      <c r="AY22" s="108" t="s">
        <v>226</v>
      </c>
      <c r="AZ22" s="108" t="s">
        <v>704</v>
      </c>
      <c r="BA22" s="108">
        <v>2007</v>
      </c>
      <c r="BB22" s="108" t="s">
        <v>287</v>
      </c>
      <c r="BC22" s="108" t="s">
        <v>226</v>
      </c>
      <c r="BD22" s="108" t="s">
        <v>704</v>
      </c>
      <c r="BE22" s="108">
        <v>2007</v>
      </c>
      <c r="BF22" s="116"/>
      <c r="BG22" s="116"/>
      <c r="BH22" s="108" t="s">
        <v>345</v>
      </c>
      <c r="BI22" s="108">
        <v>32</v>
      </c>
      <c r="BJ22" s="108">
        <v>40</v>
      </c>
      <c r="BK22" s="111">
        <v>44293</v>
      </c>
      <c r="BL22" s="111">
        <v>44322</v>
      </c>
      <c r="BM22" s="111">
        <v>44601</v>
      </c>
      <c r="BN22" s="111"/>
      <c r="BO22" s="108">
        <v>43467</v>
      </c>
      <c r="BP22" s="108">
        <v>43830</v>
      </c>
      <c r="BQ22" s="108" t="s">
        <v>705</v>
      </c>
      <c r="BR22" s="108" t="s">
        <v>706</v>
      </c>
      <c r="BS22" s="108"/>
      <c r="BT22" s="108"/>
      <c r="BU22" s="108"/>
      <c r="BV22" s="108"/>
      <c r="BW22" s="108"/>
      <c r="BX22" s="108"/>
      <c r="BY22" s="108"/>
      <c r="BZ22" s="108" t="e">
        <f>VLOOKUP(C22,[1]Sertifikasi!$B$4:$I$19,8,0)</f>
        <v>#N/A</v>
      </c>
    </row>
    <row r="23" spans="1:78" ht="11.25" customHeight="1">
      <c r="A23" s="108"/>
      <c r="B23" s="108">
        <v>96</v>
      </c>
      <c r="C23" s="108" t="s">
        <v>231</v>
      </c>
      <c r="D23" s="109">
        <v>642001017</v>
      </c>
      <c r="E23" s="131">
        <v>1710003988279</v>
      </c>
      <c r="F23" s="131"/>
      <c r="G23" s="108" t="s">
        <v>71</v>
      </c>
      <c r="H23" s="108" t="s">
        <v>71</v>
      </c>
      <c r="I23" s="111">
        <v>42005</v>
      </c>
      <c r="J23" s="108">
        <v>8</v>
      </c>
      <c r="K23" s="108">
        <v>9</v>
      </c>
      <c r="L23" s="108" t="str">
        <f t="shared" si="1"/>
        <v>PKWT</v>
      </c>
      <c r="M23" s="108"/>
      <c r="N23" s="112">
        <v>45291</v>
      </c>
      <c r="O23" s="108"/>
      <c r="P23" s="108" t="s">
        <v>213</v>
      </c>
      <c r="Q23" s="210" t="s">
        <v>4102</v>
      </c>
      <c r="R23" s="108" t="s">
        <v>33</v>
      </c>
      <c r="S23" s="108" t="s">
        <v>232</v>
      </c>
      <c r="T23" s="108" t="s">
        <v>199</v>
      </c>
      <c r="U23" s="108" t="s">
        <v>199</v>
      </c>
      <c r="V23" s="108" t="s">
        <v>180</v>
      </c>
      <c r="W23" s="108"/>
      <c r="X23" s="108" t="s">
        <v>215</v>
      </c>
      <c r="Y23" s="108" t="s">
        <v>216</v>
      </c>
      <c r="Z23" s="108" t="s">
        <v>71</v>
      </c>
      <c r="AA23" s="111">
        <v>26892</v>
      </c>
      <c r="AB23" s="113">
        <v>50</v>
      </c>
      <c r="AC23" s="108" t="s">
        <v>233</v>
      </c>
      <c r="AD23" s="129" t="s">
        <v>234</v>
      </c>
      <c r="AE23" s="108" t="s">
        <v>235</v>
      </c>
      <c r="AF23" s="108" t="s">
        <v>236</v>
      </c>
      <c r="AG23" s="108" t="s">
        <v>237</v>
      </c>
      <c r="AH23" s="114" t="s">
        <v>238</v>
      </c>
      <c r="AI23" s="115">
        <v>16013068669</v>
      </c>
      <c r="AJ23" s="108" t="s">
        <v>189</v>
      </c>
      <c r="AK23" s="108" t="s">
        <v>239</v>
      </c>
      <c r="AL23" s="108" t="s">
        <v>240</v>
      </c>
      <c r="AM23" s="108"/>
      <c r="AN23" s="108"/>
      <c r="AO23" s="108"/>
      <c r="AP23" s="108"/>
      <c r="AQ23" s="108"/>
      <c r="AR23" s="108"/>
      <c r="AS23" s="108"/>
      <c r="AT23" s="108">
        <v>1</v>
      </c>
      <c r="AU23" s="108" t="s">
        <v>225</v>
      </c>
      <c r="AV23" s="115">
        <v>0</v>
      </c>
      <c r="AW23" s="108" t="s">
        <v>74</v>
      </c>
      <c r="AX23" s="108" t="s">
        <v>17</v>
      </c>
      <c r="AY23" s="108"/>
      <c r="AZ23" s="108"/>
      <c r="BA23" s="108"/>
      <c r="BB23" s="108" t="s">
        <v>17</v>
      </c>
      <c r="BC23" s="108"/>
      <c r="BD23" s="108"/>
      <c r="BE23" s="108"/>
      <c r="BF23" s="116"/>
      <c r="BG23" s="116"/>
      <c r="BH23" s="108" t="s">
        <v>241</v>
      </c>
      <c r="BI23" s="108">
        <v>28</v>
      </c>
      <c r="BJ23" s="108">
        <v>40</v>
      </c>
      <c r="BK23" s="111">
        <v>44308</v>
      </c>
      <c r="BL23" s="111">
        <v>44336</v>
      </c>
      <c r="BM23" s="111">
        <v>44601</v>
      </c>
      <c r="BN23" s="111"/>
      <c r="BO23" s="108">
        <v>43467</v>
      </c>
      <c r="BP23" s="108">
        <v>43830</v>
      </c>
      <c r="BQ23" s="108" t="s">
        <v>242</v>
      </c>
      <c r="BR23" s="108" t="s">
        <v>243</v>
      </c>
      <c r="BS23" s="108"/>
      <c r="BT23" s="108"/>
      <c r="BU23" s="108"/>
      <c r="BV23" s="108"/>
      <c r="BW23" s="108"/>
      <c r="BX23" s="108"/>
      <c r="BY23" s="108"/>
      <c r="BZ23" s="108" t="e">
        <f>VLOOKUP(C23,[1]Sertifikasi!$B$4:$I$19,8,0)</f>
        <v>#N/A</v>
      </c>
    </row>
    <row r="24" spans="1:78" ht="11.25" customHeight="1">
      <c r="A24" s="108"/>
      <c r="B24" s="108">
        <v>42</v>
      </c>
      <c r="C24" s="108" t="s">
        <v>2149</v>
      </c>
      <c r="D24" s="109">
        <v>999800003</v>
      </c>
      <c r="E24" s="131">
        <v>1440001094520</v>
      </c>
      <c r="F24" s="131"/>
      <c r="G24" s="113" t="s">
        <v>33</v>
      </c>
      <c r="H24" s="108" t="s">
        <v>71</v>
      </c>
      <c r="I24" s="111">
        <v>43987</v>
      </c>
      <c r="J24" s="108">
        <f ca="1">DATEDIF(I24,$C$3,"y")</f>
        <v>3</v>
      </c>
      <c r="K24" s="108">
        <f ca="1">DATEDIF(I24,$C$3,"ym")</f>
        <v>5</v>
      </c>
      <c r="L24" s="108" t="str">
        <f t="shared" si="1"/>
        <v>Organik</v>
      </c>
      <c r="M24" s="108" t="s">
        <v>2111</v>
      </c>
      <c r="N24" s="112">
        <v>36039</v>
      </c>
      <c r="O24" s="108" t="s">
        <v>2112</v>
      </c>
      <c r="P24" s="108" t="s">
        <v>5</v>
      </c>
      <c r="Q24" s="210" t="s">
        <v>4100</v>
      </c>
      <c r="R24" s="108" t="s">
        <v>4099</v>
      </c>
      <c r="S24" s="108"/>
      <c r="T24" s="108" t="s">
        <v>900</v>
      </c>
      <c r="U24" s="108" t="s">
        <v>362</v>
      </c>
      <c r="V24" s="108" t="s">
        <v>180</v>
      </c>
      <c r="W24" s="108"/>
      <c r="X24" s="108"/>
      <c r="Y24" s="108" t="s">
        <v>59</v>
      </c>
      <c r="Z24" s="108" t="s">
        <v>182</v>
      </c>
      <c r="AA24" s="111">
        <v>26319</v>
      </c>
      <c r="AB24" s="113">
        <f ca="1">DATEDIF(AA24,$C$3,"y")</f>
        <v>51</v>
      </c>
      <c r="AC24" s="108" t="s">
        <v>2150</v>
      </c>
      <c r="AD24" s="129" t="s">
        <v>2151</v>
      </c>
      <c r="AE24" s="108" t="s">
        <v>2152</v>
      </c>
      <c r="AF24" s="108"/>
      <c r="AG24" s="108" t="s">
        <v>2153</v>
      </c>
      <c r="AH24" s="114" t="s">
        <v>2154</v>
      </c>
      <c r="AI24" s="115" t="s">
        <v>2155</v>
      </c>
      <c r="AJ24" s="108" t="s">
        <v>189</v>
      </c>
      <c r="AK24" s="108" t="s">
        <v>2156</v>
      </c>
      <c r="AL24" s="108" t="s">
        <v>2157</v>
      </c>
      <c r="AM24" s="108" t="s">
        <v>2158</v>
      </c>
      <c r="AN24" s="108" t="s">
        <v>2159</v>
      </c>
      <c r="AO24" s="108"/>
      <c r="AP24" s="108"/>
      <c r="AQ24" s="108"/>
      <c r="AR24" s="108"/>
      <c r="AS24" s="108"/>
      <c r="AT24" s="108">
        <f>COUNTA(AL24:AO24)</f>
        <v>3</v>
      </c>
      <c r="AU24" s="108" t="str">
        <f>IF(AJ24="Menikah","K","TK")&amp;"/"&amp;AT24</f>
        <v>K/3</v>
      </c>
      <c r="AV24" s="131" t="s">
        <v>2160</v>
      </c>
      <c r="AW24" s="113" t="s">
        <v>74</v>
      </c>
      <c r="AX24" s="108" t="s">
        <v>12</v>
      </c>
      <c r="AY24" s="108" t="s">
        <v>210</v>
      </c>
      <c r="AZ24" s="108" t="s">
        <v>2147</v>
      </c>
      <c r="BA24" s="108">
        <v>1997</v>
      </c>
      <c r="BB24" s="108" t="s">
        <v>12</v>
      </c>
      <c r="BC24" s="108" t="s">
        <v>210</v>
      </c>
      <c r="BD24" s="108" t="s">
        <v>2147</v>
      </c>
      <c r="BE24" s="108">
        <v>1997</v>
      </c>
      <c r="BF24" s="116">
        <v>46419</v>
      </c>
      <c r="BG24" s="116">
        <v>46784</v>
      </c>
      <c r="BH24" s="108"/>
      <c r="BI24" s="108"/>
      <c r="BJ24" s="108">
        <v>41</v>
      </c>
      <c r="BK24" s="111">
        <v>44294</v>
      </c>
      <c r="BL24" s="111">
        <v>44322</v>
      </c>
      <c r="BM24" s="111">
        <v>44585</v>
      </c>
      <c r="BN24" s="111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 t="e">
        <f>VLOOKUP(C24,[1]Sertifikasi!$B$4:$I$19,8,0)</f>
        <v>#N/A</v>
      </c>
    </row>
    <row r="25" spans="1:78" ht="11.25" customHeight="1">
      <c r="A25" s="108"/>
      <c r="B25" s="108">
        <v>156</v>
      </c>
      <c r="C25" s="108" t="s">
        <v>1833</v>
      </c>
      <c r="D25" s="109">
        <v>641907253</v>
      </c>
      <c r="E25" s="131">
        <v>1710005658326</v>
      </c>
      <c r="F25" s="131"/>
      <c r="G25" s="108" t="s">
        <v>1834</v>
      </c>
      <c r="H25" s="108" t="s">
        <v>1834</v>
      </c>
      <c r="I25" s="111">
        <v>43647</v>
      </c>
      <c r="J25" s="108">
        <v>4</v>
      </c>
      <c r="K25" s="108">
        <v>3</v>
      </c>
      <c r="L25" s="108" t="str">
        <f t="shared" si="1"/>
        <v>PKWT</v>
      </c>
      <c r="M25" s="108"/>
      <c r="N25" s="112">
        <v>45291</v>
      </c>
      <c r="O25" s="108"/>
      <c r="P25" s="108" t="s">
        <v>213</v>
      </c>
      <c r="Q25" s="210" t="s">
        <v>4102</v>
      </c>
      <c r="R25" s="108" t="s">
        <v>259</v>
      </c>
      <c r="S25" s="108" t="s">
        <v>262</v>
      </c>
      <c r="T25" s="108" t="s">
        <v>89</v>
      </c>
      <c r="U25" s="108" t="s">
        <v>199</v>
      </c>
      <c r="V25" s="108" t="s">
        <v>180</v>
      </c>
      <c r="W25" s="108" t="s">
        <v>277</v>
      </c>
      <c r="X25" s="108" t="s">
        <v>215</v>
      </c>
      <c r="Y25" s="108" t="s">
        <v>216</v>
      </c>
      <c r="Z25" s="108" t="s">
        <v>1296</v>
      </c>
      <c r="AA25" s="111">
        <v>34779</v>
      </c>
      <c r="AB25" s="113">
        <v>28</v>
      </c>
      <c r="AC25" s="108" t="s">
        <v>1835</v>
      </c>
      <c r="AD25" s="129" t="s">
        <v>1836</v>
      </c>
      <c r="AE25" s="108" t="s">
        <v>1837</v>
      </c>
      <c r="AF25" s="108" t="s">
        <v>1838</v>
      </c>
      <c r="AG25" s="108" t="s">
        <v>1839</v>
      </c>
      <c r="AH25" s="114" t="s">
        <v>1840</v>
      </c>
      <c r="AI25" s="115">
        <v>19047644141</v>
      </c>
      <c r="AJ25" s="108" t="s">
        <v>189</v>
      </c>
      <c r="AK25" s="108" t="s">
        <v>1841</v>
      </c>
      <c r="AL25" s="108" t="s">
        <v>1842</v>
      </c>
      <c r="AM25" s="108"/>
      <c r="AN25" s="108"/>
      <c r="AO25" s="108"/>
      <c r="AP25" s="108"/>
      <c r="AQ25" s="108"/>
      <c r="AR25" s="108"/>
      <c r="AS25" s="108"/>
      <c r="AT25" s="108">
        <v>1</v>
      </c>
      <c r="AU25" s="108" t="s">
        <v>225</v>
      </c>
      <c r="AV25" s="115">
        <v>0</v>
      </c>
      <c r="AW25" s="108" t="s">
        <v>74</v>
      </c>
      <c r="AX25" s="108" t="s">
        <v>16</v>
      </c>
      <c r="AY25" s="108" t="s">
        <v>331</v>
      </c>
      <c r="AZ25" s="108" t="s">
        <v>1843</v>
      </c>
      <c r="BA25" s="108">
        <v>2013</v>
      </c>
      <c r="BB25" s="108" t="s">
        <v>287</v>
      </c>
      <c r="BC25" s="108" t="s">
        <v>331</v>
      </c>
      <c r="BD25" s="108" t="s">
        <v>1843</v>
      </c>
      <c r="BE25" s="108">
        <v>2013</v>
      </c>
      <c r="BF25" s="116"/>
      <c r="BG25" s="116"/>
      <c r="BH25" s="108" t="s">
        <v>345</v>
      </c>
      <c r="BI25" s="108">
        <v>34</v>
      </c>
      <c r="BJ25" s="108">
        <v>43</v>
      </c>
      <c r="BK25" s="111"/>
      <c r="BL25" s="111"/>
      <c r="BM25" s="111"/>
      <c r="BN25" s="111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 t="e">
        <f>VLOOKUP(C25,[1]Sertifikasi!$B$4:$I$19,8,0)</f>
        <v>#N/A</v>
      </c>
    </row>
    <row r="26" spans="1:78" ht="11.25" customHeight="1">
      <c r="A26" s="108"/>
      <c r="B26" s="108">
        <v>157</v>
      </c>
      <c r="C26" s="108" t="s">
        <v>1560</v>
      </c>
      <c r="D26" s="109">
        <v>641810184</v>
      </c>
      <c r="E26" s="131">
        <v>1710004810514</v>
      </c>
      <c r="F26" s="131"/>
      <c r="G26" s="108" t="s">
        <v>259</v>
      </c>
      <c r="H26" s="108" t="s">
        <v>259</v>
      </c>
      <c r="I26" s="111">
        <v>43395</v>
      </c>
      <c r="J26" s="108">
        <v>4</v>
      </c>
      <c r="K26" s="108">
        <v>11</v>
      </c>
      <c r="L26" s="108" t="str">
        <f t="shared" si="1"/>
        <v>PKWT</v>
      </c>
      <c r="M26" s="108"/>
      <c r="N26" s="112">
        <v>45291</v>
      </c>
      <c r="O26" s="108"/>
      <c r="P26" s="108" t="s">
        <v>213</v>
      </c>
      <c r="Q26" s="210" t="s">
        <v>4102</v>
      </c>
      <c r="R26" s="108" t="s">
        <v>259</v>
      </c>
      <c r="S26" s="108" t="s">
        <v>262</v>
      </c>
      <c r="T26" s="108" t="s">
        <v>89</v>
      </c>
      <c r="U26" s="108" t="s">
        <v>199</v>
      </c>
      <c r="V26" s="108" t="s">
        <v>180</v>
      </c>
      <c r="W26" s="108" t="s">
        <v>277</v>
      </c>
      <c r="X26" s="108" t="s">
        <v>215</v>
      </c>
      <c r="Y26" s="108" t="s">
        <v>216</v>
      </c>
      <c r="Z26" s="108" t="s">
        <v>259</v>
      </c>
      <c r="AA26" s="111">
        <v>33820</v>
      </c>
      <c r="AB26" s="113">
        <v>31</v>
      </c>
      <c r="AC26" s="108" t="s">
        <v>1561</v>
      </c>
      <c r="AD26" s="129" t="s">
        <v>1562</v>
      </c>
      <c r="AE26" s="108" t="s">
        <v>1563</v>
      </c>
      <c r="AF26" s="108"/>
      <c r="AG26" s="108" t="s">
        <v>1564</v>
      </c>
      <c r="AH26" s="114" t="s">
        <v>1565</v>
      </c>
      <c r="AI26" s="115">
        <v>18099947477</v>
      </c>
      <c r="AJ26" s="108" t="s">
        <v>189</v>
      </c>
      <c r="AK26" s="108" t="s">
        <v>1566</v>
      </c>
      <c r="AL26" s="108" t="s">
        <v>1567</v>
      </c>
      <c r="AM26" s="108"/>
      <c r="AN26" s="108"/>
      <c r="AO26" s="108"/>
      <c r="AP26" s="108"/>
      <c r="AQ26" s="108"/>
      <c r="AR26" s="108"/>
      <c r="AS26" s="108"/>
      <c r="AT26" s="108">
        <v>1</v>
      </c>
      <c r="AU26" s="108" t="s">
        <v>225</v>
      </c>
      <c r="AV26" s="115">
        <v>0</v>
      </c>
      <c r="AW26" s="108" t="s">
        <v>74</v>
      </c>
      <c r="AX26" s="108" t="s">
        <v>16</v>
      </c>
      <c r="AY26" s="108" t="s">
        <v>285</v>
      </c>
      <c r="AZ26" s="108" t="s">
        <v>1568</v>
      </c>
      <c r="BA26" s="108">
        <v>2010</v>
      </c>
      <c r="BB26" s="108" t="s">
        <v>287</v>
      </c>
      <c r="BC26" s="108" t="s">
        <v>285</v>
      </c>
      <c r="BD26" s="108" t="s">
        <v>1568</v>
      </c>
      <c r="BE26" s="108">
        <v>2010</v>
      </c>
      <c r="BF26" s="116"/>
      <c r="BG26" s="116"/>
      <c r="BH26" s="108" t="s">
        <v>345</v>
      </c>
      <c r="BI26" s="108">
        <v>32</v>
      </c>
      <c r="BJ26" s="108">
        <v>42</v>
      </c>
      <c r="BK26" s="111"/>
      <c r="BL26" s="111"/>
      <c r="BM26" s="111"/>
      <c r="BN26" s="111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 t="e">
        <f>VLOOKUP(C26,[1]Sertifikasi!$B$4:$I$19,8,0)</f>
        <v>#N/A</v>
      </c>
    </row>
    <row r="27" spans="1:78" ht="11.25" customHeight="1">
      <c r="A27" s="108"/>
      <c r="B27" s="108">
        <v>20</v>
      </c>
      <c r="C27" s="108" t="s">
        <v>1462</v>
      </c>
      <c r="D27" s="109">
        <v>971900036</v>
      </c>
      <c r="E27" s="131">
        <v>1710004607050</v>
      </c>
      <c r="F27" s="131">
        <v>7174457748</v>
      </c>
      <c r="G27" s="113" t="s">
        <v>71</v>
      </c>
      <c r="H27" s="108" t="s">
        <v>71</v>
      </c>
      <c r="I27" s="111">
        <v>43346</v>
      </c>
      <c r="J27" s="108">
        <f ca="1">DATEDIF(I27,$C$3,"y")</f>
        <v>5</v>
      </c>
      <c r="K27" s="108">
        <f ca="1">DATEDIF(I27,$C$3,"ym")</f>
        <v>2</v>
      </c>
      <c r="L27" s="108" t="str">
        <f t="shared" si="1"/>
        <v>Tetap</v>
      </c>
      <c r="M27" s="108" t="s">
        <v>1451</v>
      </c>
      <c r="N27" s="112">
        <v>43683</v>
      </c>
      <c r="O27" s="111"/>
      <c r="P27" s="108" t="s">
        <v>261</v>
      </c>
      <c r="Q27" s="210" t="s">
        <v>4100</v>
      </c>
      <c r="R27" s="108" t="s">
        <v>4099</v>
      </c>
      <c r="S27" s="108" t="s">
        <v>674</v>
      </c>
      <c r="T27" s="108" t="s">
        <v>674</v>
      </c>
      <c r="U27" s="108" t="s">
        <v>674</v>
      </c>
      <c r="V27" s="108" t="s">
        <v>247</v>
      </c>
      <c r="W27" s="108"/>
      <c r="X27" s="108"/>
      <c r="Y27" s="108" t="s">
        <v>59</v>
      </c>
      <c r="Z27" s="108" t="s">
        <v>71</v>
      </c>
      <c r="AA27" s="111">
        <v>34053</v>
      </c>
      <c r="AB27" s="113">
        <f ca="1">DATEDIF(AA27,$C$3,"y")</f>
        <v>30</v>
      </c>
      <c r="AC27" s="108" t="s">
        <v>1463</v>
      </c>
      <c r="AD27" s="129" t="s">
        <v>1464</v>
      </c>
      <c r="AE27" s="108" t="s">
        <v>1465</v>
      </c>
      <c r="AF27" s="108"/>
      <c r="AG27" s="130" t="s">
        <v>1466</v>
      </c>
      <c r="AH27" s="114" t="s">
        <v>1467</v>
      </c>
      <c r="AI27" s="115" t="s">
        <v>1468</v>
      </c>
      <c r="AJ27" s="108" t="s">
        <v>189</v>
      </c>
      <c r="AK27" s="108" t="s">
        <v>1469</v>
      </c>
      <c r="AL27" s="108" t="s">
        <v>1470</v>
      </c>
      <c r="AM27" s="108"/>
      <c r="AN27" s="108"/>
      <c r="AO27" s="108"/>
      <c r="AP27" s="108"/>
      <c r="AQ27" s="108"/>
      <c r="AR27" s="108"/>
      <c r="AS27" s="108"/>
      <c r="AT27" s="108">
        <f>COUNTA(AL27:AO27)</f>
        <v>1</v>
      </c>
      <c r="AU27" s="108" t="str">
        <f>IF(AJ27="Menikah","K","TK")&amp;"/"&amp;AT27</f>
        <v>K/1</v>
      </c>
      <c r="AV27" s="131">
        <v>906101571517000</v>
      </c>
      <c r="AW27" s="113" t="s">
        <v>74</v>
      </c>
      <c r="AX27" s="108" t="s">
        <v>12</v>
      </c>
      <c r="AY27" s="108" t="s">
        <v>671</v>
      </c>
      <c r="AZ27" s="108" t="s">
        <v>1471</v>
      </c>
      <c r="BA27" s="108">
        <v>2012</v>
      </c>
      <c r="BB27" s="108" t="s">
        <v>12</v>
      </c>
      <c r="BC27" s="108" t="s">
        <v>671</v>
      </c>
      <c r="BD27" s="108" t="s">
        <v>1471</v>
      </c>
      <c r="BE27" s="108">
        <v>2012</v>
      </c>
      <c r="BF27" s="116">
        <v>54276</v>
      </c>
      <c r="BG27" s="116">
        <v>54641</v>
      </c>
      <c r="BH27" s="132"/>
      <c r="BI27" s="108"/>
      <c r="BJ27" s="207"/>
      <c r="BK27" s="111">
        <v>44294</v>
      </c>
      <c r="BL27" s="111">
        <v>44322</v>
      </c>
      <c r="BM27" s="111">
        <v>44617</v>
      </c>
      <c r="BN27" s="111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 t="e">
        <f>VLOOKUP(C27,[1]Sertifikasi!$B$4:$I$19,8,0)</f>
        <v>#N/A</v>
      </c>
    </row>
    <row r="28" spans="1:78" ht="11.25" customHeight="1">
      <c r="A28" s="108"/>
      <c r="B28" s="108">
        <v>207</v>
      </c>
      <c r="C28" s="108" t="s">
        <v>1168</v>
      </c>
      <c r="D28" s="109">
        <v>642001021</v>
      </c>
      <c r="E28" s="131">
        <v>1710003987495</v>
      </c>
      <c r="F28" s="131"/>
      <c r="G28" s="108" t="s">
        <v>71</v>
      </c>
      <c r="H28" s="108" t="s">
        <v>71</v>
      </c>
      <c r="I28" s="111">
        <v>43010</v>
      </c>
      <c r="J28" s="108">
        <v>6</v>
      </c>
      <c r="K28" s="108">
        <v>0</v>
      </c>
      <c r="L28" s="108" t="str">
        <f t="shared" si="1"/>
        <v>PKWT</v>
      </c>
      <c r="M28" s="108"/>
      <c r="N28" s="112">
        <v>45291</v>
      </c>
      <c r="O28" s="108"/>
      <c r="P28" s="108" t="s">
        <v>213</v>
      </c>
      <c r="Q28" s="210" t="s">
        <v>4102</v>
      </c>
      <c r="R28" s="108" t="s">
        <v>259</v>
      </c>
      <c r="S28" s="108" t="s">
        <v>33</v>
      </c>
      <c r="T28" s="108" t="s">
        <v>432</v>
      </c>
      <c r="U28" s="108" t="s">
        <v>199</v>
      </c>
      <c r="V28" s="108" t="s">
        <v>180</v>
      </c>
      <c r="W28" s="108" t="s">
        <v>931</v>
      </c>
      <c r="X28" s="108" t="s">
        <v>215</v>
      </c>
      <c r="Y28" s="108" t="s">
        <v>216</v>
      </c>
      <c r="Z28" s="108" t="s">
        <v>1169</v>
      </c>
      <c r="AA28" s="111">
        <v>35990</v>
      </c>
      <c r="AB28" s="113">
        <v>25</v>
      </c>
      <c r="AC28" s="108" t="s">
        <v>1170</v>
      </c>
      <c r="AD28" s="129" t="s">
        <v>1171</v>
      </c>
      <c r="AE28" s="108" t="s">
        <v>1172</v>
      </c>
      <c r="AF28" s="108"/>
      <c r="AG28" s="108" t="s">
        <v>1173</v>
      </c>
      <c r="AH28" s="114" t="s">
        <v>1174</v>
      </c>
      <c r="AI28" s="115">
        <v>18024053243</v>
      </c>
      <c r="AJ28" s="108" t="s">
        <v>255</v>
      </c>
      <c r="AK28" s="108"/>
      <c r="AL28" s="108"/>
      <c r="AM28" s="108"/>
      <c r="AN28" s="108"/>
      <c r="AO28" s="108"/>
      <c r="AP28" s="108"/>
      <c r="AQ28" s="108"/>
      <c r="AR28" s="108"/>
      <c r="AS28" s="108"/>
      <c r="AT28" s="108">
        <v>0</v>
      </c>
      <c r="AU28" s="108" t="s">
        <v>304</v>
      </c>
      <c r="AV28" s="115">
        <v>0</v>
      </c>
      <c r="AW28" s="108" t="s">
        <v>74</v>
      </c>
      <c r="AX28" s="108" t="s">
        <v>16</v>
      </c>
      <c r="AY28" s="108" t="s">
        <v>331</v>
      </c>
      <c r="AZ28" s="108" t="s">
        <v>1175</v>
      </c>
      <c r="BA28" s="108">
        <v>2017</v>
      </c>
      <c r="BB28" s="108" t="s">
        <v>287</v>
      </c>
      <c r="BC28" s="108" t="s">
        <v>331</v>
      </c>
      <c r="BD28" s="108" t="s">
        <v>1175</v>
      </c>
      <c r="BE28" s="108">
        <v>2017</v>
      </c>
      <c r="BF28" s="116"/>
      <c r="BG28" s="116"/>
      <c r="BH28" s="108" t="s">
        <v>228</v>
      </c>
      <c r="BI28" s="108">
        <v>31</v>
      </c>
      <c r="BJ28" s="108">
        <v>42</v>
      </c>
      <c r="BK28" s="111"/>
      <c r="BL28" s="111"/>
      <c r="BM28" s="111">
        <v>44674</v>
      </c>
      <c r="BN28" s="111"/>
      <c r="BO28" s="108">
        <v>43467</v>
      </c>
      <c r="BP28" s="108">
        <v>43830</v>
      </c>
      <c r="BQ28" s="108" t="s">
        <v>1176</v>
      </c>
      <c r="BR28" s="108" t="s">
        <v>1177</v>
      </c>
      <c r="BS28" s="108"/>
      <c r="BT28" s="108"/>
      <c r="BU28" s="108"/>
      <c r="BV28" s="108"/>
      <c r="BW28" s="108"/>
      <c r="BX28" s="108"/>
      <c r="BY28" s="108"/>
      <c r="BZ28" s="108" t="e">
        <f>VLOOKUP(C28,[1]Sertifikasi!$B$4:$I$19,8,0)</f>
        <v>#N/A</v>
      </c>
    </row>
    <row r="29" spans="1:78" ht="11.25" customHeight="1">
      <c r="A29" s="108"/>
      <c r="B29" s="108">
        <v>43</v>
      </c>
      <c r="C29" s="108" t="s">
        <v>2924</v>
      </c>
      <c r="D29" s="109">
        <v>642301193</v>
      </c>
      <c r="E29" s="131">
        <v>1420021243323</v>
      </c>
      <c r="F29" s="131"/>
      <c r="G29" s="108" t="s">
        <v>71</v>
      </c>
      <c r="H29" s="108" t="s">
        <v>71</v>
      </c>
      <c r="I29" s="111">
        <v>44931</v>
      </c>
      <c r="J29" s="108">
        <v>0</v>
      </c>
      <c r="K29" s="108">
        <v>9</v>
      </c>
      <c r="L29" s="108" t="str">
        <f t="shared" si="1"/>
        <v>PKWT</v>
      </c>
      <c r="M29" s="108"/>
      <c r="N29" s="112">
        <v>45291</v>
      </c>
      <c r="O29" s="108"/>
      <c r="P29" s="108" t="s">
        <v>213</v>
      </c>
      <c r="Q29" s="210" t="s">
        <v>4100</v>
      </c>
      <c r="R29" s="108" t="s">
        <v>4099</v>
      </c>
      <c r="S29" s="108" t="s">
        <v>899</v>
      </c>
      <c r="T29" s="108" t="s">
        <v>900</v>
      </c>
      <c r="U29" s="108" t="s">
        <v>362</v>
      </c>
      <c r="V29" s="108" t="s">
        <v>180</v>
      </c>
      <c r="W29" s="108" t="s">
        <v>277</v>
      </c>
      <c r="X29" s="108"/>
      <c r="Y29" s="108" t="s">
        <v>216</v>
      </c>
      <c r="Z29" s="108" t="s">
        <v>2925</v>
      </c>
      <c r="AA29" s="111">
        <v>36602</v>
      </c>
      <c r="AB29" s="113">
        <v>23</v>
      </c>
      <c r="AC29" s="108" t="s">
        <v>2926</v>
      </c>
      <c r="AD29" s="129" t="s">
        <v>2927</v>
      </c>
      <c r="AE29" s="108" t="s">
        <v>2928</v>
      </c>
      <c r="AF29" s="108"/>
      <c r="AG29" s="108" t="s">
        <v>2929</v>
      </c>
      <c r="AH29" s="114" t="s">
        <v>2930</v>
      </c>
      <c r="AI29" s="115">
        <v>23009096753</v>
      </c>
      <c r="AJ29" s="108" t="s">
        <v>255</v>
      </c>
      <c r="AK29" s="108"/>
      <c r="AL29" s="108"/>
      <c r="AM29" s="108"/>
      <c r="AN29" s="108"/>
      <c r="AO29" s="108"/>
      <c r="AP29" s="108"/>
      <c r="AQ29" s="108"/>
      <c r="AR29" s="108"/>
      <c r="AS29" s="108"/>
      <c r="AT29" s="108">
        <v>0</v>
      </c>
      <c r="AU29" s="108" t="s">
        <v>304</v>
      </c>
      <c r="AV29" s="115"/>
      <c r="AW29" s="108" t="s">
        <v>74</v>
      </c>
      <c r="AX29" s="108" t="s">
        <v>13</v>
      </c>
      <c r="AY29" s="108" t="s">
        <v>2789</v>
      </c>
      <c r="AZ29" s="108" t="s">
        <v>2472</v>
      </c>
      <c r="BA29" s="108">
        <v>2022</v>
      </c>
      <c r="BB29" s="108" t="s">
        <v>13</v>
      </c>
      <c r="BC29" s="108" t="s">
        <v>2789</v>
      </c>
      <c r="BD29" s="108" t="s">
        <v>2472</v>
      </c>
      <c r="BE29" s="108">
        <v>2022</v>
      </c>
      <c r="BF29" s="116"/>
      <c r="BG29" s="116"/>
      <c r="BH29" s="108"/>
      <c r="BI29" s="108"/>
      <c r="BJ29" s="108">
        <v>43</v>
      </c>
      <c r="BK29" s="111"/>
      <c r="BL29" s="111"/>
      <c r="BM29" s="111">
        <v>44659</v>
      </c>
      <c r="BN29" s="111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 t="e">
        <f>VLOOKUP(C29,[1]Sertifikasi!$B$4:$I$19,8,0)</f>
        <v>#N/A</v>
      </c>
    </row>
    <row r="30" spans="1:78" ht="11.25" customHeight="1">
      <c r="A30" s="108"/>
      <c r="B30" s="108">
        <v>123</v>
      </c>
      <c r="C30" s="108" t="s">
        <v>2697</v>
      </c>
      <c r="D30" s="109">
        <v>642201153</v>
      </c>
      <c r="E30" s="131">
        <v>1710001957979</v>
      </c>
      <c r="F30" s="131"/>
      <c r="G30" s="108" t="s">
        <v>71</v>
      </c>
      <c r="H30" s="108" t="s">
        <v>71</v>
      </c>
      <c r="I30" s="111">
        <v>44596</v>
      </c>
      <c r="J30" s="108">
        <v>1</v>
      </c>
      <c r="K30" s="108">
        <v>8</v>
      </c>
      <c r="L30" s="108" t="str">
        <f t="shared" si="1"/>
        <v>PKWT</v>
      </c>
      <c r="M30" s="108"/>
      <c r="N30" s="112">
        <v>45325</v>
      </c>
      <c r="O30" s="108"/>
      <c r="P30" s="108" t="s">
        <v>213</v>
      </c>
      <c r="Q30" s="210" t="s">
        <v>4102</v>
      </c>
      <c r="R30" s="108" t="s">
        <v>409</v>
      </c>
      <c r="S30" s="108" t="s">
        <v>33</v>
      </c>
      <c r="T30" s="108" t="s">
        <v>88</v>
      </c>
      <c r="U30" s="108" t="s">
        <v>199</v>
      </c>
      <c r="V30" s="108" t="s">
        <v>180</v>
      </c>
      <c r="W30" s="108"/>
      <c r="X30" s="108"/>
      <c r="Y30" s="108" t="s">
        <v>216</v>
      </c>
      <c r="Z30" s="108" t="s">
        <v>71</v>
      </c>
      <c r="AA30" s="111">
        <v>35746</v>
      </c>
      <c r="AB30" s="113">
        <v>25</v>
      </c>
      <c r="AC30" s="108" t="s">
        <v>2698</v>
      </c>
      <c r="AD30" s="129" t="s">
        <v>2699</v>
      </c>
      <c r="AE30" s="108" t="s">
        <v>2700</v>
      </c>
      <c r="AF30" s="108"/>
      <c r="AG30" s="108" t="s">
        <v>2701</v>
      </c>
      <c r="AH30" s="114" t="s">
        <v>2702</v>
      </c>
      <c r="AI30" s="115">
        <v>22017333737</v>
      </c>
      <c r="AJ30" s="108" t="s">
        <v>255</v>
      </c>
      <c r="AK30" s="108"/>
      <c r="AL30" s="108"/>
      <c r="AM30" s="108"/>
      <c r="AN30" s="108"/>
      <c r="AO30" s="108"/>
      <c r="AP30" s="108"/>
      <c r="AQ30" s="108"/>
      <c r="AR30" s="108"/>
      <c r="AS30" s="108"/>
      <c r="AT30" s="108">
        <v>0</v>
      </c>
      <c r="AU30" s="108" t="s">
        <v>304</v>
      </c>
      <c r="AV30" s="115"/>
      <c r="AW30" s="108" t="s">
        <v>74</v>
      </c>
      <c r="AX30" s="108" t="s">
        <v>16</v>
      </c>
      <c r="AY30" s="108" t="s">
        <v>331</v>
      </c>
      <c r="AZ30" s="108" t="s">
        <v>306</v>
      </c>
      <c r="BA30" s="108">
        <v>2016</v>
      </c>
      <c r="BB30" s="108" t="s">
        <v>16</v>
      </c>
      <c r="BC30" s="108" t="s">
        <v>331</v>
      </c>
      <c r="BD30" s="108" t="s">
        <v>306</v>
      </c>
      <c r="BE30" s="108">
        <v>2016</v>
      </c>
      <c r="BF30" s="116"/>
      <c r="BG30" s="116"/>
      <c r="BH30" s="108"/>
      <c r="BI30" s="108"/>
      <c r="BJ30" s="108">
        <v>41</v>
      </c>
      <c r="BK30" s="111"/>
      <c r="BL30" s="111"/>
      <c r="BM30" s="111"/>
      <c r="BN30" s="111"/>
      <c r="BO30" s="108"/>
      <c r="BP30" s="108"/>
      <c r="BQ30" s="108"/>
      <c r="BR30" s="108" t="s">
        <v>2703</v>
      </c>
      <c r="BS30" s="108"/>
      <c r="BT30" s="108"/>
      <c r="BU30" s="108"/>
      <c r="BV30" s="108"/>
      <c r="BW30" s="108"/>
      <c r="BX30" s="108"/>
      <c r="BY30" s="108"/>
      <c r="BZ30" s="108" t="e">
        <f>VLOOKUP(C30,[1]Sertifikasi!$B$4:$I$19,8,0)</f>
        <v>#N/A</v>
      </c>
    </row>
    <row r="31" spans="1:78" ht="11.25" customHeight="1">
      <c r="A31" s="108"/>
      <c r="B31" s="108">
        <v>208</v>
      </c>
      <c r="C31" s="108" t="s">
        <v>2874</v>
      </c>
      <c r="D31" s="109">
        <v>642301180</v>
      </c>
      <c r="E31" s="131">
        <v>1710012918895</v>
      </c>
      <c r="F31" s="131"/>
      <c r="G31" s="108" t="s">
        <v>71</v>
      </c>
      <c r="H31" s="108" t="s">
        <v>71</v>
      </c>
      <c r="I31" s="111">
        <v>44931</v>
      </c>
      <c r="J31" s="108">
        <v>0</v>
      </c>
      <c r="K31" s="108">
        <v>9</v>
      </c>
      <c r="L31" s="108" t="str">
        <f t="shared" si="1"/>
        <v>PKWT</v>
      </c>
      <c r="M31" s="108"/>
      <c r="N31" s="112">
        <v>45291</v>
      </c>
      <c r="O31" s="108"/>
      <c r="P31" s="108" t="s">
        <v>213</v>
      </c>
      <c r="Q31" s="210" t="s">
        <v>4102</v>
      </c>
      <c r="R31" s="108" t="s">
        <v>259</v>
      </c>
      <c r="S31" s="108" t="s">
        <v>33</v>
      </c>
      <c r="T31" s="108" t="s">
        <v>432</v>
      </c>
      <c r="U31" s="108" t="s">
        <v>199</v>
      </c>
      <c r="V31" s="108" t="s">
        <v>180</v>
      </c>
      <c r="W31" s="108" t="s">
        <v>263</v>
      </c>
      <c r="X31" s="108"/>
      <c r="Y31" s="108" t="s">
        <v>216</v>
      </c>
      <c r="Z31" s="108" t="s">
        <v>2875</v>
      </c>
      <c r="AA31" s="111">
        <v>36937</v>
      </c>
      <c r="AB31" s="113">
        <v>22</v>
      </c>
      <c r="AC31" s="108" t="s">
        <v>2876</v>
      </c>
      <c r="AD31" s="129" t="s">
        <v>2877</v>
      </c>
      <c r="AE31" s="108" t="s">
        <v>2878</v>
      </c>
      <c r="AF31" s="108"/>
      <c r="AG31" s="108" t="s">
        <v>2879</v>
      </c>
      <c r="AH31" s="114" t="s">
        <v>2880</v>
      </c>
      <c r="AI31" s="115">
        <v>23009096696</v>
      </c>
      <c r="AJ31" s="108" t="s">
        <v>255</v>
      </c>
      <c r="AK31" s="108"/>
      <c r="AL31" s="108"/>
      <c r="AM31" s="108"/>
      <c r="AN31" s="108"/>
      <c r="AO31" s="108"/>
      <c r="AP31" s="108"/>
      <c r="AQ31" s="108"/>
      <c r="AR31" s="108"/>
      <c r="AS31" s="108"/>
      <c r="AT31" s="108">
        <v>0</v>
      </c>
      <c r="AU31" s="108" t="s">
        <v>304</v>
      </c>
      <c r="AV31" s="115"/>
      <c r="AW31" s="108" t="s">
        <v>74</v>
      </c>
      <c r="AX31" s="108" t="s">
        <v>13</v>
      </c>
      <c r="AY31" s="108" t="s">
        <v>2860</v>
      </c>
      <c r="AZ31" s="108" t="s">
        <v>2472</v>
      </c>
      <c r="BA31" s="108">
        <v>2022</v>
      </c>
      <c r="BB31" s="108" t="s">
        <v>13</v>
      </c>
      <c r="BC31" s="108" t="s">
        <v>2860</v>
      </c>
      <c r="BD31" s="108" t="s">
        <v>2472</v>
      </c>
      <c r="BE31" s="108">
        <v>2022</v>
      </c>
      <c r="BF31" s="116"/>
      <c r="BG31" s="116"/>
      <c r="BH31" s="108"/>
      <c r="BI31" s="108"/>
      <c r="BJ31" s="108">
        <v>41</v>
      </c>
      <c r="BK31" s="111"/>
      <c r="BL31" s="111"/>
      <c r="BM31" s="111"/>
      <c r="BN31" s="111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 t="str">
        <f>VLOOKUP(C31,[1]Sertifikasi!$B$4:$I$19,8,0)</f>
        <v>Pembinaan Dan Sertifikasi Calon Ahli K3 Umum</v>
      </c>
    </row>
    <row r="32" spans="1:78" ht="11.25" customHeight="1">
      <c r="A32" s="108"/>
      <c r="B32" s="108">
        <v>158</v>
      </c>
      <c r="C32" s="108" t="s">
        <v>1228</v>
      </c>
      <c r="D32" s="109">
        <v>641805143</v>
      </c>
      <c r="E32" s="131">
        <v>1710004257682</v>
      </c>
      <c r="F32" s="131"/>
      <c r="G32" s="108" t="s">
        <v>71</v>
      </c>
      <c r="H32" s="108" t="s">
        <v>71</v>
      </c>
      <c r="I32" s="111">
        <v>43227</v>
      </c>
      <c r="J32" s="108">
        <v>5</v>
      </c>
      <c r="K32" s="108">
        <v>5</v>
      </c>
      <c r="L32" s="108" t="str">
        <f t="shared" si="1"/>
        <v>PKWT</v>
      </c>
      <c r="M32" s="108"/>
      <c r="N32" s="112">
        <v>45291</v>
      </c>
      <c r="O32" s="108"/>
      <c r="P32" s="108" t="s">
        <v>213</v>
      </c>
      <c r="Q32" s="210" t="s">
        <v>4102</v>
      </c>
      <c r="R32" s="108" t="s">
        <v>259</v>
      </c>
      <c r="S32" s="108" t="s">
        <v>262</v>
      </c>
      <c r="T32" s="108" t="s">
        <v>89</v>
      </c>
      <c r="U32" s="108" t="s">
        <v>199</v>
      </c>
      <c r="V32" s="108" t="s">
        <v>180</v>
      </c>
      <c r="W32" s="108"/>
      <c r="X32" s="108" t="s">
        <v>215</v>
      </c>
      <c r="Y32" s="108" t="s">
        <v>216</v>
      </c>
      <c r="Z32" s="108" t="s">
        <v>71</v>
      </c>
      <c r="AA32" s="111">
        <v>34966</v>
      </c>
      <c r="AB32" s="113">
        <v>28</v>
      </c>
      <c r="AC32" s="108" t="s">
        <v>1229</v>
      </c>
      <c r="AD32" s="129" t="s">
        <v>1230</v>
      </c>
      <c r="AE32" s="108" t="s">
        <v>1231</v>
      </c>
      <c r="AF32" s="108"/>
      <c r="AG32" s="108" t="s">
        <v>1232</v>
      </c>
      <c r="AH32" s="114" t="s">
        <v>1233</v>
      </c>
      <c r="AI32" s="115">
        <v>18035613548</v>
      </c>
      <c r="AJ32" s="108" t="s">
        <v>189</v>
      </c>
      <c r="AK32" s="108" t="s">
        <v>1234</v>
      </c>
      <c r="AL32" s="108"/>
      <c r="AM32" s="108"/>
      <c r="AN32" s="108"/>
      <c r="AO32" s="108"/>
      <c r="AP32" s="108" t="s">
        <v>1235</v>
      </c>
      <c r="AQ32" s="108" t="s">
        <v>1236</v>
      </c>
      <c r="AR32" s="108"/>
      <c r="AS32" s="108"/>
      <c r="AT32" s="108">
        <v>0</v>
      </c>
      <c r="AU32" s="108" t="s">
        <v>390</v>
      </c>
      <c r="AV32" s="115">
        <v>0</v>
      </c>
      <c r="AW32" s="108" t="s">
        <v>74</v>
      </c>
      <c r="AX32" s="108" t="s">
        <v>16</v>
      </c>
      <c r="AY32" s="108" t="s">
        <v>331</v>
      </c>
      <c r="AZ32" s="108" t="s">
        <v>1237</v>
      </c>
      <c r="BA32" s="108">
        <v>2013</v>
      </c>
      <c r="BB32" s="108" t="s">
        <v>287</v>
      </c>
      <c r="BC32" s="108" t="s">
        <v>331</v>
      </c>
      <c r="BD32" s="108" t="s">
        <v>1237</v>
      </c>
      <c r="BE32" s="108">
        <v>2013</v>
      </c>
      <c r="BF32" s="116"/>
      <c r="BG32" s="116"/>
      <c r="BH32" s="108" t="s">
        <v>228</v>
      </c>
      <c r="BI32" s="108">
        <v>36</v>
      </c>
      <c r="BJ32" s="108">
        <v>42</v>
      </c>
      <c r="BK32" s="111"/>
      <c r="BL32" s="111"/>
      <c r="BM32" s="111"/>
      <c r="BN32" s="111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 t="e">
        <f>VLOOKUP(C32,[1]Sertifikasi!$B$4:$I$19,8,0)</f>
        <v>#N/A</v>
      </c>
    </row>
    <row r="33" spans="1:78" ht="11.25" customHeight="1">
      <c r="A33" s="108"/>
      <c r="B33" s="108">
        <v>124</v>
      </c>
      <c r="C33" s="108" t="s">
        <v>4105</v>
      </c>
      <c r="D33" s="109">
        <v>642201170</v>
      </c>
      <c r="E33" s="131">
        <v>1710011597385</v>
      </c>
      <c r="F33" s="131"/>
      <c r="G33" s="108" t="s">
        <v>71</v>
      </c>
      <c r="H33" s="108" t="s">
        <v>71</v>
      </c>
      <c r="I33" s="111">
        <v>44702</v>
      </c>
      <c r="J33" s="108">
        <v>1</v>
      </c>
      <c r="K33" s="108">
        <v>4</v>
      </c>
      <c r="L33" s="108" t="str">
        <f t="shared" si="1"/>
        <v>PKWT</v>
      </c>
      <c r="M33" s="195"/>
      <c r="N33" s="112">
        <v>45432</v>
      </c>
      <c r="O33" s="108"/>
      <c r="P33" s="108" t="s">
        <v>213</v>
      </c>
      <c r="Q33" s="210" t="s">
        <v>4102</v>
      </c>
      <c r="R33" s="108" t="s">
        <v>409</v>
      </c>
      <c r="S33" s="108" t="s">
        <v>33</v>
      </c>
      <c r="T33" s="108" t="s">
        <v>88</v>
      </c>
      <c r="U33" s="108" t="s">
        <v>199</v>
      </c>
      <c r="V33" s="108" t="s">
        <v>180</v>
      </c>
      <c r="W33" s="108"/>
      <c r="X33" s="108"/>
      <c r="Y33" s="108" t="s">
        <v>216</v>
      </c>
      <c r="Z33" s="108" t="s">
        <v>182</v>
      </c>
      <c r="AA33" s="111">
        <v>36168</v>
      </c>
      <c r="AB33" s="113">
        <v>24</v>
      </c>
      <c r="AC33" s="108" t="s">
        <v>2784</v>
      </c>
      <c r="AD33" s="129" t="s">
        <v>2785</v>
      </c>
      <c r="AE33" s="108" t="s">
        <v>2786</v>
      </c>
      <c r="AF33" s="108"/>
      <c r="AG33" s="108" t="s">
        <v>2787</v>
      </c>
      <c r="AH33" s="114" t="s">
        <v>2788</v>
      </c>
      <c r="AI33" s="115">
        <v>22063660785</v>
      </c>
      <c r="AJ33" s="108" t="s">
        <v>255</v>
      </c>
      <c r="AK33" s="108"/>
      <c r="AL33" s="108"/>
      <c r="AM33" s="108"/>
      <c r="AN33" s="108"/>
      <c r="AO33" s="108"/>
      <c r="AP33" s="108"/>
      <c r="AQ33" s="108"/>
      <c r="AR33" s="108"/>
      <c r="AS33" s="108"/>
      <c r="AT33" s="108">
        <v>0</v>
      </c>
      <c r="AU33" s="108" t="s">
        <v>304</v>
      </c>
      <c r="AV33" s="115"/>
      <c r="AW33" s="108" t="s">
        <v>74</v>
      </c>
      <c r="AX33" s="108" t="s">
        <v>13</v>
      </c>
      <c r="AY33" s="108" t="s">
        <v>2789</v>
      </c>
      <c r="AZ33" s="108" t="s">
        <v>2472</v>
      </c>
      <c r="BA33" s="108">
        <v>2020</v>
      </c>
      <c r="BB33" s="108" t="s">
        <v>13</v>
      </c>
      <c r="BC33" s="108" t="s">
        <v>2789</v>
      </c>
      <c r="BD33" s="108" t="s">
        <v>2472</v>
      </c>
      <c r="BE33" s="108">
        <v>2020</v>
      </c>
      <c r="BF33" s="206"/>
      <c r="BG33" s="116"/>
      <c r="BH33" s="108"/>
      <c r="BI33" s="108"/>
      <c r="BJ33" s="195">
        <v>38</v>
      </c>
      <c r="BK33" s="111"/>
      <c r="BL33" s="111"/>
      <c r="BM33" s="209"/>
      <c r="BN33" s="111"/>
      <c r="BO33" s="108"/>
      <c r="BP33" s="108"/>
      <c r="BQ33" s="108"/>
      <c r="BR33" s="108" t="s">
        <v>2790</v>
      </c>
      <c r="BS33" s="108"/>
      <c r="BT33" s="108"/>
      <c r="BU33" s="108"/>
      <c r="BV33" s="108"/>
      <c r="BW33" s="108"/>
      <c r="BX33" s="108"/>
      <c r="BY33" s="108"/>
      <c r="BZ33" s="108" t="e">
        <f>VLOOKUP(C33,[1]Sertifikasi!$B$4:$I$19,8,0)</f>
        <v>#N/A</v>
      </c>
    </row>
    <row r="34" spans="1:78" ht="11.25" customHeight="1">
      <c r="A34" s="108"/>
      <c r="B34" s="108">
        <v>38</v>
      </c>
      <c r="C34" s="128" t="s">
        <v>244</v>
      </c>
      <c r="D34" s="109">
        <v>971600004</v>
      </c>
      <c r="E34" s="131">
        <v>1710003919894</v>
      </c>
      <c r="F34" s="131"/>
      <c r="G34" s="113" t="s">
        <v>71</v>
      </c>
      <c r="H34" s="108" t="s">
        <v>71</v>
      </c>
      <c r="I34" s="111">
        <v>42065</v>
      </c>
      <c r="J34" s="108">
        <f ca="1">DATEDIF(I34,$C$3,"y")</f>
        <v>8</v>
      </c>
      <c r="K34" s="108">
        <f ca="1">DATEDIF(I34,$C$3,"ym")</f>
        <v>8</v>
      </c>
      <c r="L34" s="108" t="str">
        <f t="shared" si="1"/>
        <v>Tetap</v>
      </c>
      <c r="M34" s="108" t="s">
        <v>245</v>
      </c>
      <c r="N34" s="112">
        <v>42552</v>
      </c>
      <c r="O34" s="111"/>
      <c r="P34" s="108" t="s">
        <v>5</v>
      </c>
      <c r="Q34" s="210" t="s">
        <v>4100</v>
      </c>
      <c r="R34" s="108" t="s">
        <v>4099</v>
      </c>
      <c r="S34" s="108" t="s">
        <v>246</v>
      </c>
      <c r="T34" s="108" t="s">
        <v>246</v>
      </c>
      <c r="U34" s="108" t="s">
        <v>4120</v>
      </c>
      <c r="V34" s="108" t="s">
        <v>247</v>
      </c>
      <c r="W34" s="108" t="s">
        <v>248</v>
      </c>
      <c r="X34" s="108"/>
      <c r="Y34" s="108" t="s">
        <v>60</v>
      </c>
      <c r="Z34" s="108" t="s">
        <v>182</v>
      </c>
      <c r="AA34" s="111">
        <v>33618</v>
      </c>
      <c r="AB34" s="113">
        <f ca="1">DATEDIF(AA34,$C$3,"y")</f>
        <v>31</v>
      </c>
      <c r="AC34" s="108" t="s">
        <v>249</v>
      </c>
      <c r="AD34" s="129" t="s">
        <v>250</v>
      </c>
      <c r="AE34" s="108" t="s">
        <v>251</v>
      </c>
      <c r="AF34" s="108"/>
      <c r="AG34" s="130" t="s">
        <v>252</v>
      </c>
      <c r="AH34" s="114" t="s">
        <v>253</v>
      </c>
      <c r="AI34" s="115" t="s">
        <v>254</v>
      </c>
      <c r="AJ34" s="108" t="s">
        <v>255</v>
      </c>
      <c r="AK34" s="108"/>
      <c r="AL34" s="108"/>
      <c r="AM34" s="108"/>
      <c r="AN34" s="108"/>
      <c r="AO34" s="108"/>
      <c r="AP34" s="108"/>
      <c r="AQ34" s="108"/>
      <c r="AR34" s="108"/>
      <c r="AS34" s="108"/>
      <c r="AT34" s="108">
        <f>COUNTA(AL34:AO34)</f>
        <v>0</v>
      </c>
      <c r="AU34" s="108" t="str">
        <f>IF(AJ34="Menikah","K","TK")&amp;"/"&amp;AT34</f>
        <v>TK/0</v>
      </c>
      <c r="AV34" s="131">
        <v>841787989646000</v>
      </c>
      <c r="AW34" s="113" t="s">
        <v>74</v>
      </c>
      <c r="AX34" s="108" t="s">
        <v>11</v>
      </c>
      <c r="AY34" s="108" t="s">
        <v>256</v>
      </c>
      <c r="AZ34" s="108" t="s">
        <v>257</v>
      </c>
      <c r="BA34" s="108"/>
      <c r="BB34" s="108" t="s">
        <v>11</v>
      </c>
      <c r="BC34" s="108" t="s">
        <v>256</v>
      </c>
      <c r="BD34" s="108" t="s">
        <v>257</v>
      </c>
      <c r="BE34" s="108"/>
      <c r="BF34" s="116">
        <v>53874</v>
      </c>
      <c r="BG34" s="116">
        <v>54239</v>
      </c>
      <c r="BH34" s="132"/>
      <c r="BI34" s="108"/>
      <c r="BJ34" s="194"/>
      <c r="BK34" s="111">
        <v>44294</v>
      </c>
      <c r="BL34" s="111">
        <v>44322</v>
      </c>
      <c r="BM34" s="111">
        <v>44585</v>
      </c>
      <c r="BN34" s="111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 t="e">
        <f>VLOOKUP(C34,[1]Sertifikasi!$B$4:$I$19,8,0)</f>
        <v>#N/A</v>
      </c>
    </row>
    <row r="35" spans="1:78" ht="11.25" customHeight="1">
      <c r="A35" s="108"/>
      <c r="B35" s="108">
        <v>209</v>
      </c>
      <c r="C35" s="108" t="s">
        <v>2881</v>
      </c>
      <c r="D35" s="109">
        <v>642301184</v>
      </c>
      <c r="E35" s="131"/>
      <c r="F35" s="131">
        <v>7117407262</v>
      </c>
      <c r="G35" s="108" t="s">
        <v>71</v>
      </c>
      <c r="H35" s="108" t="s">
        <v>71</v>
      </c>
      <c r="I35" s="111">
        <v>44931</v>
      </c>
      <c r="J35" s="108">
        <v>0</v>
      </c>
      <c r="K35" s="108">
        <v>9</v>
      </c>
      <c r="L35" s="108" t="str">
        <f t="shared" si="1"/>
        <v>PKWT</v>
      </c>
      <c r="M35" s="108"/>
      <c r="N35" s="112">
        <v>45291</v>
      </c>
      <c r="O35" s="108"/>
      <c r="P35" s="108" t="s">
        <v>213</v>
      </c>
      <c r="Q35" s="210" t="s">
        <v>4102</v>
      </c>
      <c r="R35" s="108" t="s">
        <v>259</v>
      </c>
      <c r="S35" s="108" t="s">
        <v>33</v>
      </c>
      <c r="T35" s="108" t="s">
        <v>432</v>
      </c>
      <c r="U35" s="108" t="s">
        <v>199</v>
      </c>
      <c r="V35" s="108" t="s">
        <v>180</v>
      </c>
      <c r="W35" s="108" t="s">
        <v>263</v>
      </c>
      <c r="X35" s="108"/>
      <c r="Y35" s="108" t="s">
        <v>216</v>
      </c>
      <c r="Z35" s="108" t="s">
        <v>259</v>
      </c>
      <c r="AA35" s="111">
        <v>36802</v>
      </c>
      <c r="AB35" s="113">
        <v>23</v>
      </c>
      <c r="AC35" s="108" t="s">
        <v>2882</v>
      </c>
      <c r="AD35" s="129" t="s">
        <v>2883</v>
      </c>
      <c r="AE35" s="108" t="s">
        <v>2884</v>
      </c>
      <c r="AF35" s="108"/>
      <c r="AG35" s="108" t="s">
        <v>2885</v>
      </c>
      <c r="AH35" s="114" t="s">
        <v>2886</v>
      </c>
      <c r="AI35" s="115">
        <v>23009096613</v>
      </c>
      <c r="AJ35" s="108" t="s">
        <v>255</v>
      </c>
      <c r="AK35" s="108"/>
      <c r="AL35" s="108"/>
      <c r="AM35" s="108"/>
      <c r="AN35" s="108"/>
      <c r="AO35" s="108"/>
      <c r="AP35" s="108"/>
      <c r="AQ35" s="108"/>
      <c r="AR35" s="108"/>
      <c r="AS35" s="108"/>
      <c r="AT35" s="108">
        <v>0</v>
      </c>
      <c r="AU35" s="108" t="s">
        <v>304</v>
      </c>
      <c r="AV35" s="115"/>
      <c r="AW35" s="108" t="s">
        <v>74</v>
      </c>
      <c r="AX35" s="108" t="s">
        <v>13</v>
      </c>
      <c r="AY35" s="108" t="s">
        <v>2860</v>
      </c>
      <c r="AZ35" s="108" t="s">
        <v>2472</v>
      </c>
      <c r="BA35" s="108">
        <v>2022</v>
      </c>
      <c r="BB35" s="108" t="s">
        <v>13</v>
      </c>
      <c r="BC35" s="108" t="s">
        <v>2860</v>
      </c>
      <c r="BD35" s="108" t="s">
        <v>2472</v>
      </c>
      <c r="BE35" s="108">
        <v>2022</v>
      </c>
      <c r="BF35" s="116"/>
      <c r="BG35" s="116"/>
      <c r="BH35" s="108"/>
      <c r="BI35" s="108"/>
      <c r="BJ35" s="108">
        <v>41</v>
      </c>
      <c r="BK35" s="111"/>
      <c r="BL35" s="111"/>
      <c r="BM35" s="111"/>
      <c r="BN35" s="111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 t="str">
        <f>VLOOKUP(C35,[1]Sertifikasi!$B$4:$I$19,8,0)</f>
        <v>Pembinaan Dan Sertifikasi Calon Ahli K3 Umum</v>
      </c>
    </row>
    <row r="36" spans="1:78" ht="11.25" customHeight="1">
      <c r="A36" s="108"/>
      <c r="B36" s="108">
        <v>39</v>
      </c>
      <c r="C36" s="108" t="s">
        <v>2967</v>
      </c>
      <c r="D36" s="109">
        <v>642301199</v>
      </c>
      <c r="E36" s="131">
        <v>1710010685264</v>
      </c>
      <c r="F36" s="131"/>
      <c r="G36" s="108" t="s">
        <v>71</v>
      </c>
      <c r="H36" s="108" t="s">
        <v>71</v>
      </c>
      <c r="I36" s="111">
        <v>45048</v>
      </c>
      <c r="J36" s="108">
        <f ca="1">DATEDIF(I36,$C$3,"y")</f>
        <v>0</v>
      </c>
      <c r="K36" s="108">
        <f ca="1">DATEDIF(I36,$C$3,"ym")</f>
        <v>6</v>
      </c>
      <c r="L36" s="108" t="str">
        <f t="shared" si="1"/>
        <v>PKWT</v>
      </c>
      <c r="M36" s="132"/>
      <c r="N36" s="132">
        <v>45413</v>
      </c>
      <c r="O36" s="108"/>
      <c r="P36" s="108" t="s">
        <v>261</v>
      </c>
      <c r="Q36" s="210" t="s">
        <v>4100</v>
      </c>
      <c r="R36" s="108" t="s">
        <v>4099</v>
      </c>
      <c r="S36" s="108" t="s">
        <v>1742</v>
      </c>
      <c r="T36" s="108" t="s">
        <v>1742</v>
      </c>
      <c r="U36" s="108" t="s">
        <v>1742</v>
      </c>
      <c r="V36" s="108" t="s">
        <v>180</v>
      </c>
      <c r="W36" s="108"/>
      <c r="X36" s="108"/>
      <c r="Y36" s="108" t="s">
        <v>60</v>
      </c>
      <c r="Z36" s="108" t="s">
        <v>182</v>
      </c>
      <c r="AA36" s="111">
        <v>36955</v>
      </c>
      <c r="AB36" s="113">
        <f ca="1">DATEDIF(AA36,$C$3,"y")</f>
        <v>22</v>
      </c>
      <c r="AC36" s="108" t="s">
        <v>2968</v>
      </c>
      <c r="AD36" s="129" t="s">
        <v>2969</v>
      </c>
      <c r="AE36" s="108" t="s">
        <v>2970</v>
      </c>
      <c r="AF36" s="108"/>
      <c r="AG36" s="108" t="s">
        <v>2971</v>
      </c>
      <c r="AH36" s="136" t="s">
        <v>2972</v>
      </c>
      <c r="AI36" s="115">
        <v>23065663736</v>
      </c>
      <c r="AJ36" s="108" t="s">
        <v>255</v>
      </c>
      <c r="AK36" s="108"/>
      <c r="AL36" s="108"/>
      <c r="AM36" s="108"/>
      <c r="AN36" s="108"/>
      <c r="AO36" s="108"/>
      <c r="AP36" s="108"/>
      <c r="AQ36" s="108"/>
      <c r="AR36" s="108"/>
      <c r="AS36" s="108"/>
      <c r="AT36" s="108">
        <f>COUNTA(AL36:AO36)</f>
        <v>0</v>
      </c>
      <c r="AU36" s="108" t="str">
        <f>IF(AJ36="Menikah","K","TK")&amp;"/"&amp;AT36</f>
        <v>TK/0</v>
      </c>
      <c r="AV36" s="115"/>
      <c r="AW36" s="108" t="s">
        <v>74</v>
      </c>
      <c r="AX36" s="108" t="s">
        <v>13</v>
      </c>
      <c r="AY36" s="108" t="s">
        <v>2973</v>
      </c>
      <c r="AZ36" s="108" t="s">
        <v>2974</v>
      </c>
      <c r="BA36" s="108">
        <v>2021</v>
      </c>
      <c r="BB36" s="108" t="s">
        <v>13</v>
      </c>
      <c r="BC36" s="108" t="s">
        <v>2973</v>
      </c>
      <c r="BD36" s="108" t="s">
        <v>2974</v>
      </c>
      <c r="BE36" s="108">
        <v>2021</v>
      </c>
      <c r="BF36" s="116"/>
      <c r="BG36" s="116"/>
      <c r="BH36" s="108" t="s">
        <v>241</v>
      </c>
      <c r="BI36" s="108"/>
      <c r="BJ36" s="108"/>
      <c r="BK36" s="111"/>
      <c r="BL36" s="111"/>
      <c r="BM36" s="111"/>
      <c r="BN36" s="111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 t="e">
        <f>VLOOKUP(C36,[1]Sertifikasi!$B$4:$I$19,8,0)</f>
        <v>#N/A</v>
      </c>
    </row>
    <row r="37" spans="1:78" ht="11.25" customHeight="1">
      <c r="A37" s="108"/>
      <c r="B37" s="108">
        <v>196</v>
      </c>
      <c r="C37" s="108" t="s">
        <v>2791</v>
      </c>
      <c r="D37" s="109">
        <v>642201168</v>
      </c>
      <c r="E37" s="131">
        <v>1710001958076</v>
      </c>
      <c r="F37" s="131"/>
      <c r="G37" s="108" t="s">
        <v>71</v>
      </c>
      <c r="H37" s="108" t="s">
        <v>71</v>
      </c>
      <c r="I37" s="111">
        <v>44702</v>
      </c>
      <c r="J37" s="108">
        <v>1</v>
      </c>
      <c r="K37" s="108">
        <v>4</v>
      </c>
      <c r="L37" s="108" t="str">
        <f t="shared" si="1"/>
        <v>PKWT</v>
      </c>
      <c r="M37" s="108"/>
      <c r="N37" s="112">
        <v>45432</v>
      </c>
      <c r="O37" s="108"/>
      <c r="P37" s="108" t="s">
        <v>213</v>
      </c>
      <c r="Q37" s="210" t="s">
        <v>4102</v>
      </c>
      <c r="R37" s="108" t="s">
        <v>259</v>
      </c>
      <c r="S37" s="108" t="s">
        <v>262</v>
      </c>
      <c r="T37" s="108" t="s">
        <v>432</v>
      </c>
      <c r="U37" s="108" t="s">
        <v>199</v>
      </c>
      <c r="V37" s="108" t="s">
        <v>180</v>
      </c>
      <c r="W37" s="108"/>
      <c r="X37" s="108"/>
      <c r="Y37" s="108" t="s">
        <v>216</v>
      </c>
      <c r="Z37" s="108" t="s">
        <v>182</v>
      </c>
      <c r="AA37" s="111">
        <v>35929</v>
      </c>
      <c r="AB37" s="113">
        <v>25</v>
      </c>
      <c r="AC37" s="108" t="s">
        <v>2792</v>
      </c>
      <c r="AD37" s="129" t="s">
        <v>2793</v>
      </c>
      <c r="AE37" s="108" t="s">
        <v>2794</v>
      </c>
      <c r="AF37" s="108"/>
      <c r="AG37" s="108" t="s">
        <v>2795</v>
      </c>
      <c r="AH37" s="114" t="s">
        <v>2796</v>
      </c>
      <c r="AI37" s="115">
        <v>22063660751</v>
      </c>
      <c r="AJ37" s="108" t="s">
        <v>255</v>
      </c>
      <c r="AK37" s="108"/>
      <c r="AL37" s="108"/>
      <c r="AM37" s="108"/>
      <c r="AN37" s="108"/>
      <c r="AO37" s="108"/>
      <c r="AP37" s="108"/>
      <c r="AQ37" s="108"/>
      <c r="AR37" s="108"/>
      <c r="AS37" s="108"/>
      <c r="AT37" s="108">
        <v>0</v>
      </c>
      <c r="AU37" s="108" t="s">
        <v>304</v>
      </c>
      <c r="AV37" s="115"/>
      <c r="AW37" s="108" t="s">
        <v>74</v>
      </c>
      <c r="AX37" s="108" t="s">
        <v>16</v>
      </c>
      <c r="AY37" s="108" t="s">
        <v>226</v>
      </c>
      <c r="AZ37" s="108" t="s">
        <v>605</v>
      </c>
      <c r="BA37" s="108">
        <v>2016</v>
      </c>
      <c r="BB37" s="108" t="s">
        <v>16</v>
      </c>
      <c r="BC37" s="108" t="s">
        <v>226</v>
      </c>
      <c r="BD37" s="108" t="s">
        <v>605</v>
      </c>
      <c r="BE37" s="108">
        <v>2016</v>
      </c>
      <c r="BF37" s="116"/>
      <c r="BG37" s="116"/>
      <c r="BH37" s="108"/>
      <c r="BI37" s="108"/>
      <c r="BJ37" s="108">
        <v>42</v>
      </c>
      <c r="BK37" s="111"/>
      <c r="BL37" s="111"/>
      <c r="BM37" s="111">
        <v>44639</v>
      </c>
      <c r="BN37" s="111"/>
      <c r="BO37" s="108"/>
      <c r="BP37" s="108"/>
      <c r="BQ37" s="108"/>
      <c r="BR37" s="108" t="s">
        <v>2797</v>
      </c>
      <c r="BS37" s="108"/>
      <c r="BT37" s="108"/>
      <c r="BU37" s="108"/>
      <c r="BV37" s="108"/>
      <c r="BW37" s="108"/>
      <c r="BX37" s="108"/>
      <c r="BY37" s="108"/>
      <c r="BZ37" s="108" t="e">
        <f>VLOOKUP(C37,[1]Sertifikasi!$B$4:$I$19,8,0)</f>
        <v>#N/A</v>
      </c>
    </row>
    <row r="38" spans="1:78" ht="11.25" customHeight="1">
      <c r="A38" s="108"/>
      <c r="B38" s="108">
        <v>159</v>
      </c>
      <c r="C38" s="108" t="s">
        <v>2638</v>
      </c>
      <c r="D38" s="109">
        <v>642201133</v>
      </c>
      <c r="E38" s="131">
        <v>1710001954398</v>
      </c>
      <c r="F38" s="131"/>
      <c r="G38" s="108" t="s">
        <v>259</v>
      </c>
      <c r="H38" s="108" t="s">
        <v>259</v>
      </c>
      <c r="I38" s="111">
        <v>44579</v>
      </c>
      <c r="J38" s="108">
        <v>1</v>
      </c>
      <c r="K38" s="108">
        <v>8</v>
      </c>
      <c r="L38" s="108" t="str">
        <f t="shared" si="1"/>
        <v>PKWT</v>
      </c>
      <c r="M38" s="108"/>
      <c r="N38" s="112">
        <v>45291</v>
      </c>
      <c r="O38" s="108"/>
      <c r="P38" s="108" t="s">
        <v>213</v>
      </c>
      <c r="Q38" s="210" t="s">
        <v>4102</v>
      </c>
      <c r="R38" s="108" t="s">
        <v>259</v>
      </c>
      <c r="S38" s="108" t="s">
        <v>262</v>
      </c>
      <c r="T38" s="108" t="s">
        <v>89</v>
      </c>
      <c r="U38" s="108" t="s">
        <v>199</v>
      </c>
      <c r="V38" s="108" t="s">
        <v>180</v>
      </c>
      <c r="W38" s="108"/>
      <c r="X38" s="108"/>
      <c r="Y38" s="108" t="s">
        <v>216</v>
      </c>
      <c r="Z38" s="108" t="s">
        <v>182</v>
      </c>
      <c r="AA38" s="111">
        <v>35756</v>
      </c>
      <c r="AB38" s="113">
        <v>25</v>
      </c>
      <c r="AC38" s="108" t="s">
        <v>2639</v>
      </c>
      <c r="AD38" s="129" t="s">
        <v>2640</v>
      </c>
      <c r="AE38" s="108" t="s">
        <v>2641</v>
      </c>
      <c r="AF38" s="108"/>
      <c r="AG38" s="108" t="s">
        <v>2642</v>
      </c>
      <c r="AH38" s="114" t="s">
        <v>2643</v>
      </c>
      <c r="AI38" s="115">
        <v>22017333786</v>
      </c>
      <c r="AJ38" s="108" t="s">
        <v>255</v>
      </c>
      <c r="AK38" s="108"/>
      <c r="AL38" s="108"/>
      <c r="AM38" s="108"/>
      <c r="AN38" s="108"/>
      <c r="AO38" s="108"/>
      <c r="AP38" s="108"/>
      <c r="AQ38" s="108"/>
      <c r="AR38" s="108"/>
      <c r="AS38" s="108"/>
      <c r="AT38" s="108">
        <v>0</v>
      </c>
      <c r="AU38" s="108" t="s">
        <v>304</v>
      </c>
      <c r="AV38" s="115"/>
      <c r="AW38" s="108" t="s">
        <v>74</v>
      </c>
      <c r="AX38" s="108" t="s">
        <v>16</v>
      </c>
      <c r="AY38" s="108" t="s">
        <v>331</v>
      </c>
      <c r="AZ38" s="108" t="s">
        <v>1250</v>
      </c>
      <c r="BA38" s="108">
        <v>2016</v>
      </c>
      <c r="BB38" s="108" t="s">
        <v>16</v>
      </c>
      <c r="BC38" s="108" t="s">
        <v>331</v>
      </c>
      <c r="BD38" s="108" t="s">
        <v>1250</v>
      </c>
      <c r="BE38" s="108">
        <v>2016</v>
      </c>
      <c r="BF38" s="116"/>
      <c r="BG38" s="116"/>
      <c r="BH38" s="108"/>
      <c r="BI38" s="108"/>
      <c r="BJ38" s="108">
        <v>42</v>
      </c>
      <c r="BK38" s="111"/>
      <c r="BL38" s="111"/>
      <c r="BM38" s="111">
        <v>44648</v>
      </c>
      <c r="BN38" s="111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 t="e">
        <f>VLOOKUP(C38,[1]Sertifikasi!$B$4:$I$19,8,0)</f>
        <v>#N/A</v>
      </c>
    </row>
    <row r="39" spans="1:78" ht="11.25" customHeight="1">
      <c r="A39" s="108"/>
      <c r="B39" s="108">
        <v>160</v>
      </c>
      <c r="C39" s="108" t="s">
        <v>553</v>
      </c>
      <c r="D39" s="109">
        <v>642001019</v>
      </c>
      <c r="E39" s="131">
        <v>1710003987891</v>
      </c>
      <c r="F39" s="131"/>
      <c r="G39" s="108" t="s">
        <v>71</v>
      </c>
      <c r="H39" s="108" t="s">
        <v>71</v>
      </c>
      <c r="I39" s="111">
        <v>42401</v>
      </c>
      <c r="J39" s="108">
        <v>7</v>
      </c>
      <c r="K39" s="108">
        <v>8</v>
      </c>
      <c r="L39" s="108" t="str">
        <f t="shared" si="1"/>
        <v>PKWT</v>
      </c>
      <c r="M39" s="108"/>
      <c r="N39" s="112">
        <v>45291</v>
      </c>
      <c r="O39" s="108"/>
      <c r="P39" s="108" t="s">
        <v>213</v>
      </c>
      <c r="Q39" s="210" t="s">
        <v>4102</v>
      </c>
      <c r="R39" s="108" t="s">
        <v>259</v>
      </c>
      <c r="S39" s="108" t="s">
        <v>262</v>
      </c>
      <c r="T39" s="108" t="s">
        <v>89</v>
      </c>
      <c r="U39" s="108" t="s">
        <v>199</v>
      </c>
      <c r="V39" s="108" t="s">
        <v>180</v>
      </c>
      <c r="W39" s="108" t="s">
        <v>277</v>
      </c>
      <c r="X39" s="108" t="s">
        <v>215</v>
      </c>
      <c r="Y39" s="108" t="s">
        <v>216</v>
      </c>
      <c r="Z39" s="108" t="s">
        <v>71</v>
      </c>
      <c r="AA39" s="111">
        <v>31203</v>
      </c>
      <c r="AB39" s="113">
        <v>38</v>
      </c>
      <c r="AC39" s="108" t="s">
        <v>554</v>
      </c>
      <c r="AD39" s="129" t="s">
        <v>555</v>
      </c>
      <c r="AE39" s="108" t="s">
        <v>556</v>
      </c>
      <c r="AF39" s="108"/>
      <c r="AG39" s="108" t="s">
        <v>557</v>
      </c>
      <c r="AH39" s="114" t="s">
        <v>558</v>
      </c>
      <c r="AI39" s="115">
        <v>16013068677</v>
      </c>
      <c r="AJ39" s="108" t="s">
        <v>189</v>
      </c>
      <c r="AK39" s="108" t="s">
        <v>559</v>
      </c>
      <c r="AL39" s="108" t="s">
        <v>560</v>
      </c>
      <c r="AM39" s="108" t="s">
        <v>561</v>
      </c>
      <c r="AN39" s="108"/>
      <c r="AO39" s="108"/>
      <c r="AP39" s="108"/>
      <c r="AQ39" s="108"/>
      <c r="AR39" s="108"/>
      <c r="AS39" s="108"/>
      <c r="AT39" s="108">
        <v>2</v>
      </c>
      <c r="AU39" s="108" t="s">
        <v>330</v>
      </c>
      <c r="AV39" s="115">
        <v>0</v>
      </c>
      <c r="AW39" s="108" t="s">
        <v>74</v>
      </c>
      <c r="AX39" s="108" t="s">
        <v>16</v>
      </c>
      <c r="AY39" s="108" t="s">
        <v>331</v>
      </c>
      <c r="AZ39" s="108" t="s">
        <v>404</v>
      </c>
      <c r="BA39" s="108">
        <v>2003</v>
      </c>
      <c r="BB39" s="108" t="s">
        <v>287</v>
      </c>
      <c r="BC39" s="108" t="s">
        <v>331</v>
      </c>
      <c r="BD39" s="108" t="s">
        <v>404</v>
      </c>
      <c r="BE39" s="108">
        <v>2003</v>
      </c>
      <c r="BF39" s="116"/>
      <c r="BG39" s="116"/>
      <c r="BH39" s="108" t="s">
        <v>241</v>
      </c>
      <c r="BI39" s="108">
        <v>29</v>
      </c>
      <c r="BJ39" s="108">
        <v>38</v>
      </c>
      <c r="BK39" s="111"/>
      <c r="BL39" s="111"/>
      <c r="BM39" s="111"/>
      <c r="BN39" s="111"/>
      <c r="BO39" s="108">
        <v>43467</v>
      </c>
      <c r="BP39" s="108">
        <v>43830</v>
      </c>
      <c r="BQ39" s="108" t="s">
        <v>562</v>
      </c>
      <c r="BR39" s="108" t="s">
        <v>563</v>
      </c>
      <c r="BS39" s="108"/>
      <c r="BT39" s="108"/>
      <c r="BU39" s="108"/>
      <c r="BV39" s="108"/>
      <c r="BW39" s="108"/>
      <c r="BX39" s="108"/>
      <c r="BY39" s="108"/>
      <c r="BZ39" s="108" t="e">
        <f>VLOOKUP(C39,[1]Sertifikasi!$B$4:$I$19,8,0)</f>
        <v>#N/A</v>
      </c>
    </row>
    <row r="40" spans="1:78" ht="11.25" customHeight="1">
      <c r="A40" s="108"/>
      <c r="B40" s="108">
        <v>62</v>
      </c>
      <c r="C40" s="108" t="s">
        <v>2161</v>
      </c>
      <c r="D40" s="109">
        <v>991100025</v>
      </c>
      <c r="E40" s="131">
        <v>1440013093429</v>
      </c>
      <c r="F40" s="131"/>
      <c r="G40" s="113" t="s">
        <v>33</v>
      </c>
      <c r="H40" s="108" t="s">
        <v>71</v>
      </c>
      <c r="I40" s="111">
        <v>43987</v>
      </c>
      <c r="J40" s="108">
        <f ca="1">DATEDIF(I40,$C$3,"y")</f>
        <v>3</v>
      </c>
      <c r="K40" s="108">
        <f ca="1">DATEDIF(I40,$C$3,"ym")</f>
        <v>5</v>
      </c>
      <c r="L40" s="108" t="str">
        <f t="shared" si="1"/>
        <v>Organik</v>
      </c>
      <c r="M40" s="108" t="s">
        <v>2111</v>
      </c>
      <c r="N40" s="112">
        <v>40907</v>
      </c>
      <c r="O40" s="108" t="s">
        <v>2112</v>
      </c>
      <c r="P40" s="108" t="s">
        <v>4</v>
      </c>
      <c r="Q40" s="210" t="s">
        <v>4100</v>
      </c>
      <c r="R40" s="108" t="s">
        <v>4099</v>
      </c>
      <c r="S40" s="108"/>
      <c r="T40" s="108" t="s">
        <v>362</v>
      </c>
      <c r="U40" s="108" t="s">
        <v>362</v>
      </c>
      <c r="V40" s="108" t="s">
        <v>180</v>
      </c>
      <c r="W40" s="108"/>
      <c r="X40" s="108"/>
      <c r="Y40" s="108" t="s">
        <v>59</v>
      </c>
      <c r="Z40" s="108" t="s">
        <v>264</v>
      </c>
      <c r="AA40" s="111">
        <v>31574</v>
      </c>
      <c r="AB40" s="113">
        <f ca="1">DATEDIF(AA40,$C$3,"y")</f>
        <v>37</v>
      </c>
      <c r="AC40" s="108" t="s">
        <v>2162</v>
      </c>
      <c r="AD40" s="129" t="s">
        <v>2163</v>
      </c>
      <c r="AE40" s="108" t="s">
        <v>2164</v>
      </c>
      <c r="AF40" s="108"/>
      <c r="AG40" s="108" t="s">
        <v>2165</v>
      </c>
      <c r="AH40" s="114" t="s">
        <v>2166</v>
      </c>
      <c r="AI40" s="115">
        <v>7007856193</v>
      </c>
      <c r="AJ40" s="108" t="s">
        <v>189</v>
      </c>
      <c r="AK40" s="108"/>
      <c r="AL40" s="108"/>
      <c r="AM40" s="108"/>
      <c r="AN40" s="108"/>
      <c r="AO40" s="108"/>
      <c r="AP40" s="108"/>
      <c r="AQ40" s="108"/>
      <c r="AR40" s="108"/>
      <c r="AS40" s="108"/>
      <c r="AT40" s="108">
        <f>COUNTA(AL40:AO40)</f>
        <v>0</v>
      </c>
      <c r="AU40" s="108" t="str">
        <f>IF(AJ40="Menikah","K","TK")&amp;"/"&amp;AT40</f>
        <v>K/0</v>
      </c>
      <c r="AV40" s="131" t="s">
        <v>2167</v>
      </c>
      <c r="AW40" s="113" t="s">
        <v>74</v>
      </c>
      <c r="AX40" s="108" t="s">
        <v>12</v>
      </c>
      <c r="AY40" s="108" t="s">
        <v>210</v>
      </c>
      <c r="AZ40" s="108" t="s">
        <v>2147</v>
      </c>
      <c r="BA40" s="108">
        <v>2011</v>
      </c>
      <c r="BB40" s="108" t="s">
        <v>12</v>
      </c>
      <c r="BC40" s="108" t="s">
        <v>210</v>
      </c>
      <c r="BD40" s="108" t="s">
        <v>2147</v>
      </c>
      <c r="BE40" s="108">
        <v>2011</v>
      </c>
      <c r="BF40" s="116">
        <v>51683</v>
      </c>
      <c r="BG40" s="116">
        <v>52048</v>
      </c>
      <c r="BH40" s="108"/>
      <c r="BI40" s="108"/>
      <c r="BJ40" s="108">
        <v>39</v>
      </c>
      <c r="BK40" s="111">
        <v>44294</v>
      </c>
      <c r="BL40" s="111">
        <v>44322</v>
      </c>
      <c r="BM40" s="111">
        <v>44585</v>
      </c>
      <c r="BN40" s="111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 t="e">
        <f>VLOOKUP(C40,[1]Sertifikasi!$B$4:$I$19,8,0)</f>
        <v>#N/A</v>
      </c>
    </row>
    <row r="41" spans="1:78" ht="11.25" customHeight="1">
      <c r="A41" s="108"/>
      <c r="B41" s="108">
        <v>307</v>
      </c>
      <c r="C41" s="108" t="s">
        <v>1958</v>
      </c>
      <c r="D41" s="109">
        <v>641907259</v>
      </c>
      <c r="E41" s="131">
        <v>1710005658292</v>
      </c>
      <c r="F41" s="131"/>
      <c r="G41" s="108" t="s">
        <v>71</v>
      </c>
      <c r="H41" s="108" t="s">
        <v>71</v>
      </c>
      <c r="I41" s="111">
        <v>43647</v>
      </c>
      <c r="J41" s="108">
        <v>4</v>
      </c>
      <c r="K41" s="108">
        <v>3</v>
      </c>
      <c r="L41" s="108" t="str">
        <f t="shared" si="1"/>
        <v>PKWT</v>
      </c>
      <c r="M41" s="108"/>
      <c r="N41" s="112">
        <v>45291</v>
      </c>
      <c r="O41" s="108"/>
      <c r="P41" s="108" t="s">
        <v>213</v>
      </c>
      <c r="Q41" s="210" t="s">
        <v>4102</v>
      </c>
      <c r="R41" s="108" t="s">
        <v>422</v>
      </c>
      <c r="S41" s="108" t="s">
        <v>275</v>
      </c>
      <c r="T41" s="108" t="s">
        <v>93</v>
      </c>
      <c r="U41" s="108" t="s">
        <v>276</v>
      </c>
      <c r="V41" s="108" t="s">
        <v>180</v>
      </c>
      <c r="W41" s="108"/>
      <c r="X41" s="108" t="s">
        <v>215</v>
      </c>
      <c r="Y41" s="108" t="s">
        <v>216</v>
      </c>
      <c r="Z41" s="108" t="s">
        <v>182</v>
      </c>
      <c r="AA41" s="111">
        <v>34683</v>
      </c>
      <c r="AB41" s="113">
        <v>28</v>
      </c>
      <c r="AC41" s="108" t="s">
        <v>1959</v>
      </c>
      <c r="AD41" s="129" t="s">
        <v>1960</v>
      </c>
      <c r="AE41" s="108" t="s">
        <v>1961</v>
      </c>
      <c r="AF41" s="108"/>
      <c r="AG41" s="108" t="s">
        <v>1962</v>
      </c>
      <c r="AH41" s="114" t="s">
        <v>1963</v>
      </c>
      <c r="AI41" s="115">
        <v>19047644083</v>
      </c>
      <c r="AJ41" s="108" t="s">
        <v>189</v>
      </c>
      <c r="AK41" s="108" t="s">
        <v>1964</v>
      </c>
      <c r="AL41" s="108" t="s">
        <v>1965</v>
      </c>
      <c r="AM41" s="108"/>
      <c r="AN41" s="108"/>
      <c r="AO41" s="108"/>
      <c r="AP41" s="108"/>
      <c r="AQ41" s="108"/>
      <c r="AR41" s="108"/>
      <c r="AS41" s="108"/>
      <c r="AT41" s="108">
        <v>1</v>
      </c>
      <c r="AU41" s="108" t="s">
        <v>225</v>
      </c>
      <c r="AV41" s="115">
        <v>0</v>
      </c>
      <c r="AW41" s="108" t="s">
        <v>74</v>
      </c>
      <c r="AX41" s="108" t="s">
        <v>16</v>
      </c>
      <c r="AY41" s="108" t="s">
        <v>331</v>
      </c>
      <c r="AZ41" s="108" t="s">
        <v>1966</v>
      </c>
      <c r="BA41" s="108">
        <v>2013</v>
      </c>
      <c r="BB41" s="108" t="s">
        <v>16</v>
      </c>
      <c r="BC41" s="108" t="s">
        <v>331</v>
      </c>
      <c r="BD41" s="108" t="s">
        <v>1966</v>
      </c>
      <c r="BE41" s="108">
        <v>2013</v>
      </c>
      <c r="BF41" s="116"/>
      <c r="BG41" s="116"/>
      <c r="BH41" s="108" t="s">
        <v>228</v>
      </c>
      <c r="BI41" s="108">
        <v>33</v>
      </c>
      <c r="BJ41" s="108">
        <v>41</v>
      </c>
      <c r="BK41" s="111"/>
      <c r="BL41" s="111"/>
      <c r="BM41" s="111"/>
      <c r="BN41" s="111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 t="e">
        <f>VLOOKUP(C41,[1]Sertifikasi!$B$4:$I$19,8,0)</f>
        <v>#N/A</v>
      </c>
    </row>
    <row r="42" spans="1:78" ht="11.25" customHeight="1">
      <c r="A42" s="108"/>
      <c r="B42" s="108">
        <v>266</v>
      </c>
      <c r="C42" s="108" t="s">
        <v>1636</v>
      </c>
      <c r="D42" s="109">
        <v>641810204</v>
      </c>
      <c r="E42" s="131">
        <v>1710004810795</v>
      </c>
      <c r="F42" s="131"/>
      <c r="G42" s="108" t="s">
        <v>575</v>
      </c>
      <c r="H42" s="108" t="s">
        <v>575</v>
      </c>
      <c r="I42" s="111">
        <v>43395</v>
      </c>
      <c r="J42" s="108">
        <v>4</v>
      </c>
      <c r="K42" s="108">
        <v>11</v>
      </c>
      <c r="L42" s="108" t="str">
        <f t="shared" si="1"/>
        <v>PKWT</v>
      </c>
      <c r="M42" s="108"/>
      <c r="N42" s="112">
        <v>45586</v>
      </c>
      <c r="O42" s="108"/>
      <c r="P42" s="108" t="s">
        <v>213</v>
      </c>
      <c r="Q42" s="210" t="s">
        <v>4102</v>
      </c>
      <c r="R42" s="108" t="s">
        <v>575</v>
      </c>
      <c r="S42" s="108" t="s">
        <v>262</v>
      </c>
      <c r="T42" s="108" t="s">
        <v>92</v>
      </c>
      <c r="U42" s="108" t="s">
        <v>276</v>
      </c>
      <c r="V42" s="108" t="s">
        <v>180</v>
      </c>
      <c r="W42" s="108"/>
      <c r="X42" s="108" t="s">
        <v>215</v>
      </c>
      <c r="Y42" s="108" t="s">
        <v>216</v>
      </c>
      <c r="Z42" s="108" t="s">
        <v>575</v>
      </c>
      <c r="AA42" s="111">
        <v>31511</v>
      </c>
      <c r="AB42" s="113">
        <v>37</v>
      </c>
      <c r="AC42" s="108" t="s">
        <v>1637</v>
      </c>
      <c r="AD42" s="129" t="s">
        <v>1638</v>
      </c>
      <c r="AE42" s="108" t="s">
        <v>1639</v>
      </c>
      <c r="AF42" s="108" t="s">
        <v>1640</v>
      </c>
      <c r="AG42" s="108" t="s">
        <v>1641</v>
      </c>
      <c r="AH42" s="114" t="s">
        <v>1642</v>
      </c>
      <c r="AI42" s="115">
        <v>18099947576</v>
      </c>
      <c r="AJ42" s="108" t="s">
        <v>189</v>
      </c>
      <c r="AK42" s="108" t="s">
        <v>1643</v>
      </c>
      <c r="AL42" s="108" t="s">
        <v>1644</v>
      </c>
      <c r="AM42" s="108" t="s">
        <v>1645</v>
      </c>
      <c r="AN42" s="108"/>
      <c r="AO42" s="108"/>
      <c r="AP42" s="108"/>
      <c r="AQ42" s="108"/>
      <c r="AR42" s="108"/>
      <c r="AS42" s="108"/>
      <c r="AT42" s="108">
        <v>2</v>
      </c>
      <c r="AU42" s="108" t="s">
        <v>330</v>
      </c>
      <c r="AV42" s="115">
        <v>0</v>
      </c>
      <c r="AW42" s="108" t="s">
        <v>74</v>
      </c>
      <c r="AX42" s="108" t="s">
        <v>16</v>
      </c>
      <c r="AY42" s="108" t="s">
        <v>285</v>
      </c>
      <c r="AZ42" s="108" t="s">
        <v>1646</v>
      </c>
      <c r="BA42" s="108">
        <v>2005</v>
      </c>
      <c r="BB42" s="108" t="s">
        <v>287</v>
      </c>
      <c r="BC42" s="108" t="s">
        <v>285</v>
      </c>
      <c r="BD42" s="108" t="s">
        <v>1646</v>
      </c>
      <c r="BE42" s="108">
        <v>2005</v>
      </c>
      <c r="BF42" s="116"/>
      <c r="BG42" s="116"/>
      <c r="BH42" s="108" t="s">
        <v>345</v>
      </c>
      <c r="BI42" s="108">
        <v>32</v>
      </c>
      <c r="BJ42" s="108">
        <v>40</v>
      </c>
      <c r="BK42" s="111"/>
      <c r="BL42" s="111"/>
      <c r="BM42" s="111"/>
      <c r="BN42" s="111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 t="e">
        <f>VLOOKUP(C42,[1]Sertifikasi!$B$4:$I$19,8,0)</f>
        <v>#N/A</v>
      </c>
    </row>
    <row r="43" spans="1:78" ht="11.25" customHeight="1">
      <c r="A43" s="108"/>
      <c r="B43" s="108">
        <v>161</v>
      </c>
      <c r="C43" s="108" t="s">
        <v>2644</v>
      </c>
      <c r="D43" s="109">
        <v>642201140</v>
      </c>
      <c r="E43" s="131">
        <v>1710004890615</v>
      </c>
      <c r="F43" s="131"/>
      <c r="G43" s="108" t="s">
        <v>71</v>
      </c>
      <c r="H43" s="108" t="s">
        <v>71</v>
      </c>
      <c r="I43" s="111">
        <v>44579</v>
      </c>
      <c r="J43" s="108">
        <v>1</v>
      </c>
      <c r="K43" s="108">
        <v>8</v>
      </c>
      <c r="L43" s="108" t="str">
        <f t="shared" si="1"/>
        <v>PKWT</v>
      </c>
      <c r="M43" s="108"/>
      <c r="N43" s="112">
        <v>45291</v>
      </c>
      <c r="O43" s="108"/>
      <c r="P43" s="108" t="s">
        <v>213</v>
      </c>
      <c r="Q43" s="210" t="s">
        <v>4102</v>
      </c>
      <c r="R43" s="108" t="s">
        <v>259</v>
      </c>
      <c r="S43" s="108" t="s">
        <v>262</v>
      </c>
      <c r="T43" s="108" t="s">
        <v>89</v>
      </c>
      <c r="U43" s="108" t="s">
        <v>199</v>
      </c>
      <c r="V43" s="108" t="s">
        <v>180</v>
      </c>
      <c r="W43" s="108" t="s">
        <v>2645</v>
      </c>
      <c r="X43" s="108"/>
      <c r="Y43" s="108" t="s">
        <v>216</v>
      </c>
      <c r="Z43" s="108" t="s">
        <v>71</v>
      </c>
      <c r="AA43" s="111">
        <v>34834</v>
      </c>
      <c r="AB43" s="113">
        <v>28</v>
      </c>
      <c r="AC43" s="108" t="s">
        <v>2646</v>
      </c>
      <c r="AD43" s="129" t="s">
        <v>2647</v>
      </c>
      <c r="AE43" s="108" t="s">
        <v>2648</v>
      </c>
      <c r="AF43" s="108"/>
      <c r="AG43" s="108" t="s">
        <v>2649</v>
      </c>
      <c r="AH43" s="114" t="s">
        <v>2650</v>
      </c>
      <c r="AI43" s="115">
        <v>22017333778</v>
      </c>
      <c r="AJ43" s="108" t="s">
        <v>255</v>
      </c>
      <c r="AK43" s="108"/>
      <c r="AL43" s="108"/>
      <c r="AM43" s="108"/>
      <c r="AN43" s="108"/>
      <c r="AO43" s="108"/>
      <c r="AP43" s="108"/>
      <c r="AQ43" s="108"/>
      <c r="AR43" s="108"/>
      <c r="AS43" s="108"/>
      <c r="AT43" s="108">
        <v>0</v>
      </c>
      <c r="AU43" s="108" t="s">
        <v>304</v>
      </c>
      <c r="AV43" s="115"/>
      <c r="AW43" s="108" t="s">
        <v>74</v>
      </c>
      <c r="AX43" s="108" t="s">
        <v>16</v>
      </c>
      <c r="AY43" s="108" t="s">
        <v>226</v>
      </c>
      <c r="AZ43" s="108" t="s">
        <v>1237</v>
      </c>
      <c r="BA43" s="108">
        <v>2014</v>
      </c>
      <c r="BB43" s="108" t="s">
        <v>16</v>
      </c>
      <c r="BC43" s="108" t="s">
        <v>226</v>
      </c>
      <c r="BD43" s="108" t="s">
        <v>1237</v>
      </c>
      <c r="BE43" s="108">
        <v>2014</v>
      </c>
      <c r="BF43" s="116"/>
      <c r="BG43" s="116"/>
      <c r="BH43" s="108"/>
      <c r="BI43" s="108"/>
      <c r="BJ43" s="108">
        <v>43</v>
      </c>
      <c r="BK43" s="111"/>
      <c r="BL43" s="111"/>
      <c r="BM43" s="111">
        <v>44648</v>
      </c>
      <c r="BN43" s="111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08"/>
      <c r="BZ43" s="108" t="e">
        <f>VLOOKUP(C43,[1]Sertifikasi!$B$4:$I$19,8,0)</f>
        <v>#N/A</v>
      </c>
    </row>
    <row r="44" spans="1:78" ht="11.25" customHeight="1">
      <c r="A44" s="108"/>
      <c r="B44" s="108">
        <v>116</v>
      </c>
      <c r="C44" s="108" t="s">
        <v>495</v>
      </c>
      <c r="D44" s="109">
        <v>971900049</v>
      </c>
      <c r="E44" s="131">
        <v>1710004040807</v>
      </c>
      <c r="F44" s="131"/>
      <c r="G44" s="108" t="s">
        <v>71</v>
      </c>
      <c r="H44" s="108" t="s">
        <v>71</v>
      </c>
      <c r="I44" s="111">
        <v>42248</v>
      </c>
      <c r="J44" s="108">
        <v>8</v>
      </c>
      <c r="K44" s="108">
        <v>1</v>
      </c>
      <c r="L44" s="108" t="str">
        <f t="shared" si="1"/>
        <v>Tetap</v>
      </c>
      <c r="M44" s="108" t="s">
        <v>273</v>
      </c>
      <c r="N44" s="112">
        <v>43789</v>
      </c>
      <c r="O44" s="108"/>
      <c r="P44" s="108" t="s">
        <v>213</v>
      </c>
      <c r="Q44" s="210" t="s">
        <v>4102</v>
      </c>
      <c r="R44" s="108" t="s">
        <v>274</v>
      </c>
      <c r="S44" s="108" t="s">
        <v>275</v>
      </c>
      <c r="T44" s="108" t="s">
        <v>496</v>
      </c>
      <c r="U44" s="108" t="s">
        <v>276</v>
      </c>
      <c r="V44" s="108" t="s">
        <v>180</v>
      </c>
      <c r="W44" s="108" t="s">
        <v>277</v>
      </c>
      <c r="X44" s="108" t="s">
        <v>215</v>
      </c>
      <c r="Y44" s="108" t="s">
        <v>216</v>
      </c>
      <c r="Z44" s="108" t="s">
        <v>409</v>
      </c>
      <c r="AA44" s="111">
        <v>31670</v>
      </c>
      <c r="AB44" s="113">
        <v>37</v>
      </c>
      <c r="AC44" s="108" t="s">
        <v>497</v>
      </c>
      <c r="AD44" s="129" t="s">
        <v>498</v>
      </c>
      <c r="AE44" s="108" t="s">
        <v>499</v>
      </c>
      <c r="AF44" s="108"/>
      <c r="AG44" s="108" t="s">
        <v>500</v>
      </c>
      <c r="AH44" s="114" t="s">
        <v>501</v>
      </c>
      <c r="AI44" s="115">
        <v>16006271965</v>
      </c>
      <c r="AJ44" s="108" t="s">
        <v>189</v>
      </c>
      <c r="AK44" s="108" t="s">
        <v>502</v>
      </c>
      <c r="AL44" s="108" t="s">
        <v>503</v>
      </c>
      <c r="AM44" s="108" t="s">
        <v>504</v>
      </c>
      <c r="AN44" s="108"/>
      <c r="AO44" s="108"/>
      <c r="AP44" s="108"/>
      <c r="AQ44" s="108"/>
      <c r="AR44" s="108"/>
      <c r="AS44" s="108"/>
      <c r="AT44" s="108">
        <v>2</v>
      </c>
      <c r="AU44" s="108" t="s">
        <v>330</v>
      </c>
      <c r="AV44" s="115">
        <v>0</v>
      </c>
      <c r="AW44" s="108" t="s">
        <v>74</v>
      </c>
      <c r="AX44" s="108" t="s">
        <v>16</v>
      </c>
      <c r="AY44" s="108" t="s">
        <v>331</v>
      </c>
      <c r="AZ44" s="108" t="s">
        <v>404</v>
      </c>
      <c r="BA44" s="108">
        <v>2006</v>
      </c>
      <c r="BB44" s="108" t="s">
        <v>287</v>
      </c>
      <c r="BC44" s="108" t="s">
        <v>331</v>
      </c>
      <c r="BD44" s="108" t="s">
        <v>404</v>
      </c>
      <c r="BE44" s="108">
        <v>2006</v>
      </c>
      <c r="BF44" s="116">
        <v>52190</v>
      </c>
      <c r="BG44" s="116">
        <v>52555</v>
      </c>
      <c r="BH44" s="108" t="s">
        <v>345</v>
      </c>
      <c r="BI44" s="108">
        <v>30</v>
      </c>
      <c r="BJ44" s="108">
        <v>42</v>
      </c>
      <c r="BK44" s="111"/>
      <c r="BL44" s="111">
        <v>44434</v>
      </c>
      <c r="BM44" s="111"/>
      <c r="BN44" s="111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 t="e">
        <f>VLOOKUP(C44,[1]Sertifikasi!$B$4:$I$19,8,0)</f>
        <v>#N/A</v>
      </c>
    </row>
    <row r="45" spans="1:78" ht="11.25" customHeight="1">
      <c r="A45" s="108"/>
      <c r="B45" s="108">
        <v>125</v>
      </c>
      <c r="C45" s="108" t="s">
        <v>910</v>
      </c>
      <c r="D45" s="109">
        <v>642001035</v>
      </c>
      <c r="E45" s="131">
        <v>1710004028950</v>
      </c>
      <c r="F45" s="131"/>
      <c r="G45" s="108" t="s">
        <v>71</v>
      </c>
      <c r="H45" s="108" t="s">
        <v>71</v>
      </c>
      <c r="I45" s="111">
        <v>42857</v>
      </c>
      <c r="J45" s="108">
        <v>6</v>
      </c>
      <c r="K45" s="108">
        <v>5</v>
      </c>
      <c r="L45" s="108" t="str">
        <f t="shared" si="1"/>
        <v>PKWT</v>
      </c>
      <c r="M45" s="108"/>
      <c r="N45" s="112">
        <v>45291</v>
      </c>
      <c r="O45" s="108"/>
      <c r="P45" s="108" t="s">
        <v>213</v>
      </c>
      <c r="Q45" s="210" t="s">
        <v>4102</v>
      </c>
      <c r="R45" s="108" t="s">
        <v>409</v>
      </c>
      <c r="S45" s="108" t="s">
        <v>33</v>
      </c>
      <c r="T45" s="108" t="s">
        <v>88</v>
      </c>
      <c r="U45" s="108" t="s">
        <v>199</v>
      </c>
      <c r="V45" s="108" t="s">
        <v>180</v>
      </c>
      <c r="W45" s="108" t="s">
        <v>277</v>
      </c>
      <c r="X45" s="108" t="s">
        <v>215</v>
      </c>
      <c r="Y45" s="108" t="s">
        <v>216</v>
      </c>
      <c r="Z45" s="108" t="s">
        <v>71</v>
      </c>
      <c r="AA45" s="111">
        <v>35855</v>
      </c>
      <c r="AB45" s="113">
        <v>25</v>
      </c>
      <c r="AC45" s="108" t="s">
        <v>911</v>
      </c>
      <c r="AD45" s="129" t="s">
        <v>912</v>
      </c>
      <c r="AE45" s="108" t="s">
        <v>913</v>
      </c>
      <c r="AF45" s="108"/>
      <c r="AG45" s="108" t="s">
        <v>914</v>
      </c>
      <c r="AH45" s="114" t="s">
        <v>915</v>
      </c>
      <c r="AI45" s="115">
        <v>17043907819</v>
      </c>
      <c r="AJ45" s="108" t="s">
        <v>189</v>
      </c>
      <c r="AK45" s="108" t="s">
        <v>916</v>
      </c>
      <c r="AL45" s="108" t="s">
        <v>917</v>
      </c>
      <c r="AM45" s="108"/>
      <c r="AN45" s="108"/>
      <c r="AO45" s="108"/>
      <c r="AP45" s="108"/>
      <c r="AQ45" s="108"/>
      <c r="AR45" s="108"/>
      <c r="AS45" s="108"/>
      <c r="AT45" s="108">
        <v>1</v>
      </c>
      <c r="AU45" s="108" t="s">
        <v>225</v>
      </c>
      <c r="AV45" s="115">
        <v>0</v>
      </c>
      <c r="AW45" s="108" t="s">
        <v>74</v>
      </c>
      <c r="AX45" s="108" t="s">
        <v>16</v>
      </c>
      <c r="AY45" s="108" t="s">
        <v>331</v>
      </c>
      <c r="AZ45" s="108" t="s">
        <v>286</v>
      </c>
      <c r="BA45" s="108">
        <v>2016</v>
      </c>
      <c r="BB45" s="108" t="s">
        <v>287</v>
      </c>
      <c r="BC45" s="108" t="s">
        <v>331</v>
      </c>
      <c r="BD45" s="108" t="s">
        <v>286</v>
      </c>
      <c r="BE45" s="108">
        <v>2016</v>
      </c>
      <c r="BF45" s="116"/>
      <c r="BG45" s="116"/>
      <c r="BH45" s="108" t="s">
        <v>345</v>
      </c>
      <c r="BI45" s="108">
        <v>30</v>
      </c>
      <c r="BJ45" s="195">
        <v>41</v>
      </c>
      <c r="BK45" s="111">
        <v>44293</v>
      </c>
      <c r="BL45" s="111">
        <v>44322</v>
      </c>
      <c r="BM45" s="209"/>
      <c r="BN45" s="111"/>
      <c r="BO45" s="108">
        <v>43467</v>
      </c>
      <c r="BP45" s="108">
        <v>43830</v>
      </c>
      <c r="BQ45" s="108" t="s">
        <v>918</v>
      </c>
      <c r="BR45" s="108" t="s">
        <v>919</v>
      </c>
      <c r="BS45" s="108"/>
      <c r="BT45" s="108"/>
      <c r="BU45" s="108"/>
      <c r="BV45" s="108"/>
      <c r="BW45" s="108"/>
      <c r="BX45" s="108"/>
      <c r="BY45" s="108"/>
      <c r="BZ45" s="108" t="e">
        <f>VLOOKUP(C45,[1]Sertifikasi!$B$4:$I$19,8,0)</f>
        <v>#N/A</v>
      </c>
    </row>
    <row r="46" spans="1:78" ht="11.25" customHeight="1">
      <c r="A46" s="108"/>
      <c r="B46" s="108">
        <v>126</v>
      </c>
      <c r="C46" s="108" t="s">
        <v>920</v>
      </c>
      <c r="D46" s="109">
        <v>642001045</v>
      </c>
      <c r="E46" s="131">
        <v>1710003988253</v>
      </c>
      <c r="F46" s="131"/>
      <c r="G46" s="108" t="s">
        <v>71</v>
      </c>
      <c r="H46" s="108" t="s">
        <v>71</v>
      </c>
      <c r="I46" s="111">
        <v>42857</v>
      </c>
      <c r="J46" s="108">
        <v>6</v>
      </c>
      <c r="K46" s="108">
        <v>5</v>
      </c>
      <c r="L46" s="108" t="str">
        <f t="shared" si="1"/>
        <v>PKWT</v>
      </c>
      <c r="M46" s="108"/>
      <c r="N46" s="112">
        <v>45291</v>
      </c>
      <c r="O46" s="108"/>
      <c r="P46" s="108" t="s">
        <v>213</v>
      </c>
      <c r="Q46" s="210" t="s">
        <v>4102</v>
      </c>
      <c r="R46" s="108" t="s">
        <v>409</v>
      </c>
      <c r="S46" s="108" t="s">
        <v>33</v>
      </c>
      <c r="T46" s="108" t="s">
        <v>88</v>
      </c>
      <c r="U46" s="108" t="s">
        <v>199</v>
      </c>
      <c r="V46" s="108" t="s">
        <v>180</v>
      </c>
      <c r="W46" s="108"/>
      <c r="X46" s="108" t="s">
        <v>215</v>
      </c>
      <c r="Y46" s="108" t="s">
        <v>216</v>
      </c>
      <c r="Z46" s="108" t="s">
        <v>182</v>
      </c>
      <c r="AA46" s="111">
        <v>35965</v>
      </c>
      <c r="AB46" s="113">
        <v>25</v>
      </c>
      <c r="AC46" s="108" t="s">
        <v>921</v>
      </c>
      <c r="AD46" s="129" t="s">
        <v>922</v>
      </c>
      <c r="AE46" s="108" t="s">
        <v>923</v>
      </c>
      <c r="AF46" s="108"/>
      <c r="AG46" s="108" t="s">
        <v>924</v>
      </c>
      <c r="AH46" s="114" t="s">
        <v>925</v>
      </c>
      <c r="AI46" s="115">
        <v>17043907694</v>
      </c>
      <c r="AJ46" s="108" t="s">
        <v>255</v>
      </c>
      <c r="AK46" s="108"/>
      <c r="AL46" s="108"/>
      <c r="AM46" s="108"/>
      <c r="AN46" s="108"/>
      <c r="AO46" s="108"/>
      <c r="AP46" s="108"/>
      <c r="AQ46" s="108"/>
      <c r="AR46" s="108"/>
      <c r="AS46" s="108"/>
      <c r="AT46" s="108">
        <v>0</v>
      </c>
      <c r="AU46" s="108" t="s">
        <v>304</v>
      </c>
      <c r="AV46" s="115">
        <v>0</v>
      </c>
      <c r="AW46" s="108" t="s">
        <v>74</v>
      </c>
      <c r="AX46" s="108" t="s">
        <v>16</v>
      </c>
      <c r="AY46" s="108" t="s">
        <v>926</v>
      </c>
      <c r="AZ46" s="108" t="s">
        <v>927</v>
      </c>
      <c r="BA46" s="108">
        <v>2017</v>
      </c>
      <c r="BB46" s="108" t="s">
        <v>287</v>
      </c>
      <c r="BC46" s="108" t="s">
        <v>926</v>
      </c>
      <c r="BD46" s="108" t="s">
        <v>927</v>
      </c>
      <c r="BE46" s="108">
        <v>2017</v>
      </c>
      <c r="BF46" s="116"/>
      <c r="BG46" s="116"/>
      <c r="BH46" s="108" t="s">
        <v>241</v>
      </c>
      <c r="BI46" s="108">
        <v>30</v>
      </c>
      <c r="BJ46" s="195">
        <v>40</v>
      </c>
      <c r="BK46" s="111"/>
      <c r="BL46" s="111"/>
      <c r="BM46" s="111"/>
      <c r="BN46" s="111"/>
      <c r="BO46" s="108">
        <v>43467</v>
      </c>
      <c r="BP46" s="108">
        <v>43830</v>
      </c>
      <c r="BQ46" s="108" t="s">
        <v>928</v>
      </c>
      <c r="BR46" s="108" t="s">
        <v>929</v>
      </c>
      <c r="BS46" s="108"/>
      <c r="BT46" s="108"/>
      <c r="BU46" s="108"/>
      <c r="BV46" s="108"/>
      <c r="BW46" s="108"/>
      <c r="BX46" s="108"/>
      <c r="BY46" s="108"/>
      <c r="BZ46" s="108" t="e">
        <f>VLOOKUP(C46,[1]Sertifikasi!$B$4:$I$19,8,0)</f>
        <v>#N/A</v>
      </c>
    </row>
    <row r="47" spans="1:78" ht="11.25" customHeight="1">
      <c r="A47" s="108"/>
      <c r="B47" s="108">
        <v>267</v>
      </c>
      <c r="C47" s="108" t="s">
        <v>1366</v>
      </c>
      <c r="D47" s="109">
        <v>641807163</v>
      </c>
      <c r="E47" s="131">
        <v>1710004387554</v>
      </c>
      <c r="F47" s="131"/>
      <c r="G47" s="108" t="s">
        <v>71</v>
      </c>
      <c r="H47" s="108" t="s">
        <v>71</v>
      </c>
      <c r="I47" s="111">
        <v>43282</v>
      </c>
      <c r="J47" s="108">
        <v>5</v>
      </c>
      <c r="K47" s="108">
        <v>3</v>
      </c>
      <c r="L47" s="108" t="str">
        <f t="shared" si="1"/>
        <v>PKWT</v>
      </c>
      <c r="M47" s="108"/>
      <c r="N47" s="112">
        <v>45475</v>
      </c>
      <c r="O47" s="108"/>
      <c r="P47" s="108" t="s">
        <v>213</v>
      </c>
      <c r="Q47" s="210" t="s">
        <v>4102</v>
      </c>
      <c r="R47" s="108" t="s">
        <v>575</v>
      </c>
      <c r="S47" s="108" t="s">
        <v>262</v>
      </c>
      <c r="T47" s="108" t="s">
        <v>92</v>
      </c>
      <c r="U47" s="108" t="s">
        <v>276</v>
      </c>
      <c r="V47" s="108" t="s">
        <v>180</v>
      </c>
      <c r="W47" s="108"/>
      <c r="X47" s="108" t="s">
        <v>215</v>
      </c>
      <c r="Y47" s="108" t="s">
        <v>216</v>
      </c>
      <c r="Z47" s="108" t="s">
        <v>182</v>
      </c>
      <c r="AA47" s="111">
        <v>36404</v>
      </c>
      <c r="AB47" s="113">
        <v>24</v>
      </c>
      <c r="AC47" s="108" t="s">
        <v>1367</v>
      </c>
      <c r="AD47" s="129" t="s">
        <v>1368</v>
      </c>
      <c r="AE47" s="108" t="s">
        <v>1369</v>
      </c>
      <c r="AF47" s="108"/>
      <c r="AG47" s="108" t="s">
        <v>1370</v>
      </c>
      <c r="AH47" s="114" t="s">
        <v>1371</v>
      </c>
      <c r="AI47" s="115">
        <v>18056171947</v>
      </c>
      <c r="AJ47" s="108" t="s">
        <v>255</v>
      </c>
      <c r="AK47" s="108"/>
      <c r="AL47" s="108"/>
      <c r="AM47" s="108"/>
      <c r="AN47" s="108"/>
      <c r="AO47" s="108" t="s">
        <v>1372</v>
      </c>
      <c r="AP47" s="108"/>
      <c r="AQ47" s="108"/>
      <c r="AR47" s="108"/>
      <c r="AS47" s="108"/>
      <c r="AT47" s="108">
        <v>1</v>
      </c>
      <c r="AU47" s="108" t="s">
        <v>646</v>
      </c>
      <c r="AV47" s="115">
        <v>0</v>
      </c>
      <c r="AW47" s="108" t="s">
        <v>74</v>
      </c>
      <c r="AX47" s="108" t="s">
        <v>16</v>
      </c>
      <c r="AY47" s="108" t="s">
        <v>1357</v>
      </c>
      <c r="AZ47" s="108" t="s">
        <v>1250</v>
      </c>
      <c r="BA47" s="108">
        <v>2017</v>
      </c>
      <c r="BB47" s="108" t="s">
        <v>287</v>
      </c>
      <c r="BC47" s="108" t="s">
        <v>1357</v>
      </c>
      <c r="BD47" s="108" t="s">
        <v>1250</v>
      </c>
      <c r="BE47" s="108">
        <v>2017</v>
      </c>
      <c r="BF47" s="116"/>
      <c r="BG47" s="116"/>
      <c r="BH47" s="108" t="s">
        <v>345</v>
      </c>
      <c r="BI47" s="108">
        <v>30</v>
      </c>
      <c r="BJ47" s="108">
        <v>42</v>
      </c>
      <c r="BK47" s="111">
        <v>44390</v>
      </c>
      <c r="BL47" s="111"/>
      <c r="BM47" s="111">
        <v>44663</v>
      </c>
      <c r="BN47" s="111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 t="e">
        <f>VLOOKUP(C47,[1]Sertifikasi!$B$4:$I$19,8,0)</f>
        <v>#N/A</v>
      </c>
    </row>
    <row r="48" spans="1:78" ht="11.25" customHeight="1">
      <c r="A48" s="108"/>
      <c r="B48" s="108">
        <v>210</v>
      </c>
      <c r="C48" s="108" t="s">
        <v>2455</v>
      </c>
      <c r="D48" s="109">
        <v>642111121</v>
      </c>
      <c r="E48" s="131"/>
      <c r="F48" s="131">
        <v>7182599365</v>
      </c>
      <c r="G48" s="108" t="s">
        <v>259</v>
      </c>
      <c r="H48" s="108" t="s">
        <v>259</v>
      </c>
      <c r="I48" s="111">
        <v>44517</v>
      </c>
      <c r="J48" s="108">
        <v>1</v>
      </c>
      <c r="K48" s="108">
        <v>10</v>
      </c>
      <c r="L48" s="108" t="str">
        <f t="shared" si="1"/>
        <v>PKWT</v>
      </c>
      <c r="M48" s="108"/>
      <c r="N48" s="112">
        <v>45535</v>
      </c>
      <c r="O48" s="108"/>
      <c r="P48" s="108" t="s">
        <v>213</v>
      </c>
      <c r="Q48" s="210" t="s">
        <v>4102</v>
      </c>
      <c r="R48" s="108" t="s">
        <v>259</v>
      </c>
      <c r="S48" s="108" t="s">
        <v>33</v>
      </c>
      <c r="T48" s="108" t="s">
        <v>432</v>
      </c>
      <c r="U48" s="108" t="s">
        <v>199</v>
      </c>
      <c r="V48" s="108" t="s">
        <v>180</v>
      </c>
      <c r="W48" s="108" t="s">
        <v>931</v>
      </c>
      <c r="X48" s="108"/>
      <c r="Y48" s="108" t="s">
        <v>216</v>
      </c>
      <c r="Z48" s="108" t="s">
        <v>1884</v>
      </c>
      <c r="AA48" s="111">
        <v>33673</v>
      </c>
      <c r="AB48" s="113">
        <v>31</v>
      </c>
      <c r="AC48" s="108" t="s">
        <v>2456</v>
      </c>
      <c r="AD48" s="129" t="s">
        <v>2457</v>
      </c>
      <c r="AE48" s="108" t="s">
        <v>2458</v>
      </c>
      <c r="AF48" s="108"/>
      <c r="AG48" s="108" t="s">
        <v>2459</v>
      </c>
      <c r="AH48" s="114" t="s">
        <v>2460</v>
      </c>
      <c r="AI48" s="115">
        <v>21087895773</v>
      </c>
      <c r="AJ48" s="108" t="s">
        <v>255</v>
      </c>
      <c r="AK48" s="108"/>
      <c r="AL48" s="108"/>
      <c r="AM48" s="108"/>
      <c r="AN48" s="108"/>
      <c r="AO48" s="108"/>
      <c r="AP48" s="108"/>
      <c r="AQ48" s="108"/>
      <c r="AR48" s="108"/>
      <c r="AS48" s="108"/>
      <c r="AT48" s="108">
        <v>0</v>
      </c>
      <c r="AU48" s="108" t="s">
        <v>304</v>
      </c>
      <c r="AV48" s="115"/>
      <c r="AW48" s="108" t="s">
        <v>74</v>
      </c>
      <c r="AX48" s="108" t="s">
        <v>16</v>
      </c>
      <c r="AY48" s="108" t="s">
        <v>210</v>
      </c>
      <c r="AZ48" s="108" t="s">
        <v>2461</v>
      </c>
      <c r="BA48" s="108">
        <v>2009</v>
      </c>
      <c r="BB48" s="108" t="s">
        <v>2462</v>
      </c>
      <c r="BC48" s="108" t="s">
        <v>1484</v>
      </c>
      <c r="BD48" s="108" t="s">
        <v>2463</v>
      </c>
      <c r="BE48" s="108">
        <v>2009</v>
      </c>
      <c r="BF48" s="116"/>
      <c r="BG48" s="116"/>
      <c r="BH48" s="108"/>
      <c r="BI48" s="108"/>
      <c r="BJ48" s="108">
        <v>41</v>
      </c>
      <c r="BK48" s="111"/>
      <c r="BL48" s="111"/>
      <c r="BM48" s="111">
        <v>44667</v>
      </c>
      <c r="BN48" s="111"/>
      <c r="BO48" s="108"/>
      <c r="BP48" s="108"/>
      <c r="BQ48" s="108"/>
      <c r="BR48" s="108" t="s">
        <v>2464</v>
      </c>
      <c r="BS48" s="108"/>
      <c r="BT48" s="108"/>
      <c r="BU48" s="108"/>
      <c r="BV48" s="108"/>
      <c r="BW48" s="108"/>
      <c r="BX48" s="108"/>
      <c r="BY48" s="108"/>
      <c r="BZ48" s="108" t="e">
        <f>VLOOKUP(C48,[1]Sertifikasi!$B$4:$I$19,8,0)</f>
        <v>#N/A</v>
      </c>
    </row>
    <row r="49" spans="1:78" ht="11.25" customHeight="1">
      <c r="A49" s="108"/>
      <c r="B49" s="108">
        <v>44</v>
      </c>
      <c r="C49" s="108" t="s">
        <v>2911</v>
      </c>
      <c r="D49" s="109">
        <v>642301191</v>
      </c>
      <c r="E49" s="131">
        <v>1710012946185</v>
      </c>
      <c r="F49" s="131"/>
      <c r="G49" s="108" t="s">
        <v>71</v>
      </c>
      <c r="H49" s="108" t="s">
        <v>71</v>
      </c>
      <c r="I49" s="111">
        <v>44931</v>
      </c>
      <c r="J49" s="108">
        <v>0</v>
      </c>
      <c r="K49" s="108">
        <v>9</v>
      </c>
      <c r="L49" s="108" t="str">
        <f t="shared" si="1"/>
        <v>PKWT</v>
      </c>
      <c r="M49" s="108"/>
      <c r="N49" s="112">
        <v>45291</v>
      </c>
      <c r="O49" s="108"/>
      <c r="P49" s="108" t="s">
        <v>213</v>
      </c>
      <c r="Q49" s="210" t="s">
        <v>4100</v>
      </c>
      <c r="R49" s="108" t="s">
        <v>4099</v>
      </c>
      <c r="S49" s="108" t="s">
        <v>2281</v>
      </c>
      <c r="T49" s="108" t="s">
        <v>900</v>
      </c>
      <c r="U49" s="108" t="s">
        <v>362</v>
      </c>
      <c r="V49" s="108" t="s">
        <v>180</v>
      </c>
      <c r="W49" s="108" t="s">
        <v>277</v>
      </c>
      <c r="X49" s="108"/>
      <c r="Y49" s="108" t="s">
        <v>216</v>
      </c>
      <c r="Z49" s="108" t="s">
        <v>2912</v>
      </c>
      <c r="AA49" s="111">
        <v>36025</v>
      </c>
      <c r="AB49" s="113">
        <v>25</v>
      </c>
      <c r="AC49" s="108" t="s">
        <v>2913</v>
      </c>
      <c r="AD49" s="129" t="s">
        <v>2914</v>
      </c>
      <c r="AE49" s="108" t="s">
        <v>2915</v>
      </c>
      <c r="AF49" s="108"/>
      <c r="AG49" s="108" t="s">
        <v>2916</v>
      </c>
      <c r="AH49" s="114" t="s">
        <v>2917</v>
      </c>
      <c r="AI49" s="115">
        <v>23009096704</v>
      </c>
      <c r="AJ49" s="108" t="s">
        <v>255</v>
      </c>
      <c r="AK49" s="108"/>
      <c r="AL49" s="108"/>
      <c r="AM49" s="108"/>
      <c r="AN49" s="108"/>
      <c r="AO49" s="108"/>
      <c r="AP49" s="108"/>
      <c r="AQ49" s="108"/>
      <c r="AR49" s="108"/>
      <c r="AS49" s="108"/>
      <c r="AT49" s="108">
        <v>0</v>
      </c>
      <c r="AU49" s="108" t="s">
        <v>304</v>
      </c>
      <c r="AV49" s="115"/>
      <c r="AW49" s="108" t="s">
        <v>74</v>
      </c>
      <c r="AX49" s="108" t="s">
        <v>13</v>
      </c>
      <c r="AY49" s="108" t="s">
        <v>2789</v>
      </c>
      <c r="AZ49" s="108" t="s">
        <v>2472</v>
      </c>
      <c r="BA49" s="108">
        <v>2021</v>
      </c>
      <c r="BB49" s="108" t="s">
        <v>13</v>
      </c>
      <c r="BC49" s="108" t="s">
        <v>2789</v>
      </c>
      <c r="BD49" s="108" t="s">
        <v>2472</v>
      </c>
      <c r="BE49" s="108">
        <v>2021</v>
      </c>
      <c r="BF49" s="116"/>
      <c r="BG49" s="116"/>
      <c r="BH49" s="108"/>
      <c r="BI49" s="108"/>
      <c r="BJ49" s="108">
        <v>43</v>
      </c>
      <c r="BK49" s="111"/>
      <c r="BL49" s="111"/>
      <c r="BM49" s="111"/>
      <c r="BN49" s="111"/>
      <c r="BO49" s="108"/>
      <c r="BP49" s="108"/>
      <c r="BQ49" s="108"/>
      <c r="BR49" s="108"/>
      <c r="BS49" s="108"/>
      <c r="BT49" s="108"/>
      <c r="BU49" s="108"/>
      <c r="BV49" s="108"/>
      <c r="BW49" s="108"/>
      <c r="BX49" s="108"/>
      <c r="BY49" s="108"/>
      <c r="BZ49" s="108" t="e">
        <f>VLOOKUP(C49,[1]Sertifikasi!$B$4:$I$19,8,0)</f>
        <v>#N/A</v>
      </c>
    </row>
    <row r="50" spans="1:78" ht="11.25" customHeight="1">
      <c r="A50" s="108"/>
      <c r="B50" s="108">
        <v>127</v>
      </c>
      <c r="C50" s="108" t="s">
        <v>4106</v>
      </c>
      <c r="D50" s="109">
        <v>642201162</v>
      </c>
      <c r="E50" s="131">
        <v>1710002244500</v>
      </c>
      <c r="F50" s="131"/>
      <c r="G50" s="108" t="s">
        <v>71</v>
      </c>
      <c r="H50" s="108" t="s">
        <v>71</v>
      </c>
      <c r="I50" s="111">
        <v>44699</v>
      </c>
      <c r="J50" s="108">
        <v>1</v>
      </c>
      <c r="K50" s="108">
        <v>4</v>
      </c>
      <c r="L50" s="108" t="str">
        <f t="shared" si="1"/>
        <v>PKWT</v>
      </c>
      <c r="M50" s="108"/>
      <c r="N50" s="112">
        <v>45429</v>
      </c>
      <c r="O50" s="108"/>
      <c r="P50" s="108" t="s">
        <v>213</v>
      </c>
      <c r="Q50" s="210" t="s">
        <v>4102</v>
      </c>
      <c r="R50" s="108" t="s">
        <v>409</v>
      </c>
      <c r="S50" s="108" t="s">
        <v>33</v>
      </c>
      <c r="T50" s="108" t="s">
        <v>88</v>
      </c>
      <c r="U50" s="108" t="s">
        <v>199</v>
      </c>
      <c r="V50" s="108" t="s">
        <v>180</v>
      </c>
      <c r="W50" s="108"/>
      <c r="X50" s="108"/>
      <c r="Y50" s="108" t="s">
        <v>216</v>
      </c>
      <c r="Z50" s="108" t="s">
        <v>1374</v>
      </c>
      <c r="AA50" s="111">
        <v>35518</v>
      </c>
      <c r="AB50" s="113">
        <v>26</v>
      </c>
      <c r="AC50" s="108" t="s">
        <v>2735</v>
      </c>
      <c r="AD50" s="129" t="s">
        <v>2736</v>
      </c>
      <c r="AE50" s="108" t="s">
        <v>2737</v>
      </c>
      <c r="AF50" s="108"/>
      <c r="AG50" s="108" t="s">
        <v>2738</v>
      </c>
      <c r="AH50" s="114" t="s">
        <v>2739</v>
      </c>
      <c r="AI50" s="115">
        <v>22063660702</v>
      </c>
      <c r="AJ50" s="108" t="s">
        <v>255</v>
      </c>
      <c r="AK50" s="108"/>
      <c r="AL50" s="108"/>
      <c r="AM50" s="108"/>
      <c r="AN50" s="108"/>
      <c r="AO50" s="108"/>
      <c r="AP50" s="108"/>
      <c r="AQ50" s="108"/>
      <c r="AR50" s="108"/>
      <c r="AS50" s="108"/>
      <c r="AT50" s="108">
        <v>0</v>
      </c>
      <c r="AU50" s="108" t="s">
        <v>304</v>
      </c>
      <c r="AV50" s="115"/>
      <c r="AW50" s="108" t="s">
        <v>74</v>
      </c>
      <c r="AX50" s="108" t="s">
        <v>16</v>
      </c>
      <c r="AY50" s="108" t="s">
        <v>1988</v>
      </c>
      <c r="AZ50" s="108" t="s">
        <v>1383</v>
      </c>
      <c r="BA50" s="108">
        <v>2016</v>
      </c>
      <c r="BB50" s="108" t="s">
        <v>16</v>
      </c>
      <c r="BC50" s="108" t="s">
        <v>1988</v>
      </c>
      <c r="BD50" s="108" t="s">
        <v>1383</v>
      </c>
      <c r="BE50" s="108">
        <v>2016</v>
      </c>
      <c r="BF50" s="116"/>
      <c r="BG50" s="116"/>
      <c r="BH50" s="108"/>
      <c r="BI50" s="108"/>
      <c r="BJ50" s="108">
        <v>41</v>
      </c>
      <c r="BK50" s="111"/>
      <c r="BL50" s="111"/>
      <c r="BM50" s="111"/>
      <c r="BN50" s="111"/>
      <c r="BO50" s="108"/>
      <c r="BP50" s="108"/>
      <c r="BQ50" s="108"/>
      <c r="BR50" s="108" t="s">
        <v>2740</v>
      </c>
      <c r="BS50" s="108"/>
      <c r="BT50" s="108"/>
      <c r="BU50" s="108"/>
      <c r="BV50" s="108"/>
      <c r="BW50" s="108"/>
      <c r="BX50" s="108"/>
      <c r="BY50" s="108"/>
      <c r="BZ50" s="108" t="e">
        <f>VLOOKUP(C50,[1]Sertifikasi!$B$4:$I$19,8,0)</f>
        <v>#N/A</v>
      </c>
    </row>
    <row r="51" spans="1:78" ht="11.25" customHeight="1">
      <c r="A51" s="108"/>
      <c r="B51" s="108">
        <v>162</v>
      </c>
      <c r="C51" s="108" t="s">
        <v>298</v>
      </c>
      <c r="D51" s="109">
        <v>642001013</v>
      </c>
      <c r="E51" s="131">
        <v>1710003987008</v>
      </c>
      <c r="F51" s="131"/>
      <c r="G51" s="108" t="s">
        <v>71</v>
      </c>
      <c r="H51" s="108" t="s">
        <v>71</v>
      </c>
      <c r="I51" s="111">
        <v>42095</v>
      </c>
      <c r="J51" s="108">
        <v>8</v>
      </c>
      <c r="K51" s="108">
        <v>6</v>
      </c>
      <c r="L51" s="108" t="str">
        <f t="shared" si="1"/>
        <v>PKWT</v>
      </c>
      <c r="M51" s="108"/>
      <c r="N51" s="112">
        <v>45291</v>
      </c>
      <c r="O51" s="108"/>
      <c r="P51" s="108" t="s">
        <v>213</v>
      </c>
      <c r="Q51" s="210" t="s">
        <v>4102</v>
      </c>
      <c r="R51" s="108" t="s">
        <v>259</v>
      </c>
      <c r="S51" s="108" t="s">
        <v>262</v>
      </c>
      <c r="T51" s="108" t="s">
        <v>89</v>
      </c>
      <c r="U51" s="108" t="s">
        <v>199</v>
      </c>
      <c r="V51" s="108" t="s">
        <v>180</v>
      </c>
      <c r="W51" s="108" t="s">
        <v>277</v>
      </c>
      <c r="X51" s="108" t="s">
        <v>215</v>
      </c>
      <c r="Y51" s="108" t="s">
        <v>216</v>
      </c>
      <c r="Z51" s="108" t="s">
        <v>71</v>
      </c>
      <c r="AA51" s="111">
        <v>27574</v>
      </c>
      <c r="AB51" s="113">
        <v>48</v>
      </c>
      <c r="AC51" s="108" t="s">
        <v>299</v>
      </c>
      <c r="AD51" s="129" t="s">
        <v>300</v>
      </c>
      <c r="AE51" s="108" t="s">
        <v>301</v>
      </c>
      <c r="AF51" s="108"/>
      <c r="AG51" s="108" t="s">
        <v>302</v>
      </c>
      <c r="AH51" s="114" t="s">
        <v>303</v>
      </c>
      <c r="AI51" s="115">
        <v>16006272385</v>
      </c>
      <c r="AJ51" s="108" t="s">
        <v>255</v>
      </c>
      <c r="AK51" s="108"/>
      <c r="AL51" s="108"/>
      <c r="AM51" s="108"/>
      <c r="AN51" s="108"/>
      <c r="AO51" s="108"/>
      <c r="AP51" s="108"/>
      <c r="AQ51" s="108"/>
      <c r="AR51" s="108"/>
      <c r="AS51" s="108"/>
      <c r="AT51" s="108">
        <v>0</v>
      </c>
      <c r="AU51" s="108" t="s">
        <v>304</v>
      </c>
      <c r="AV51" s="115">
        <v>0</v>
      </c>
      <c r="AW51" s="108" t="s">
        <v>74</v>
      </c>
      <c r="AX51" s="108" t="s">
        <v>16</v>
      </c>
      <c r="AY51" s="108" t="s">
        <v>305</v>
      </c>
      <c r="AZ51" s="108" t="s">
        <v>306</v>
      </c>
      <c r="BA51" s="108"/>
      <c r="BB51" s="108" t="s">
        <v>287</v>
      </c>
      <c r="BC51" s="108" t="s">
        <v>305</v>
      </c>
      <c r="BD51" s="108" t="s">
        <v>306</v>
      </c>
      <c r="BE51" s="108"/>
      <c r="BF51" s="116"/>
      <c r="BG51" s="116"/>
      <c r="BH51" s="108" t="s">
        <v>241</v>
      </c>
      <c r="BI51" s="108">
        <v>32</v>
      </c>
      <c r="BJ51" s="108">
        <v>39</v>
      </c>
      <c r="BK51" s="111">
        <v>44293</v>
      </c>
      <c r="BL51" s="111">
        <v>44322</v>
      </c>
      <c r="BM51" s="111"/>
      <c r="BN51" s="111"/>
      <c r="BO51" s="108">
        <v>43467</v>
      </c>
      <c r="BP51" s="108">
        <v>43830</v>
      </c>
      <c r="BQ51" s="108" t="s">
        <v>307</v>
      </c>
      <c r="BR51" s="108" t="s">
        <v>308</v>
      </c>
      <c r="BS51" s="108"/>
      <c r="BT51" s="108"/>
      <c r="BU51" s="108"/>
      <c r="BV51" s="108"/>
      <c r="BW51" s="108"/>
      <c r="BX51" s="108"/>
      <c r="BY51" s="108"/>
      <c r="BZ51" s="108" t="e">
        <f>VLOOKUP(C51,[1]Sertifikasi!$B$4:$I$19,8,0)</f>
        <v>#N/A</v>
      </c>
    </row>
    <row r="52" spans="1:78" ht="11.25" customHeight="1">
      <c r="A52" s="108"/>
      <c r="B52" s="108">
        <v>268</v>
      </c>
      <c r="C52" s="108" t="s">
        <v>1647</v>
      </c>
      <c r="D52" s="109">
        <v>641810201</v>
      </c>
      <c r="E52" s="131">
        <v>1710004810886</v>
      </c>
      <c r="F52" s="131"/>
      <c r="G52" s="108" t="s">
        <v>575</v>
      </c>
      <c r="H52" s="108" t="s">
        <v>575</v>
      </c>
      <c r="I52" s="111">
        <v>43395</v>
      </c>
      <c r="J52" s="108">
        <v>4</v>
      </c>
      <c r="K52" s="108">
        <v>11</v>
      </c>
      <c r="L52" s="108" t="str">
        <f t="shared" si="1"/>
        <v>PKWT</v>
      </c>
      <c r="M52" s="108"/>
      <c r="N52" s="112">
        <v>45586</v>
      </c>
      <c r="O52" s="108"/>
      <c r="P52" s="108" t="s">
        <v>213</v>
      </c>
      <c r="Q52" s="210" t="s">
        <v>4102</v>
      </c>
      <c r="R52" s="108" t="s">
        <v>575</v>
      </c>
      <c r="S52" s="108" t="s">
        <v>262</v>
      </c>
      <c r="T52" s="108" t="s">
        <v>92</v>
      </c>
      <c r="U52" s="108" t="s">
        <v>276</v>
      </c>
      <c r="V52" s="108" t="s">
        <v>180</v>
      </c>
      <c r="W52" s="108"/>
      <c r="X52" s="108" t="s">
        <v>215</v>
      </c>
      <c r="Y52" s="108" t="s">
        <v>216</v>
      </c>
      <c r="Z52" s="108" t="s">
        <v>575</v>
      </c>
      <c r="AA52" s="111">
        <v>32948</v>
      </c>
      <c r="AB52" s="113">
        <v>33</v>
      </c>
      <c r="AC52" s="108" t="s">
        <v>1648</v>
      </c>
      <c r="AD52" s="129" t="s">
        <v>1649</v>
      </c>
      <c r="AE52" s="108" t="s">
        <v>1650</v>
      </c>
      <c r="AF52" s="108"/>
      <c r="AG52" s="108" t="s">
        <v>1651</v>
      </c>
      <c r="AH52" s="114" t="s">
        <v>1652</v>
      </c>
      <c r="AI52" s="115">
        <v>18099947618</v>
      </c>
      <c r="AJ52" s="108" t="s">
        <v>189</v>
      </c>
      <c r="AK52" s="108" t="s">
        <v>1653</v>
      </c>
      <c r="AL52" s="108" t="s">
        <v>1654</v>
      </c>
      <c r="AM52" s="108" t="s">
        <v>1655</v>
      </c>
      <c r="AN52" s="108"/>
      <c r="AO52" s="108"/>
      <c r="AP52" s="108"/>
      <c r="AQ52" s="108"/>
      <c r="AR52" s="108"/>
      <c r="AS52" s="108"/>
      <c r="AT52" s="108">
        <v>2</v>
      </c>
      <c r="AU52" s="108" t="s">
        <v>330</v>
      </c>
      <c r="AV52" s="115">
        <v>0</v>
      </c>
      <c r="AW52" s="108" t="s">
        <v>74</v>
      </c>
      <c r="AX52" s="108" t="s">
        <v>16</v>
      </c>
      <c r="AY52" s="108" t="s">
        <v>226</v>
      </c>
      <c r="AZ52" s="108" t="s">
        <v>1656</v>
      </c>
      <c r="BA52" s="108">
        <v>2009</v>
      </c>
      <c r="BB52" s="108" t="s">
        <v>287</v>
      </c>
      <c r="BC52" s="108" t="s">
        <v>226</v>
      </c>
      <c r="BD52" s="108" t="s">
        <v>1656</v>
      </c>
      <c r="BE52" s="108">
        <v>2009</v>
      </c>
      <c r="BF52" s="116"/>
      <c r="BG52" s="116"/>
      <c r="BH52" s="108" t="s">
        <v>228</v>
      </c>
      <c r="BI52" s="108">
        <v>33</v>
      </c>
      <c r="BJ52" s="108">
        <v>42</v>
      </c>
      <c r="BK52" s="111"/>
      <c r="BL52" s="111"/>
      <c r="BM52" s="111"/>
      <c r="BN52" s="111"/>
      <c r="BO52" s="108"/>
      <c r="BP52" s="108"/>
      <c r="BQ52" s="108"/>
      <c r="BR52" s="108"/>
      <c r="BS52" s="108"/>
      <c r="BT52" s="108"/>
      <c r="BU52" s="108"/>
      <c r="BV52" s="108"/>
      <c r="BW52" s="108"/>
      <c r="BX52" s="108"/>
      <c r="BY52" s="108"/>
      <c r="BZ52" s="108" t="e">
        <f>VLOOKUP(C52,[1]Sertifikasi!$B$4:$I$19,8,0)</f>
        <v>#N/A</v>
      </c>
    </row>
    <row r="53" spans="1:78" ht="11.25" customHeight="1">
      <c r="A53" s="108"/>
      <c r="B53" s="108">
        <v>97</v>
      </c>
      <c r="C53" s="108" t="s">
        <v>2051</v>
      </c>
      <c r="D53" s="109">
        <v>642002076</v>
      </c>
      <c r="E53" s="131">
        <v>1710004013655</v>
      </c>
      <c r="F53" s="131"/>
      <c r="G53" s="108" t="s">
        <v>259</v>
      </c>
      <c r="H53" s="108" t="s">
        <v>259</v>
      </c>
      <c r="I53" s="111">
        <v>43885</v>
      </c>
      <c r="J53" s="108">
        <v>3</v>
      </c>
      <c r="K53" s="108">
        <v>7</v>
      </c>
      <c r="L53" s="108" t="str">
        <f t="shared" si="1"/>
        <v>PKWT</v>
      </c>
      <c r="M53" s="108"/>
      <c r="N53" s="112">
        <v>45291</v>
      </c>
      <c r="O53" s="108"/>
      <c r="P53" s="108" t="s">
        <v>213</v>
      </c>
      <c r="Q53" s="210" t="s">
        <v>4102</v>
      </c>
      <c r="R53" s="108" t="s">
        <v>33</v>
      </c>
      <c r="S53" s="108" t="s">
        <v>232</v>
      </c>
      <c r="T53" s="108" t="s">
        <v>199</v>
      </c>
      <c r="U53" s="108" t="s">
        <v>199</v>
      </c>
      <c r="V53" s="108" t="s">
        <v>180</v>
      </c>
      <c r="W53" s="108"/>
      <c r="X53" s="108"/>
      <c r="Y53" s="108" t="s">
        <v>216</v>
      </c>
      <c r="Z53" s="108" t="s">
        <v>182</v>
      </c>
      <c r="AA53" s="111">
        <v>34693</v>
      </c>
      <c r="AB53" s="113">
        <v>28</v>
      </c>
      <c r="AC53" s="108" t="s">
        <v>2052</v>
      </c>
      <c r="AD53" s="129" t="s">
        <v>2053</v>
      </c>
      <c r="AE53" s="108" t="s">
        <v>2054</v>
      </c>
      <c r="AF53" s="108"/>
      <c r="AG53" s="108" t="s">
        <v>2055</v>
      </c>
      <c r="AH53" s="114" t="s">
        <v>2056</v>
      </c>
      <c r="AI53" s="115">
        <v>20024319756</v>
      </c>
      <c r="AJ53" s="108" t="s">
        <v>255</v>
      </c>
      <c r="AK53" s="108"/>
      <c r="AL53" s="108"/>
      <c r="AM53" s="108"/>
      <c r="AN53" s="108"/>
      <c r="AO53" s="108"/>
      <c r="AP53" s="108"/>
      <c r="AQ53" s="108"/>
      <c r="AR53" s="108"/>
      <c r="AS53" s="108"/>
      <c r="AT53" s="108">
        <v>0</v>
      </c>
      <c r="AU53" s="108" t="s">
        <v>304</v>
      </c>
      <c r="AV53" s="115"/>
      <c r="AW53" s="108" t="s">
        <v>74</v>
      </c>
      <c r="AX53" s="108" t="s">
        <v>16</v>
      </c>
      <c r="AY53" s="108" t="s">
        <v>331</v>
      </c>
      <c r="AZ53" s="108" t="s">
        <v>404</v>
      </c>
      <c r="BA53" s="108">
        <v>2014</v>
      </c>
      <c r="BB53" s="108" t="s">
        <v>16</v>
      </c>
      <c r="BC53" s="108" t="s">
        <v>331</v>
      </c>
      <c r="BD53" s="108" t="s">
        <v>404</v>
      </c>
      <c r="BE53" s="108">
        <v>2014</v>
      </c>
      <c r="BF53" s="116"/>
      <c r="BG53" s="116"/>
      <c r="BH53" s="108"/>
      <c r="BI53" s="108"/>
      <c r="BJ53" s="108">
        <v>43</v>
      </c>
      <c r="BK53" s="111"/>
      <c r="BL53" s="111"/>
      <c r="BM53" s="111">
        <v>44776</v>
      </c>
      <c r="BN53" s="111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 t="e">
        <f>VLOOKUP(C53,[1]Sertifikasi!$B$4:$I$19,8,0)</f>
        <v>#N/A</v>
      </c>
    </row>
    <row r="54" spans="1:78" ht="11.25" customHeight="1">
      <c r="A54" s="108"/>
      <c r="B54" s="108">
        <v>308</v>
      </c>
      <c r="C54" s="108" t="s">
        <v>3104</v>
      </c>
      <c r="D54" s="109">
        <v>642307136</v>
      </c>
      <c r="E54" s="131">
        <v>1800013074564</v>
      </c>
      <c r="F54" s="131"/>
      <c r="G54" s="108" t="s">
        <v>71</v>
      </c>
      <c r="H54" s="108" t="s">
        <v>3105</v>
      </c>
      <c r="I54" s="111">
        <v>45204</v>
      </c>
      <c r="J54" s="108">
        <v>0</v>
      </c>
      <c r="K54" s="108">
        <v>0</v>
      </c>
      <c r="L54" s="108" t="str">
        <f t="shared" si="1"/>
        <v>PKWT</v>
      </c>
      <c r="M54" s="108"/>
      <c r="N54" s="112">
        <v>45569</v>
      </c>
      <c r="O54" s="108"/>
      <c r="P54" s="108" t="s">
        <v>213</v>
      </c>
      <c r="Q54" s="210" t="s">
        <v>4102</v>
      </c>
      <c r="R54" s="108" t="s">
        <v>422</v>
      </c>
      <c r="S54" s="108" t="s">
        <v>275</v>
      </c>
      <c r="T54" s="108" t="s">
        <v>93</v>
      </c>
      <c r="U54" s="108" t="s">
        <v>276</v>
      </c>
      <c r="V54" s="108" t="s">
        <v>180</v>
      </c>
      <c r="W54" s="108"/>
      <c r="X54" s="108"/>
      <c r="Y54" s="108" t="s">
        <v>216</v>
      </c>
      <c r="Z54" s="108" t="s">
        <v>639</v>
      </c>
      <c r="AA54" s="111">
        <v>36301</v>
      </c>
      <c r="AB54" s="113">
        <v>24</v>
      </c>
      <c r="AC54" s="108" t="s">
        <v>3106</v>
      </c>
      <c r="AD54" s="129" t="s">
        <v>3107</v>
      </c>
      <c r="AE54" s="108" t="s">
        <v>3108</v>
      </c>
      <c r="AF54" s="108"/>
      <c r="AG54" s="108" t="s">
        <v>3109</v>
      </c>
      <c r="AH54" s="114" t="s">
        <v>3110</v>
      </c>
      <c r="AI54" s="115">
        <v>23156731285</v>
      </c>
      <c r="AJ54" s="108" t="s">
        <v>255</v>
      </c>
      <c r="AK54" s="108"/>
      <c r="AL54" s="108"/>
      <c r="AM54" s="108"/>
      <c r="AN54" s="108"/>
      <c r="AO54" s="108"/>
      <c r="AP54" s="108"/>
      <c r="AQ54" s="108"/>
      <c r="AR54" s="108"/>
      <c r="AS54" s="108"/>
      <c r="AT54" s="108">
        <v>0</v>
      </c>
      <c r="AU54" s="108" t="s">
        <v>304</v>
      </c>
      <c r="AV54" s="115"/>
      <c r="AW54" s="108" t="s">
        <v>74</v>
      </c>
      <c r="AX54" s="108" t="s">
        <v>16</v>
      </c>
      <c r="AY54" s="108" t="s">
        <v>226</v>
      </c>
      <c r="AZ54" s="108" t="s">
        <v>3111</v>
      </c>
      <c r="BA54" s="108"/>
      <c r="BB54" s="108" t="s">
        <v>16</v>
      </c>
      <c r="BC54" s="108" t="s">
        <v>226</v>
      </c>
      <c r="BD54" s="108" t="s">
        <v>3111</v>
      </c>
      <c r="BE54" s="108"/>
      <c r="BF54" s="116"/>
      <c r="BG54" s="116"/>
      <c r="BH54" s="108"/>
      <c r="BI54" s="108"/>
      <c r="BJ54" s="108"/>
      <c r="BK54" s="111"/>
      <c r="BL54" s="111"/>
      <c r="BM54" s="111"/>
      <c r="BN54" s="111"/>
      <c r="BO54" s="108"/>
      <c r="BP54" s="108"/>
      <c r="BQ54" s="108"/>
      <c r="BR54" s="108"/>
      <c r="BS54" s="108"/>
      <c r="BT54" s="108"/>
      <c r="BU54" s="108"/>
      <c r="BV54" s="108"/>
      <c r="BW54" s="108"/>
      <c r="BX54" s="108"/>
      <c r="BY54" s="108"/>
      <c r="BZ54" s="108" t="e">
        <f>VLOOKUP(C54,[1]Sertifikasi!$B$4:$I$19,8,0)</f>
        <v>#N/A</v>
      </c>
    </row>
    <row r="55" spans="1:78" ht="11.25" customHeight="1">
      <c r="A55" s="108"/>
      <c r="B55" s="108">
        <v>163</v>
      </c>
      <c r="C55" s="108" t="s">
        <v>1844</v>
      </c>
      <c r="D55" s="109">
        <v>641907258</v>
      </c>
      <c r="E55" s="131">
        <v>1710005658268</v>
      </c>
      <c r="F55" s="131"/>
      <c r="G55" s="108" t="s">
        <v>259</v>
      </c>
      <c r="H55" s="108" t="s">
        <v>259</v>
      </c>
      <c r="I55" s="111">
        <v>43647</v>
      </c>
      <c r="J55" s="108">
        <v>4</v>
      </c>
      <c r="K55" s="108">
        <v>3</v>
      </c>
      <c r="L55" s="108" t="str">
        <f t="shared" si="1"/>
        <v>PKWT</v>
      </c>
      <c r="M55" s="108"/>
      <c r="N55" s="112">
        <v>45291</v>
      </c>
      <c r="O55" s="108"/>
      <c r="P55" s="108" t="s">
        <v>213</v>
      </c>
      <c r="Q55" s="210" t="s">
        <v>4102</v>
      </c>
      <c r="R55" s="108" t="s">
        <v>259</v>
      </c>
      <c r="S55" s="108" t="s">
        <v>262</v>
      </c>
      <c r="T55" s="108" t="s">
        <v>89</v>
      </c>
      <c r="U55" s="108" t="s">
        <v>199</v>
      </c>
      <c r="V55" s="108" t="s">
        <v>180</v>
      </c>
      <c r="W55" s="108" t="s">
        <v>277</v>
      </c>
      <c r="X55" s="108" t="s">
        <v>215</v>
      </c>
      <c r="Y55" s="108" t="s">
        <v>216</v>
      </c>
      <c r="Z55" s="108" t="s">
        <v>1845</v>
      </c>
      <c r="AA55" s="111">
        <v>34500</v>
      </c>
      <c r="AB55" s="113">
        <v>29</v>
      </c>
      <c r="AC55" s="108" t="s">
        <v>1846</v>
      </c>
      <c r="AD55" s="129" t="s">
        <v>1847</v>
      </c>
      <c r="AE55" s="108" t="s">
        <v>1848</v>
      </c>
      <c r="AF55" s="108"/>
      <c r="AG55" s="108" t="s">
        <v>1849</v>
      </c>
      <c r="AH55" s="114" t="s">
        <v>1850</v>
      </c>
      <c r="AI55" s="115">
        <v>19047644059</v>
      </c>
      <c r="AJ55" s="108" t="s">
        <v>189</v>
      </c>
      <c r="AK55" s="108" t="s">
        <v>1851</v>
      </c>
      <c r="AL55" s="108" t="s">
        <v>1852</v>
      </c>
      <c r="AM55" s="108"/>
      <c r="AN55" s="108"/>
      <c r="AO55" s="108"/>
      <c r="AP55" s="108"/>
      <c r="AQ55" s="108"/>
      <c r="AR55" s="108"/>
      <c r="AS55" s="108"/>
      <c r="AT55" s="108">
        <v>1</v>
      </c>
      <c r="AU55" s="108" t="s">
        <v>225</v>
      </c>
      <c r="AV55" s="115">
        <v>0</v>
      </c>
      <c r="AW55" s="108" t="s">
        <v>74</v>
      </c>
      <c r="AX55" s="108" t="s">
        <v>16</v>
      </c>
      <c r="AY55" s="108" t="s">
        <v>331</v>
      </c>
      <c r="AZ55" s="108" t="s">
        <v>1853</v>
      </c>
      <c r="BA55" s="108">
        <v>2013</v>
      </c>
      <c r="BB55" s="108" t="s">
        <v>16</v>
      </c>
      <c r="BC55" s="108" t="s">
        <v>331</v>
      </c>
      <c r="BD55" s="108" t="s">
        <v>1853</v>
      </c>
      <c r="BE55" s="108">
        <v>2013</v>
      </c>
      <c r="BF55" s="116"/>
      <c r="BG55" s="116"/>
      <c r="BH55" s="108" t="s">
        <v>345</v>
      </c>
      <c r="BI55" s="108">
        <v>30</v>
      </c>
      <c r="BJ55" s="108">
        <v>42</v>
      </c>
      <c r="BK55" s="111"/>
      <c r="BL55" s="111"/>
      <c r="BM55" s="111"/>
      <c r="BN55" s="111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 t="e">
        <f>VLOOKUP(C55,[1]Sertifikasi!$B$4:$I$19,8,0)</f>
        <v>#N/A</v>
      </c>
    </row>
    <row r="56" spans="1:78" ht="11.25" customHeight="1">
      <c r="A56" s="108"/>
      <c r="B56" s="108">
        <v>211</v>
      </c>
      <c r="C56" s="108" t="s">
        <v>2887</v>
      </c>
      <c r="D56" s="109">
        <v>642301183</v>
      </c>
      <c r="E56" s="131">
        <v>1710012923051</v>
      </c>
      <c r="F56" s="131"/>
      <c r="G56" s="108" t="s">
        <v>71</v>
      </c>
      <c r="H56" s="108" t="s">
        <v>71</v>
      </c>
      <c r="I56" s="111">
        <v>44931</v>
      </c>
      <c r="J56" s="108">
        <v>0</v>
      </c>
      <c r="K56" s="108">
        <v>9</v>
      </c>
      <c r="L56" s="108" t="str">
        <f t="shared" si="1"/>
        <v>PKWT</v>
      </c>
      <c r="M56" s="108"/>
      <c r="N56" s="112">
        <v>45291</v>
      </c>
      <c r="O56" s="108"/>
      <c r="P56" s="108" t="s">
        <v>213</v>
      </c>
      <c r="Q56" s="210" t="s">
        <v>4102</v>
      </c>
      <c r="R56" s="108" t="s">
        <v>259</v>
      </c>
      <c r="S56" s="108" t="s">
        <v>33</v>
      </c>
      <c r="T56" s="108" t="s">
        <v>432</v>
      </c>
      <c r="U56" s="108" t="s">
        <v>199</v>
      </c>
      <c r="V56" s="108" t="s">
        <v>180</v>
      </c>
      <c r="W56" s="108" t="s">
        <v>263</v>
      </c>
      <c r="X56" s="108"/>
      <c r="Y56" s="108" t="s">
        <v>216</v>
      </c>
      <c r="Z56" s="108" t="s">
        <v>71</v>
      </c>
      <c r="AA56" s="111">
        <v>36643</v>
      </c>
      <c r="AB56" s="113">
        <v>23</v>
      </c>
      <c r="AC56" s="108" t="s">
        <v>2888</v>
      </c>
      <c r="AD56" s="129" t="s">
        <v>2889</v>
      </c>
      <c r="AE56" s="108" t="s">
        <v>2890</v>
      </c>
      <c r="AF56" s="108"/>
      <c r="AG56" s="108" t="s">
        <v>2891</v>
      </c>
      <c r="AH56" s="114" t="s">
        <v>2892</v>
      </c>
      <c r="AI56" s="115">
        <v>23009096654</v>
      </c>
      <c r="AJ56" s="108" t="s">
        <v>255</v>
      </c>
      <c r="AK56" s="108"/>
      <c r="AL56" s="108"/>
      <c r="AM56" s="108"/>
      <c r="AN56" s="108"/>
      <c r="AO56" s="108"/>
      <c r="AP56" s="108"/>
      <c r="AQ56" s="108"/>
      <c r="AR56" s="108"/>
      <c r="AS56" s="108"/>
      <c r="AT56" s="108">
        <v>0</v>
      </c>
      <c r="AU56" s="108" t="s">
        <v>304</v>
      </c>
      <c r="AV56" s="115"/>
      <c r="AW56" s="108" t="s">
        <v>74</v>
      </c>
      <c r="AX56" s="108" t="s">
        <v>13</v>
      </c>
      <c r="AY56" s="108" t="s">
        <v>2860</v>
      </c>
      <c r="AZ56" s="108" t="s">
        <v>2472</v>
      </c>
      <c r="BA56" s="108">
        <v>2022</v>
      </c>
      <c r="BB56" s="108" t="s">
        <v>13</v>
      </c>
      <c r="BC56" s="108" t="s">
        <v>2860</v>
      </c>
      <c r="BD56" s="108" t="s">
        <v>2472</v>
      </c>
      <c r="BE56" s="108">
        <v>2022</v>
      </c>
      <c r="BF56" s="116"/>
      <c r="BG56" s="116"/>
      <c r="BH56" s="108"/>
      <c r="BI56" s="108"/>
      <c r="BJ56" s="108">
        <v>43</v>
      </c>
      <c r="BK56" s="111"/>
      <c r="BL56" s="111"/>
      <c r="BM56" s="111">
        <v>44848</v>
      </c>
      <c r="BN56" s="111"/>
      <c r="BO56" s="108"/>
      <c r="BP56" s="108"/>
      <c r="BQ56" s="108"/>
      <c r="BR56" s="108"/>
      <c r="BS56" s="108"/>
      <c r="BT56" s="108"/>
      <c r="BU56" s="108"/>
      <c r="BV56" s="108"/>
      <c r="BW56" s="108"/>
      <c r="BX56" s="108"/>
      <c r="BY56" s="108"/>
      <c r="BZ56" s="108" t="str">
        <f>VLOOKUP(C56,[1]Sertifikasi!$B$4:$I$19,8,0)</f>
        <v>Pembinaan Dan Sertifikasi Calon Ahli K3 Umum</v>
      </c>
    </row>
    <row r="57" spans="1:78" ht="11.25" customHeight="1">
      <c r="A57" s="108"/>
      <c r="B57" s="108">
        <v>164</v>
      </c>
      <c r="C57" s="108" t="s">
        <v>1854</v>
      </c>
      <c r="D57" s="109">
        <v>641907261</v>
      </c>
      <c r="E57" s="131">
        <v>1710005658243</v>
      </c>
      <c r="F57" s="131"/>
      <c r="G57" s="108" t="s">
        <v>259</v>
      </c>
      <c r="H57" s="108" t="s">
        <v>259</v>
      </c>
      <c r="I57" s="111">
        <v>43647</v>
      </c>
      <c r="J57" s="108">
        <v>4</v>
      </c>
      <c r="K57" s="108">
        <v>3</v>
      </c>
      <c r="L57" s="108" t="str">
        <f t="shared" si="1"/>
        <v>PKWT</v>
      </c>
      <c r="M57" s="108"/>
      <c r="N57" s="112">
        <v>45291</v>
      </c>
      <c r="O57" s="108"/>
      <c r="P57" s="108" t="s">
        <v>213</v>
      </c>
      <c r="Q57" s="210" t="s">
        <v>4102</v>
      </c>
      <c r="R57" s="108" t="s">
        <v>259</v>
      </c>
      <c r="S57" s="108" t="s">
        <v>262</v>
      </c>
      <c r="T57" s="108" t="s">
        <v>89</v>
      </c>
      <c r="U57" s="108" t="s">
        <v>199</v>
      </c>
      <c r="V57" s="108" t="s">
        <v>180</v>
      </c>
      <c r="W57" s="108" t="s">
        <v>277</v>
      </c>
      <c r="X57" s="108" t="s">
        <v>215</v>
      </c>
      <c r="Y57" s="108" t="s">
        <v>216</v>
      </c>
      <c r="Z57" s="108" t="s">
        <v>409</v>
      </c>
      <c r="AA57" s="111">
        <v>32341</v>
      </c>
      <c r="AB57" s="113">
        <v>35</v>
      </c>
      <c r="AC57" s="108" t="s">
        <v>1855</v>
      </c>
      <c r="AD57" s="129" t="s">
        <v>1856</v>
      </c>
      <c r="AE57" s="108" t="s">
        <v>1857</v>
      </c>
      <c r="AF57" s="108"/>
      <c r="AG57" s="108" t="s">
        <v>1858</v>
      </c>
      <c r="AH57" s="114" t="s">
        <v>1859</v>
      </c>
      <c r="AI57" s="115">
        <v>19047644117</v>
      </c>
      <c r="AJ57" s="108" t="s">
        <v>189</v>
      </c>
      <c r="AK57" s="108" t="s">
        <v>1860</v>
      </c>
      <c r="AL57" s="108" t="s">
        <v>1861</v>
      </c>
      <c r="AM57" s="108"/>
      <c r="AN57" s="108"/>
      <c r="AO57" s="108"/>
      <c r="AP57" s="108"/>
      <c r="AQ57" s="108"/>
      <c r="AR57" s="108"/>
      <c r="AS57" s="108"/>
      <c r="AT57" s="108">
        <v>1</v>
      </c>
      <c r="AU57" s="108" t="s">
        <v>225</v>
      </c>
      <c r="AV57" s="115">
        <v>0</v>
      </c>
      <c r="AW57" s="108" t="s">
        <v>74</v>
      </c>
      <c r="AX57" s="108" t="s">
        <v>16</v>
      </c>
      <c r="AY57" s="108" t="s">
        <v>226</v>
      </c>
      <c r="AZ57" s="108" t="s">
        <v>1862</v>
      </c>
      <c r="BA57" s="108">
        <v>2007</v>
      </c>
      <c r="BB57" s="108" t="s">
        <v>16</v>
      </c>
      <c r="BC57" s="108" t="s">
        <v>226</v>
      </c>
      <c r="BD57" s="108" t="s">
        <v>1862</v>
      </c>
      <c r="BE57" s="108">
        <v>2007</v>
      </c>
      <c r="BF57" s="116"/>
      <c r="BG57" s="116"/>
      <c r="BH57" s="108" t="s">
        <v>228</v>
      </c>
      <c r="BI57" s="108">
        <v>34</v>
      </c>
      <c r="BJ57" s="195">
        <v>41</v>
      </c>
      <c r="BK57" s="111"/>
      <c r="BL57" s="111"/>
      <c r="BM57" s="111">
        <v>44651</v>
      </c>
      <c r="BN57" s="111"/>
      <c r="BO57" s="108"/>
      <c r="BP57" s="108"/>
      <c r="BQ57" s="108"/>
      <c r="BR57" s="108"/>
      <c r="BS57" s="108"/>
      <c r="BT57" s="108"/>
      <c r="BU57" s="108"/>
      <c r="BV57" s="108"/>
      <c r="BW57" s="108"/>
      <c r="BX57" s="108"/>
      <c r="BY57" s="108"/>
      <c r="BZ57" s="108" t="e">
        <f>VLOOKUP(C57,[1]Sertifikasi!$B$4:$I$19,8,0)</f>
        <v>#N/A</v>
      </c>
    </row>
    <row r="58" spans="1:78" ht="11.25" customHeight="1">
      <c r="A58" s="108"/>
      <c r="B58" s="108">
        <v>269</v>
      </c>
      <c r="C58" s="108" t="s">
        <v>1914</v>
      </c>
      <c r="D58" s="109">
        <v>641907237</v>
      </c>
      <c r="E58" s="131">
        <v>1710005657708</v>
      </c>
      <c r="F58" s="131"/>
      <c r="G58" s="108" t="s">
        <v>575</v>
      </c>
      <c r="H58" s="108" t="s">
        <v>575</v>
      </c>
      <c r="I58" s="111">
        <v>43647</v>
      </c>
      <c r="J58" s="108">
        <v>4</v>
      </c>
      <c r="K58" s="108">
        <v>3</v>
      </c>
      <c r="L58" s="108" t="str">
        <f t="shared" si="1"/>
        <v>PKWT</v>
      </c>
      <c r="M58" s="108"/>
      <c r="N58" s="112">
        <v>45473</v>
      </c>
      <c r="O58" s="108"/>
      <c r="P58" s="108" t="s">
        <v>213</v>
      </c>
      <c r="Q58" s="210" t="s">
        <v>4102</v>
      </c>
      <c r="R58" s="108" t="s">
        <v>575</v>
      </c>
      <c r="S58" s="108" t="s">
        <v>262</v>
      </c>
      <c r="T58" s="108" t="s">
        <v>92</v>
      </c>
      <c r="U58" s="108" t="s">
        <v>276</v>
      </c>
      <c r="V58" s="108" t="s">
        <v>180</v>
      </c>
      <c r="W58" s="108"/>
      <c r="X58" s="108" t="s">
        <v>215</v>
      </c>
      <c r="Y58" s="108" t="s">
        <v>216</v>
      </c>
      <c r="Z58" s="108" t="s">
        <v>1915</v>
      </c>
      <c r="AA58" s="111">
        <v>33801</v>
      </c>
      <c r="AB58" s="113">
        <v>31</v>
      </c>
      <c r="AC58" s="108" t="s">
        <v>1916</v>
      </c>
      <c r="AD58" s="129" t="s">
        <v>1917</v>
      </c>
      <c r="AE58" s="108" t="s">
        <v>1918</v>
      </c>
      <c r="AF58" s="108"/>
      <c r="AG58" s="108" t="s">
        <v>1919</v>
      </c>
      <c r="AH58" s="114" t="s">
        <v>1920</v>
      </c>
      <c r="AI58" s="115">
        <v>19047643994</v>
      </c>
      <c r="AJ58" s="108" t="s">
        <v>189</v>
      </c>
      <c r="AK58" s="108" t="s">
        <v>1921</v>
      </c>
      <c r="AL58" s="108" t="s">
        <v>1922</v>
      </c>
      <c r="AM58" s="108"/>
      <c r="AN58" s="108"/>
      <c r="AO58" s="108"/>
      <c r="AP58" s="108"/>
      <c r="AQ58" s="108"/>
      <c r="AR58" s="108"/>
      <c r="AS58" s="108"/>
      <c r="AT58" s="108">
        <v>1</v>
      </c>
      <c r="AU58" s="108" t="s">
        <v>225</v>
      </c>
      <c r="AV58" s="115">
        <v>0</v>
      </c>
      <c r="AW58" s="108" t="s">
        <v>74</v>
      </c>
      <c r="AX58" s="108" t="s">
        <v>16</v>
      </c>
      <c r="AY58" s="108" t="s">
        <v>226</v>
      </c>
      <c r="AZ58" s="108" t="s">
        <v>1923</v>
      </c>
      <c r="BA58" s="108">
        <v>2012</v>
      </c>
      <c r="BB58" s="108" t="s">
        <v>287</v>
      </c>
      <c r="BC58" s="108" t="s">
        <v>226</v>
      </c>
      <c r="BD58" s="108" t="s">
        <v>1923</v>
      </c>
      <c r="BE58" s="108">
        <v>2012</v>
      </c>
      <c r="BF58" s="116"/>
      <c r="BG58" s="116"/>
      <c r="BH58" s="108" t="s">
        <v>241</v>
      </c>
      <c r="BI58" s="108">
        <v>30</v>
      </c>
      <c r="BJ58" s="108">
        <v>41</v>
      </c>
      <c r="BK58" s="111"/>
      <c r="BL58" s="111"/>
      <c r="BM58" s="111"/>
      <c r="BN58" s="111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/>
      <c r="BZ58" s="108" t="e">
        <f>VLOOKUP(C58,[1]Sertifikasi!$B$4:$I$19,8,0)</f>
        <v>#N/A</v>
      </c>
    </row>
    <row r="59" spans="1:78" ht="11.25" customHeight="1">
      <c r="A59" s="108"/>
      <c r="B59" s="108">
        <v>270</v>
      </c>
      <c r="C59" s="108" t="s">
        <v>1657</v>
      </c>
      <c r="D59" s="109">
        <v>641810198</v>
      </c>
      <c r="E59" s="131">
        <v>1710004810951</v>
      </c>
      <c r="F59" s="131"/>
      <c r="G59" s="108" t="s">
        <v>575</v>
      </c>
      <c r="H59" s="108" t="s">
        <v>575</v>
      </c>
      <c r="I59" s="111">
        <v>43395</v>
      </c>
      <c r="J59" s="108">
        <v>4</v>
      </c>
      <c r="K59" s="108">
        <v>11</v>
      </c>
      <c r="L59" s="108" t="str">
        <f t="shared" si="1"/>
        <v>PKWT</v>
      </c>
      <c r="M59" s="108"/>
      <c r="N59" s="112">
        <v>45586</v>
      </c>
      <c r="O59" s="108"/>
      <c r="P59" s="108" t="s">
        <v>213</v>
      </c>
      <c r="Q59" s="210" t="s">
        <v>4102</v>
      </c>
      <c r="R59" s="108" t="s">
        <v>575</v>
      </c>
      <c r="S59" s="108" t="s">
        <v>262</v>
      </c>
      <c r="T59" s="108" t="s">
        <v>92</v>
      </c>
      <c r="U59" s="212" t="s">
        <v>276</v>
      </c>
      <c r="V59" s="108" t="s">
        <v>180</v>
      </c>
      <c r="W59" s="108"/>
      <c r="X59" s="108" t="s">
        <v>215</v>
      </c>
      <c r="Y59" s="108" t="s">
        <v>216</v>
      </c>
      <c r="Z59" s="108" t="s">
        <v>575</v>
      </c>
      <c r="AA59" s="111">
        <v>35982</v>
      </c>
      <c r="AB59" s="113">
        <v>25</v>
      </c>
      <c r="AC59" s="108" t="s">
        <v>1658</v>
      </c>
      <c r="AD59" s="129" t="s">
        <v>1659</v>
      </c>
      <c r="AE59" s="108" t="s">
        <v>1660</v>
      </c>
      <c r="AF59" s="108"/>
      <c r="AG59" s="108" t="s">
        <v>1661</v>
      </c>
      <c r="AH59" s="114" t="s">
        <v>1662</v>
      </c>
      <c r="AI59" s="115">
        <v>18099947634</v>
      </c>
      <c r="AJ59" s="108" t="s">
        <v>255</v>
      </c>
      <c r="AK59" s="108"/>
      <c r="AL59" s="108"/>
      <c r="AM59" s="108"/>
      <c r="AN59" s="108"/>
      <c r="AO59" s="108"/>
      <c r="AP59" s="108"/>
      <c r="AQ59" s="108"/>
      <c r="AR59" s="108"/>
      <c r="AS59" s="108"/>
      <c r="AT59" s="108">
        <v>0</v>
      </c>
      <c r="AU59" s="108" t="s">
        <v>304</v>
      </c>
      <c r="AV59" s="115">
        <v>0</v>
      </c>
      <c r="AW59" s="108" t="s">
        <v>74</v>
      </c>
      <c r="AX59" s="108" t="s">
        <v>16</v>
      </c>
      <c r="AY59" s="108" t="s">
        <v>285</v>
      </c>
      <c r="AZ59" s="108" t="s">
        <v>1663</v>
      </c>
      <c r="BA59" s="108">
        <v>2016</v>
      </c>
      <c r="BB59" s="108" t="s">
        <v>287</v>
      </c>
      <c r="BC59" s="108" t="s">
        <v>285</v>
      </c>
      <c r="BD59" s="108" t="s">
        <v>1663</v>
      </c>
      <c r="BE59" s="108">
        <v>2016</v>
      </c>
      <c r="BF59" s="116"/>
      <c r="BG59" s="116"/>
      <c r="BH59" s="108" t="s">
        <v>345</v>
      </c>
      <c r="BI59" s="108">
        <v>32</v>
      </c>
      <c r="BJ59" s="108">
        <v>42</v>
      </c>
      <c r="BK59" s="111"/>
      <c r="BL59" s="111"/>
      <c r="BM59" s="111"/>
      <c r="BN59" s="111"/>
      <c r="BO59" s="108"/>
      <c r="BP59" s="108"/>
      <c r="BQ59" s="108"/>
      <c r="BR59" s="108"/>
      <c r="BS59" s="108"/>
      <c r="BT59" s="108"/>
      <c r="BU59" s="108"/>
      <c r="BV59" s="108"/>
      <c r="BW59" s="108"/>
      <c r="BX59" s="108"/>
      <c r="BY59" s="108"/>
      <c r="BZ59" s="108" t="e">
        <f>VLOOKUP(C59,[1]Sertifikasi!$B$4:$I$19,8,0)</f>
        <v>#N/A</v>
      </c>
    </row>
    <row r="60" spans="1:78" ht="11.25" customHeight="1">
      <c r="A60" s="108"/>
      <c r="B60" s="108">
        <v>324</v>
      </c>
      <c r="C60" s="108" t="s">
        <v>2975</v>
      </c>
      <c r="D60" s="109">
        <v>999600007</v>
      </c>
      <c r="E60" s="131">
        <v>1440001094207</v>
      </c>
      <c r="F60" s="131">
        <v>7054282367</v>
      </c>
      <c r="G60" s="113" t="s">
        <v>33</v>
      </c>
      <c r="H60" s="108" t="s">
        <v>72</v>
      </c>
      <c r="I60" s="111">
        <v>45090</v>
      </c>
      <c r="J60" s="108">
        <f ca="1">DATEDIF(I60,$C$3,"y")</f>
        <v>0</v>
      </c>
      <c r="K60" s="108">
        <f ca="1">DATEDIF(I60,$C$3,"ym")</f>
        <v>5</v>
      </c>
      <c r="L60" s="108" t="s">
        <v>3</v>
      </c>
      <c r="M60" s="195" t="s">
        <v>2120</v>
      </c>
      <c r="N60" s="112">
        <v>35034</v>
      </c>
      <c r="O60" s="108"/>
      <c r="P60" s="108" t="s">
        <v>3</v>
      </c>
      <c r="Q60" s="210" t="s">
        <v>4100</v>
      </c>
      <c r="R60" s="108" t="s">
        <v>4099</v>
      </c>
      <c r="S60" s="108" t="s">
        <v>662</v>
      </c>
      <c r="T60" s="210" t="s">
        <v>4126</v>
      </c>
      <c r="U60" s="108" t="s">
        <v>662</v>
      </c>
      <c r="V60" s="108" t="s">
        <v>662</v>
      </c>
      <c r="W60" s="108"/>
      <c r="X60" s="108"/>
      <c r="Y60" s="108" t="s">
        <v>59</v>
      </c>
      <c r="Z60" s="108" t="s">
        <v>72</v>
      </c>
      <c r="AA60" s="111">
        <v>25808</v>
      </c>
      <c r="AB60" s="113">
        <f ca="1">DATEDIF(AA60,$C$3,"y")</f>
        <v>53</v>
      </c>
      <c r="AC60" s="108" t="s">
        <v>2976</v>
      </c>
      <c r="AD60" s="129" t="s">
        <v>2977</v>
      </c>
      <c r="AE60" s="108" t="s">
        <v>2978</v>
      </c>
      <c r="AF60" s="108"/>
      <c r="AG60" s="130" t="s">
        <v>2979</v>
      </c>
      <c r="AH60" s="114" t="s">
        <v>2980</v>
      </c>
      <c r="AI60" s="115" t="s">
        <v>2981</v>
      </c>
      <c r="AJ60" s="108" t="s">
        <v>189</v>
      </c>
      <c r="AK60" s="108" t="s">
        <v>2982</v>
      </c>
      <c r="AL60" s="108" t="s">
        <v>2983</v>
      </c>
      <c r="AM60" s="108" t="s">
        <v>2984</v>
      </c>
      <c r="AN60" s="108" t="s">
        <v>2985</v>
      </c>
      <c r="AO60" s="108"/>
      <c r="AP60" s="108"/>
      <c r="AQ60" s="108"/>
      <c r="AR60" s="108"/>
      <c r="AS60" s="108"/>
      <c r="AT60" s="108">
        <f>COUNTA(AL60:AO60)</f>
        <v>3</v>
      </c>
      <c r="AU60" s="108" t="str">
        <f>IF(AJ60="Menikah","K","TK")&amp;"/"&amp;AT60</f>
        <v>K/3</v>
      </c>
      <c r="AV60" s="115"/>
      <c r="AW60" s="108" t="s">
        <v>74</v>
      </c>
      <c r="AX60" s="108" t="s">
        <v>12</v>
      </c>
      <c r="AY60" s="108" t="s">
        <v>210</v>
      </c>
      <c r="AZ60" s="108" t="s">
        <v>2147</v>
      </c>
      <c r="BA60" s="108"/>
      <c r="BB60" s="108" t="s">
        <v>12</v>
      </c>
      <c r="BC60" s="108" t="s">
        <v>210</v>
      </c>
      <c r="BD60" s="108" t="s">
        <v>2147</v>
      </c>
      <c r="BE60" s="108"/>
      <c r="BF60" s="206">
        <v>46266</v>
      </c>
      <c r="BG60" s="116"/>
      <c r="BH60" s="108"/>
      <c r="BI60" s="108"/>
      <c r="BJ60" s="195"/>
      <c r="BK60" s="111"/>
      <c r="BL60" s="111"/>
      <c r="BM60" s="111"/>
      <c r="BN60" s="111"/>
      <c r="BO60" s="108"/>
      <c r="BP60" s="108"/>
      <c r="BQ60" s="108"/>
      <c r="BR60" s="108"/>
      <c r="BS60" s="108"/>
      <c r="BT60" s="108"/>
      <c r="BU60" s="108"/>
      <c r="BV60" s="108"/>
      <c r="BW60" s="108"/>
      <c r="BX60" s="108"/>
      <c r="BY60" s="108"/>
      <c r="BZ60" s="108" t="e">
        <f>VLOOKUP(C60,[1]Sertifikasi!$B$4:$I$19,8,0)</f>
        <v>#N/A</v>
      </c>
    </row>
    <row r="61" spans="1:78" ht="11.25" customHeight="1">
      <c r="A61" s="108"/>
      <c r="B61" s="108">
        <v>128</v>
      </c>
      <c r="C61" s="108" t="s">
        <v>750</v>
      </c>
      <c r="D61" s="109">
        <v>642001058</v>
      </c>
      <c r="E61" s="131">
        <v>1710003987461</v>
      </c>
      <c r="F61" s="131"/>
      <c r="G61" s="108" t="s">
        <v>71</v>
      </c>
      <c r="H61" s="108" t="s">
        <v>71</v>
      </c>
      <c r="I61" s="111">
        <v>42522</v>
      </c>
      <c r="J61" s="108">
        <v>7</v>
      </c>
      <c r="K61" s="108">
        <v>4</v>
      </c>
      <c r="L61" s="108" t="str">
        <f t="shared" ref="L61:L92" si="2">IF(LEFT(D61,2)="99","Organik",IF(LEFT(D61,2)="97","Tetap",IF(LEFT(D61,2)="75","Capeg",IF(LEFT(D61,2)="64","PKWT","Resign"))))</f>
        <v>PKWT</v>
      </c>
      <c r="M61" s="195"/>
      <c r="N61" s="112">
        <v>45291</v>
      </c>
      <c r="O61" s="108"/>
      <c r="P61" s="108" t="s">
        <v>213</v>
      </c>
      <c r="Q61" s="210" t="s">
        <v>4102</v>
      </c>
      <c r="R61" s="108" t="s">
        <v>409</v>
      </c>
      <c r="S61" s="108" t="s">
        <v>33</v>
      </c>
      <c r="T61" s="108" t="s">
        <v>88</v>
      </c>
      <c r="U61" s="108" t="s">
        <v>199</v>
      </c>
      <c r="V61" s="108" t="s">
        <v>180</v>
      </c>
      <c r="W61" s="108"/>
      <c r="X61" s="108" t="s">
        <v>215</v>
      </c>
      <c r="Y61" s="108" t="s">
        <v>216</v>
      </c>
      <c r="Z61" s="108" t="s">
        <v>182</v>
      </c>
      <c r="AA61" s="111">
        <v>32676</v>
      </c>
      <c r="AB61" s="113">
        <v>34</v>
      </c>
      <c r="AC61" s="108" t="s">
        <v>751</v>
      </c>
      <c r="AD61" s="129" t="s">
        <v>752</v>
      </c>
      <c r="AE61" s="108" t="s">
        <v>753</v>
      </c>
      <c r="AF61" s="108"/>
      <c r="AG61" s="108" t="s">
        <v>754</v>
      </c>
      <c r="AH61" s="114" t="s">
        <v>755</v>
      </c>
      <c r="AI61" s="115">
        <v>16030084426</v>
      </c>
      <c r="AJ61" s="108" t="s">
        <v>189</v>
      </c>
      <c r="AK61" s="108" t="s">
        <v>756</v>
      </c>
      <c r="AL61" s="108" t="s">
        <v>757</v>
      </c>
      <c r="AM61" s="108" t="s">
        <v>758</v>
      </c>
      <c r="AN61" s="108"/>
      <c r="AO61" s="108"/>
      <c r="AP61" s="108"/>
      <c r="AQ61" s="108"/>
      <c r="AR61" s="108"/>
      <c r="AS61" s="108"/>
      <c r="AT61" s="108">
        <v>2</v>
      </c>
      <c r="AU61" s="108" t="s">
        <v>330</v>
      </c>
      <c r="AV61" s="115">
        <v>0</v>
      </c>
      <c r="AW61" s="108" t="s">
        <v>74</v>
      </c>
      <c r="AX61" s="108" t="s">
        <v>16</v>
      </c>
      <c r="AY61" s="108" t="s">
        <v>331</v>
      </c>
      <c r="AZ61" s="108" t="s">
        <v>759</v>
      </c>
      <c r="BA61" s="108">
        <v>2007</v>
      </c>
      <c r="BB61" s="108" t="s">
        <v>287</v>
      </c>
      <c r="BC61" s="108" t="s">
        <v>331</v>
      </c>
      <c r="BD61" s="108" t="s">
        <v>759</v>
      </c>
      <c r="BE61" s="108">
        <v>2007</v>
      </c>
      <c r="BF61" s="206"/>
      <c r="BG61" s="116"/>
      <c r="BH61" s="108" t="s">
        <v>345</v>
      </c>
      <c r="BI61" s="108">
        <v>34</v>
      </c>
      <c r="BJ61" s="195">
        <v>42</v>
      </c>
      <c r="BK61" s="111"/>
      <c r="BL61" s="111"/>
      <c r="BM61" s="111"/>
      <c r="BN61" s="111"/>
      <c r="BO61" s="108">
        <v>43467</v>
      </c>
      <c r="BP61" s="108">
        <v>43830</v>
      </c>
      <c r="BQ61" s="108" t="s">
        <v>760</v>
      </c>
      <c r="BR61" s="108" t="e">
        <v>#REF!</v>
      </c>
      <c r="BS61" s="108"/>
      <c r="BT61" s="108"/>
      <c r="BU61" s="108"/>
      <c r="BV61" s="108"/>
      <c r="BW61" s="108"/>
      <c r="BX61" s="108"/>
      <c r="BY61" s="108"/>
      <c r="BZ61" s="108" t="e">
        <f>VLOOKUP(C61,[1]Sertifikasi!$B$4:$I$19,8,0)</f>
        <v>#N/A</v>
      </c>
    </row>
    <row r="62" spans="1:78" ht="11.25" customHeight="1">
      <c r="A62" s="108"/>
      <c r="B62" s="108">
        <v>117</v>
      </c>
      <c r="C62" s="108" t="s">
        <v>871</v>
      </c>
      <c r="D62" s="109">
        <v>642001048</v>
      </c>
      <c r="E62" s="131">
        <v>1710004028919</v>
      </c>
      <c r="F62" s="131"/>
      <c r="G62" s="108" t="s">
        <v>71</v>
      </c>
      <c r="H62" s="108" t="s">
        <v>71</v>
      </c>
      <c r="I62" s="111">
        <v>42767</v>
      </c>
      <c r="J62" s="108">
        <v>6</v>
      </c>
      <c r="K62" s="108">
        <v>8</v>
      </c>
      <c r="L62" s="108" t="str">
        <f t="shared" si="2"/>
        <v>PKWT</v>
      </c>
      <c r="M62" s="108"/>
      <c r="N62" s="112">
        <v>45291</v>
      </c>
      <c r="O62" s="108"/>
      <c r="P62" s="108" t="s">
        <v>213</v>
      </c>
      <c r="Q62" s="210" t="s">
        <v>4102</v>
      </c>
      <c r="R62" s="108" t="s">
        <v>274</v>
      </c>
      <c r="S62" s="108" t="s">
        <v>275</v>
      </c>
      <c r="T62" s="108" t="s">
        <v>496</v>
      </c>
      <c r="U62" s="108" t="s">
        <v>276</v>
      </c>
      <c r="V62" s="108" t="s">
        <v>180</v>
      </c>
      <c r="W62" s="108" t="s">
        <v>277</v>
      </c>
      <c r="X62" s="108" t="s">
        <v>215</v>
      </c>
      <c r="Y62" s="108" t="s">
        <v>216</v>
      </c>
      <c r="Z62" s="108" t="s">
        <v>71</v>
      </c>
      <c r="AA62" s="111">
        <v>32695</v>
      </c>
      <c r="AB62" s="113">
        <v>34</v>
      </c>
      <c r="AC62" s="108" t="s">
        <v>872</v>
      </c>
      <c r="AD62" s="129" t="s">
        <v>873</v>
      </c>
      <c r="AE62" s="108" t="s">
        <v>874</v>
      </c>
      <c r="AF62" s="108"/>
      <c r="AG62" s="108" t="s">
        <v>875</v>
      </c>
      <c r="AH62" s="114" t="s">
        <v>876</v>
      </c>
      <c r="AI62" s="115">
        <v>17028637761</v>
      </c>
      <c r="AJ62" s="108" t="s">
        <v>255</v>
      </c>
      <c r="AK62" s="108"/>
      <c r="AL62" s="108"/>
      <c r="AM62" s="108"/>
      <c r="AN62" s="108"/>
      <c r="AO62" s="108"/>
      <c r="AP62" s="108"/>
      <c r="AQ62" s="108"/>
      <c r="AR62" s="108"/>
      <c r="AS62" s="108"/>
      <c r="AT62" s="108">
        <v>0</v>
      </c>
      <c r="AU62" s="108" t="s">
        <v>304</v>
      </c>
      <c r="AV62" s="115">
        <v>0</v>
      </c>
      <c r="AW62" s="108" t="s">
        <v>74</v>
      </c>
      <c r="AX62" s="108" t="s">
        <v>16</v>
      </c>
      <c r="AY62" s="108" t="s">
        <v>331</v>
      </c>
      <c r="AZ62" s="108" t="s">
        <v>319</v>
      </c>
      <c r="BA62" s="108">
        <v>2007</v>
      </c>
      <c r="BB62" s="108" t="s">
        <v>287</v>
      </c>
      <c r="BC62" s="108" t="s">
        <v>331</v>
      </c>
      <c r="BD62" s="108" t="s">
        <v>319</v>
      </c>
      <c r="BE62" s="108">
        <v>2007</v>
      </c>
      <c r="BF62" s="116"/>
      <c r="BG62" s="116"/>
      <c r="BH62" s="108" t="s">
        <v>345</v>
      </c>
      <c r="BI62" s="108">
        <v>36</v>
      </c>
      <c r="BJ62" s="195">
        <v>45</v>
      </c>
      <c r="BK62" s="111">
        <v>44293</v>
      </c>
      <c r="BL62" s="111"/>
      <c r="BM62" s="209">
        <v>44923</v>
      </c>
      <c r="BN62" s="111"/>
      <c r="BO62" s="108">
        <v>43467</v>
      </c>
      <c r="BP62" s="108">
        <v>43830</v>
      </c>
      <c r="BQ62" s="108" t="s">
        <v>877</v>
      </c>
      <c r="BR62" s="108" t="s">
        <v>878</v>
      </c>
      <c r="BS62" s="108"/>
      <c r="BT62" s="108"/>
      <c r="BU62" s="108"/>
      <c r="BV62" s="108"/>
      <c r="BW62" s="108"/>
      <c r="BX62" s="108"/>
      <c r="BY62" s="108"/>
      <c r="BZ62" s="108" t="e">
        <f>VLOOKUP(C62,[1]Sertifikasi!$B$4:$I$19,8,0)</f>
        <v>#N/A</v>
      </c>
    </row>
    <row r="63" spans="1:78" ht="11.25" customHeight="1">
      <c r="A63" s="108"/>
      <c r="B63" s="108">
        <v>212</v>
      </c>
      <c r="C63" s="108" t="s">
        <v>2689</v>
      </c>
      <c r="D63" s="109">
        <v>642201156</v>
      </c>
      <c r="E63" s="131"/>
      <c r="F63" s="131">
        <v>7190173911</v>
      </c>
      <c r="G63" s="108" t="s">
        <v>259</v>
      </c>
      <c r="H63" s="108" t="s">
        <v>259</v>
      </c>
      <c r="I63" s="111">
        <v>44594</v>
      </c>
      <c r="J63" s="108">
        <v>1</v>
      </c>
      <c r="K63" s="108">
        <v>8</v>
      </c>
      <c r="L63" s="108" t="str">
        <f t="shared" si="2"/>
        <v>PKWT</v>
      </c>
      <c r="M63" s="108"/>
      <c r="N63" s="112">
        <v>45535</v>
      </c>
      <c r="O63" s="108"/>
      <c r="P63" s="108" t="s">
        <v>213</v>
      </c>
      <c r="Q63" s="210" t="s">
        <v>4102</v>
      </c>
      <c r="R63" s="108" t="s">
        <v>259</v>
      </c>
      <c r="S63" s="108" t="s">
        <v>33</v>
      </c>
      <c r="T63" s="108" t="s">
        <v>432</v>
      </c>
      <c r="U63" s="108" t="s">
        <v>199</v>
      </c>
      <c r="V63" s="108" t="s">
        <v>180</v>
      </c>
      <c r="W63" s="108" t="s">
        <v>263</v>
      </c>
      <c r="X63" s="108"/>
      <c r="Y63" s="108" t="s">
        <v>216</v>
      </c>
      <c r="Z63" s="108" t="s">
        <v>2690</v>
      </c>
      <c r="AA63" s="111">
        <v>32924</v>
      </c>
      <c r="AB63" s="113">
        <v>33</v>
      </c>
      <c r="AC63" s="108" t="s">
        <v>2691</v>
      </c>
      <c r="AD63" s="129" t="s">
        <v>2692</v>
      </c>
      <c r="AE63" s="108" t="s">
        <v>2693</v>
      </c>
      <c r="AF63" s="108"/>
      <c r="AG63" s="108" t="s">
        <v>2694</v>
      </c>
      <c r="AH63" s="114" t="s">
        <v>2695</v>
      </c>
      <c r="AI63" s="115">
        <v>22017333513</v>
      </c>
      <c r="AJ63" s="108" t="s">
        <v>255</v>
      </c>
      <c r="AK63" s="108"/>
      <c r="AL63" s="108"/>
      <c r="AM63" s="108"/>
      <c r="AN63" s="108"/>
      <c r="AO63" s="108"/>
      <c r="AP63" s="108"/>
      <c r="AQ63" s="108"/>
      <c r="AR63" s="108"/>
      <c r="AS63" s="108"/>
      <c r="AT63" s="108">
        <v>0</v>
      </c>
      <c r="AU63" s="108" t="s">
        <v>304</v>
      </c>
      <c r="AV63" s="115"/>
      <c r="AW63" s="108" t="s">
        <v>74</v>
      </c>
      <c r="AX63" s="108" t="s">
        <v>12</v>
      </c>
      <c r="AY63" s="108" t="s">
        <v>1017</v>
      </c>
      <c r="AZ63" s="108" t="s">
        <v>1018</v>
      </c>
      <c r="BA63" s="108">
        <v>2016</v>
      </c>
      <c r="BB63" s="108" t="s">
        <v>12</v>
      </c>
      <c r="BC63" s="108" t="s">
        <v>1017</v>
      </c>
      <c r="BD63" s="108" t="s">
        <v>1018</v>
      </c>
      <c r="BE63" s="108">
        <v>2016</v>
      </c>
      <c r="BF63" s="116"/>
      <c r="BG63" s="116"/>
      <c r="BH63" s="108"/>
      <c r="BI63" s="108"/>
      <c r="BJ63" s="195">
        <v>40</v>
      </c>
      <c r="BK63" s="111"/>
      <c r="BL63" s="111"/>
      <c r="BM63" s="111"/>
      <c r="BN63" s="111"/>
      <c r="BO63" s="108"/>
      <c r="BP63" s="108"/>
      <c r="BQ63" s="108"/>
      <c r="BR63" s="108" t="s">
        <v>2696</v>
      </c>
      <c r="BS63" s="108"/>
      <c r="BT63" s="108"/>
      <c r="BU63" s="108"/>
      <c r="BV63" s="108"/>
      <c r="BW63" s="108"/>
      <c r="BX63" s="108"/>
      <c r="BY63" s="108"/>
      <c r="BZ63" s="108" t="str">
        <f>VLOOKUP(C63,[1]Sertifikasi!$B$4:$I$19,8,0)</f>
        <v>Pembinaan Dan Sertifikasi Calon Ahli K3 Umum</v>
      </c>
    </row>
    <row r="64" spans="1:78" ht="11.25" customHeight="1">
      <c r="A64" s="108"/>
      <c r="B64" s="108">
        <v>118</v>
      </c>
      <c r="C64" s="108" t="s">
        <v>1780</v>
      </c>
      <c r="D64" s="109">
        <v>641907251</v>
      </c>
      <c r="E64" s="131">
        <v>1710005658391</v>
      </c>
      <c r="F64" s="131"/>
      <c r="G64" s="108" t="s">
        <v>274</v>
      </c>
      <c r="H64" s="108" t="s">
        <v>274</v>
      </c>
      <c r="I64" s="111">
        <v>43647</v>
      </c>
      <c r="J64" s="108">
        <v>4</v>
      </c>
      <c r="K64" s="108">
        <v>3</v>
      </c>
      <c r="L64" s="108" t="str">
        <f t="shared" si="2"/>
        <v>PKWT</v>
      </c>
      <c r="M64" s="108"/>
      <c r="N64" s="112">
        <v>45291</v>
      </c>
      <c r="O64" s="108"/>
      <c r="P64" s="108" t="s">
        <v>213</v>
      </c>
      <c r="Q64" s="210" t="s">
        <v>4102</v>
      </c>
      <c r="R64" s="108" t="s">
        <v>274</v>
      </c>
      <c r="S64" s="108" t="s">
        <v>275</v>
      </c>
      <c r="T64" s="108" t="s">
        <v>496</v>
      </c>
      <c r="U64" s="108" t="s">
        <v>276</v>
      </c>
      <c r="V64" s="108" t="s">
        <v>180</v>
      </c>
      <c r="W64" s="108"/>
      <c r="X64" s="108" t="s">
        <v>215</v>
      </c>
      <c r="Y64" s="108" t="s">
        <v>216</v>
      </c>
      <c r="Z64" s="108" t="s">
        <v>1781</v>
      </c>
      <c r="AA64" s="111">
        <v>36844</v>
      </c>
      <c r="AB64" s="113">
        <v>22</v>
      </c>
      <c r="AC64" s="108" t="s">
        <v>1782</v>
      </c>
      <c r="AD64" s="129" t="s">
        <v>1783</v>
      </c>
      <c r="AE64" s="108" t="s">
        <v>1784</v>
      </c>
      <c r="AF64" s="108" t="s">
        <v>1785</v>
      </c>
      <c r="AG64" s="108" t="s">
        <v>1786</v>
      </c>
      <c r="AH64" s="114" t="s">
        <v>1787</v>
      </c>
      <c r="AI64" s="115">
        <v>19047644075</v>
      </c>
      <c r="AJ64" s="108" t="s">
        <v>255</v>
      </c>
      <c r="AK64" s="108"/>
      <c r="AL64" s="108"/>
      <c r="AM64" s="108"/>
      <c r="AN64" s="108"/>
      <c r="AO64" s="108"/>
      <c r="AP64" s="108"/>
      <c r="AQ64" s="108"/>
      <c r="AR64" s="108"/>
      <c r="AS64" s="108"/>
      <c r="AT64" s="108">
        <v>0</v>
      </c>
      <c r="AU64" s="108" t="s">
        <v>304</v>
      </c>
      <c r="AV64" s="115">
        <v>0</v>
      </c>
      <c r="AW64" s="108" t="s">
        <v>74</v>
      </c>
      <c r="AX64" s="108" t="s">
        <v>16</v>
      </c>
      <c r="AY64" s="108" t="s">
        <v>331</v>
      </c>
      <c r="AZ64" s="108" t="s">
        <v>1779</v>
      </c>
      <c r="BA64" s="108">
        <v>2018</v>
      </c>
      <c r="BB64" s="108" t="s">
        <v>287</v>
      </c>
      <c r="BC64" s="108" t="s">
        <v>331</v>
      </c>
      <c r="BD64" s="108" t="s">
        <v>1779</v>
      </c>
      <c r="BE64" s="108">
        <v>2018</v>
      </c>
      <c r="BF64" s="116"/>
      <c r="BG64" s="116"/>
      <c r="BH64" s="108" t="s">
        <v>241</v>
      </c>
      <c r="BI64" s="108">
        <v>27</v>
      </c>
      <c r="BJ64" s="108">
        <v>39</v>
      </c>
      <c r="BK64" s="111"/>
      <c r="BL64" s="111"/>
      <c r="BM64" s="111"/>
      <c r="BN64" s="111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 t="e">
        <f>VLOOKUP(C64,[1]Sertifikasi!$B$4:$I$19,8,0)</f>
        <v>#N/A</v>
      </c>
    </row>
    <row r="65" spans="1:78" ht="11.25" customHeight="1">
      <c r="A65" s="108"/>
      <c r="B65" s="108">
        <v>271</v>
      </c>
      <c r="C65" s="108" t="s">
        <v>1373</v>
      </c>
      <c r="D65" s="109">
        <v>641807166</v>
      </c>
      <c r="E65" s="131">
        <v>1710004376862</v>
      </c>
      <c r="F65" s="131"/>
      <c r="G65" s="108" t="s">
        <v>71</v>
      </c>
      <c r="H65" s="108" t="s">
        <v>71</v>
      </c>
      <c r="I65" s="111">
        <v>43282</v>
      </c>
      <c r="J65" s="108">
        <v>5</v>
      </c>
      <c r="K65" s="108">
        <v>3</v>
      </c>
      <c r="L65" s="108" t="str">
        <f t="shared" si="2"/>
        <v>PKWT</v>
      </c>
      <c r="M65" s="108"/>
      <c r="N65" s="112">
        <v>45474</v>
      </c>
      <c r="O65" s="108"/>
      <c r="P65" s="108" t="s">
        <v>213</v>
      </c>
      <c r="Q65" s="210" t="s">
        <v>4102</v>
      </c>
      <c r="R65" s="108" t="s">
        <v>575</v>
      </c>
      <c r="S65" s="108" t="s">
        <v>262</v>
      </c>
      <c r="T65" s="108" t="s">
        <v>92</v>
      </c>
      <c r="U65" s="108" t="s">
        <v>276</v>
      </c>
      <c r="V65" s="108" t="s">
        <v>180</v>
      </c>
      <c r="W65" s="108"/>
      <c r="X65" s="108" t="s">
        <v>215</v>
      </c>
      <c r="Y65" s="108" t="s">
        <v>216</v>
      </c>
      <c r="Z65" s="108" t="s">
        <v>1374</v>
      </c>
      <c r="AA65" s="111">
        <v>35796</v>
      </c>
      <c r="AB65" s="113">
        <v>25</v>
      </c>
      <c r="AC65" s="108" t="s">
        <v>1375</v>
      </c>
      <c r="AD65" s="129" t="s">
        <v>1376</v>
      </c>
      <c r="AE65" s="108" t="s">
        <v>1377</v>
      </c>
      <c r="AF65" s="108"/>
      <c r="AG65" s="108" t="s">
        <v>1378</v>
      </c>
      <c r="AH65" s="114" t="s">
        <v>1379</v>
      </c>
      <c r="AI65" s="115">
        <v>18056171962</v>
      </c>
      <c r="AJ65" s="108" t="s">
        <v>255</v>
      </c>
      <c r="AK65" s="108"/>
      <c r="AL65" s="108"/>
      <c r="AM65" s="108"/>
      <c r="AN65" s="108"/>
      <c r="AO65" s="108" t="s">
        <v>1380</v>
      </c>
      <c r="AP65" s="108" t="s">
        <v>1381</v>
      </c>
      <c r="AQ65" s="108" t="s">
        <v>1382</v>
      </c>
      <c r="AR65" s="108"/>
      <c r="AS65" s="108"/>
      <c r="AT65" s="108">
        <v>1</v>
      </c>
      <c r="AU65" s="108" t="s">
        <v>646</v>
      </c>
      <c r="AV65" s="115">
        <v>0</v>
      </c>
      <c r="AW65" s="108" t="s">
        <v>74</v>
      </c>
      <c r="AX65" s="108" t="s">
        <v>16</v>
      </c>
      <c r="AY65" s="108" t="s">
        <v>331</v>
      </c>
      <c r="AZ65" s="108" t="s">
        <v>1383</v>
      </c>
      <c r="BA65" s="108">
        <v>2016</v>
      </c>
      <c r="BB65" s="108" t="s">
        <v>287</v>
      </c>
      <c r="BC65" s="108" t="s">
        <v>331</v>
      </c>
      <c r="BD65" s="108" t="s">
        <v>1383</v>
      </c>
      <c r="BE65" s="108">
        <v>2016</v>
      </c>
      <c r="BF65" s="116"/>
      <c r="BG65" s="116"/>
      <c r="BH65" s="108" t="s">
        <v>345</v>
      </c>
      <c r="BI65" s="108">
        <v>32</v>
      </c>
      <c r="BJ65" s="108">
        <v>41</v>
      </c>
      <c r="BK65" s="111">
        <v>44377</v>
      </c>
      <c r="BL65" s="111">
        <v>44405</v>
      </c>
      <c r="BM65" s="111">
        <v>44663</v>
      </c>
      <c r="BN65" s="111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 t="e">
        <f>VLOOKUP(C65,[1]Sertifikasi!$B$4:$I$19,8,0)</f>
        <v>#N/A</v>
      </c>
    </row>
    <row r="66" spans="1:78" ht="11.25" customHeight="1">
      <c r="A66" s="108"/>
      <c r="B66" s="108">
        <v>272</v>
      </c>
      <c r="C66" s="108" t="s">
        <v>2401</v>
      </c>
      <c r="D66" s="109">
        <v>642109111</v>
      </c>
      <c r="E66" s="131">
        <v>1710001911331</v>
      </c>
      <c r="F66" s="131"/>
      <c r="G66" s="108" t="s">
        <v>71</v>
      </c>
      <c r="H66" s="108" t="s">
        <v>575</v>
      </c>
      <c r="I66" s="111">
        <v>44440</v>
      </c>
      <c r="J66" s="108">
        <v>2</v>
      </c>
      <c r="K66" s="108">
        <v>1</v>
      </c>
      <c r="L66" s="108" t="str">
        <f t="shared" si="2"/>
        <v>PKWT</v>
      </c>
      <c r="M66" s="108"/>
      <c r="N66" s="112">
        <v>45535</v>
      </c>
      <c r="O66" s="108"/>
      <c r="P66" s="108" t="s">
        <v>213</v>
      </c>
      <c r="Q66" s="210" t="s">
        <v>4102</v>
      </c>
      <c r="R66" s="108" t="s">
        <v>575</v>
      </c>
      <c r="S66" s="108" t="s">
        <v>262</v>
      </c>
      <c r="T66" s="108" t="s">
        <v>92</v>
      </c>
      <c r="U66" s="108" t="s">
        <v>276</v>
      </c>
      <c r="V66" s="108" t="s">
        <v>180</v>
      </c>
      <c r="W66" s="108"/>
      <c r="X66" s="108"/>
      <c r="Y66" s="108" t="s">
        <v>216</v>
      </c>
      <c r="Z66" s="108" t="s">
        <v>575</v>
      </c>
      <c r="AA66" s="111">
        <v>32961</v>
      </c>
      <c r="AB66" s="113">
        <v>33</v>
      </c>
      <c r="AC66" s="108" t="s">
        <v>2402</v>
      </c>
      <c r="AD66" s="129" t="s">
        <v>2403</v>
      </c>
      <c r="AE66" s="108" t="s">
        <v>2404</v>
      </c>
      <c r="AF66" s="108" t="s">
        <v>2405</v>
      </c>
      <c r="AG66" s="108" t="s">
        <v>2406</v>
      </c>
      <c r="AH66" s="114" t="s">
        <v>2407</v>
      </c>
      <c r="AI66" s="115">
        <v>21067065405</v>
      </c>
      <c r="AJ66" s="108" t="s">
        <v>189</v>
      </c>
      <c r="AK66" s="108" t="s">
        <v>2408</v>
      </c>
      <c r="AL66" s="108"/>
      <c r="AM66" s="108"/>
      <c r="AN66" s="108"/>
      <c r="AO66" s="108"/>
      <c r="AP66" s="108"/>
      <c r="AQ66" s="108"/>
      <c r="AR66" s="108"/>
      <c r="AS66" s="108"/>
      <c r="AT66" s="108">
        <v>0</v>
      </c>
      <c r="AU66" s="108" t="s">
        <v>390</v>
      </c>
      <c r="AV66" s="115"/>
      <c r="AW66" s="108" t="s">
        <v>74</v>
      </c>
      <c r="AX66" s="108" t="s">
        <v>16</v>
      </c>
      <c r="AY66" s="108" t="s">
        <v>226</v>
      </c>
      <c r="AZ66" s="108" t="s">
        <v>2409</v>
      </c>
      <c r="BA66" s="108">
        <v>2008</v>
      </c>
      <c r="BB66" s="108" t="s">
        <v>16</v>
      </c>
      <c r="BC66" s="108" t="s">
        <v>226</v>
      </c>
      <c r="BD66" s="108" t="s">
        <v>2409</v>
      </c>
      <c r="BE66" s="108">
        <v>2008</v>
      </c>
      <c r="BF66" s="116"/>
      <c r="BG66" s="116"/>
      <c r="BH66" s="108"/>
      <c r="BI66" s="108"/>
      <c r="BJ66" s="108">
        <v>44</v>
      </c>
      <c r="BK66" s="111"/>
      <c r="BL66" s="111"/>
      <c r="BM66" s="111"/>
      <c r="BN66" s="111"/>
      <c r="BO66" s="108"/>
      <c r="BP66" s="108"/>
      <c r="BQ66" s="108"/>
      <c r="BR66" s="108" t="s">
        <v>2410</v>
      </c>
      <c r="BS66" s="108"/>
      <c r="BT66" s="108"/>
      <c r="BU66" s="108"/>
      <c r="BV66" s="108"/>
      <c r="BW66" s="108"/>
      <c r="BX66" s="108"/>
      <c r="BY66" s="108"/>
      <c r="BZ66" s="108" t="e">
        <f>VLOOKUP(C66,[1]Sertifikasi!$B$4:$I$19,8,0)</f>
        <v>#N/A</v>
      </c>
    </row>
    <row r="67" spans="1:78" ht="11.25" customHeight="1">
      <c r="A67" s="108"/>
      <c r="B67" s="108">
        <v>165</v>
      </c>
      <c r="C67" s="108" t="s">
        <v>2651</v>
      </c>
      <c r="D67" s="109">
        <v>642201143</v>
      </c>
      <c r="E67" s="131">
        <v>1710001957870</v>
      </c>
      <c r="F67" s="131"/>
      <c r="G67" s="108" t="s">
        <v>71</v>
      </c>
      <c r="H67" s="108" t="s">
        <v>71</v>
      </c>
      <c r="I67" s="111">
        <v>44579</v>
      </c>
      <c r="J67" s="108">
        <v>1</v>
      </c>
      <c r="K67" s="108">
        <v>8</v>
      </c>
      <c r="L67" s="108" t="str">
        <f t="shared" si="2"/>
        <v>PKWT</v>
      </c>
      <c r="M67" s="108"/>
      <c r="N67" s="112">
        <v>45291</v>
      </c>
      <c r="O67" s="108"/>
      <c r="P67" s="108" t="s">
        <v>213</v>
      </c>
      <c r="Q67" s="210" t="s">
        <v>4102</v>
      </c>
      <c r="R67" s="108" t="s">
        <v>259</v>
      </c>
      <c r="S67" s="108" t="s">
        <v>262</v>
      </c>
      <c r="T67" s="108" t="s">
        <v>89</v>
      </c>
      <c r="U67" s="108" t="s">
        <v>199</v>
      </c>
      <c r="V67" s="108" t="s">
        <v>180</v>
      </c>
      <c r="W67" s="108"/>
      <c r="X67" s="108"/>
      <c r="Y67" s="108" t="s">
        <v>216</v>
      </c>
      <c r="Z67" s="108" t="s">
        <v>71</v>
      </c>
      <c r="AA67" s="111">
        <v>35940</v>
      </c>
      <c r="AB67" s="113">
        <v>25</v>
      </c>
      <c r="AC67" s="108" t="s">
        <v>2652</v>
      </c>
      <c r="AD67" s="129" t="s">
        <v>2653</v>
      </c>
      <c r="AE67" s="108" t="s">
        <v>2654</v>
      </c>
      <c r="AF67" s="108"/>
      <c r="AG67" s="108" t="s">
        <v>2655</v>
      </c>
      <c r="AH67" s="114" t="s">
        <v>2656</v>
      </c>
      <c r="AI67" s="115">
        <v>22017333687</v>
      </c>
      <c r="AJ67" s="108" t="s">
        <v>255</v>
      </c>
      <c r="AK67" s="108"/>
      <c r="AL67" s="108"/>
      <c r="AM67" s="108"/>
      <c r="AN67" s="108"/>
      <c r="AO67" s="108"/>
      <c r="AP67" s="108"/>
      <c r="AQ67" s="108"/>
      <c r="AR67" s="108"/>
      <c r="AS67" s="108"/>
      <c r="AT67" s="108">
        <v>0</v>
      </c>
      <c r="AU67" s="108" t="s">
        <v>304</v>
      </c>
      <c r="AV67" s="115"/>
      <c r="AW67" s="108" t="s">
        <v>74</v>
      </c>
      <c r="AX67" s="108" t="s">
        <v>16</v>
      </c>
      <c r="AY67" s="108" t="s">
        <v>331</v>
      </c>
      <c r="AZ67" s="108" t="s">
        <v>306</v>
      </c>
      <c r="BA67" s="108">
        <v>2016</v>
      </c>
      <c r="BB67" s="108" t="s">
        <v>16</v>
      </c>
      <c r="BC67" s="108" t="s">
        <v>331</v>
      </c>
      <c r="BD67" s="108" t="s">
        <v>306</v>
      </c>
      <c r="BE67" s="108">
        <v>2016</v>
      </c>
      <c r="BF67" s="116"/>
      <c r="BG67" s="116"/>
      <c r="BH67" s="108"/>
      <c r="BI67" s="108"/>
      <c r="BJ67" s="108">
        <v>40</v>
      </c>
      <c r="BK67" s="111"/>
      <c r="BL67" s="111"/>
      <c r="BM67" s="111"/>
      <c r="BN67" s="111"/>
      <c r="BO67" s="108"/>
      <c r="BP67" s="108"/>
      <c r="BQ67" s="108"/>
      <c r="BR67" s="108"/>
      <c r="BS67" s="108"/>
      <c r="BT67" s="108"/>
      <c r="BU67" s="108"/>
      <c r="BV67" s="108"/>
      <c r="BW67" s="108"/>
      <c r="BX67" s="108"/>
      <c r="BY67" s="108"/>
      <c r="BZ67" s="108" t="e">
        <f>VLOOKUP(C67,[1]Sertifikasi!$B$4:$I$19,8,0)</f>
        <v>#N/A</v>
      </c>
    </row>
    <row r="68" spans="1:78" ht="11.25" customHeight="1">
      <c r="A68" s="108"/>
      <c r="B68" s="108">
        <v>45</v>
      </c>
      <c r="C68" s="108" t="s">
        <v>2943</v>
      </c>
      <c r="D68" s="109">
        <v>642301196</v>
      </c>
      <c r="E68" s="131">
        <v>1710012984491</v>
      </c>
      <c r="F68" s="131"/>
      <c r="G68" s="108" t="s">
        <v>71</v>
      </c>
      <c r="H68" s="108" t="s">
        <v>71</v>
      </c>
      <c r="I68" s="111">
        <v>44935</v>
      </c>
      <c r="J68" s="108">
        <v>0</v>
      </c>
      <c r="K68" s="108">
        <v>9</v>
      </c>
      <c r="L68" s="108" t="str">
        <f t="shared" si="2"/>
        <v>PKWT</v>
      </c>
      <c r="M68" s="108"/>
      <c r="N68" s="112">
        <v>45299</v>
      </c>
      <c r="O68" s="108"/>
      <c r="P68" s="108" t="s">
        <v>213</v>
      </c>
      <c r="Q68" s="210" t="s">
        <v>4100</v>
      </c>
      <c r="R68" s="108" t="s">
        <v>4099</v>
      </c>
      <c r="S68" s="108" t="s">
        <v>899</v>
      </c>
      <c r="T68" s="108" t="s">
        <v>900</v>
      </c>
      <c r="U68" s="108" t="s">
        <v>362</v>
      </c>
      <c r="V68" s="108" t="s">
        <v>180</v>
      </c>
      <c r="W68" s="108"/>
      <c r="X68" s="108"/>
      <c r="Y68" s="108" t="s">
        <v>216</v>
      </c>
      <c r="Z68" s="108" t="s">
        <v>2028</v>
      </c>
      <c r="AA68" s="111">
        <v>35213</v>
      </c>
      <c r="AB68" s="113">
        <v>27</v>
      </c>
      <c r="AC68" s="108" t="s">
        <v>2944</v>
      </c>
      <c r="AD68" s="129" t="s">
        <v>2945</v>
      </c>
      <c r="AE68" s="108" t="s">
        <v>2946</v>
      </c>
      <c r="AF68" s="108"/>
      <c r="AG68" s="108" t="s">
        <v>2947</v>
      </c>
      <c r="AH68" s="114" t="s">
        <v>2948</v>
      </c>
      <c r="AI68" s="115">
        <v>20076140480</v>
      </c>
      <c r="AJ68" s="108" t="s">
        <v>189</v>
      </c>
      <c r="AK68" s="108"/>
      <c r="AL68" s="108"/>
      <c r="AM68" s="108"/>
      <c r="AN68" s="108"/>
      <c r="AO68" s="108"/>
      <c r="AP68" s="108"/>
      <c r="AQ68" s="108"/>
      <c r="AR68" s="108"/>
      <c r="AS68" s="108"/>
      <c r="AT68" s="108">
        <v>0</v>
      </c>
      <c r="AU68" s="108" t="s">
        <v>390</v>
      </c>
      <c r="AV68" s="115"/>
      <c r="AW68" s="108" t="s">
        <v>74</v>
      </c>
      <c r="AX68" s="108" t="s">
        <v>13</v>
      </c>
      <c r="AY68" s="108" t="s">
        <v>2949</v>
      </c>
      <c r="AZ68" s="108" t="s">
        <v>2950</v>
      </c>
      <c r="BA68" s="108">
        <v>2017</v>
      </c>
      <c r="BB68" s="108" t="s">
        <v>13</v>
      </c>
      <c r="BC68" s="108" t="s">
        <v>2949</v>
      </c>
      <c r="BD68" s="108" t="s">
        <v>2950</v>
      </c>
      <c r="BE68" s="108">
        <v>2017</v>
      </c>
      <c r="BF68" s="116"/>
      <c r="BG68" s="116"/>
      <c r="BH68" s="108"/>
      <c r="BI68" s="108"/>
      <c r="BJ68" s="108">
        <v>42</v>
      </c>
      <c r="BK68" s="111"/>
      <c r="BL68" s="111"/>
      <c r="BM68" s="111">
        <v>44588</v>
      </c>
      <c r="BN68" s="111"/>
      <c r="BO68" s="108"/>
      <c r="BP68" s="108"/>
      <c r="BQ68" s="108"/>
      <c r="BR68" s="108"/>
      <c r="BS68" s="108"/>
      <c r="BT68" s="108"/>
      <c r="BU68" s="108"/>
      <c r="BV68" s="108"/>
      <c r="BW68" s="108"/>
      <c r="BX68" s="108"/>
      <c r="BY68" s="108"/>
      <c r="BZ68" s="108" t="e">
        <f>VLOOKUP(C68,[1]Sertifikasi!$B$4:$I$19,8,0)</f>
        <v>#N/A</v>
      </c>
    </row>
    <row r="69" spans="1:78" ht="11.25" customHeight="1">
      <c r="A69" s="108"/>
      <c r="B69" s="108">
        <v>46</v>
      </c>
      <c r="C69" s="108" t="s">
        <v>898</v>
      </c>
      <c r="D69" s="109">
        <v>642001046</v>
      </c>
      <c r="E69" s="131">
        <v>1710003987917</v>
      </c>
      <c r="F69" s="131"/>
      <c r="G69" s="108" t="s">
        <v>71</v>
      </c>
      <c r="H69" s="108" t="s">
        <v>71</v>
      </c>
      <c r="I69" s="111">
        <v>42767</v>
      </c>
      <c r="J69" s="108">
        <v>6</v>
      </c>
      <c r="K69" s="108">
        <v>8</v>
      </c>
      <c r="L69" s="108" t="str">
        <f t="shared" si="2"/>
        <v>PKWT</v>
      </c>
      <c r="M69" s="108"/>
      <c r="N69" s="112">
        <v>45291</v>
      </c>
      <c r="O69" s="108"/>
      <c r="P69" s="108" t="s">
        <v>213</v>
      </c>
      <c r="Q69" s="210" t="s">
        <v>4100</v>
      </c>
      <c r="R69" s="108" t="s">
        <v>4099</v>
      </c>
      <c r="S69" s="108" t="s">
        <v>899</v>
      </c>
      <c r="T69" s="108" t="s">
        <v>900</v>
      </c>
      <c r="U69" s="108" t="s">
        <v>362</v>
      </c>
      <c r="V69" s="108" t="s">
        <v>180</v>
      </c>
      <c r="W69" s="108" t="s">
        <v>277</v>
      </c>
      <c r="X69" s="108" t="s">
        <v>215</v>
      </c>
      <c r="Y69" s="108" t="s">
        <v>216</v>
      </c>
      <c r="Z69" s="108" t="s">
        <v>433</v>
      </c>
      <c r="AA69" s="111">
        <v>34484</v>
      </c>
      <c r="AB69" s="113">
        <v>29</v>
      </c>
      <c r="AC69" s="108" t="s">
        <v>901</v>
      </c>
      <c r="AD69" s="129" t="s">
        <v>902</v>
      </c>
      <c r="AE69" s="108" t="s">
        <v>903</v>
      </c>
      <c r="AF69" s="108"/>
      <c r="AG69" s="108" t="s">
        <v>904</v>
      </c>
      <c r="AH69" s="114" t="s">
        <v>905</v>
      </c>
      <c r="AI69" s="115">
        <v>17028637787</v>
      </c>
      <c r="AJ69" s="108" t="s">
        <v>189</v>
      </c>
      <c r="AK69" s="108" t="s">
        <v>906</v>
      </c>
      <c r="AL69" s="108" t="s">
        <v>907</v>
      </c>
      <c r="AM69" s="108"/>
      <c r="AN69" s="108"/>
      <c r="AO69" s="108"/>
      <c r="AP69" s="108"/>
      <c r="AQ69" s="108"/>
      <c r="AR69" s="108"/>
      <c r="AS69" s="108"/>
      <c r="AT69" s="108">
        <v>1</v>
      </c>
      <c r="AU69" s="108" t="s">
        <v>225</v>
      </c>
      <c r="AV69" s="115">
        <v>0</v>
      </c>
      <c r="AW69" s="108" t="s">
        <v>74</v>
      </c>
      <c r="AX69" s="108" t="s">
        <v>12</v>
      </c>
      <c r="AY69" s="108" t="s">
        <v>226</v>
      </c>
      <c r="AZ69" s="108" t="s">
        <v>440</v>
      </c>
      <c r="BA69" s="108">
        <v>2017</v>
      </c>
      <c r="BB69" s="108" t="s">
        <v>12</v>
      </c>
      <c r="BC69" s="108" t="s">
        <v>226</v>
      </c>
      <c r="BD69" s="108" t="s">
        <v>440</v>
      </c>
      <c r="BE69" s="108">
        <v>2017</v>
      </c>
      <c r="BF69" s="116"/>
      <c r="BG69" s="116"/>
      <c r="BH69" s="108" t="s">
        <v>345</v>
      </c>
      <c r="BI69" s="108">
        <v>31</v>
      </c>
      <c r="BJ69" s="108">
        <v>42</v>
      </c>
      <c r="BK69" s="111">
        <v>44293</v>
      </c>
      <c r="BL69" s="111">
        <v>44322</v>
      </c>
      <c r="BM69" s="111"/>
      <c r="BN69" s="111"/>
      <c r="BO69" s="108">
        <v>43467</v>
      </c>
      <c r="BP69" s="108">
        <v>43830</v>
      </c>
      <c r="BQ69" s="108" t="s">
        <v>908</v>
      </c>
      <c r="BR69" s="108" t="s">
        <v>909</v>
      </c>
      <c r="BS69" s="108"/>
      <c r="BT69" s="108"/>
      <c r="BU69" s="108"/>
      <c r="BV69" s="108"/>
      <c r="BW69" s="108"/>
      <c r="BX69" s="108"/>
      <c r="BY69" s="108"/>
      <c r="BZ69" s="108" t="e">
        <f>VLOOKUP(C69,[1]Sertifikasi!$B$4:$I$19,8,0)</f>
        <v>#N/A</v>
      </c>
    </row>
    <row r="70" spans="1:78" ht="11.25" customHeight="1">
      <c r="A70" s="108"/>
      <c r="B70" s="108">
        <v>273</v>
      </c>
      <c r="C70" s="108" t="s">
        <v>1708</v>
      </c>
      <c r="D70" s="109">
        <v>641811208</v>
      </c>
      <c r="E70" s="131">
        <v>1710004908193</v>
      </c>
      <c r="F70" s="131"/>
      <c r="G70" s="108" t="s">
        <v>575</v>
      </c>
      <c r="H70" s="108" t="s">
        <v>575</v>
      </c>
      <c r="I70" s="111">
        <v>43405</v>
      </c>
      <c r="J70" s="108">
        <v>4</v>
      </c>
      <c r="K70" s="108">
        <v>11</v>
      </c>
      <c r="L70" s="108" t="str">
        <f t="shared" si="2"/>
        <v>PKWT</v>
      </c>
      <c r="M70" s="108"/>
      <c r="N70" s="112">
        <v>45607</v>
      </c>
      <c r="O70" s="108"/>
      <c r="P70" s="108" t="s">
        <v>213</v>
      </c>
      <c r="Q70" s="210" t="s">
        <v>4102</v>
      </c>
      <c r="R70" s="108" t="s">
        <v>575</v>
      </c>
      <c r="S70" s="108" t="s">
        <v>262</v>
      </c>
      <c r="T70" s="108" t="s">
        <v>92</v>
      </c>
      <c r="U70" s="108" t="s">
        <v>276</v>
      </c>
      <c r="V70" s="108" t="s">
        <v>180</v>
      </c>
      <c r="W70" s="108"/>
      <c r="X70" s="108" t="s">
        <v>215</v>
      </c>
      <c r="Y70" s="108" t="s">
        <v>216</v>
      </c>
      <c r="Z70" s="108" t="s">
        <v>1709</v>
      </c>
      <c r="AA70" s="111">
        <v>32320</v>
      </c>
      <c r="AB70" s="113">
        <v>35</v>
      </c>
      <c r="AC70" s="108" t="s">
        <v>1710</v>
      </c>
      <c r="AD70" s="129" t="s">
        <v>1711</v>
      </c>
      <c r="AE70" s="108" t="s">
        <v>1712</v>
      </c>
      <c r="AF70" s="108"/>
      <c r="AG70" s="108" t="s">
        <v>1713</v>
      </c>
      <c r="AH70" s="114" t="s">
        <v>1714</v>
      </c>
      <c r="AI70" s="115">
        <v>18099947592</v>
      </c>
      <c r="AJ70" s="108" t="s">
        <v>189</v>
      </c>
      <c r="AK70" s="108" t="s">
        <v>1715</v>
      </c>
      <c r="AL70" s="108" t="s">
        <v>1716</v>
      </c>
      <c r="AM70" s="108" t="s">
        <v>1717</v>
      </c>
      <c r="AN70" s="108"/>
      <c r="AO70" s="108"/>
      <c r="AP70" s="108"/>
      <c r="AQ70" s="108"/>
      <c r="AR70" s="108"/>
      <c r="AS70" s="108"/>
      <c r="AT70" s="108">
        <v>2</v>
      </c>
      <c r="AU70" s="108" t="s">
        <v>330</v>
      </c>
      <c r="AV70" s="115">
        <v>0</v>
      </c>
      <c r="AW70" s="108" t="s">
        <v>74</v>
      </c>
      <c r="AX70" s="108" t="s">
        <v>16</v>
      </c>
      <c r="AY70" s="108" t="s">
        <v>331</v>
      </c>
      <c r="AZ70" s="108" t="s">
        <v>1718</v>
      </c>
      <c r="BA70" s="108">
        <v>2007</v>
      </c>
      <c r="BB70" s="108" t="s">
        <v>287</v>
      </c>
      <c r="BC70" s="108" t="s">
        <v>331</v>
      </c>
      <c r="BD70" s="108" t="s">
        <v>1718</v>
      </c>
      <c r="BE70" s="108">
        <v>2007</v>
      </c>
      <c r="BF70" s="116"/>
      <c r="BG70" s="116"/>
      <c r="BH70" s="108"/>
      <c r="BI70" s="108"/>
      <c r="BJ70" s="108">
        <v>39</v>
      </c>
      <c r="BK70" s="111"/>
      <c r="BL70" s="111"/>
      <c r="BM70" s="111"/>
      <c r="BN70" s="111"/>
      <c r="BO70" s="108"/>
      <c r="BP70" s="108"/>
      <c r="BQ70" s="108"/>
      <c r="BR70" s="108"/>
      <c r="BS70" s="108"/>
      <c r="BT70" s="108"/>
      <c r="BU70" s="108"/>
      <c r="BV70" s="108"/>
      <c r="BW70" s="108"/>
      <c r="BX70" s="108"/>
      <c r="BY70" s="108"/>
      <c r="BZ70" s="108" t="e">
        <f>VLOOKUP(C70,[1]Sertifikasi!$B$4:$I$19,8,0)</f>
        <v>#N/A</v>
      </c>
    </row>
    <row r="71" spans="1:78" ht="11.25" customHeight="1">
      <c r="A71" s="108"/>
      <c r="B71" s="108">
        <v>166</v>
      </c>
      <c r="C71" s="108" t="s">
        <v>2657</v>
      </c>
      <c r="D71" s="109">
        <v>642201144</v>
      </c>
      <c r="E71" s="131">
        <v>1710001954695</v>
      </c>
      <c r="F71" s="131"/>
      <c r="G71" s="108" t="s">
        <v>71</v>
      </c>
      <c r="H71" s="108" t="s">
        <v>71</v>
      </c>
      <c r="I71" s="111">
        <v>44579</v>
      </c>
      <c r="J71" s="108">
        <v>1</v>
      </c>
      <c r="K71" s="108">
        <v>8</v>
      </c>
      <c r="L71" s="108" t="str">
        <f t="shared" si="2"/>
        <v>PKWT</v>
      </c>
      <c r="M71" s="108"/>
      <c r="N71" s="112">
        <v>45291</v>
      </c>
      <c r="O71" s="108"/>
      <c r="P71" s="108" t="s">
        <v>213</v>
      </c>
      <c r="Q71" s="210" t="s">
        <v>4102</v>
      </c>
      <c r="R71" s="108" t="s">
        <v>259</v>
      </c>
      <c r="S71" s="108" t="s">
        <v>262</v>
      </c>
      <c r="T71" s="108" t="s">
        <v>89</v>
      </c>
      <c r="U71" s="108" t="s">
        <v>199</v>
      </c>
      <c r="V71" s="108" t="s">
        <v>180</v>
      </c>
      <c r="W71" s="108"/>
      <c r="X71" s="108"/>
      <c r="Y71" s="108" t="s">
        <v>216</v>
      </c>
      <c r="Z71" s="108" t="s">
        <v>71</v>
      </c>
      <c r="AA71" s="111">
        <v>35827</v>
      </c>
      <c r="AB71" s="113">
        <v>25</v>
      </c>
      <c r="AC71" s="108" t="s">
        <v>2658</v>
      </c>
      <c r="AD71" s="129" t="s">
        <v>2659</v>
      </c>
      <c r="AE71" s="108" t="s">
        <v>2660</v>
      </c>
      <c r="AF71" s="108"/>
      <c r="AG71" s="108" t="s">
        <v>2661</v>
      </c>
      <c r="AH71" s="114" t="s">
        <v>2662</v>
      </c>
      <c r="AI71" s="115">
        <v>22017333695</v>
      </c>
      <c r="AJ71" s="108" t="s">
        <v>255</v>
      </c>
      <c r="AK71" s="108"/>
      <c r="AL71" s="108"/>
      <c r="AM71" s="108"/>
      <c r="AN71" s="108"/>
      <c r="AO71" s="108"/>
      <c r="AP71" s="108"/>
      <c r="AQ71" s="108"/>
      <c r="AR71" s="108"/>
      <c r="AS71" s="108"/>
      <c r="AT71" s="108">
        <v>0</v>
      </c>
      <c r="AU71" s="108" t="s">
        <v>304</v>
      </c>
      <c r="AV71" s="115"/>
      <c r="AW71" s="108" t="s">
        <v>74</v>
      </c>
      <c r="AX71" s="108" t="s">
        <v>16</v>
      </c>
      <c r="AY71" s="108" t="s">
        <v>331</v>
      </c>
      <c r="AZ71" s="108" t="s">
        <v>1008</v>
      </c>
      <c r="BA71" s="108">
        <v>2016</v>
      </c>
      <c r="BB71" s="108" t="s">
        <v>16</v>
      </c>
      <c r="BC71" s="108" t="s">
        <v>331</v>
      </c>
      <c r="BD71" s="108" t="s">
        <v>1008</v>
      </c>
      <c r="BE71" s="108">
        <v>2016</v>
      </c>
      <c r="BF71" s="116"/>
      <c r="BG71" s="116"/>
      <c r="BH71" s="108"/>
      <c r="BI71" s="108"/>
      <c r="BJ71" s="108">
        <v>42</v>
      </c>
      <c r="BK71" s="111"/>
      <c r="BL71" s="111"/>
      <c r="BM71" s="111"/>
      <c r="BN71" s="111"/>
      <c r="BO71" s="108"/>
      <c r="BP71" s="108"/>
      <c r="BQ71" s="108"/>
      <c r="BR71" s="108"/>
      <c r="BS71" s="108"/>
      <c r="BT71" s="108"/>
      <c r="BU71" s="108"/>
      <c r="BV71" s="108"/>
      <c r="BW71" s="108"/>
      <c r="BX71" s="108"/>
      <c r="BY71" s="108"/>
      <c r="BZ71" s="108" t="e">
        <f>VLOOKUP(C71,[1]Sertifikasi!$B$4:$I$19,8,0)</f>
        <v>#N/A</v>
      </c>
    </row>
    <row r="72" spans="1:78" ht="11.25" customHeight="1">
      <c r="A72" s="108"/>
      <c r="B72" s="108">
        <v>47</v>
      </c>
      <c r="C72" s="108" t="s">
        <v>2287</v>
      </c>
      <c r="D72" s="109">
        <v>642101093</v>
      </c>
      <c r="E72" s="131">
        <v>1710005976744</v>
      </c>
      <c r="F72" s="131"/>
      <c r="G72" s="113" t="s">
        <v>71</v>
      </c>
      <c r="H72" s="108" t="s">
        <v>71</v>
      </c>
      <c r="I72" s="111">
        <v>44200</v>
      </c>
      <c r="J72" s="108">
        <f ca="1">DATEDIF(I72,$C$3,"y")</f>
        <v>2</v>
      </c>
      <c r="K72" s="108">
        <f ca="1">DATEDIF(I72,$C$3,"ym")</f>
        <v>10</v>
      </c>
      <c r="L72" s="108" t="str">
        <f t="shared" si="2"/>
        <v>PKWT</v>
      </c>
      <c r="M72" s="108"/>
      <c r="N72" s="112">
        <v>45294</v>
      </c>
      <c r="O72" s="108"/>
      <c r="P72" s="108" t="s">
        <v>261</v>
      </c>
      <c r="Q72" s="210" t="s">
        <v>4100</v>
      </c>
      <c r="R72" s="108" t="s">
        <v>4099</v>
      </c>
      <c r="S72" s="108" t="s">
        <v>2288</v>
      </c>
      <c r="T72" s="108" t="s">
        <v>900</v>
      </c>
      <c r="U72" s="108" t="s">
        <v>362</v>
      </c>
      <c r="V72" s="108" t="s">
        <v>180</v>
      </c>
      <c r="W72" s="108"/>
      <c r="X72" s="108"/>
      <c r="Y72" s="108" t="s">
        <v>59</v>
      </c>
      <c r="Z72" s="108" t="s">
        <v>71</v>
      </c>
      <c r="AA72" s="111">
        <v>35302</v>
      </c>
      <c r="AB72" s="113">
        <f ca="1">DATEDIF(AA72,$C$3,"y")</f>
        <v>27</v>
      </c>
      <c r="AC72" s="108" t="s">
        <v>2289</v>
      </c>
      <c r="AD72" s="129" t="s">
        <v>2290</v>
      </c>
      <c r="AE72" s="108" t="s">
        <v>2291</v>
      </c>
      <c r="AF72" s="108"/>
      <c r="AG72" s="108" t="s">
        <v>2292</v>
      </c>
      <c r="AH72" s="114" t="s">
        <v>2293</v>
      </c>
      <c r="AI72" s="115">
        <v>21008124121</v>
      </c>
      <c r="AJ72" s="108" t="s">
        <v>189</v>
      </c>
      <c r="AK72" s="108"/>
      <c r="AL72" s="108"/>
      <c r="AM72" s="108"/>
      <c r="AN72" s="108"/>
      <c r="AO72" s="108"/>
      <c r="AP72" s="108"/>
      <c r="AQ72" s="108"/>
      <c r="AR72" s="108"/>
      <c r="AS72" s="108"/>
      <c r="AT72" s="108">
        <f>COUNTA(AL72:AO72)</f>
        <v>0</v>
      </c>
      <c r="AU72" s="108" t="str">
        <f>IF(AJ72="Menikah","K","TK")&amp;"/"&amp;AT72</f>
        <v>K/0</v>
      </c>
      <c r="AV72" s="131" t="s">
        <v>2294</v>
      </c>
      <c r="AW72" s="113" t="s">
        <v>74</v>
      </c>
      <c r="AX72" s="108" t="s">
        <v>13</v>
      </c>
      <c r="AY72" s="108" t="s">
        <v>2295</v>
      </c>
      <c r="AZ72" s="108" t="s">
        <v>482</v>
      </c>
      <c r="BA72" s="108">
        <v>2018</v>
      </c>
      <c r="BB72" s="108" t="s">
        <v>13</v>
      </c>
      <c r="BC72" s="108" t="s">
        <v>2295</v>
      </c>
      <c r="BD72" s="108" t="s">
        <v>482</v>
      </c>
      <c r="BE72" s="108">
        <v>2018</v>
      </c>
      <c r="BF72" s="116"/>
      <c r="BG72" s="116"/>
      <c r="BH72" s="108"/>
      <c r="BI72" s="108"/>
      <c r="BJ72" s="207"/>
      <c r="BK72" s="111">
        <v>44294</v>
      </c>
      <c r="BL72" s="111">
        <v>44322</v>
      </c>
      <c r="BM72" s="111">
        <v>44657</v>
      </c>
      <c r="BN72" s="111"/>
      <c r="BO72" s="108"/>
      <c r="BP72" s="108"/>
      <c r="BQ72" s="108"/>
      <c r="BR72" s="108"/>
      <c r="BS72" s="108"/>
      <c r="BT72" s="108"/>
      <c r="BU72" s="108"/>
      <c r="BV72" s="108"/>
      <c r="BW72" s="108"/>
      <c r="BX72" s="108"/>
      <c r="BY72" s="108"/>
      <c r="BZ72" s="108" t="e">
        <f>VLOOKUP(C72,[1]Sertifikasi!$B$4:$I$19,8,0)</f>
        <v>#N/A</v>
      </c>
    </row>
    <row r="73" spans="1:78" ht="11.25" customHeight="1">
      <c r="A73" s="108"/>
      <c r="B73" s="108">
        <v>6</v>
      </c>
      <c r="C73" s="108" t="s">
        <v>4107</v>
      </c>
      <c r="D73" s="109">
        <v>971900045</v>
      </c>
      <c r="E73" s="131">
        <v>1710003919712</v>
      </c>
      <c r="F73" s="131"/>
      <c r="G73" s="113" t="s">
        <v>71</v>
      </c>
      <c r="H73" s="108" t="s">
        <v>71</v>
      </c>
      <c r="I73" s="111">
        <v>43346</v>
      </c>
      <c r="J73" s="108">
        <f ca="1">DATEDIF(I73,$C$3,"y")</f>
        <v>5</v>
      </c>
      <c r="K73" s="108">
        <f ca="1">DATEDIF(I73,$C$3,"ym")</f>
        <v>2</v>
      </c>
      <c r="L73" s="108" t="str">
        <f t="shared" si="2"/>
        <v>Tetap</v>
      </c>
      <c r="M73" s="108" t="s">
        <v>273</v>
      </c>
      <c r="N73" s="111">
        <v>43789</v>
      </c>
      <c r="O73" s="111"/>
      <c r="P73" s="108" t="s">
        <v>261</v>
      </c>
      <c r="Q73" s="210" t="s">
        <v>4100</v>
      </c>
      <c r="R73" s="108" t="s">
        <v>85</v>
      </c>
      <c r="S73" s="108" t="s">
        <v>1527</v>
      </c>
      <c r="T73" s="108" t="s">
        <v>900</v>
      </c>
      <c r="U73" s="108" t="s">
        <v>362</v>
      </c>
      <c r="V73" s="108" t="s">
        <v>180</v>
      </c>
      <c r="W73" s="108"/>
      <c r="X73" s="108"/>
      <c r="Y73" s="108" t="s">
        <v>59</v>
      </c>
      <c r="Z73" s="108" t="s">
        <v>72</v>
      </c>
      <c r="AA73" s="111">
        <v>31217</v>
      </c>
      <c r="AB73" s="113">
        <f ca="1">DATEDIF(AA73,$C$3,"y")</f>
        <v>38</v>
      </c>
      <c r="AC73" s="108" t="s">
        <v>1528</v>
      </c>
      <c r="AD73" s="129" t="s">
        <v>1529</v>
      </c>
      <c r="AE73" s="108" t="s">
        <v>1530</v>
      </c>
      <c r="AF73" s="108"/>
      <c r="AG73" s="130" t="s">
        <v>1531</v>
      </c>
      <c r="AH73" s="114" t="s">
        <v>1532</v>
      </c>
      <c r="AI73" s="115" t="s">
        <v>1533</v>
      </c>
      <c r="AJ73" s="108" t="s">
        <v>189</v>
      </c>
      <c r="AK73" s="108" t="s">
        <v>1534</v>
      </c>
      <c r="AL73" s="108" t="s">
        <v>1535</v>
      </c>
      <c r="AM73" s="108"/>
      <c r="AN73" s="108"/>
      <c r="AO73" s="108"/>
      <c r="AP73" s="108"/>
      <c r="AQ73" s="108"/>
      <c r="AR73" s="108"/>
      <c r="AS73" s="108"/>
      <c r="AT73" s="108">
        <f>COUNTA(AL73:AO73)</f>
        <v>1</v>
      </c>
      <c r="AU73" s="108" t="str">
        <f>IF(AJ73="Menikah","K","TK")&amp;"/"&amp;AT73</f>
        <v>K/1</v>
      </c>
      <c r="AV73" s="131"/>
      <c r="AW73" s="113" t="s">
        <v>74</v>
      </c>
      <c r="AX73" s="108" t="s">
        <v>12</v>
      </c>
      <c r="AY73" s="108" t="s">
        <v>226</v>
      </c>
      <c r="AZ73" s="108" t="s">
        <v>419</v>
      </c>
      <c r="BA73" s="108">
        <v>2011</v>
      </c>
      <c r="BB73" s="108" t="s">
        <v>12</v>
      </c>
      <c r="BC73" s="108" t="s">
        <v>226</v>
      </c>
      <c r="BD73" s="108" t="s">
        <v>419</v>
      </c>
      <c r="BE73" s="108">
        <v>2011</v>
      </c>
      <c r="BF73" s="111">
        <v>51460</v>
      </c>
      <c r="BG73" s="116">
        <v>51825</v>
      </c>
      <c r="BH73" s="132"/>
      <c r="BI73" s="108"/>
      <c r="BJ73" s="108">
        <v>44</v>
      </c>
      <c r="BK73" s="111">
        <v>44294</v>
      </c>
      <c r="BL73" s="111">
        <v>44322</v>
      </c>
      <c r="BM73" s="208"/>
      <c r="BN73" s="111"/>
      <c r="BO73" s="108"/>
      <c r="BP73" s="108"/>
      <c r="BQ73" s="108"/>
      <c r="BR73" s="108"/>
      <c r="BS73" s="108"/>
      <c r="BT73" s="108"/>
      <c r="BU73" s="108"/>
      <c r="BV73" s="108"/>
      <c r="BW73" s="108"/>
      <c r="BX73" s="108"/>
      <c r="BY73" s="108"/>
      <c r="BZ73" s="108" t="e">
        <f>VLOOKUP(C73,[1]Sertifikasi!$B$4:$I$19,8,0)</f>
        <v>#N/A</v>
      </c>
    </row>
    <row r="74" spans="1:78" ht="11.25" customHeight="1">
      <c r="A74" s="108"/>
      <c r="B74" s="108">
        <v>167</v>
      </c>
      <c r="C74" s="108" t="s">
        <v>1863</v>
      </c>
      <c r="D74" s="109">
        <v>641907276</v>
      </c>
      <c r="E74" s="131">
        <v>1710005658045</v>
      </c>
      <c r="F74" s="131"/>
      <c r="G74" s="108" t="s">
        <v>259</v>
      </c>
      <c r="H74" s="108" t="s">
        <v>259</v>
      </c>
      <c r="I74" s="111">
        <v>43647</v>
      </c>
      <c r="J74" s="108">
        <v>4</v>
      </c>
      <c r="K74" s="108">
        <v>3</v>
      </c>
      <c r="L74" s="108" t="str">
        <f t="shared" si="2"/>
        <v>PKWT</v>
      </c>
      <c r="M74" s="108"/>
      <c r="N74" s="112">
        <v>45291</v>
      </c>
      <c r="O74" s="108"/>
      <c r="P74" s="108" t="s">
        <v>213</v>
      </c>
      <c r="Q74" s="210" t="s">
        <v>4102</v>
      </c>
      <c r="R74" s="108" t="s">
        <v>259</v>
      </c>
      <c r="S74" s="108" t="s">
        <v>262</v>
      </c>
      <c r="T74" s="108" t="s">
        <v>89</v>
      </c>
      <c r="U74" s="108" t="s">
        <v>199</v>
      </c>
      <c r="V74" s="108" t="s">
        <v>180</v>
      </c>
      <c r="W74" s="108" t="s">
        <v>277</v>
      </c>
      <c r="X74" s="108" t="s">
        <v>215</v>
      </c>
      <c r="Y74" s="108" t="s">
        <v>216</v>
      </c>
      <c r="Z74" s="108" t="s">
        <v>1864</v>
      </c>
      <c r="AA74" s="111">
        <v>34511</v>
      </c>
      <c r="AB74" s="113">
        <v>29</v>
      </c>
      <c r="AC74" s="108" t="s">
        <v>1865</v>
      </c>
      <c r="AD74" s="129" t="s">
        <v>1866</v>
      </c>
      <c r="AE74" s="108" t="s">
        <v>1867</v>
      </c>
      <c r="AF74" s="108"/>
      <c r="AG74" s="108" t="s">
        <v>1868</v>
      </c>
      <c r="AH74" s="114" t="s">
        <v>1869</v>
      </c>
      <c r="AI74" s="115">
        <v>19047644240</v>
      </c>
      <c r="AJ74" s="108" t="s">
        <v>189</v>
      </c>
      <c r="AK74" s="108" t="s">
        <v>1870</v>
      </c>
      <c r="AL74" s="108" t="s">
        <v>1871</v>
      </c>
      <c r="AM74" s="108"/>
      <c r="AN74" s="108"/>
      <c r="AO74" s="108"/>
      <c r="AP74" s="108"/>
      <c r="AQ74" s="108"/>
      <c r="AR74" s="108"/>
      <c r="AS74" s="108"/>
      <c r="AT74" s="108">
        <v>1</v>
      </c>
      <c r="AU74" s="108" t="s">
        <v>225</v>
      </c>
      <c r="AV74" s="115">
        <v>0</v>
      </c>
      <c r="AW74" s="108" t="s">
        <v>74</v>
      </c>
      <c r="AX74" s="108" t="s">
        <v>16</v>
      </c>
      <c r="AY74" s="108" t="s">
        <v>331</v>
      </c>
      <c r="AZ74" s="108" t="s">
        <v>1872</v>
      </c>
      <c r="BA74" s="108">
        <v>2012</v>
      </c>
      <c r="BB74" s="108" t="s">
        <v>13</v>
      </c>
      <c r="BC74" s="108" t="s">
        <v>226</v>
      </c>
      <c r="BD74" s="108" t="s">
        <v>1873</v>
      </c>
      <c r="BE74" s="108">
        <v>2012</v>
      </c>
      <c r="BF74" s="116"/>
      <c r="BG74" s="116"/>
      <c r="BH74" s="108" t="s">
        <v>241</v>
      </c>
      <c r="BI74" s="108">
        <v>31</v>
      </c>
      <c r="BJ74" s="108">
        <v>41</v>
      </c>
      <c r="BK74" s="111"/>
      <c r="BL74" s="111">
        <v>44314</v>
      </c>
      <c r="BM74" s="111"/>
      <c r="BN74" s="111"/>
      <c r="BO74" s="108"/>
      <c r="BP74" s="108"/>
      <c r="BQ74" s="108"/>
      <c r="BR74" s="108"/>
      <c r="BS74" s="108"/>
      <c r="BT74" s="108"/>
      <c r="BU74" s="108"/>
      <c r="BV74" s="108"/>
      <c r="BW74" s="108"/>
      <c r="BX74" s="108"/>
      <c r="BY74" s="108"/>
      <c r="BZ74" s="108" t="e">
        <f>VLOOKUP(C74,[1]Sertifikasi!$B$4:$I$19,8,0)</f>
        <v>#N/A</v>
      </c>
    </row>
    <row r="75" spans="1:78" ht="11.25" customHeight="1">
      <c r="A75" s="108"/>
      <c r="B75" s="108">
        <v>21</v>
      </c>
      <c r="C75" s="108" t="s">
        <v>673</v>
      </c>
      <c r="D75" s="109">
        <v>972000054</v>
      </c>
      <c r="E75" s="131">
        <v>1710003987776</v>
      </c>
      <c r="F75" s="131"/>
      <c r="G75" s="113" t="s">
        <v>71</v>
      </c>
      <c r="H75" s="108" t="s">
        <v>71</v>
      </c>
      <c r="I75" s="111">
        <v>42491</v>
      </c>
      <c r="J75" s="108">
        <f ca="1">DATEDIF(I75,$C$3,"y")</f>
        <v>7</v>
      </c>
      <c r="K75" s="108">
        <f ca="1">DATEDIF(I75,$C$3,"ym")</f>
        <v>6</v>
      </c>
      <c r="L75" s="108" t="str">
        <f t="shared" si="2"/>
        <v>Tetap</v>
      </c>
      <c r="M75" s="108" t="s">
        <v>587</v>
      </c>
      <c r="N75" s="112">
        <v>43899</v>
      </c>
      <c r="O75" s="111"/>
      <c r="P75" s="108" t="s">
        <v>261</v>
      </c>
      <c r="Q75" s="210" t="s">
        <v>4100</v>
      </c>
      <c r="R75" s="108" t="s">
        <v>4099</v>
      </c>
      <c r="S75" s="108" t="s">
        <v>674</v>
      </c>
      <c r="T75" s="108" t="s">
        <v>674</v>
      </c>
      <c r="U75" s="108" t="s">
        <v>674</v>
      </c>
      <c r="V75" s="108" t="s">
        <v>247</v>
      </c>
      <c r="W75" s="108"/>
      <c r="X75" s="108"/>
      <c r="Y75" s="108" t="s">
        <v>59</v>
      </c>
      <c r="Z75" s="108" t="s">
        <v>433</v>
      </c>
      <c r="AA75" s="111">
        <v>33588</v>
      </c>
      <c r="AB75" s="113">
        <f ca="1">DATEDIF(AA75,$C$3,"y")</f>
        <v>31</v>
      </c>
      <c r="AC75" s="113" t="s">
        <v>675</v>
      </c>
      <c r="AD75" s="129" t="s">
        <v>676</v>
      </c>
      <c r="AE75" s="108" t="s">
        <v>677</v>
      </c>
      <c r="AF75" s="108"/>
      <c r="AG75" s="130" t="s">
        <v>678</v>
      </c>
      <c r="AH75" s="136" t="s">
        <v>679</v>
      </c>
      <c r="AI75" s="115">
        <v>16030084376</v>
      </c>
      <c r="AJ75" s="108" t="s">
        <v>189</v>
      </c>
      <c r="AK75" s="108"/>
      <c r="AL75" s="108"/>
      <c r="AM75" s="108"/>
      <c r="AN75" s="108"/>
      <c r="AO75" s="108"/>
      <c r="AP75" s="108"/>
      <c r="AQ75" s="108"/>
      <c r="AR75" s="108"/>
      <c r="AS75" s="108"/>
      <c r="AT75" s="108">
        <f>COUNTA(AL75:AO75)</f>
        <v>0</v>
      </c>
      <c r="AU75" s="108" t="str">
        <f>IF(AJ75="Menikah","K","TK")&amp;"/"&amp;AT75</f>
        <v>K/0</v>
      </c>
      <c r="AV75" s="131"/>
      <c r="AW75" s="113" t="s">
        <v>74</v>
      </c>
      <c r="AX75" s="108" t="s">
        <v>13</v>
      </c>
      <c r="AY75" s="108" t="s">
        <v>285</v>
      </c>
      <c r="AZ75" s="108" t="s">
        <v>482</v>
      </c>
      <c r="BA75" s="108">
        <v>2014</v>
      </c>
      <c r="BB75" s="108" t="s">
        <v>13</v>
      </c>
      <c r="BC75" s="108" t="s">
        <v>285</v>
      </c>
      <c r="BD75" s="108" t="s">
        <v>482</v>
      </c>
      <c r="BE75" s="108">
        <v>2014</v>
      </c>
      <c r="BF75" s="116">
        <v>53760</v>
      </c>
      <c r="BG75" s="116">
        <v>54125</v>
      </c>
      <c r="BH75" s="132"/>
      <c r="BI75" s="108"/>
      <c r="BJ75" s="207"/>
      <c r="BK75" s="111"/>
      <c r="BL75" s="111"/>
      <c r="BM75" s="111">
        <v>44793</v>
      </c>
      <c r="BN75" s="111"/>
      <c r="BO75" s="108"/>
      <c r="BP75" s="108"/>
      <c r="BQ75" s="108"/>
      <c r="BR75" s="108"/>
      <c r="BS75" s="108"/>
      <c r="BT75" s="108"/>
      <c r="BU75" s="108"/>
      <c r="BV75" s="108"/>
      <c r="BW75" s="108"/>
      <c r="BX75" s="108"/>
      <c r="BY75" s="108"/>
      <c r="BZ75" s="108" t="e">
        <f>VLOOKUP(C75,[1]Sertifikasi!$B$4:$I$19,8,0)</f>
        <v>#N/A</v>
      </c>
    </row>
    <row r="76" spans="1:78" ht="11.25" customHeight="1">
      <c r="A76" s="108"/>
      <c r="B76" s="108">
        <v>213</v>
      </c>
      <c r="C76" s="108" t="s">
        <v>1306</v>
      </c>
      <c r="D76" s="109">
        <v>641806159</v>
      </c>
      <c r="E76" s="131">
        <v>1710004289552</v>
      </c>
      <c r="F76" s="131"/>
      <c r="G76" s="108" t="s">
        <v>71</v>
      </c>
      <c r="H76" s="108" t="s">
        <v>71</v>
      </c>
      <c r="I76" s="111">
        <v>43255</v>
      </c>
      <c r="J76" s="108">
        <v>5</v>
      </c>
      <c r="K76" s="108">
        <v>4</v>
      </c>
      <c r="L76" s="108" t="str">
        <f t="shared" si="2"/>
        <v>PKWT</v>
      </c>
      <c r="M76" s="108"/>
      <c r="N76" s="112">
        <v>45446</v>
      </c>
      <c r="O76" s="108"/>
      <c r="P76" s="108" t="s">
        <v>213</v>
      </c>
      <c r="Q76" s="210" t="s">
        <v>4102</v>
      </c>
      <c r="R76" s="108" t="s">
        <v>259</v>
      </c>
      <c r="S76" s="108" t="s">
        <v>33</v>
      </c>
      <c r="T76" s="108" t="s">
        <v>432</v>
      </c>
      <c r="U76" s="108" t="s">
        <v>199</v>
      </c>
      <c r="V76" s="108" t="s">
        <v>180</v>
      </c>
      <c r="W76" s="108"/>
      <c r="X76" s="108" t="s">
        <v>215</v>
      </c>
      <c r="Y76" s="108" t="s">
        <v>216</v>
      </c>
      <c r="Z76" s="108" t="s">
        <v>71</v>
      </c>
      <c r="AA76" s="111">
        <v>35390</v>
      </c>
      <c r="AB76" s="113">
        <v>26</v>
      </c>
      <c r="AC76" s="108" t="s">
        <v>1307</v>
      </c>
      <c r="AD76" s="129" t="s">
        <v>1308</v>
      </c>
      <c r="AE76" s="108" t="s">
        <v>1309</v>
      </c>
      <c r="AF76" s="108" t="s">
        <v>1310</v>
      </c>
      <c r="AG76" s="108" t="s">
        <v>1311</v>
      </c>
      <c r="AH76" s="114" t="s">
        <v>1312</v>
      </c>
      <c r="AI76" s="115">
        <v>18041757131</v>
      </c>
      <c r="AJ76" s="108" t="s">
        <v>255</v>
      </c>
      <c r="AK76" s="108"/>
      <c r="AL76" s="108"/>
      <c r="AM76" s="108"/>
      <c r="AN76" s="108"/>
      <c r="AO76" s="108"/>
      <c r="AP76" s="108"/>
      <c r="AQ76" s="108"/>
      <c r="AR76" s="108"/>
      <c r="AS76" s="108"/>
      <c r="AT76" s="108">
        <v>0</v>
      </c>
      <c r="AU76" s="108" t="s">
        <v>304</v>
      </c>
      <c r="AV76" s="115">
        <v>0</v>
      </c>
      <c r="AW76" s="108" t="s">
        <v>74</v>
      </c>
      <c r="AX76" s="108" t="s">
        <v>16</v>
      </c>
      <c r="AY76" s="108" t="s">
        <v>226</v>
      </c>
      <c r="AZ76" s="108" t="s">
        <v>605</v>
      </c>
      <c r="BA76" s="108">
        <v>2015</v>
      </c>
      <c r="BB76" s="108" t="s">
        <v>287</v>
      </c>
      <c r="BC76" s="108" t="s">
        <v>226</v>
      </c>
      <c r="BD76" s="108" t="s">
        <v>605</v>
      </c>
      <c r="BE76" s="108">
        <v>2015</v>
      </c>
      <c r="BF76" s="116"/>
      <c r="BG76" s="116"/>
      <c r="BH76" s="108" t="s">
        <v>345</v>
      </c>
      <c r="BI76" s="108">
        <v>32</v>
      </c>
      <c r="BJ76" s="108">
        <v>42</v>
      </c>
      <c r="BK76" s="111"/>
      <c r="BL76" s="111"/>
      <c r="BM76" s="111">
        <v>44674</v>
      </c>
      <c r="BN76" s="111"/>
      <c r="BO76" s="108"/>
      <c r="BP76" s="108"/>
      <c r="BQ76" s="108"/>
      <c r="BR76" s="108"/>
      <c r="BS76" s="108"/>
      <c r="BT76" s="108"/>
      <c r="BU76" s="108"/>
      <c r="BV76" s="108"/>
      <c r="BW76" s="108"/>
      <c r="BX76" s="108"/>
      <c r="BY76" s="108"/>
      <c r="BZ76" s="108" t="e">
        <f>VLOOKUP(C76,[1]Sertifikasi!$B$4:$I$19,8,0)</f>
        <v>#N/A</v>
      </c>
    </row>
    <row r="77" spans="1:78" ht="11.25" customHeight="1">
      <c r="A77" s="108"/>
      <c r="B77" s="108">
        <v>129</v>
      </c>
      <c r="C77" s="108" t="s">
        <v>2432</v>
      </c>
      <c r="D77" s="109">
        <v>642109115</v>
      </c>
      <c r="E77" s="131">
        <v>1380019792501</v>
      </c>
      <c r="F77" s="131"/>
      <c r="G77" s="108" t="s">
        <v>409</v>
      </c>
      <c r="H77" s="108" t="s">
        <v>409</v>
      </c>
      <c r="I77" s="111">
        <v>44487</v>
      </c>
      <c r="J77" s="108">
        <v>1</v>
      </c>
      <c r="K77" s="108">
        <v>11</v>
      </c>
      <c r="L77" s="108" t="str">
        <f t="shared" si="2"/>
        <v>PKWT</v>
      </c>
      <c r="M77" s="108"/>
      <c r="N77" s="112">
        <v>45582</v>
      </c>
      <c r="O77" s="108"/>
      <c r="P77" s="108" t="s">
        <v>213</v>
      </c>
      <c r="Q77" s="210" t="s">
        <v>4102</v>
      </c>
      <c r="R77" s="108" t="s">
        <v>409</v>
      </c>
      <c r="S77" s="108" t="s">
        <v>33</v>
      </c>
      <c r="T77" s="108" t="s">
        <v>88</v>
      </c>
      <c r="U77" s="108" t="s">
        <v>199</v>
      </c>
      <c r="V77" s="108" t="s">
        <v>180</v>
      </c>
      <c r="W77" s="108"/>
      <c r="X77" s="108"/>
      <c r="Y77" s="108" t="s">
        <v>216</v>
      </c>
      <c r="Z77" s="108" t="s">
        <v>409</v>
      </c>
      <c r="AA77" s="111">
        <v>35594</v>
      </c>
      <c r="AB77" s="113">
        <v>26</v>
      </c>
      <c r="AC77" s="108" t="s">
        <v>2433</v>
      </c>
      <c r="AD77" s="129" t="s">
        <v>2434</v>
      </c>
      <c r="AE77" s="108" t="s">
        <v>2435</v>
      </c>
      <c r="AF77" s="108"/>
      <c r="AG77" s="108" t="s">
        <v>2436</v>
      </c>
      <c r="AH77" s="114" t="s">
        <v>2437</v>
      </c>
      <c r="AI77" s="115">
        <v>19013666151</v>
      </c>
      <c r="AJ77" s="108" t="s">
        <v>255</v>
      </c>
      <c r="AK77" s="108"/>
      <c r="AL77" s="108"/>
      <c r="AM77" s="108"/>
      <c r="AN77" s="108"/>
      <c r="AO77" s="108"/>
      <c r="AP77" s="108"/>
      <c r="AQ77" s="108"/>
      <c r="AR77" s="108"/>
      <c r="AS77" s="108"/>
      <c r="AT77" s="108">
        <v>0</v>
      </c>
      <c r="AU77" s="108" t="s">
        <v>304</v>
      </c>
      <c r="AV77" s="115"/>
      <c r="AW77" s="108" t="s">
        <v>74</v>
      </c>
      <c r="AX77" s="108" t="s">
        <v>16</v>
      </c>
      <c r="AY77" s="108" t="s">
        <v>331</v>
      </c>
      <c r="AZ77" s="108" t="s">
        <v>2438</v>
      </c>
      <c r="BA77" s="108">
        <v>2015</v>
      </c>
      <c r="BB77" s="108" t="s">
        <v>16</v>
      </c>
      <c r="BC77" s="108" t="s">
        <v>331</v>
      </c>
      <c r="BD77" s="108" t="s">
        <v>2438</v>
      </c>
      <c r="BE77" s="108">
        <v>2015</v>
      </c>
      <c r="BF77" s="116"/>
      <c r="BG77" s="116"/>
      <c r="BH77" s="108"/>
      <c r="BI77" s="108"/>
      <c r="BJ77" s="108">
        <v>42</v>
      </c>
      <c r="BK77" s="111"/>
      <c r="BL77" s="111"/>
      <c r="BM77" s="111"/>
      <c r="BN77" s="111"/>
      <c r="BO77" s="108"/>
      <c r="BP77" s="108"/>
      <c r="BQ77" s="108"/>
      <c r="BR77" s="108" t="s">
        <v>2439</v>
      </c>
      <c r="BS77" s="108"/>
      <c r="BT77" s="108"/>
      <c r="BU77" s="108"/>
      <c r="BV77" s="108"/>
      <c r="BW77" s="108"/>
      <c r="BX77" s="108"/>
      <c r="BY77" s="108"/>
      <c r="BZ77" s="108" t="e">
        <f>VLOOKUP(C77,[1]Sertifikasi!$B$4:$I$19,8,0)</f>
        <v>#N/A</v>
      </c>
    </row>
    <row r="78" spans="1:78" ht="11.25" customHeight="1">
      <c r="A78" s="108"/>
      <c r="B78" s="108">
        <v>274</v>
      </c>
      <c r="C78" s="108" t="s">
        <v>1267</v>
      </c>
      <c r="D78" s="109">
        <v>641805142</v>
      </c>
      <c r="E78" s="131">
        <v>1710004251966</v>
      </c>
      <c r="F78" s="131"/>
      <c r="G78" s="108" t="s">
        <v>71</v>
      </c>
      <c r="H78" s="108" t="s">
        <v>71</v>
      </c>
      <c r="I78" s="111">
        <v>43227</v>
      </c>
      <c r="J78" s="108">
        <v>5</v>
      </c>
      <c r="K78" s="108">
        <v>5</v>
      </c>
      <c r="L78" s="108" t="str">
        <f t="shared" si="2"/>
        <v>PKWT</v>
      </c>
      <c r="M78" s="108"/>
      <c r="N78" s="112">
        <v>45417</v>
      </c>
      <c r="O78" s="108"/>
      <c r="P78" s="108" t="s">
        <v>213</v>
      </c>
      <c r="Q78" s="210" t="s">
        <v>4102</v>
      </c>
      <c r="R78" s="108" t="s">
        <v>575</v>
      </c>
      <c r="S78" s="108" t="s">
        <v>262</v>
      </c>
      <c r="T78" s="108" t="s">
        <v>92</v>
      </c>
      <c r="U78" s="108" t="s">
        <v>276</v>
      </c>
      <c r="V78" s="108" t="s">
        <v>180</v>
      </c>
      <c r="W78" s="108"/>
      <c r="X78" s="108" t="s">
        <v>215</v>
      </c>
      <c r="Y78" s="108" t="s">
        <v>216</v>
      </c>
      <c r="Z78" s="108" t="s">
        <v>182</v>
      </c>
      <c r="AA78" s="111">
        <v>34206</v>
      </c>
      <c r="AB78" s="113">
        <v>30</v>
      </c>
      <c r="AC78" s="108" t="s">
        <v>1268</v>
      </c>
      <c r="AD78" s="129" t="s">
        <v>1269</v>
      </c>
      <c r="AE78" s="108" t="s">
        <v>1270</v>
      </c>
      <c r="AF78" s="108"/>
      <c r="AG78" s="108" t="s">
        <v>1271</v>
      </c>
      <c r="AH78" s="114" t="s">
        <v>1272</v>
      </c>
      <c r="AI78" s="115">
        <v>18035613522</v>
      </c>
      <c r="AJ78" s="108" t="s">
        <v>189</v>
      </c>
      <c r="AK78" s="108" t="s">
        <v>1273</v>
      </c>
      <c r="AL78" s="108" t="s">
        <v>1274</v>
      </c>
      <c r="AM78" s="108" t="s">
        <v>1275</v>
      </c>
      <c r="AN78" s="108"/>
      <c r="AO78" s="108"/>
      <c r="AP78" s="108"/>
      <c r="AQ78" s="108"/>
      <c r="AR78" s="108"/>
      <c r="AS78" s="108"/>
      <c r="AT78" s="108">
        <v>2</v>
      </c>
      <c r="AU78" s="108" t="s">
        <v>330</v>
      </c>
      <c r="AV78" s="115">
        <v>0</v>
      </c>
      <c r="AW78" s="108" t="s">
        <v>74</v>
      </c>
      <c r="AX78" s="108" t="s">
        <v>16</v>
      </c>
      <c r="AY78" s="108" t="s">
        <v>285</v>
      </c>
      <c r="AZ78" s="108" t="s">
        <v>306</v>
      </c>
      <c r="BA78" s="108">
        <v>2012</v>
      </c>
      <c r="BB78" s="108" t="s">
        <v>287</v>
      </c>
      <c r="BC78" s="108" t="s">
        <v>285</v>
      </c>
      <c r="BD78" s="108" t="s">
        <v>306</v>
      </c>
      <c r="BE78" s="108">
        <v>2012</v>
      </c>
      <c r="BF78" s="116"/>
      <c r="BG78" s="116"/>
      <c r="BH78" s="108" t="s">
        <v>241</v>
      </c>
      <c r="BI78" s="108">
        <v>28</v>
      </c>
      <c r="BJ78" s="108">
        <v>39</v>
      </c>
      <c r="BK78" s="111">
        <v>44392</v>
      </c>
      <c r="BL78" s="111"/>
      <c r="BM78" s="111">
        <v>44663</v>
      </c>
      <c r="BN78" s="111"/>
      <c r="BO78" s="108"/>
      <c r="BP78" s="108"/>
      <c r="BQ78" s="108"/>
      <c r="BR78" s="108"/>
      <c r="BS78" s="108"/>
      <c r="BT78" s="108"/>
      <c r="BU78" s="108"/>
      <c r="BV78" s="108"/>
      <c r="BW78" s="108"/>
      <c r="BX78" s="108"/>
      <c r="BY78" s="108"/>
      <c r="BZ78" s="108" t="e">
        <f>VLOOKUP(C78,[1]Sertifikasi!$B$4:$I$19,8,0)</f>
        <v>#N/A</v>
      </c>
    </row>
    <row r="79" spans="1:78" ht="11.25" customHeight="1">
      <c r="A79" s="108"/>
      <c r="B79" s="108">
        <v>168</v>
      </c>
      <c r="C79" s="108" t="s">
        <v>1089</v>
      </c>
      <c r="D79" s="109">
        <v>642001030</v>
      </c>
      <c r="E79" s="131">
        <v>1710004040815</v>
      </c>
      <c r="F79" s="131"/>
      <c r="G79" s="108" t="s">
        <v>71</v>
      </c>
      <c r="H79" s="108" t="s">
        <v>71</v>
      </c>
      <c r="I79" s="111">
        <v>42919</v>
      </c>
      <c r="J79" s="108">
        <v>6</v>
      </c>
      <c r="K79" s="108">
        <v>3</v>
      </c>
      <c r="L79" s="108" t="str">
        <f t="shared" si="2"/>
        <v>PKWT</v>
      </c>
      <c r="M79" s="108"/>
      <c r="N79" s="112">
        <v>45291</v>
      </c>
      <c r="O79" s="108"/>
      <c r="P79" s="108" t="s">
        <v>213</v>
      </c>
      <c r="Q79" s="210" t="s">
        <v>4102</v>
      </c>
      <c r="R79" s="108" t="s">
        <v>259</v>
      </c>
      <c r="S79" s="108" t="s">
        <v>262</v>
      </c>
      <c r="T79" s="108" t="s">
        <v>89</v>
      </c>
      <c r="U79" s="108" t="s">
        <v>199</v>
      </c>
      <c r="V79" s="108" t="s">
        <v>180</v>
      </c>
      <c r="W79" s="108" t="s">
        <v>277</v>
      </c>
      <c r="X79" s="108" t="s">
        <v>215</v>
      </c>
      <c r="Y79" s="108" t="s">
        <v>216</v>
      </c>
      <c r="Z79" s="108" t="s">
        <v>71</v>
      </c>
      <c r="AA79" s="111">
        <v>36089</v>
      </c>
      <c r="AB79" s="113">
        <v>24</v>
      </c>
      <c r="AC79" s="108" t="s">
        <v>1090</v>
      </c>
      <c r="AD79" s="129" t="s">
        <v>1091</v>
      </c>
      <c r="AE79" s="108" t="s">
        <v>1092</v>
      </c>
      <c r="AF79" s="108"/>
      <c r="AG79" s="108" t="s">
        <v>1093</v>
      </c>
      <c r="AH79" s="114" t="s">
        <v>1094</v>
      </c>
      <c r="AI79" s="115">
        <v>17043907694</v>
      </c>
      <c r="AJ79" s="108" t="s">
        <v>255</v>
      </c>
      <c r="AK79" s="108"/>
      <c r="AL79" s="108"/>
      <c r="AM79" s="108"/>
      <c r="AN79" s="108"/>
      <c r="AO79" s="108" t="s">
        <v>1095</v>
      </c>
      <c r="AP79" s="108"/>
      <c r="AQ79" s="108"/>
      <c r="AR79" s="108"/>
      <c r="AS79" s="108"/>
      <c r="AT79" s="108">
        <v>1</v>
      </c>
      <c r="AU79" s="108" t="s">
        <v>646</v>
      </c>
      <c r="AV79" s="115">
        <v>0</v>
      </c>
      <c r="AW79" s="108" t="s">
        <v>74</v>
      </c>
      <c r="AX79" s="108" t="s">
        <v>16</v>
      </c>
      <c r="AY79" s="108" t="s">
        <v>1096</v>
      </c>
      <c r="AZ79" s="108" t="s">
        <v>306</v>
      </c>
      <c r="BA79" s="108">
        <v>2017</v>
      </c>
      <c r="BB79" s="108" t="s">
        <v>287</v>
      </c>
      <c r="BC79" s="108" t="s">
        <v>1096</v>
      </c>
      <c r="BD79" s="108" t="s">
        <v>306</v>
      </c>
      <c r="BE79" s="108">
        <v>2017</v>
      </c>
      <c r="BF79" s="116"/>
      <c r="BG79" s="116"/>
      <c r="BH79" s="108" t="s">
        <v>394</v>
      </c>
      <c r="BI79" s="108">
        <v>36</v>
      </c>
      <c r="BJ79" s="195">
        <v>43</v>
      </c>
      <c r="BK79" s="111"/>
      <c r="BL79" s="111"/>
      <c r="BM79" s="209"/>
      <c r="BN79" s="111"/>
      <c r="BO79" s="108">
        <v>43467</v>
      </c>
      <c r="BP79" s="108">
        <v>43830</v>
      </c>
      <c r="BQ79" s="108" t="s">
        <v>1097</v>
      </c>
      <c r="BR79" s="108" t="s">
        <v>1098</v>
      </c>
      <c r="BS79" s="108"/>
      <c r="BT79" s="108"/>
      <c r="BU79" s="108"/>
      <c r="BV79" s="108"/>
      <c r="BW79" s="108"/>
      <c r="BX79" s="108"/>
      <c r="BY79" s="108"/>
      <c r="BZ79" s="108" t="e">
        <f>VLOOKUP(C79,[1]Sertifikasi!$B$4:$I$19,8,0)</f>
        <v>#N/A</v>
      </c>
    </row>
    <row r="80" spans="1:78" ht="11.25" customHeight="1">
      <c r="A80" s="108"/>
      <c r="B80" s="108">
        <v>214</v>
      </c>
      <c r="C80" s="108" t="s">
        <v>3055</v>
      </c>
      <c r="D80" s="109">
        <v>642307129</v>
      </c>
      <c r="E80" s="131">
        <v>1560021497823</v>
      </c>
      <c r="F80" s="131"/>
      <c r="G80" s="108" t="s">
        <v>71</v>
      </c>
      <c r="H80" s="108" t="s">
        <v>842</v>
      </c>
      <c r="I80" s="111">
        <v>45204</v>
      </c>
      <c r="J80" s="108">
        <v>0</v>
      </c>
      <c r="K80" s="108">
        <v>0</v>
      </c>
      <c r="L80" s="108" t="str">
        <f t="shared" si="2"/>
        <v>PKWT</v>
      </c>
      <c r="M80" s="108"/>
      <c r="N80" s="112">
        <v>45291</v>
      </c>
      <c r="O80" s="108"/>
      <c r="P80" s="108" t="s">
        <v>213</v>
      </c>
      <c r="Q80" s="210" t="s">
        <v>4102</v>
      </c>
      <c r="R80" s="108" t="s">
        <v>259</v>
      </c>
      <c r="S80" s="108" t="s">
        <v>33</v>
      </c>
      <c r="T80" s="108" t="s">
        <v>432</v>
      </c>
      <c r="U80" s="108" t="s">
        <v>199</v>
      </c>
      <c r="V80" s="108" t="s">
        <v>180</v>
      </c>
      <c r="W80" s="108" t="s">
        <v>277</v>
      </c>
      <c r="X80" s="108"/>
      <c r="Y80" s="108" t="s">
        <v>216</v>
      </c>
      <c r="Z80" s="108" t="s">
        <v>842</v>
      </c>
      <c r="AA80" s="111">
        <v>37125</v>
      </c>
      <c r="AB80" s="113">
        <v>22</v>
      </c>
      <c r="AC80" s="108" t="s">
        <v>3056</v>
      </c>
      <c r="AD80" s="129" t="s">
        <v>3057</v>
      </c>
      <c r="AE80" s="108" t="s">
        <v>3058</v>
      </c>
      <c r="AF80" s="108"/>
      <c r="AG80" s="108" t="s">
        <v>3059</v>
      </c>
      <c r="AH80" s="114" t="s">
        <v>3060</v>
      </c>
      <c r="AI80" s="115">
        <v>23156731244</v>
      </c>
      <c r="AJ80" s="108" t="s">
        <v>255</v>
      </c>
      <c r="AK80" s="108"/>
      <c r="AL80" s="108"/>
      <c r="AM80" s="108"/>
      <c r="AN80" s="108"/>
      <c r="AO80" s="108"/>
      <c r="AP80" s="108"/>
      <c r="AQ80" s="108"/>
      <c r="AR80" s="108"/>
      <c r="AS80" s="108"/>
      <c r="AT80" s="108">
        <v>0</v>
      </c>
      <c r="AU80" s="108" t="s">
        <v>304</v>
      </c>
      <c r="AV80" s="115"/>
      <c r="AW80" s="108" t="s">
        <v>74</v>
      </c>
      <c r="AX80" s="108" t="s">
        <v>13</v>
      </c>
      <c r="AY80" s="108" t="s">
        <v>2789</v>
      </c>
      <c r="AZ80" s="108" t="s">
        <v>2472</v>
      </c>
      <c r="BA80" s="108">
        <v>2023</v>
      </c>
      <c r="BB80" s="108" t="s">
        <v>13</v>
      </c>
      <c r="BC80" s="108" t="s">
        <v>2789</v>
      </c>
      <c r="BD80" s="108" t="s">
        <v>2472</v>
      </c>
      <c r="BE80" s="108">
        <v>2023</v>
      </c>
      <c r="BF80" s="116"/>
      <c r="BG80" s="116"/>
      <c r="BH80" s="108"/>
      <c r="BI80" s="108"/>
      <c r="BJ80" s="195"/>
      <c r="BK80" s="111"/>
      <c r="BL80" s="111"/>
      <c r="BM80" s="111"/>
      <c r="BN80" s="111"/>
      <c r="BO80" s="108"/>
      <c r="BP80" s="108"/>
      <c r="BQ80" s="108"/>
      <c r="BR80" s="108"/>
      <c r="BS80" s="108"/>
      <c r="BT80" s="108"/>
      <c r="BU80" s="108"/>
      <c r="BV80" s="108"/>
      <c r="BW80" s="108"/>
      <c r="BX80" s="108"/>
      <c r="BY80" s="108"/>
      <c r="BZ80" s="108" t="e">
        <f>VLOOKUP(C80,[1]Sertifikasi!$B$4:$I$19,8,0)</f>
        <v>#N/A</v>
      </c>
    </row>
    <row r="81" spans="1:78" ht="11.25" customHeight="1">
      <c r="A81" s="108"/>
      <c r="B81" s="108">
        <v>197</v>
      </c>
      <c r="C81" s="108" t="s">
        <v>2539</v>
      </c>
      <c r="D81" s="109">
        <v>642201141</v>
      </c>
      <c r="E81" s="131">
        <v>1760000962892</v>
      </c>
      <c r="F81" s="131"/>
      <c r="G81" s="108" t="s">
        <v>259</v>
      </c>
      <c r="H81" s="108" t="s">
        <v>259</v>
      </c>
      <c r="I81" s="111">
        <v>44578</v>
      </c>
      <c r="J81" s="108">
        <v>1</v>
      </c>
      <c r="K81" s="108">
        <v>8</v>
      </c>
      <c r="L81" s="108" t="str">
        <f t="shared" si="2"/>
        <v>PKWT</v>
      </c>
      <c r="M81" s="108"/>
      <c r="N81" s="112">
        <v>45291</v>
      </c>
      <c r="O81" s="108"/>
      <c r="P81" s="108" t="s">
        <v>213</v>
      </c>
      <c r="Q81" s="210" t="s">
        <v>4102</v>
      </c>
      <c r="R81" s="108" t="s">
        <v>259</v>
      </c>
      <c r="S81" s="108" t="s">
        <v>262</v>
      </c>
      <c r="T81" s="108" t="s">
        <v>432</v>
      </c>
      <c r="U81" s="108" t="s">
        <v>199</v>
      </c>
      <c r="V81" s="108" t="s">
        <v>180</v>
      </c>
      <c r="W81" s="108"/>
      <c r="X81" s="108"/>
      <c r="Y81" s="108" t="s">
        <v>216</v>
      </c>
      <c r="Z81" s="108" t="s">
        <v>409</v>
      </c>
      <c r="AA81" s="111">
        <v>36432</v>
      </c>
      <c r="AB81" s="113">
        <v>24</v>
      </c>
      <c r="AC81" s="108" t="s">
        <v>2540</v>
      </c>
      <c r="AD81" s="129" t="s">
        <v>2541</v>
      </c>
      <c r="AE81" s="108" t="s">
        <v>2542</v>
      </c>
      <c r="AF81" s="108"/>
      <c r="AG81" s="108" t="s">
        <v>2543</v>
      </c>
      <c r="AH81" s="114" t="s">
        <v>2544</v>
      </c>
      <c r="AI81" s="115">
        <v>22017333828</v>
      </c>
      <c r="AJ81" s="108" t="s">
        <v>255</v>
      </c>
      <c r="AK81" s="108"/>
      <c r="AL81" s="108"/>
      <c r="AM81" s="108"/>
      <c r="AN81" s="108"/>
      <c r="AO81" s="108"/>
      <c r="AP81" s="108"/>
      <c r="AQ81" s="108"/>
      <c r="AR81" s="108"/>
      <c r="AS81" s="108"/>
      <c r="AT81" s="108">
        <v>0</v>
      </c>
      <c r="AU81" s="108" t="s">
        <v>304</v>
      </c>
      <c r="AV81" s="115"/>
      <c r="AW81" s="108" t="s">
        <v>74</v>
      </c>
      <c r="AX81" s="108" t="s">
        <v>16</v>
      </c>
      <c r="AY81" s="108" t="s">
        <v>226</v>
      </c>
      <c r="AZ81" s="108" t="s">
        <v>2545</v>
      </c>
      <c r="BA81" s="108">
        <v>2017</v>
      </c>
      <c r="BB81" s="108" t="s">
        <v>16</v>
      </c>
      <c r="BC81" s="108" t="s">
        <v>226</v>
      </c>
      <c r="BD81" s="108" t="s">
        <v>2545</v>
      </c>
      <c r="BE81" s="108">
        <v>2017</v>
      </c>
      <c r="BF81" s="116"/>
      <c r="BG81" s="116"/>
      <c r="BH81" s="108"/>
      <c r="BI81" s="108"/>
      <c r="BJ81" s="108">
        <v>43</v>
      </c>
      <c r="BK81" s="111"/>
      <c r="BL81" s="111"/>
      <c r="BM81" s="209"/>
      <c r="BN81" s="111"/>
      <c r="BO81" s="108"/>
      <c r="BP81" s="108"/>
      <c r="BQ81" s="108"/>
      <c r="BR81" s="108" t="s">
        <v>2546</v>
      </c>
      <c r="BS81" s="108"/>
      <c r="BT81" s="108"/>
      <c r="BU81" s="108"/>
      <c r="BV81" s="108"/>
      <c r="BW81" s="108"/>
      <c r="BX81" s="108"/>
      <c r="BY81" s="108"/>
      <c r="BZ81" s="108" t="e">
        <f>VLOOKUP(C81,[1]Sertifikasi!$B$4:$I$19,8,0)</f>
        <v>#N/A</v>
      </c>
    </row>
    <row r="82" spans="1:78" ht="11.25" customHeight="1">
      <c r="A82" s="108"/>
      <c r="B82" s="108">
        <v>275</v>
      </c>
      <c r="C82" s="108" t="s">
        <v>1664</v>
      </c>
      <c r="D82" s="109">
        <v>641810195</v>
      </c>
      <c r="E82" s="131">
        <v>1710004811033</v>
      </c>
      <c r="F82" s="131"/>
      <c r="G82" s="108" t="s">
        <v>575</v>
      </c>
      <c r="H82" s="108" t="s">
        <v>575</v>
      </c>
      <c r="I82" s="111">
        <v>43395</v>
      </c>
      <c r="J82" s="108">
        <v>4</v>
      </c>
      <c r="K82" s="108">
        <v>11</v>
      </c>
      <c r="L82" s="108" t="str">
        <f t="shared" si="2"/>
        <v>PKWT</v>
      </c>
      <c r="M82" s="108"/>
      <c r="N82" s="112">
        <v>45586</v>
      </c>
      <c r="O82" s="108"/>
      <c r="P82" s="108" t="s">
        <v>213</v>
      </c>
      <c r="Q82" s="210" t="s">
        <v>4102</v>
      </c>
      <c r="R82" s="108" t="s">
        <v>575</v>
      </c>
      <c r="S82" s="108" t="s">
        <v>262</v>
      </c>
      <c r="T82" s="108" t="s">
        <v>92</v>
      </c>
      <c r="U82" s="108" t="s">
        <v>276</v>
      </c>
      <c r="V82" s="108" t="s">
        <v>180</v>
      </c>
      <c r="W82" s="108"/>
      <c r="X82" s="108" t="s">
        <v>215</v>
      </c>
      <c r="Y82" s="108" t="s">
        <v>216</v>
      </c>
      <c r="Z82" s="108" t="s">
        <v>575</v>
      </c>
      <c r="AA82" s="111">
        <v>36586</v>
      </c>
      <c r="AB82" s="113">
        <v>23</v>
      </c>
      <c r="AC82" s="108" t="s">
        <v>1665</v>
      </c>
      <c r="AD82" s="129" t="s">
        <v>1666</v>
      </c>
      <c r="AE82" s="108" t="s">
        <v>1667</v>
      </c>
      <c r="AF82" s="108"/>
      <c r="AG82" s="108" t="s">
        <v>1668</v>
      </c>
      <c r="AH82" s="114" t="s">
        <v>1669</v>
      </c>
      <c r="AI82" s="115">
        <v>18099947600</v>
      </c>
      <c r="AJ82" s="108" t="s">
        <v>255</v>
      </c>
      <c r="AK82" s="108"/>
      <c r="AL82" s="108"/>
      <c r="AM82" s="108"/>
      <c r="AN82" s="108"/>
      <c r="AO82" s="108"/>
      <c r="AP82" s="108"/>
      <c r="AQ82" s="108"/>
      <c r="AR82" s="108"/>
      <c r="AS82" s="108"/>
      <c r="AT82" s="108">
        <v>0</v>
      </c>
      <c r="AU82" s="108" t="s">
        <v>304</v>
      </c>
      <c r="AV82" s="115">
        <v>0</v>
      </c>
      <c r="AW82" s="108" t="s">
        <v>74</v>
      </c>
      <c r="AX82" s="108" t="s">
        <v>16</v>
      </c>
      <c r="AY82" s="108" t="s">
        <v>285</v>
      </c>
      <c r="AZ82" s="108" t="s">
        <v>1449</v>
      </c>
      <c r="BA82" s="108">
        <v>2018</v>
      </c>
      <c r="BB82" s="108" t="s">
        <v>287</v>
      </c>
      <c r="BC82" s="108" t="s">
        <v>285</v>
      </c>
      <c r="BD82" s="108" t="s">
        <v>1449</v>
      </c>
      <c r="BE82" s="108">
        <v>2018</v>
      </c>
      <c r="BF82" s="116"/>
      <c r="BG82" s="116"/>
      <c r="BH82" s="108" t="s">
        <v>345</v>
      </c>
      <c r="BI82" s="108">
        <v>31</v>
      </c>
      <c r="BJ82" s="195">
        <v>41</v>
      </c>
      <c r="BK82" s="111"/>
      <c r="BL82" s="111"/>
      <c r="BM82" s="209"/>
      <c r="BN82" s="111"/>
      <c r="BO82" s="108"/>
      <c r="BP82" s="108"/>
      <c r="BQ82" s="108"/>
      <c r="BR82" s="108"/>
      <c r="BS82" s="108"/>
      <c r="BT82" s="108"/>
      <c r="BU82" s="108"/>
      <c r="BV82" s="108"/>
      <c r="BW82" s="108"/>
      <c r="BX82" s="108"/>
      <c r="BY82" s="108"/>
      <c r="BZ82" s="108" t="e">
        <f>VLOOKUP(C82,[1]Sertifikasi!$B$4:$I$19,8,0)</f>
        <v>#N/A</v>
      </c>
    </row>
    <row r="83" spans="1:78" ht="11.25" customHeight="1">
      <c r="A83" s="108"/>
      <c r="B83" s="108">
        <v>130</v>
      </c>
      <c r="C83" s="108" t="s">
        <v>4108</v>
      </c>
      <c r="D83" s="109">
        <v>642201164</v>
      </c>
      <c r="E83" s="131">
        <v>1710011552737</v>
      </c>
      <c r="F83" s="131"/>
      <c r="G83" s="108" t="s">
        <v>71</v>
      </c>
      <c r="H83" s="108" t="s">
        <v>71</v>
      </c>
      <c r="I83" s="111">
        <v>44699</v>
      </c>
      <c r="J83" s="108">
        <v>1</v>
      </c>
      <c r="K83" s="108">
        <v>4</v>
      </c>
      <c r="L83" s="108" t="str">
        <f t="shared" si="2"/>
        <v>PKWT</v>
      </c>
      <c r="M83" s="108"/>
      <c r="N83" s="112">
        <v>45429</v>
      </c>
      <c r="O83" s="108"/>
      <c r="P83" s="108" t="s">
        <v>213</v>
      </c>
      <c r="Q83" s="210" t="s">
        <v>4102</v>
      </c>
      <c r="R83" s="108" t="s">
        <v>409</v>
      </c>
      <c r="S83" s="108" t="s">
        <v>33</v>
      </c>
      <c r="T83" s="108" t="s">
        <v>88</v>
      </c>
      <c r="U83" s="108" t="s">
        <v>199</v>
      </c>
      <c r="V83" s="108" t="s">
        <v>180</v>
      </c>
      <c r="W83" s="108"/>
      <c r="X83" s="108"/>
      <c r="Y83" s="108" t="s">
        <v>216</v>
      </c>
      <c r="Z83" s="108" t="s">
        <v>71</v>
      </c>
      <c r="AA83" s="111">
        <v>35535</v>
      </c>
      <c r="AB83" s="113">
        <v>26</v>
      </c>
      <c r="AC83" s="108" t="s">
        <v>2741</v>
      </c>
      <c r="AD83" s="129" t="s">
        <v>2742</v>
      </c>
      <c r="AE83" s="108" t="s">
        <v>2743</v>
      </c>
      <c r="AF83" s="108"/>
      <c r="AG83" s="108" t="s">
        <v>2744</v>
      </c>
      <c r="AH83" s="114" t="s">
        <v>2745</v>
      </c>
      <c r="AI83" s="115">
        <v>22063660728</v>
      </c>
      <c r="AJ83" s="108" t="s">
        <v>255</v>
      </c>
      <c r="AK83" s="108"/>
      <c r="AL83" s="108"/>
      <c r="AM83" s="108"/>
      <c r="AN83" s="108"/>
      <c r="AO83" s="108"/>
      <c r="AP83" s="108"/>
      <c r="AQ83" s="108"/>
      <c r="AR83" s="108"/>
      <c r="AS83" s="108"/>
      <c r="AT83" s="108">
        <v>0</v>
      </c>
      <c r="AU83" s="108" t="s">
        <v>304</v>
      </c>
      <c r="AV83" s="115"/>
      <c r="AW83" s="108" t="s">
        <v>74</v>
      </c>
      <c r="AX83" s="108" t="s">
        <v>16</v>
      </c>
      <c r="AY83" s="108" t="s">
        <v>2746</v>
      </c>
      <c r="AZ83" s="108" t="s">
        <v>306</v>
      </c>
      <c r="BA83" s="108">
        <v>2016</v>
      </c>
      <c r="BB83" s="108" t="s">
        <v>16</v>
      </c>
      <c r="BC83" s="108" t="s">
        <v>2746</v>
      </c>
      <c r="BD83" s="108" t="s">
        <v>306</v>
      </c>
      <c r="BE83" s="108">
        <v>2016</v>
      </c>
      <c r="BF83" s="116"/>
      <c r="BG83" s="116"/>
      <c r="BH83" s="108"/>
      <c r="BI83" s="108"/>
      <c r="BJ83" s="108">
        <v>40</v>
      </c>
      <c r="BK83" s="111"/>
      <c r="BL83" s="111"/>
      <c r="BM83" s="111"/>
      <c r="BN83" s="111"/>
      <c r="BO83" s="108"/>
      <c r="BP83" s="108"/>
      <c r="BQ83" s="108"/>
      <c r="BR83" s="108" t="s">
        <v>2747</v>
      </c>
      <c r="BS83" s="108"/>
      <c r="BT83" s="108"/>
      <c r="BU83" s="108"/>
      <c r="BV83" s="108"/>
      <c r="BW83" s="108"/>
      <c r="BX83" s="108"/>
      <c r="BY83" s="108"/>
      <c r="BZ83" s="108" t="e">
        <f>VLOOKUP(C83,[1]Sertifikasi!$B$4:$I$19,8,0)</f>
        <v>#N/A</v>
      </c>
    </row>
    <row r="84" spans="1:78" ht="11.25" customHeight="1">
      <c r="A84" s="108"/>
      <c r="B84" s="108">
        <v>28</v>
      </c>
      <c r="C84" s="108" t="s">
        <v>1058</v>
      </c>
      <c r="D84" s="109">
        <v>972000053</v>
      </c>
      <c r="E84" s="131">
        <v>1710003987792</v>
      </c>
      <c r="F84" s="131"/>
      <c r="G84" s="113" t="s">
        <v>71</v>
      </c>
      <c r="H84" s="108" t="s">
        <v>71</v>
      </c>
      <c r="I84" s="111">
        <v>42919</v>
      </c>
      <c r="J84" s="108">
        <f ca="1">DATEDIF(I84,$C$3,"y")</f>
        <v>6</v>
      </c>
      <c r="K84" s="108">
        <f ca="1">DATEDIF(I84,$C$3,"ym")</f>
        <v>4</v>
      </c>
      <c r="L84" s="108" t="str">
        <f t="shared" si="2"/>
        <v>Tetap</v>
      </c>
      <c r="M84" s="108" t="s">
        <v>587</v>
      </c>
      <c r="N84" s="112">
        <v>43899</v>
      </c>
      <c r="O84" s="111"/>
      <c r="P84" s="108" t="s">
        <v>261</v>
      </c>
      <c r="Q84" s="210" t="s">
        <v>4100</v>
      </c>
      <c r="R84" s="108" t="s">
        <v>4099</v>
      </c>
      <c r="S84" s="108" t="s">
        <v>854</v>
      </c>
      <c r="T84" s="108" t="s">
        <v>854</v>
      </c>
      <c r="U84" s="108" t="s">
        <v>199</v>
      </c>
      <c r="V84" s="108" t="s">
        <v>180</v>
      </c>
      <c r="W84" s="108" t="s">
        <v>277</v>
      </c>
      <c r="X84" s="108"/>
      <c r="Y84" s="108" t="s">
        <v>59</v>
      </c>
      <c r="Z84" s="108" t="s">
        <v>71</v>
      </c>
      <c r="AA84" s="111">
        <v>33263</v>
      </c>
      <c r="AB84" s="113">
        <f ca="1">DATEDIF(AA84,$C$3,"y")</f>
        <v>32</v>
      </c>
      <c r="AC84" s="138" t="s">
        <v>1059</v>
      </c>
      <c r="AD84" s="129" t="s">
        <v>1060</v>
      </c>
      <c r="AE84" s="113"/>
      <c r="AF84" s="113"/>
      <c r="AG84" s="108" t="s">
        <v>1061</v>
      </c>
      <c r="AH84" s="136" t="s">
        <v>1062</v>
      </c>
      <c r="AI84" s="115">
        <v>17043907900</v>
      </c>
      <c r="AJ84" s="108" t="s">
        <v>189</v>
      </c>
      <c r="AK84" s="108" t="s">
        <v>1063</v>
      </c>
      <c r="AL84" s="108" t="s">
        <v>1064</v>
      </c>
      <c r="AM84" s="108"/>
      <c r="AN84" s="108"/>
      <c r="AO84" s="108"/>
      <c r="AP84" s="108"/>
      <c r="AQ84" s="108"/>
      <c r="AR84" s="108"/>
      <c r="AS84" s="108"/>
      <c r="AT84" s="108">
        <f>COUNTA(AL84:AO84)</f>
        <v>1</v>
      </c>
      <c r="AU84" s="108" t="str">
        <f>IF(AJ84="Menikah","K","TK")&amp;"/"&amp;AT84</f>
        <v>K/1</v>
      </c>
      <c r="AV84" s="131">
        <v>940664816621000</v>
      </c>
      <c r="AW84" s="113" t="s">
        <v>74</v>
      </c>
      <c r="AX84" s="108" t="s">
        <v>13</v>
      </c>
      <c r="AY84" s="108" t="s">
        <v>210</v>
      </c>
      <c r="AZ84" s="108" t="s">
        <v>482</v>
      </c>
      <c r="BA84" s="108">
        <v>2014</v>
      </c>
      <c r="BB84" s="108" t="s">
        <v>13</v>
      </c>
      <c r="BC84" s="108" t="s">
        <v>210</v>
      </c>
      <c r="BD84" s="108" t="s">
        <v>482</v>
      </c>
      <c r="BE84" s="108">
        <v>2014</v>
      </c>
      <c r="BF84" s="116">
        <v>53395</v>
      </c>
      <c r="BG84" s="116">
        <v>53760</v>
      </c>
      <c r="BH84" s="132"/>
      <c r="BI84" s="108"/>
      <c r="BJ84" s="137"/>
      <c r="BK84" s="111">
        <v>44259</v>
      </c>
      <c r="BL84" s="111">
        <v>44304</v>
      </c>
      <c r="BM84" s="111">
        <v>44600</v>
      </c>
      <c r="BN84" s="111"/>
      <c r="BO84" s="108"/>
      <c r="BP84" s="108"/>
      <c r="BQ84" s="108"/>
      <c r="BR84" s="108"/>
      <c r="BS84" s="108"/>
      <c r="BT84" s="108"/>
      <c r="BU84" s="108"/>
      <c r="BV84" s="108"/>
      <c r="BW84" s="108"/>
      <c r="BX84" s="108"/>
      <c r="BY84" s="108"/>
      <c r="BZ84" s="108" t="str">
        <f>VLOOKUP(C84,[1]Sertifikasi!$B$4:$I$19,8,0)</f>
        <v>Pembinaan Dan Sertifikasi Calon Ahli K3 Umum</v>
      </c>
    </row>
    <row r="85" spans="1:78" ht="11.25" customHeight="1">
      <c r="A85" s="108"/>
      <c r="B85" s="108">
        <v>215</v>
      </c>
      <c r="C85" s="108" t="s">
        <v>950</v>
      </c>
      <c r="D85" s="109">
        <v>642001044</v>
      </c>
      <c r="E85" s="131">
        <v>1710003987370</v>
      </c>
      <c r="F85" s="131"/>
      <c r="G85" s="108" t="s">
        <v>71</v>
      </c>
      <c r="H85" s="108" t="s">
        <v>71</v>
      </c>
      <c r="I85" s="111">
        <v>42857</v>
      </c>
      <c r="J85" s="108">
        <v>6</v>
      </c>
      <c r="K85" s="108">
        <v>5</v>
      </c>
      <c r="L85" s="108" t="str">
        <f t="shared" si="2"/>
        <v>PKWT</v>
      </c>
      <c r="M85" s="108"/>
      <c r="N85" s="112">
        <v>45291</v>
      </c>
      <c r="O85" s="108"/>
      <c r="P85" s="108" t="s">
        <v>213</v>
      </c>
      <c r="Q85" s="210" t="s">
        <v>4102</v>
      </c>
      <c r="R85" s="108" t="s">
        <v>259</v>
      </c>
      <c r="S85" s="108" t="s">
        <v>33</v>
      </c>
      <c r="T85" s="108" t="s">
        <v>432</v>
      </c>
      <c r="U85" s="108" t="s">
        <v>199</v>
      </c>
      <c r="V85" s="108" t="s">
        <v>180</v>
      </c>
      <c r="W85" s="108"/>
      <c r="X85" s="108" t="s">
        <v>215</v>
      </c>
      <c r="Y85" s="108" t="s">
        <v>216</v>
      </c>
      <c r="Z85" s="108" t="s">
        <v>71</v>
      </c>
      <c r="AA85" s="111">
        <v>32977</v>
      </c>
      <c r="AB85" s="113">
        <v>33</v>
      </c>
      <c r="AC85" s="108" t="s">
        <v>951</v>
      </c>
      <c r="AD85" s="129" t="s">
        <v>952</v>
      </c>
      <c r="AE85" s="108" t="s">
        <v>953</v>
      </c>
      <c r="AF85" s="108"/>
      <c r="AG85" s="108" t="s">
        <v>954</v>
      </c>
      <c r="AH85" s="114" t="s">
        <v>955</v>
      </c>
      <c r="AI85" s="115">
        <v>17043907751</v>
      </c>
      <c r="AJ85" s="108" t="s">
        <v>189</v>
      </c>
      <c r="AK85" s="108" t="s">
        <v>956</v>
      </c>
      <c r="AL85" s="108" t="s">
        <v>957</v>
      </c>
      <c r="AM85" s="108"/>
      <c r="AN85" s="108"/>
      <c r="AO85" s="108"/>
      <c r="AP85" s="108"/>
      <c r="AQ85" s="108"/>
      <c r="AR85" s="108"/>
      <c r="AS85" s="108"/>
      <c r="AT85" s="108">
        <v>1</v>
      </c>
      <c r="AU85" s="108" t="s">
        <v>225</v>
      </c>
      <c r="AV85" s="115">
        <v>0</v>
      </c>
      <c r="AW85" s="108" t="s">
        <v>74</v>
      </c>
      <c r="AX85" s="108" t="s">
        <v>16</v>
      </c>
      <c r="AY85" s="108" t="s">
        <v>210</v>
      </c>
      <c r="AZ85" s="108" t="s">
        <v>319</v>
      </c>
      <c r="BA85" s="108">
        <v>2007</v>
      </c>
      <c r="BB85" s="108" t="s">
        <v>287</v>
      </c>
      <c r="BC85" s="108" t="s">
        <v>210</v>
      </c>
      <c r="BD85" s="108" t="s">
        <v>319</v>
      </c>
      <c r="BE85" s="108">
        <v>2007</v>
      </c>
      <c r="BF85" s="116"/>
      <c r="BG85" s="116"/>
      <c r="BH85" s="108" t="s">
        <v>345</v>
      </c>
      <c r="BI85" s="108">
        <v>36</v>
      </c>
      <c r="BJ85" s="108">
        <v>42</v>
      </c>
      <c r="BK85" s="111"/>
      <c r="BL85" s="111"/>
      <c r="BM85" s="111">
        <v>44674</v>
      </c>
      <c r="BN85" s="111"/>
      <c r="BO85" s="108">
        <v>43467</v>
      </c>
      <c r="BP85" s="108">
        <v>43830</v>
      </c>
      <c r="BQ85" s="108" t="s">
        <v>958</v>
      </c>
      <c r="BR85" s="108" t="s">
        <v>959</v>
      </c>
      <c r="BS85" s="108"/>
      <c r="BT85" s="108"/>
      <c r="BU85" s="108"/>
      <c r="BV85" s="108"/>
      <c r="BW85" s="108"/>
      <c r="BX85" s="108"/>
      <c r="BY85" s="108"/>
      <c r="BZ85" s="108" t="e">
        <f>VLOOKUP(C85,[1]Sertifikasi!$B$4:$I$19,8,0)</f>
        <v>#N/A</v>
      </c>
    </row>
    <row r="86" spans="1:78" ht="11.25" customHeight="1">
      <c r="A86" s="108"/>
      <c r="B86" s="108">
        <v>32</v>
      </c>
      <c r="C86" s="108" t="s">
        <v>852</v>
      </c>
      <c r="D86" s="109">
        <v>971900027</v>
      </c>
      <c r="E86" s="131">
        <v>1710003986992</v>
      </c>
      <c r="F86" s="131"/>
      <c r="G86" s="113" t="s">
        <v>71</v>
      </c>
      <c r="H86" s="108" t="s">
        <v>71</v>
      </c>
      <c r="I86" s="111">
        <v>42767</v>
      </c>
      <c r="J86" s="108">
        <f ca="1">DATEDIF(I86,$C$3,"y")</f>
        <v>6</v>
      </c>
      <c r="K86" s="108">
        <f ca="1">DATEDIF(I86,$C$3,"ym")</f>
        <v>9</v>
      </c>
      <c r="L86" s="108" t="str">
        <f t="shared" si="2"/>
        <v>Tetap</v>
      </c>
      <c r="M86" s="108" t="s">
        <v>853</v>
      </c>
      <c r="N86" s="116">
        <v>43497</v>
      </c>
      <c r="O86" s="111"/>
      <c r="P86" s="108" t="s">
        <v>261</v>
      </c>
      <c r="Q86" s="210" t="s">
        <v>4100</v>
      </c>
      <c r="R86" s="108" t="s">
        <v>4099</v>
      </c>
      <c r="S86" s="108" t="s">
        <v>854</v>
      </c>
      <c r="T86" s="108" t="s">
        <v>854</v>
      </c>
      <c r="U86" s="108" t="s">
        <v>276</v>
      </c>
      <c r="V86" s="108" t="s">
        <v>180</v>
      </c>
      <c r="W86" s="108"/>
      <c r="X86" s="108"/>
      <c r="Y86" s="108" t="s">
        <v>59</v>
      </c>
      <c r="Z86" s="108" t="s">
        <v>433</v>
      </c>
      <c r="AA86" s="111">
        <v>33268</v>
      </c>
      <c r="AB86" s="113">
        <f ca="1">DATEDIF(AA86,$C$3,"y")</f>
        <v>32</v>
      </c>
      <c r="AC86" s="108" t="s">
        <v>855</v>
      </c>
      <c r="AD86" s="129" t="s">
        <v>856</v>
      </c>
      <c r="AE86" s="108" t="s">
        <v>857</v>
      </c>
      <c r="AF86" s="108"/>
      <c r="AG86" s="130" t="s">
        <v>858</v>
      </c>
      <c r="AH86" s="114" t="s">
        <v>859</v>
      </c>
      <c r="AI86" s="115">
        <v>17028637720</v>
      </c>
      <c r="AJ86" s="108" t="s">
        <v>189</v>
      </c>
      <c r="AK86" s="108" t="s">
        <v>860</v>
      </c>
      <c r="AL86" s="108" t="s">
        <v>861</v>
      </c>
      <c r="AM86" s="108" t="s">
        <v>862</v>
      </c>
      <c r="AN86" s="108"/>
      <c r="AO86" s="108"/>
      <c r="AP86" s="108"/>
      <c r="AQ86" s="108"/>
      <c r="AR86" s="108"/>
      <c r="AS86" s="108"/>
      <c r="AT86" s="108">
        <f>COUNTA(AL86:AO86)</f>
        <v>2</v>
      </c>
      <c r="AU86" s="108" t="str">
        <f>IF(AJ86="Menikah","K","TK")&amp;"/"&amp;AT86</f>
        <v>K/2</v>
      </c>
      <c r="AV86" s="131">
        <v>804061042646000</v>
      </c>
      <c r="AW86" s="113" t="s">
        <v>74</v>
      </c>
      <c r="AX86" s="108" t="s">
        <v>12</v>
      </c>
      <c r="AY86" s="108" t="s">
        <v>226</v>
      </c>
      <c r="AZ86" s="108" t="s">
        <v>271</v>
      </c>
      <c r="BA86" s="108">
        <v>2010</v>
      </c>
      <c r="BB86" s="108" t="s">
        <v>12</v>
      </c>
      <c r="BC86" s="108" t="s">
        <v>226</v>
      </c>
      <c r="BD86" s="108" t="s">
        <v>271</v>
      </c>
      <c r="BE86" s="108">
        <v>2010</v>
      </c>
      <c r="BF86" s="116">
        <v>53359</v>
      </c>
      <c r="BG86" s="116">
        <v>53724</v>
      </c>
      <c r="BH86" s="132"/>
      <c r="BI86" s="108"/>
      <c r="BJ86" s="207"/>
      <c r="BK86" s="111"/>
      <c r="BL86" s="111"/>
      <c r="BM86" s="111">
        <v>44737</v>
      </c>
      <c r="BN86" s="111"/>
      <c r="BO86" s="108"/>
      <c r="BP86" s="108"/>
      <c r="BQ86" s="108"/>
      <c r="BR86" s="108"/>
      <c r="BS86" s="108"/>
      <c r="BT86" s="108"/>
      <c r="BU86" s="108"/>
      <c r="BV86" s="108"/>
      <c r="BW86" s="108"/>
      <c r="BX86" s="108"/>
      <c r="BY86" s="108"/>
      <c r="BZ86" s="108" t="str">
        <f>VLOOKUP(C86,[1]Sertifikasi!$B$4:$I$19,8,0)</f>
        <v>Pembinaan Dan Sertifikasi Calon Ahli K3 Umum</v>
      </c>
    </row>
    <row r="87" spans="1:78" ht="11.25" customHeight="1">
      <c r="A87" s="108"/>
      <c r="B87" s="108">
        <v>216</v>
      </c>
      <c r="C87" s="108" t="s">
        <v>1358</v>
      </c>
      <c r="D87" s="109">
        <v>641807165</v>
      </c>
      <c r="E87" s="131">
        <v>1710004387596</v>
      </c>
      <c r="F87" s="131"/>
      <c r="G87" s="108" t="s">
        <v>71</v>
      </c>
      <c r="H87" s="108" t="s">
        <v>842</v>
      </c>
      <c r="I87" s="111">
        <v>43282</v>
      </c>
      <c r="J87" s="108">
        <v>5</v>
      </c>
      <c r="K87" s="108">
        <v>3</v>
      </c>
      <c r="L87" s="108" t="str">
        <f t="shared" si="2"/>
        <v>PKWT</v>
      </c>
      <c r="M87" s="108"/>
      <c r="N87" s="112">
        <v>45291</v>
      </c>
      <c r="O87" s="108"/>
      <c r="P87" s="108" t="s">
        <v>213</v>
      </c>
      <c r="Q87" s="210" t="s">
        <v>4102</v>
      </c>
      <c r="R87" s="108" t="s">
        <v>259</v>
      </c>
      <c r="S87" s="108" t="s">
        <v>33</v>
      </c>
      <c r="T87" s="108" t="s">
        <v>432</v>
      </c>
      <c r="U87" s="108" t="s">
        <v>199</v>
      </c>
      <c r="V87" s="108" t="s">
        <v>180</v>
      </c>
      <c r="W87" s="108" t="s">
        <v>931</v>
      </c>
      <c r="X87" s="108" t="s">
        <v>215</v>
      </c>
      <c r="Y87" s="108" t="s">
        <v>216</v>
      </c>
      <c r="Z87" s="108" t="s">
        <v>1359</v>
      </c>
      <c r="AA87" s="111">
        <v>35890</v>
      </c>
      <c r="AB87" s="113">
        <v>25</v>
      </c>
      <c r="AC87" s="108" t="s">
        <v>1360</v>
      </c>
      <c r="AD87" s="129" t="s">
        <v>1361</v>
      </c>
      <c r="AE87" s="108" t="s">
        <v>1362</v>
      </c>
      <c r="AF87" s="108"/>
      <c r="AG87" s="108" t="s">
        <v>1363</v>
      </c>
      <c r="AH87" s="114" t="s">
        <v>1364</v>
      </c>
      <c r="AI87" s="115">
        <v>18056172028</v>
      </c>
      <c r="AJ87" s="108" t="s">
        <v>255</v>
      </c>
      <c r="AK87" s="108"/>
      <c r="AL87" s="108"/>
      <c r="AM87" s="108"/>
      <c r="AN87" s="108"/>
      <c r="AO87" s="108"/>
      <c r="AP87" s="108"/>
      <c r="AQ87" s="108"/>
      <c r="AR87" s="108"/>
      <c r="AS87" s="108"/>
      <c r="AT87" s="108">
        <v>0</v>
      </c>
      <c r="AU87" s="108" t="s">
        <v>304</v>
      </c>
      <c r="AV87" s="115">
        <v>0</v>
      </c>
      <c r="AW87" s="108" t="s">
        <v>74</v>
      </c>
      <c r="AX87" s="108" t="s">
        <v>16</v>
      </c>
      <c r="AY87" s="108" t="s">
        <v>331</v>
      </c>
      <c r="AZ87" s="108" t="s">
        <v>1365</v>
      </c>
      <c r="BA87" s="108">
        <v>2017</v>
      </c>
      <c r="BB87" s="108" t="s">
        <v>287</v>
      </c>
      <c r="BC87" s="108" t="s">
        <v>331</v>
      </c>
      <c r="BD87" s="108" t="s">
        <v>1365</v>
      </c>
      <c r="BE87" s="108">
        <v>2017</v>
      </c>
      <c r="BF87" s="116"/>
      <c r="BG87" s="116"/>
      <c r="BH87" s="108" t="s">
        <v>394</v>
      </c>
      <c r="BI87" s="108">
        <v>36</v>
      </c>
      <c r="BJ87" s="108">
        <v>43</v>
      </c>
      <c r="BK87" s="111"/>
      <c r="BL87" s="111"/>
      <c r="BM87" s="111"/>
      <c r="BN87" s="111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 t="e">
        <f>VLOOKUP(C87,[1]Sertifikasi!$B$4:$I$19,8,0)</f>
        <v>#N/A</v>
      </c>
    </row>
    <row r="88" spans="1:78" ht="11.25" customHeight="1">
      <c r="A88" s="108"/>
      <c r="B88" s="108">
        <v>36</v>
      </c>
      <c r="C88" s="108" t="s">
        <v>1485</v>
      </c>
      <c r="D88" s="109">
        <v>971900039</v>
      </c>
      <c r="E88" s="131">
        <v>1710004667443</v>
      </c>
      <c r="F88" s="131"/>
      <c r="G88" s="113" t="s">
        <v>71</v>
      </c>
      <c r="H88" s="108" t="s">
        <v>71</v>
      </c>
      <c r="I88" s="111">
        <v>43346</v>
      </c>
      <c r="J88" s="108">
        <f ca="1">DATEDIF(I88,$C$3,"y")</f>
        <v>5</v>
      </c>
      <c r="K88" s="108">
        <f ca="1">DATEDIF(I88,$C$3,"ym")</f>
        <v>2</v>
      </c>
      <c r="L88" s="108" t="str">
        <f t="shared" si="2"/>
        <v>Tetap</v>
      </c>
      <c r="M88" s="108" t="s">
        <v>1451</v>
      </c>
      <c r="N88" s="112">
        <v>43683</v>
      </c>
      <c r="O88" s="111"/>
      <c r="P88" s="108" t="s">
        <v>5</v>
      </c>
      <c r="Q88" s="210" t="s">
        <v>4100</v>
      </c>
      <c r="R88" s="108" t="s">
        <v>4099</v>
      </c>
      <c r="S88" s="108" t="s">
        <v>841</v>
      </c>
      <c r="T88" s="108" t="s">
        <v>841</v>
      </c>
      <c r="U88" s="108" t="s">
        <v>785</v>
      </c>
      <c r="V88" s="108" t="s">
        <v>662</v>
      </c>
      <c r="W88" s="108"/>
      <c r="X88" s="108"/>
      <c r="Y88" s="108" t="s">
        <v>59</v>
      </c>
      <c r="Z88" s="108" t="s">
        <v>1486</v>
      </c>
      <c r="AA88" s="111">
        <v>34900</v>
      </c>
      <c r="AB88" s="113">
        <f ca="1">DATEDIF(AA88,$C$3,"y")</f>
        <v>28</v>
      </c>
      <c r="AC88" s="108" t="s">
        <v>1487</v>
      </c>
      <c r="AD88" s="129" t="s">
        <v>1488</v>
      </c>
      <c r="AE88" s="108" t="s">
        <v>1489</v>
      </c>
      <c r="AF88" s="108"/>
      <c r="AG88" s="130" t="s">
        <v>1490</v>
      </c>
      <c r="AH88" s="114" t="s">
        <v>1491</v>
      </c>
      <c r="AI88" s="115" t="s">
        <v>1492</v>
      </c>
      <c r="AJ88" s="108" t="s">
        <v>255</v>
      </c>
      <c r="AK88" s="108"/>
      <c r="AL88" s="108"/>
      <c r="AM88" s="108"/>
      <c r="AN88" s="108"/>
      <c r="AO88" s="108" t="s">
        <v>1493</v>
      </c>
      <c r="AP88" s="108" t="s">
        <v>1494</v>
      </c>
      <c r="AQ88" s="108" t="s">
        <v>1495</v>
      </c>
      <c r="AR88" s="108"/>
      <c r="AS88" s="108"/>
      <c r="AT88" s="108">
        <f>COUNTA(AL88:AO88)</f>
        <v>1</v>
      </c>
      <c r="AU88" s="108" t="str">
        <f>IF(AJ88="Menikah","K","TK")&amp;"/"&amp;AT88</f>
        <v>TK/1</v>
      </c>
      <c r="AV88" s="131" t="s">
        <v>1496</v>
      </c>
      <c r="AW88" s="113" t="s">
        <v>76</v>
      </c>
      <c r="AX88" s="108" t="s">
        <v>12</v>
      </c>
      <c r="AY88" s="108" t="s">
        <v>256</v>
      </c>
      <c r="AZ88" s="108" t="s">
        <v>211</v>
      </c>
      <c r="BA88" s="108">
        <v>2017</v>
      </c>
      <c r="BB88" s="108" t="s">
        <v>12</v>
      </c>
      <c r="BC88" s="108" t="s">
        <v>256</v>
      </c>
      <c r="BD88" s="108" t="s">
        <v>211</v>
      </c>
      <c r="BE88" s="108">
        <v>2017</v>
      </c>
      <c r="BF88" s="116">
        <v>55371</v>
      </c>
      <c r="BG88" s="116">
        <v>55736</v>
      </c>
      <c r="BH88" s="132"/>
      <c r="BI88" s="108"/>
      <c r="BJ88" s="108">
        <v>43</v>
      </c>
      <c r="BK88" s="111">
        <v>44294</v>
      </c>
      <c r="BL88" s="111">
        <v>44322</v>
      </c>
      <c r="BM88" s="111">
        <v>44505</v>
      </c>
      <c r="BN88" s="111"/>
      <c r="BO88" s="108"/>
      <c r="BP88" s="108"/>
      <c r="BQ88" s="108"/>
      <c r="BR88" s="108"/>
      <c r="BS88" s="108"/>
      <c r="BT88" s="108"/>
      <c r="BU88" s="108"/>
      <c r="BV88" s="108"/>
      <c r="BW88" s="108"/>
      <c r="BX88" s="108"/>
      <c r="BY88" s="108"/>
      <c r="BZ88" s="108" t="e">
        <f>VLOOKUP(C88,[1]Sertifikasi!$B$4:$I$19,8,0)</f>
        <v>#N/A</v>
      </c>
    </row>
    <row r="89" spans="1:78" ht="11.25" customHeight="1">
      <c r="A89" s="108"/>
      <c r="B89" s="108">
        <v>217</v>
      </c>
      <c r="C89" s="108" t="s">
        <v>3042</v>
      </c>
      <c r="D89" s="109">
        <v>642307127</v>
      </c>
      <c r="E89" s="131">
        <v>1800013047933</v>
      </c>
      <c r="F89" s="131"/>
      <c r="G89" s="108" t="s">
        <v>71</v>
      </c>
      <c r="H89" s="108" t="s">
        <v>2122</v>
      </c>
      <c r="I89" s="111">
        <v>45204</v>
      </c>
      <c r="J89" s="108">
        <v>0</v>
      </c>
      <c r="K89" s="108">
        <v>0</v>
      </c>
      <c r="L89" s="108" t="str">
        <f t="shared" si="2"/>
        <v>PKWT</v>
      </c>
      <c r="M89" s="108"/>
      <c r="N89" s="112">
        <v>45291</v>
      </c>
      <c r="O89" s="108"/>
      <c r="P89" s="108" t="s">
        <v>213</v>
      </c>
      <c r="Q89" s="210" t="s">
        <v>4102</v>
      </c>
      <c r="R89" s="108" t="s">
        <v>259</v>
      </c>
      <c r="S89" s="108" t="s">
        <v>33</v>
      </c>
      <c r="T89" s="108" t="s">
        <v>432</v>
      </c>
      <c r="U89" s="108" t="s">
        <v>199</v>
      </c>
      <c r="V89" s="108" t="s">
        <v>180</v>
      </c>
      <c r="W89" s="108" t="s">
        <v>277</v>
      </c>
      <c r="X89" s="108"/>
      <c r="Y89" s="108" t="s">
        <v>216</v>
      </c>
      <c r="Z89" s="108" t="s">
        <v>2122</v>
      </c>
      <c r="AA89" s="111">
        <v>37170</v>
      </c>
      <c r="AB89" s="113">
        <v>22</v>
      </c>
      <c r="AC89" s="108" t="s">
        <v>3043</v>
      </c>
      <c r="AD89" s="129" t="s">
        <v>3044</v>
      </c>
      <c r="AE89" s="108" t="s">
        <v>3045</v>
      </c>
      <c r="AF89" s="108"/>
      <c r="AG89" s="108" t="s">
        <v>3046</v>
      </c>
      <c r="AH89" s="114" t="s">
        <v>3047</v>
      </c>
      <c r="AI89" s="115">
        <v>23156731319</v>
      </c>
      <c r="AJ89" s="108" t="s">
        <v>255</v>
      </c>
      <c r="AK89" s="108"/>
      <c r="AL89" s="108"/>
      <c r="AM89" s="108"/>
      <c r="AN89" s="108"/>
      <c r="AO89" s="108"/>
      <c r="AP89" s="108"/>
      <c r="AQ89" s="108"/>
      <c r="AR89" s="108"/>
      <c r="AS89" s="108"/>
      <c r="AT89" s="108">
        <v>0</v>
      </c>
      <c r="AU89" s="108" t="s">
        <v>304</v>
      </c>
      <c r="AV89" s="115"/>
      <c r="AW89" s="108" t="s">
        <v>74</v>
      </c>
      <c r="AX89" s="108" t="s">
        <v>13</v>
      </c>
      <c r="AY89" s="108" t="s">
        <v>2789</v>
      </c>
      <c r="AZ89" s="108" t="s">
        <v>2472</v>
      </c>
      <c r="BA89" s="108">
        <v>2023</v>
      </c>
      <c r="BB89" s="108" t="s">
        <v>13</v>
      </c>
      <c r="BC89" s="108" t="s">
        <v>2789</v>
      </c>
      <c r="BD89" s="108" t="s">
        <v>2472</v>
      </c>
      <c r="BE89" s="108">
        <v>2023</v>
      </c>
      <c r="BF89" s="116"/>
      <c r="BG89" s="116"/>
      <c r="BH89" s="108"/>
      <c r="BI89" s="108"/>
      <c r="BJ89" s="108"/>
      <c r="BK89" s="111"/>
      <c r="BL89" s="111"/>
      <c r="BM89" s="111"/>
      <c r="BN89" s="111"/>
      <c r="BO89" s="108"/>
      <c r="BP89" s="108"/>
      <c r="BQ89" s="108"/>
      <c r="BR89" s="108"/>
      <c r="BS89" s="108"/>
      <c r="BT89" s="108"/>
      <c r="BU89" s="108"/>
      <c r="BV89" s="108"/>
      <c r="BW89" s="108"/>
      <c r="BX89" s="108"/>
      <c r="BY89" s="108"/>
      <c r="BZ89" s="108" t="e">
        <f>VLOOKUP(C89,[1]Sertifikasi!$B$4:$I$19,8,0)</f>
        <v>#N/A</v>
      </c>
    </row>
    <row r="90" spans="1:78" ht="11.25" customHeight="1">
      <c r="A90" s="108"/>
      <c r="B90" s="108">
        <v>218</v>
      </c>
      <c r="C90" s="108" t="s">
        <v>3079</v>
      </c>
      <c r="D90" s="109">
        <v>642307133</v>
      </c>
      <c r="E90" s="131">
        <v>1330027424019</v>
      </c>
      <c r="F90" s="131"/>
      <c r="G90" s="108" t="s">
        <v>259</v>
      </c>
      <c r="H90" s="108" t="s">
        <v>575</v>
      </c>
      <c r="I90" s="111">
        <v>45204</v>
      </c>
      <c r="J90" s="108">
        <v>0</v>
      </c>
      <c r="K90" s="108">
        <v>0</v>
      </c>
      <c r="L90" s="108" t="str">
        <f t="shared" si="2"/>
        <v>PKWT</v>
      </c>
      <c r="M90" s="108"/>
      <c r="N90" s="112">
        <v>45291</v>
      </c>
      <c r="O90" s="108"/>
      <c r="P90" s="108" t="s">
        <v>213</v>
      </c>
      <c r="Q90" s="210" t="s">
        <v>4102</v>
      </c>
      <c r="R90" s="108" t="s">
        <v>259</v>
      </c>
      <c r="S90" s="108" t="s">
        <v>33</v>
      </c>
      <c r="T90" s="108" t="s">
        <v>432</v>
      </c>
      <c r="U90" s="108" t="s">
        <v>199</v>
      </c>
      <c r="V90" s="108" t="s">
        <v>180</v>
      </c>
      <c r="W90" s="108"/>
      <c r="X90" s="108"/>
      <c r="Y90" s="108" t="s">
        <v>216</v>
      </c>
      <c r="Z90" s="108" t="s">
        <v>3080</v>
      </c>
      <c r="AA90" s="111">
        <v>37643</v>
      </c>
      <c r="AB90" s="113">
        <v>20</v>
      </c>
      <c r="AC90" s="108" t="s">
        <v>3081</v>
      </c>
      <c r="AD90" s="129" t="s">
        <v>3082</v>
      </c>
      <c r="AE90" s="108" t="s">
        <v>3083</v>
      </c>
      <c r="AF90" s="108"/>
      <c r="AG90" s="146" t="s">
        <v>3084</v>
      </c>
      <c r="AH90" s="114" t="s">
        <v>3085</v>
      </c>
      <c r="AI90" s="115">
        <v>23156731251</v>
      </c>
      <c r="AJ90" s="108" t="s">
        <v>255</v>
      </c>
      <c r="AK90" s="108"/>
      <c r="AL90" s="108"/>
      <c r="AM90" s="108"/>
      <c r="AN90" s="108"/>
      <c r="AO90" s="108"/>
      <c r="AP90" s="108"/>
      <c r="AQ90" s="108"/>
      <c r="AR90" s="108"/>
      <c r="AS90" s="108"/>
      <c r="AT90" s="108">
        <v>0</v>
      </c>
      <c r="AU90" s="108" t="s">
        <v>304</v>
      </c>
      <c r="AV90" s="115"/>
      <c r="AW90" s="108" t="s">
        <v>74</v>
      </c>
      <c r="AX90" s="108" t="s">
        <v>391</v>
      </c>
      <c r="AY90" s="108" t="s">
        <v>392</v>
      </c>
      <c r="AZ90" s="108" t="s">
        <v>3086</v>
      </c>
      <c r="BA90" s="108">
        <v>2021</v>
      </c>
      <c r="BB90" s="108" t="s">
        <v>391</v>
      </c>
      <c r="BC90" s="108" t="s">
        <v>392</v>
      </c>
      <c r="BD90" s="108" t="s">
        <v>3087</v>
      </c>
      <c r="BE90" s="108">
        <v>2021</v>
      </c>
      <c r="BF90" s="116"/>
      <c r="BG90" s="116"/>
      <c r="BH90" s="108"/>
      <c r="BI90" s="108"/>
      <c r="BJ90" s="108"/>
      <c r="BK90" s="111"/>
      <c r="BL90" s="111"/>
      <c r="BM90" s="111"/>
      <c r="BN90" s="111"/>
      <c r="BO90" s="108"/>
      <c r="BP90" s="108"/>
      <c r="BQ90" s="108"/>
      <c r="BR90" s="108"/>
      <c r="BS90" s="108"/>
      <c r="BT90" s="108"/>
      <c r="BU90" s="108"/>
      <c r="BV90" s="108"/>
      <c r="BW90" s="108"/>
      <c r="BX90" s="108"/>
      <c r="BY90" s="108"/>
      <c r="BZ90" s="108" t="e">
        <f>VLOOKUP(C90,[1]Sertifikasi!$B$4:$I$19,8,0)</f>
        <v>#N/A</v>
      </c>
    </row>
    <row r="91" spans="1:78" ht="11.25" customHeight="1">
      <c r="A91" s="108"/>
      <c r="B91" s="108">
        <v>81</v>
      </c>
      <c r="C91" s="108" t="s">
        <v>1099</v>
      </c>
      <c r="D91" s="109">
        <v>642001028</v>
      </c>
      <c r="E91" s="131">
        <v>1710003987636</v>
      </c>
      <c r="F91" s="131"/>
      <c r="G91" s="108" t="s">
        <v>71</v>
      </c>
      <c r="H91" s="108" t="s">
        <v>71</v>
      </c>
      <c r="I91" s="111">
        <v>42919</v>
      </c>
      <c r="J91" s="108">
        <v>6</v>
      </c>
      <c r="K91" s="108">
        <v>3</v>
      </c>
      <c r="L91" s="108" t="str">
        <f t="shared" si="2"/>
        <v>PKWT</v>
      </c>
      <c r="M91" s="108"/>
      <c r="N91" s="112">
        <v>45291</v>
      </c>
      <c r="O91" s="108"/>
      <c r="P91" s="108" t="s">
        <v>213</v>
      </c>
      <c r="Q91" s="210" t="s">
        <v>4102</v>
      </c>
      <c r="R91" s="210" t="s">
        <v>2085</v>
      </c>
      <c r="S91" s="108" t="s">
        <v>33</v>
      </c>
      <c r="T91" s="108" t="s">
        <v>84</v>
      </c>
      <c r="U91" s="108" t="s">
        <v>214</v>
      </c>
      <c r="V91" s="108" t="s">
        <v>180</v>
      </c>
      <c r="W91" s="108"/>
      <c r="X91" s="108" t="s">
        <v>215</v>
      </c>
      <c r="Y91" s="108" t="s">
        <v>216</v>
      </c>
      <c r="Z91" s="108" t="s">
        <v>71</v>
      </c>
      <c r="AA91" s="111">
        <v>32767</v>
      </c>
      <c r="AB91" s="113">
        <v>34</v>
      </c>
      <c r="AC91" s="108" t="s">
        <v>1100</v>
      </c>
      <c r="AD91" s="129" t="s">
        <v>1101</v>
      </c>
      <c r="AE91" s="108" t="s">
        <v>1102</v>
      </c>
      <c r="AF91" s="108" t="s">
        <v>1103</v>
      </c>
      <c r="AG91" s="108" t="s">
        <v>1104</v>
      </c>
      <c r="AH91" s="114" t="s">
        <v>1105</v>
      </c>
      <c r="AI91" s="115">
        <v>17043907892</v>
      </c>
      <c r="AJ91" s="108" t="s">
        <v>189</v>
      </c>
      <c r="AK91" s="108" t="s">
        <v>1106</v>
      </c>
      <c r="AL91" s="108" t="s">
        <v>1107</v>
      </c>
      <c r="AM91" s="108"/>
      <c r="AN91" s="108"/>
      <c r="AO91" s="108"/>
      <c r="AP91" s="108"/>
      <c r="AQ91" s="108"/>
      <c r="AR91" s="108"/>
      <c r="AS91" s="108"/>
      <c r="AT91" s="108">
        <v>1</v>
      </c>
      <c r="AU91" s="108" t="s">
        <v>225</v>
      </c>
      <c r="AV91" s="115">
        <v>0</v>
      </c>
      <c r="AW91" s="108" t="s">
        <v>74</v>
      </c>
      <c r="AX91" s="108" t="s">
        <v>391</v>
      </c>
      <c r="AY91" s="108" t="s">
        <v>450</v>
      </c>
      <c r="AZ91" s="108" t="s">
        <v>1108</v>
      </c>
      <c r="BA91" s="108">
        <v>2008</v>
      </c>
      <c r="BB91" s="108" t="s">
        <v>391</v>
      </c>
      <c r="BC91" s="108" t="s">
        <v>450</v>
      </c>
      <c r="BD91" s="108" t="s">
        <v>1108</v>
      </c>
      <c r="BE91" s="108">
        <v>2008</v>
      </c>
      <c r="BF91" s="116"/>
      <c r="BG91" s="116"/>
      <c r="BH91" s="108" t="s">
        <v>228</v>
      </c>
      <c r="BI91" s="108">
        <v>34</v>
      </c>
      <c r="BJ91" s="108">
        <v>42</v>
      </c>
      <c r="BK91" s="111">
        <v>44308</v>
      </c>
      <c r="BL91" s="111">
        <v>44336</v>
      </c>
      <c r="BM91" s="111">
        <v>44601</v>
      </c>
      <c r="BN91" s="111"/>
      <c r="BO91" s="108">
        <v>43467</v>
      </c>
      <c r="BP91" s="108">
        <v>43830</v>
      </c>
      <c r="BQ91" s="108" t="s">
        <v>1109</v>
      </c>
      <c r="BR91" s="108" t="s">
        <v>1110</v>
      </c>
      <c r="BS91" s="108"/>
      <c r="BT91" s="108"/>
      <c r="BU91" s="108"/>
      <c r="BV91" s="108"/>
      <c r="BW91" s="108"/>
      <c r="BX91" s="108"/>
      <c r="BY91" s="108"/>
      <c r="BZ91" s="108" t="e">
        <f>VLOOKUP(C91,[1]Sertifikasi!$B$4:$I$19,8,0)</f>
        <v>#N/A</v>
      </c>
    </row>
    <row r="92" spans="1:78" ht="11.25" customHeight="1">
      <c r="A92" s="108"/>
      <c r="B92" s="108">
        <v>169</v>
      </c>
      <c r="C92" s="108" t="s">
        <v>2663</v>
      </c>
      <c r="D92" s="109">
        <v>642201145</v>
      </c>
      <c r="E92" s="131">
        <v>1710001958068</v>
      </c>
      <c r="F92" s="131"/>
      <c r="G92" s="108" t="s">
        <v>71</v>
      </c>
      <c r="H92" s="108" t="s">
        <v>71</v>
      </c>
      <c r="I92" s="111">
        <v>44579</v>
      </c>
      <c r="J92" s="108">
        <v>1</v>
      </c>
      <c r="K92" s="108">
        <v>8</v>
      </c>
      <c r="L92" s="108" t="str">
        <f t="shared" si="2"/>
        <v>PKWT</v>
      </c>
      <c r="M92" s="108"/>
      <c r="N92" s="112">
        <v>45291</v>
      </c>
      <c r="O92" s="108"/>
      <c r="P92" s="108" t="s">
        <v>213</v>
      </c>
      <c r="Q92" s="210" t="s">
        <v>4102</v>
      </c>
      <c r="R92" s="108" t="s">
        <v>259</v>
      </c>
      <c r="S92" s="108" t="s">
        <v>262</v>
      </c>
      <c r="T92" s="108" t="s">
        <v>89</v>
      </c>
      <c r="U92" s="108" t="s">
        <v>199</v>
      </c>
      <c r="V92" s="108" t="s">
        <v>180</v>
      </c>
      <c r="W92" s="108"/>
      <c r="X92" s="108"/>
      <c r="Y92" s="108" t="s">
        <v>216</v>
      </c>
      <c r="Z92" s="108" t="s">
        <v>71</v>
      </c>
      <c r="AA92" s="111">
        <v>35768</v>
      </c>
      <c r="AB92" s="113">
        <v>25</v>
      </c>
      <c r="AC92" s="108" t="s">
        <v>2664</v>
      </c>
      <c r="AD92" s="129" t="s">
        <v>2665</v>
      </c>
      <c r="AE92" s="108" t="s">
        <v>2666</v>
      </c>
      <c r="AF92" s="108"/>
      <c r="AG92" s="108" t="s">
        <v>2667</v>
      </c>
      <c r="AH92" s="114" t="s">
        <v>2668</v>
      </c>
      <c r="AI92" s="115">
        <v>22017333679</v>
      </c>
      <c r="AJ92" s="108" t="s">
        <v>255</v>
      </c>
      <c r="AK92" s="108"/>
      <c r="AL92" s="108"/>
      <c r="AM92" s="108"/>
      <c r="AN92" s="108"/>
      <c r="AO92" s="108"/>
      <c r="AP92" s="108"/>
      <c r="AQ92" s="108"/>
      <c r="AR92" s="108"/>
      <c r="AS92" s="108"/>
      <c r="AT92" s="108">
        <v>0</v>
      </c>
      <c r="AU92" s="108" t="s">
        <v>304</v>
      </c>
      <c r="AV92" s="115"/>
      <c r="AW92" s="108" t="s">
        <v>74</v>
      </c>
      <c r="AX92" s="108" t="s">
        <v>16</v>
      </c>
      <c r="AY92" s="108" t="s">
        <v>331</v>
      </c>
      <c r="AZ92" s="108" t="s">
        <v>306</v>
      </c>
      <c r="BA92" s="108">
        <v>2016</v>
      </c>
      <c r="BB92" s="108" t="s">
        <v>287</v>
      </c>
      <c r="BC92" s="108" t="s">
        <v>331</v>
      </c>
      <c r="BD92" s="108" t="s">
        <v>306</v>
      </c>
      <c r="BE92" s="108">
        <v>2016</v>
      </c>
      <c r="BF92" s="116"/>
      <c r="BG92" s="116"/>
      <c r="BH92" s="108"/>
      <c r="BI92" s="108"/>
      <c r="BJ92" s="108">
        <v>41</v>
      </c>
      <c r="BK92" s="111"/>
      <c r="BL92" s="111"/>
      <c r="BM92" s="111">
        <v>44651</v>
      </c>
      <c r="BN92" s="111"/>
      <c r="BO92" s="108"/>
      <c r="BP92" s="108"/>
      <c r="BQ92" s="108"/>
      <c r="BR92" s="108"/>
      <c r="BS92" s="108"/>
      <c r="BT92" s="108"/>
      <c r="BU92" s="108"/>
      <c r="BV92" s="108"/>
      <c r="BW92" s="108"/>
      <c r="BX92" s="108"/>
      <c r="BY92" s="108"/>
      <c r="BZ92" s="108" t="e">
        <f>VLOOKUP(C92,[1]Sertifikasi!$B$4:$I$19,8,0)</f>
        <v>#N/A</v>
      </c>
    </row>
    <row r="93" spans="1:78" ht="11.25" customHeight="1">
      <c r="A93" s="108"/>
      <c r="B93" s="108">
        <v>276</v>
      </c>
      <c r="C93" s="108" t="s">
        <v>1384</v>
      </c>
      <c r="D93" s="109">
        <v>641807170</v>
      </c>
      <c r="E93" s="131">
        <v>1710004374735</v>
      </c>
      <c r="F93" s="131"/>
      <c r="G93" s="108" t="s">
        <v>71</v>
      </c>
      <c r="H93" s="108" t="s">
        <v>71</v>
      </c>
      <c r="I93" s="111">
        <v>43282</v>
      </c>
      <c r="J93" s="108">
        <v>5</v>
      </c>
      <c r="K93" s="108">
        <v>3</v>
      </c>
      <c r="L93" s="108" t="str">
        <f t="shared" ref="L93:L124" si="3">IF(LEFT(D93,2)="99","Organik",IF(LEFT(D93,2)="97","Tetap",IF(LEFT(D93,2)="75","Capeg",IF(LEFT(D93,2)="64","PKWT","Resign"))))</f>
        <v>PKWT</v>
      </c>
      <c r="M93" s="108"/>
      <c r="N93" s="112">
        <v>45474</v>
      </c>
      <c r="O93" s="108"/>
      <c r="P93" s="108" t="s">
        <v>213</v>
      </c>
      <c r="Q93" s="210" t="s">
        <v>4102</v>
      </c>
      <c r="R93" s="108" t="s">
        <v>575</v>
      </c>
      <c r="S93" s="108" t="s">
        <v>262</v>
      </c>
      <c r="T93" s="108" t="s">
        <v>92</v>
      </c>
      <c r="U93" s="108" t="s">
        <v>276</v>
      </c>
      <c r="V93" s="108" t="s">
        <v>180</v>
      </c>
      <c r="W93" s="108"/>
      <c r="X93" s="108" t="s">
        <v>215</v>
      </c>
      <c r="Y93" s="108" t="s">
        <v>216</v>
      </c>
      <c r="Z93" s="108" t="s">
        <v>71</v>
      </c>
      <c r="AA93" s="111">
        <v>33219</v>
      </c>
      <c r="AB93" s="113">
        <v>32</v>
      </c>
      <c r="AC93" s="108" t="s">
        <v>1385</v>
      </c>
      <c r="AD93" s="129" t="s">
        <v>1386</v>
      </c>
      <c r="AE93" s="108" t="s">
        <v>1387</v>
      </c>
      <c r="AF93" s="108"/>
      <c r="AG93" s="108" t="s">
        <v>1388</v>
      </c>
      <c r="AH93" s="114" t="s">
        <v>1389</v>
      </c>
      <c r="AI93" s="115">
        <v>18056171954</v>
      </c>
      <c r="AJ93" s="108" t="s">
        <v>255</v>
      </c>
      <c r="AK93" s="108"/>
      <c r="AL93" s="108"/>
      <c r="AM93" s="108"/>
      <c r="AN93" s="108"/>
      <c r="AO93" s="108"/>
      <c r="AP93" s="108"/>
      <c r="AQ93" s="108"/>
      <c r="AR93" s="108"/>
      <c r="AS93" s="108"/>
      <c r="AT93" s="108">
        <v>0</v>
      </c>
      <c r="AU93" s="108" t="s">
        <v>304</v>
      </c>
      <c r="AV93" s="115">
        <v>0</v>
      </c>
      <c r="AW93" s="108" t="s">
        <v>74</v>
      </c>
      <c r="AX93" s="108" t="s">
        <v>16</v>
      </c>
      <c r="AY93" s="108" t="s">
        <v>331</v>
      </c>
      <c r="AZ93" s="108" t="s">
        <v>1390</v>
      </c>
      <c r="BA93" s="108">
        <v>2008</v>
      </c>
      <c r="BB93" s="108" t="s">
        <v>287</v>
      </c>
      <c r="BC93" s="108" t="s">
        <v>331</v>
      </c>
      <c r="BD93" s="108" t="s">
        <v>1390</v>
      </c>
      <c r="BE93" s="108">
        <v>2008</v>
      </c>
      <c r="BF93" s="116"/>
      <c r="BG93" s="116"/>
      <c r="BH93" s="108" t="s">
        <v>345</v>
      </c>
      <c r="BI93" s="108">
        <v>30</v>
      </c>
      <c r="BJ93" s="108">
        <v>40</v>
      </c>
      <c r="BK93" s="111"/>
      <c r="BL93" s="111"/>
      <c r="BM93" s="111"/>
      <c r="BN93" s="111"/>
      <c r="BO93" s="108"/>
      <c r="BP93" s="108"/>
      <c r="BQ93" s="108"/>
      <c r="BR93" s="108"/>
      <c r="BS93" s="108"/>
      <c r="BT93" s="108"/>
      <c r="BU93" s="108"/>
      <c r="BV93" s="108"/>
      <c r="BW93" s="108"/>
      <c r="BX93" s="108"/>
      <c r="BY93" s="108"/>
      <c r="BZ93" s="108" t="e">
        <f>VLOOKUP(C93,[1]Sertifikasi!$B$4:$I$19,8,0)</f>
        <v>#N/A</v>
      </c>
    </row>
    <row r="94" spans="1:78" ht="11.25" customHeight="1">
      <c r="A94" s="108"/>
      <c r="B94" s="108">
        <v>13</v>
      </c>
      <c r="C94" s="128" t="s">
        <v>358</v>
      </c>
      <c r="D94" s="109">
        <v>971800023</v>
      </c>
      <c r="E94" s="131">
        <v>1710003919829</v>
      </c>
      <c r="F94" s="131">
        <v>4185707720</v>
      </c>
      <c r="G94" s="113" t="s">
        <v>71</v>
      </c>
      <c r="H94" s="108" t="s">
        <v>71</v>
      </c>
      <c r="I94" s="111">
        <v>42096</v>
      </c>
      <c r="J94" s="108">
        <f ca="1">DATEDIF(I94,$C$3,"y")</f>
        <v>8</v>
      </c>
      <c r="K94" s="108">
        <f ca="1">DATEDIF(I94,$C$3,"ym")</f>
        <v>7</v>
      </c>
      <c r="L94" s="108" t="str">
        <f t="shared" si="3"/>
        <v>Tetap</v>
      </c>
      <c r="M94" s="108" t="s">
        <v>359</v>
      </c>
      <c r="N94" s="112">
        <v>43116</v>
      </c>
      <c r="O94" s="111"/>
      <c r="P94" s="108" t="s">
        <v>261</v>
      </c>
      <c r="Q94" s="210" t="s">
        <v>4100</v>
      </c>
      <c r="R94" s="108" t="s">
        <v>4099</v>
      </c>
      <c r="S94" s="108" t="s">
        <v>360</v>
      </c>
      <c r="T94" s="108" t="s">
        <v>361</v>
      </c>
      <c r="U94" s="108" t="s">
        <v>362</v>
      </c>
      <c r="V94" s="108" t="s">
        <v>180</v>
      </c>
      <c r="W94" s="108"/>
      <c r="X94" s="108"/>
      <c r="Y94" s="108" t="s">
        <v>59</v>
      </c>
      <c r="Z94" s="108" t="s">
        <v>363</v>
      </c>
      <c r="AA94" s="111">
        <v>30982</v>
      </c>
      <c r="AB94" s="113">
        <f ca="1">DATEDIF(AA94,$C$3,"y")</f>
        <v>39</v>
      </c>
      <c r="AC94" s="108" t="s">
        <v>364</v>
      </c>
      <c r="AD94" s="129" t="s">
        <v>365</v>
      </c>
      <c r="AE94" s="108" t="s">
        <v>366</v>
      </c>
      <c r="AF94" s="108"/>
      <c r="AG94" s="130" t="s">
        <v>367</v>
      </c>
      <c r="AH94" s="114" t="s">
        <v>368</v>
      </c>
      <c r="AI94" s="115">
        <v>18028619130</v>
      </c>
      <c r="AJ94" s="108" t="s">
        <v>189</v>
      </c>
      <c r="AK94" s="108" t="s">
        <v>369</v>
      </c>
      <c r="AL94" s="108" t="s">
        <v>370</v>
      </c>
      <c r="AM94" s="108" t="s">
        <v>371</v>
      </c>
      <c r="AN94" s="108"/>
      <c r="AO94" s="108"/>
      <c r="AP94" s="108"/>
      <c r="AQ94" s="108"/>
      <c r="AR94" s="108"/>
      <c r="AS94" s="108"/>
      <c r="AT94" s="108">
        <f>COUNTA(AL94:AO94)</f>
        <v>2</v>
      </c>
      <c r="AU94" s="108" t="str">
        <f>IF(AJ94="Menikah","K","TK")&amp;"/"&amp;AT94</f>
        <v>K/2</v>
      </c>
      <c r="AV94" s="131">
        <v>856640420621000</v>
      </c>
      <c r="AW94" s="113" t="s">
        <v>74</v>
      </c>
      <c r="AX94" s="108" t="s">
        <v>12</v>
      </c>
      <c r="AY94" s="108" t="s">
        <v>372</v>
      </c>
      <c r="AZ94" s="108" t="s">
        <v>373</v>
      </c>
      <c r="BA94" s="108">
        <v>2013</v>
      </c>
      <c r="BB94" s="108" t="s">
        <v>12</v>
      </c>
      <c r="BC94" s="108" t="s">
        <v>372</v>
      </c>
      <c r="BD94" s="108" t="s">
        <v>373</v>
      </c>
      <c r="BE94" s="108">
        <v>2013</v>
      </c>
      <c r="BF94" s="116">
        <v>51151</v>
      </c>
      <c r="BG94" s="116">
        <v>51516</v>
      </c>
      <c r="BH94" s="132"/>
      <c r="BI94" s="108"/>
      <c r="BJ94" s="108">
        <v>42</v>
      </c>
      <c r="BK94" s="111">
        <v>44294</v>
      </c>
      <c r="BL94" s="111">
        <v>44322</v>
      </c>
      <c r="BM94" s="111">
        <v>44585</v>
      </c>
      <c r="BN94" s="111"/>
      <c r="BO94" s="108"/>
      <c r="BP94" s="108"/>
      <c r="BQ94" s="108"/>
      <c r="BR94" s="108"/>
      <c r="BS94" s="108"/>
      <c r="BT94" s="108"/>
      <c r="BU94" s="108"/>
      <c r="BV94" s="108"/>
      <c r="BW94" s="108"/>
      <c r="BX94" s="108"/>
      <c r="BY94" s="108"/>
      <c r="BZ94" s="108" t="e">
        <f>VLOOKUP(C94,[1]Sertifikasi!$B$4:$I$19,8,0)</f>
        <v>#N/A</v>
      </c>
    </row>
    <row r="95" spans="1:78" ht="11.25" customHeight="1">
      <c r="A95" s="108"/>
      <c r="B95" s="108">
        <v>22</v>
      </c>
      <c r="C95" s="108" t="s">
        <v>2474</v>
      </c>
      <c r="D95" s="109">
        <v>642201127</v>
      </c>
      <c r="E95" s="131">
        <v>1710007727160</v>
      </c>
      <c r="F95" s="131"/>
      <c r="G95" s="113" t="s">
        <v>71</v>
      </c>
      <c r="H95" s="108" t="s">
        <v>71</v>
      </c>
      <c r="I95" s="111">
        <v>44565</v>
      </c>
      <c r="J95" s="108">
        <f ca="1">DATEDIF(I95,$C$3,"y")</f>
        <v>1</v>
      </c>
      <c r="K95" s="108">
        <f ca="1">DATEDIF(I95,$C$3,"ym")</f>
        <v>10</v>
      </c>
      <c r="L95" s="108" t="str">
        <f t="shared" si="3"/>
        <v>PKWT</v>
      </c>
      <c r="M95" s="108"/>
      <c r="N95" s="112">
        <v>45294</v>
      </c>
      <c r="O95" s="108"/>
      <c r="P95" s="108" t="s">
        <v>261</v>
      </c>
      <c r="Q95" s="210" t="s">
        <v>4100</v>
      </c>
      <c r="R95" s="108" t="s">
        <v>4099</v>
      </c>
      <c r="S95" s="108" t="s">
        <v>674</v>
      </c>
      <c r="T95" s="108" t="s">
        <v>674</v>
      </c>
      <c r="U95" s="108" t="s">
        <v>674</v>
      </c>
      <c r="V95" s="108" t="s">
        <v>247</v>
      </c>
      <c r="W95" s="108"/>
      <c r="X95" s="108"/>
      <c r="Y95" s="108" t="s">
        <v>60</v>
      </c>
      <c r="Z95" s="108" t="s">
        <v>71</v>
      </c>
      <c r="AA95" s="111">
        <v>36447</v>
      </c>
      <c r="AB95" s="113">
        <f ca="1">DATEDIF(AA95,$C$3,"y")</f>
        <v>24</v>
      </c>
      <c r="AC95" s="108" t="s">
        <v>2475</v>
      </c>
      <c r="AD95" s="129" t="s">
        <v>2476</v>
      </c>
      <c r="AE95" s="108" t="s">
        <v>2477</v>
      </c>
      <c r="AF95" s="108"/>
      <c r="AG95" s="108" t="s">
        <v>2478</v>
      </c>
      <c r="AH95" s="136" t="s">
        <v>2479</v>
      </c>
      <c r="AI95" s="115">
        <v>22017333539</v>
      </c>
      <c r="AJ95" s="108" t="s">
        <v>255</v>
      </c>
      <c r="AK95" s="108"/>
      <c r="AL95" s="108"/>
      <c r="AM95" s="108"/>
      <c r="AN95" s="108"/>
      <c r="AO95" s="108"/>
      <c r="AP95" s="108"/>
      <c r="AQ95" s="108"/>
      <c r="AR95" s="108"/>
      <c r="AS95" s="108"/>
      <c r="AT95" s="108">
        <f>COUNTA(AL95:AO95)</f>
        <v>0</v>
      </c>
      <c r="AU95" s="108" t="str">
        <f>IF(AJ95="Menikah","K","TK")&amp;"/"&amp;AT95</f>
        <v>TK/0</v>
      </c>
      <c r="AV95" s="131"/>
      <c r="AW95" s="113" t="s">
        <v>74</v>
      </c>
      <c r="AX95" s="108" t="s">
        <v>13</v>
      </c>
      <c r="AY95" s="108" t="s">
        <v>2480</v>
      </c>
      <c r="AZ95" s="108" t="s">
        <v>482</v>
      </c>
      <c r="BA95" s="108">
        <v>2021</v>
      </c>
      <c r="BB95" s="108" t="s">
        <v>13</v>
      </c>
      <c r="BC95" s="108" t="s">
        <v>2480</v>
      </c>
      <c r="BD95" s="108" t="s">
        <v>482</v>
      </c>
      <c r="BE95" s="108">
        <v>2021</v>
      </c>
      <c r="BF95" s="116"/>
      <c r="BG95" s="116"/>
      <c r="BH95" s="108"/>
      <c r="BI95" s="108"/>
      <c r="BJ95" s="194"/>
      <c r="BK95" s="111"/>
      <c r="BL95" s="111"/>
      <c r="BM95" s="111">
        <v>44611</v>
      </c>
      <c r="BN95" s="111"/>
      <c r="BO95" s="108"/>
      <c r="BP95" s="108"/>
      <c r="BQ95" s="108"/>
      <c r="BR95" s="108"/>
      <c r="BS95" s="108"/>
      <c r="BT95" s="108"/>
      <c r="BU95" s="108"/>
      <c r="BV95" s="108"/>
      <c r="BW95" s="108"/>
      <c r="BX95" s="108"/>
      <c r="BY95" s="108"/>
      <c r="BZ95" s="108" t="e">
        <f>VLOOKUP(C95,[1]Sertifikasi!$B$4:$I$19,8,0)</f>
        <v>#N/A</v>
      </c>
    </row>
    <row r="96" spans="1:78" ht="11.25" customHeight="1">
      <c r="A96" s="108"/>
      <c r="B96" s="108">
        <v>119</v>
      </c>
      <c r="C96" s="108" t="s">
        <v>2776</v>
      </c>
      <c r="D96" s="109">
        <v>642201167</v>
      </c>
      <c r="E96" s="131">
        <v>1710001957920</v>
      </c>
      <c r="F96" s="131"/>
      <c r="G96" s="108" t="s">
        <v>71</v>
      </c>
      <c r="H96" s="108" t="s">
        <v>71</v>
      </c>
      <c r="I96" s="111">
        <v>44702</v>
      </c>
      <c r="J96" s="108">
        <v>1</v>
      </c>
      <c r="K96" s="108">
        <v>4</v>
      </c>
      <c r="L96" s="108" t="str">
        <f t="shared" si="3"/>
        <v>PKWT</v>
      </c>
      <c r="M96" s="108"/>
      <c r="N96" s="112">
        <v>45432</v>
      </c>
      <c r="O96" s="108"/>
      <c r="P96" s="108" t="s">
        <v>213</v>
      </c>
      <c r="Q96" s="210" t="s">
        <v>4102</v>
      </c>
      <c r="R96" s="108" t="s">
        <v>274</v>
      </c>
      <c r="S96" s="108" t="s">
        <v>275</v>
      </c>
      <c r="T96" s="108" t="s">
        <v>496</v>
      </c>
      <c r="U96" s="108" t="s">
        <v>276</v>
      </c>
      <c r="V96" s="108" t="s">
        <v>180</v>
      </c>
      <c r="W96" s="108"/>
      <c r="X96" s="108"/>
      <c r="Y96" s="108" t="s">
        <v>216</v>
      </c>
      <c r="Z96" s="108" t="s">
        <v>2777</v>
      </c>
      <c r="AA96" s="111">
        <v>36102</v>
      </c>
      <c r="AB96" s="113">
        <v>24</v>
      </c>
      <c r="AC96" s="108" t="s">
        <v>2778</v>
      </c>
      <c r="AD96" s="129" t="s">
        <v>2779</v>
      </c>
      <c r="AE96" s="108" t="s">
        <v>2780</v>
      </c>
      <c r="AF96" s="108"/>
      <c r="AG96" s="108" t="s">
        <v>2781</v>
      </c>
      <c r="AH96" s="114" t="s">
        <v>2782</v>
      </c>
      <c r="AI96" s="115">
        <v>22063660744</v>
      </c>
      <c r="AJ96" s="108" t="s">
        <v>255</v>
      </c>
      <c r="AK96" s="108"/>
      <c r="AL96" s="108"/>
      <c r="AM96" s="108"/>
      <c r="AN96" s="108"/>
      <c r="AO96" s="108"/>
      <c r="AP96" s="108"/>
      <c r="AQ96" s="108"/>
      <c r="AR96" s="108"/>
      <c r="AS96" s="108"/>
      <c r="AT96" s="108">
        <v>0</v>
      </c>
      <c r="AU96" s="108" t="s">
        <v>304</v>
      </c>
      <c r="AV96" s="115"/>
      <c r="AW96" s="108" t="s">
        <v>74</v>
      </c>
      <c r="AX96" s="108" t="s">
        <v>16</v>
      </c>
      <c r="AY96" s="108" t="s">
        <v>285</v>
      </c>
      <c r="AZ96" s="108" t="s">
        <v>1250</v>
      </c>
      <c r="BA96" s="108">
        <v>2016</v>
      </c>
      <c r="BB96" s="108" t="s">
        <v>16</v>
      </c>
      <c r="BC96" s="108" t="s">
        <v>285</v>
      </c>
      <c r="BD96" s="108" t="s">
        <v>1250</v>
      </c>
      <c r="BE96" s="108">
        <v>2016</v>
      </c>
      <c r="BF96" s="116"/>
      <c r="BG96" s="116"/>
      <c r="BH96" s="108"/>
      <c r="BI96" s="108"/>
      <c r="BJ96" s="108">
        <v>41</v>
      </c>
      <c r="BK96" s="111"/>
      <c r="BL96" s="111"/>
      <c r="BM96" s="111">
        <v>44757</v>
      </c>
      <c r="BN96" s="111"/>
      <c r="BO96" s="108"/>
      <c r="BP96" s="108"/>
      <c r="BQ96" s="108"/>
      <c r="BR96" s="108" t="s">
        <v>2783</v>
      </c>
      <c r="BS96" s="108"/>
      <c r="BT96" s="108"/>
      <c r="BU96" s="108"/>
      <c r="BV96" s="108"/>
      <c r="BW96" s="108"/>
      <c r="BX96" s="108"/>
      <c r="BY96" s="108"/>
      <c r="BZ96" s="108" t="e">
        <f>VLOOKUP(C96,[1]Sertifikasi!$B$4:$I$19,8,0)</f>
        <v>#N/A</v>
      </c>
    </row>
    <row r="97" spans="1:78" ht="11.25" customHeight="1">
      <c r="A97" s="108"/>
      <c r="B97" s="108">
        <v>219</v>
      </c>
      <c r="C97" s="108" t="s">
        <v>930</v>
      </c>
      <c r="D97" s="109">
        <v>642001037</v>
      </c>
      <c r="E97" s="131">
        <v>1710004028901</v>
      </c>
      <c r="F97" s="131"/>
      <c r="G97" s="108" t="s">
        <v>71</v>
      </c>
      <c r="H97" s="108" t="s">
        <v>71</v>
      </c>
      <c r="I97" s="111">
        <v>42857</v>
      </c>
      <c r="J97" s="108">
        <v>6</v>
      </c>
      <c r="K97" s="108">
        <v>5</v>
      </c>
      <c r="L97" s="108" t="str">
        <f t="shared" si="3"/>
        <v>PKWT</v>
      </c>
      <c r="M97" s="108"/>
      <c r="N97" s="112">
        <v>45291</v>
      </c>
      <c r="O97" s="108"/>
      <c r="P97" s="108" t="s">
        <v>213</v>
      </c>
      <c r="Q97" s="210" t="s">
        <v>4102</v>
      </c>
      <c r="R97" s="108" t="s">
        <v>259</v>
      </c>
      <c r="S97" s="108" t="s">
        <v>33</v>
      </c>
      <c r="T97" s="108" t="s">
        <v>432</v>
      </c>
      <c r="U97" s="108" t="s">
        <v>199</v>
      </c>
      <c r="V97" s="108" t="s">
        <v>180</v>
      </c>
      <c r="W97" s="108" t="s">
        <v>931</v>
      </c>
      <c r="X97" s="108" t="s">
        <v>215</v>
      </c>
      <c r="Y97" s="108" t="s">
        <v>216</v>
      </c>
      <c r="Z97" s="108" t="s">
        <v>71</v>
      </c>
      <c r="AA97" s="111">
        <v>35306</v>
      </c>
      <c r="AB97" s="113">
        <v>27</v>
      </c>
      <c r="AC97" s="108" t="s">
        <v>932</v>
      </c>
      <c r="AD97" s="129" t="s">
        <v>933</v>
      </c>
      <c r="AE97" s="108" t="s">
        <v>934</v>
      </c>
      <c r="AF97" s="108" t="s">
        <v>935</v>
      </c>
      <c r="AG97" s="108" t="s">
        <v>936</v>
      </c>
      <c r="AH97" s="114" t="s">
        <v>937</v>
      </c>
      <c r="AI97" s="115">
        <v>17043907843</v>
      </c>
      <c r="AJ97" s="108" t="s">
        <v>189</v>
      </c>
      <c r="AK97" s="108" t="s">
        <v>938</v>
      </c>
      <c r="AL97" s="108" t="s">
        <v>939</v>
      </c>
      <c r="AM97" s="108"/>
      <c r="AN97" s="108"/>
      <c r="AO97" s="108"/>
      <c r="AP97" s="108"/>
      <c r="AQ97" s="108"/>
      <c r="AR97" s="108"/>
      <c r="AS97" s="108"/>
      <c r="AT97" s="108">
        <v>1</v>
      </c>
      <c r="AU97" s="108" t="s">
        <v>225</v>
      </c>
      <c r="AV97" s="115">
        <v>0</v>
      </c>
      <c r="AW97" s="108" t="s">
        <v>74</v>
      </c>
      <c r="AX97" s="108" t="s">
        <v>16</v>
      </c>
      <c r="AY97" s="108" t="s">
        <v>331</v>
      </c>
      <c r="AZ97" s="108" t="s">
        <v>404</v>
      </c>
      <c r="BA97" s="108">
        <v>2016</v>
      </c>
      <c r="BB97" s="108" t="s">
        <v>287</v>
      </c>
      <c r="BC97" s="108" t="s">
        <v>331</v>
      </c>
      <c r="BD97" s="108" t="s">
        <v>404</v>
      </c>
      <c r="BE97" s="108">
        <v>2016</v>
      </c>
      <c r="BF97" s="116"/>
      <c r="BG97" s="116"/>
      <c r="BH97" s="108" t="s">
        <v>228</v>
      </c>
      <c r="BI97" s="108">
        <v>34</v>
      </c>
      <c r="BJ97" s="108">
        <v>45</v>
      </c>
      <c r="BK97" s="111">
        <v>44293</v>
      </c>
      <c r="BL97" s="111">
        <v>44322</v>
      </c>
      <c r="BM97" s="111"/>
      <c r="BN97" s="111"/>
      <c r="BO97" s="108">
        <v>43467</v>
      </c>
      <c r="BP97" s="108">
        <v>43830</v>
      </c>
      <c r="BQ97" s="108" t="s">
        <v>940</v>
      </c>
      <c r="BR97" s="108" t="s">
        <v>941</v>
      </c>
      <c r="BS97" s="108"/>
      <c r="BT97" s="108"/>
      <c r="BU97" s="108"/>
      <c r="BV97" s="108"/>
      <c r="BW97" s="108"/>
      <c r="BX97" s="108"/>
      <c r="BY97" s="108"/>
      <c r="BZ97" s="108" t="e">
        <f>VLOOKUP(C97,[1]Sertifikasi!$B$4:$I$19,8,0)</f>
        <v>#N/A</v>
      </c>
    </row>
    <row r="98" spans="1:78" ht="11.25" customHeight="1">
      <c r="A98" s="108"/>
      <c r="B98" s="108">
        <v>220</v>
      </c>
      <c r="C98" s="108" t="s">
        <v>2044</v>
      </c>
      <c r="D98" s="109">
        <v>642002080</v>
      </c>
      <c r="E98" s="131">
        <v>1710006361268</v>
      </c>
      <c r="F98" s="131"/>
      <c r="G98" s="108" t="s">
        <v>2045</v>
      </c>
      <c r="H98" s="108" t="s">
        <v>2045</v>
      </c>
      <c r="I98" s="111">
        <v>43885</v>
      </c>
      <c r="J98" s="108">
        <v>3</v>
      </c>
      <c r="K98" s="108">
        <v>7</v>
      </c>
      <c r="L98" s="108" t="str">
        <f t="shared" si="3"/>
        <v>PKWT</v>
      </c>
      <c r="M98" s="108"/>
      <c r="N98" s="112">
        <v>45291</v>
      </c>
      <c r="O98" s="108"/>
      <c r="P98" s="108" t="s">
        <v>213</v>
      </c>
      <c r="Q98" s="210" t="s">
        <v>4102</v>
      </c>
      <c r="R98" s="108" t="s">
        <v>259</v>
      </c>
      <c r="S98" s="108" t="s">
        <v>33</v>
      </c>
      <c r="T98" s="108" t="s">
        <v>432</v>
      </c>
      <c r="U98" s="108" t="s">
        <v>199</v>
      </c>
      <c r="V98" s="108" t="s">
        <v>180</v>
      </c>
      <c r="W98" s="108"/>
      <c r="X98" s="108"/>
      <c r="Y98" s="108" t="s">
        <v>216</v>
      </c>
      <c r="Z98" s="108" t="s">
        <v>1499</v>
      </c>
      <c r="AA98" s="111">
        <v>36331</v>
      </c>
      <c r="AB98" s="113">
        <v>24</v>
      </c>
      <c r="AC98" s="108" t="s">
        <v>2046</v>
      </c>
      <c r="AD98" s="129" t="s">
        <v>2047</v>
      </c>
      <c r="AE98" s="108" t="s">
        <v>2048</v>
      </c>
      <c r="AF98" s="108"/>
      <c r="AG98" s="108" t="s">
        <v>2049</v>
      </c>
      <c r="AH98" s="114" t="s">
        <v>986</v>
      </c>
      <c r="AI98" s="115">
        <v>20024319806</v>
      </c>
      <c r="AJ98" s="108" t="s">
        <v>255</v>
      </c>
      <c r="AK98" s="108"/>
      <c r="AL98" s="108"/>
      <c r="AM98" s="108"/>
      <c r="AN98" s="108"/>
      <c r="AO98" s="108"/>
      <c r="AP98" s="108"/>
      <c r="AQ98" s="108"/>
      <c r="AR98" s="108"/>
      <c r="AS98" s="108"/>
      <c r="AT98" s="108">
        <v>0</v>
      </c>
      <c r="AU98" s="108" t="s">
        <v>304</v>
      </c>
      <c r="AV98" s="115"/>
      <c r="AW98" s="108" t="s">
        <v>74</v>
      </c>
      <c r="AX98" s="108" t="s">
        <v>16</v>
      </c>
      <c r="AY98" s="108" t="s">
        <v>331</v>
      </c>
      <c r="AZ98" s="108" t="s">
        <v>2050</v>
      </c>
      <c r="BA98" s="108">
        <v>2018</v>
      </c>
      <c r="BB98" s="108" t="s">
        <v>16</v>
      </c>
      <c r="BC98" s="108" t="s">
        <v>331</v>
      </c>
      <c r="BD98" s="108" t="s">
        <v>2050</v>
      </c>
      <c r="BE98" s="108">
        <v>2018</v>
      </c>
      <c r="BF98" s="116"/>
      <c r="BG98" s="116"/>
      <c r="BH98" s="108"/>
      <c r="BI98" s="108"/>
      <c r="BJ98" s="108">
        <v>41</v>
      </c>
      <c r="BK98" s="111"/>
      <c r="BL98" s="111"/>
      <c r="BM98" s="111"/>
      <c r="BN98" s="111"/>
      <c r="BO98" s="108"/>
      <c r="BP98" s="108"/>
      <c r="BQ98" s="108"/>
      <c r="BR98" s="108"/>
      <c r="BS98" s="108"/>
      <c r="BT98" s="108"/>
      <c r="BU98" s="108"/>
      <c r="BV98" s="108"/>
      <c r="BW98" s="108"/>
      <c r="BX98" s="108"/>
      <c r="BY98" s="108"/>
      <c r="BZ98" s="108" t="e">
        <f>VLOOKUP(C98,[1]Sertifikasi!$B$4:$I$19,8,0)</f>
        <v>#N/A</v>
      </c>
    </row>
    <row r="99" spans="1:78" ht="11.25" customHeight="1">
      <c r="A99" s="108"/>
      <c r="B99" s="108">
        <v>77</v>
      </c>
      <c r="C99" s="128" t="s">
        <v>4109</v>
      </c>
      <c r="D99" s="109">
        <v>971800020</v>
      </c>
      <c r="E99" s="131">
        <v>1710003919936</v>
      </c>
      <c r="F99" s="131"/>
      <c r="G99" s="113" t="s">
        <v>71</v>
      </c>
      <c r="H99" s="108" t="s">
        <v>71</v>
      </c>
      <c r="I99" s="111">
        <v>42891</v>
      </c>
      <c r="J99" s="108">
        <f ca="1">DATEDIF(I99,$C$3,"y")</f>
        <v>6</v>
      </c>
      <c r="K99" s="108">
        <f ca="1">DATEDIF(I99,$C$3,"ym")</f>
        <v>5</v>
      </c>
      <c r="L99" s="108" t="str">
        <f t="shared" si="3"/>
        <v>Tetap</v>
      </c>
      <c r="M99" s="108" t="s">
        <v>260</v>
      </c>
      <c r="N99" s="112">
        <v>43116</v>
      </c>
      <c r="O99" s="111"/>
      <c r="P99" s="108" t="s">
        <v>261</v>
      </c>
      <c r="Q99" s="210" t="s">
        <v>4100</v>
      </c>
      <c r="R99" s="108" t="s">
        <v>2085</v>
      </c>
      <c r="S99" s="108" t="s">
        <v>179</v>
      </c>
      <c r="T99" s="108" t="s">
        <v>179</v>
      </c>
      <c r="U99" s="108"/>
      <c r="V99" s="108" t="s">
        <v>180</v>
      </c>
      <c r="W99" s="108"/>
      <c r="X99" s="108"/>
      <c r="Y99" s="108" t="s">
        <v>59</v>
      </c>
      <c r="Z99" s="108" t="s">
        <v>71</v>
      </c>
      <c r="AA99" s="111">
        <v>34320</v>
      </c>
      <c r="AB99" s="113">
        <f ca="1">DATEDIF(AA99,$C$3,"y")</f>
        <v>29</v>
      </c>
      <c r="AC99" s="108" t="s">
        <v>1030</v>
      </c>
      <c r="AD99" s="129" t="s">
        <v>1031</v>
      </c>
      <c r="AE99" s="108" t="s">
        <v>1032</v>
      </c>
      <c r="AF99" s="108"/>
      <c r="AG99" s="130" t="s">
        <v>1033</v>
      </c>
      <c r="AH99" s="114" t="s">
        <v>1034</v>
      </c>
      <c r="AI99" s="115" t="s">
        <v>1035</v>
      </c>
      <c r="AJ99" s="108" t="s">
        <v>189</v>
      </c>
      <c r="AK99" s="108" t="s">
        <v>1036</v>
      </c>
      <c r="AL99" s="108" t="s">
        <v>1037</v>
      </c>
      <c r="AM99" s="108"/>
      <c r="AN99" s="108"/>
      <c r="AO99" s="108"/>
      <c r="AP99" s="108"/>
      <c r="AQ99" s="108"/>
      <c r="AR99" s="108"/>
      <c r="AS99" s="108"/>
      <c r="AT99" s="108">
        <f>COUNTA(AL99:AO99)</f>
        <v>1</v>
      </c>
      <c r="AU99" s="108" t="str">
        <f>IF(AJ99="Menikah","K","TK")&amp;"/"&amp;AT99</f>
        <v>K/1</v>
      </c>
      <c r="AV99" s="131">
        <v>753002518621000</v>
      </c>
      <c r="AW99" s="113" t="s">
        <v>74</v>
      </c>
      <c r="AX99" s="108" t="s">
        <v>13</v>
      </c>
      <c r="AY99" s="108" t="s">
        <v>192</v>
      </c>
      <c r="AZ99" s="108" t="s">
        <v>211</v>
      </c>
      <c r="BA99" s="108">
        <v>2016</v>
      </c>
      <c r="BB99" s="108" t="s">
        <v>13</v>
      </c>
      <c r="BC99" s="108" t="s">
        <v>192</v>
      </c>
      <c r="BD99" s="108" t="s">
        <v>211</v>
      </c>
      <c r="BE99" s="108">
        <v>2016</v>
      </c>
      <c r="BF99" s="116">
        <v>54439</v>
      </c>
      <c r="BG99" s="116">
        <v>54804</v>
      </c>
      <c r="BH99" s="132"/>
      <c r="BI99" s="108"/>
      <c r="BJ99" s="108">
        <v>41</v>
      </c>
      <c r="BK99" s="111">
        <v>44294</v>
      </c>
      <c r="BL99" s="111">
        <v>44322</v>
      </c>
      <c r="BM99" s="208"/>
      <c r="BN99" s="111"/>
      <c r="BO99" s="108"/>
      <c r="BP99" s="108"/>
      <c r="BQ99" s="108"/>
      <c r="BR99" s="108"/>
      <c r="BS99" s="108"/>
      <c r="BT99" s="108"/>
      <c r="BU99" s="108"/>
      <c r="BV99" s="108"/>
      <c r="BW99" s="108"/>
      <c r="BX99" s="108"/>
      <c r="BY99" s="108"/>
      <c r="BZ99" s="108" t="e">
        <f>VLOOKUP(C99,[1]Sertifikasi!$B$4:$I$19,8,0)</f>
        <v>#N/A</v>
      </c>
    </row>
    <row r="100" spans="1:78" ht="11.25" customHeight="1">
      <c r="A100" s="108"/>
      <c r="B100" s="108">
        <v>51</v>
      </c>
      <c r="C100" s="108" t="s">
        <v>2488</v>
      </c>
      <c r="D100" s="109">
        <v>642201129</v>
      </c>
      <c r="E100" s="131">
        <v>1710007726907</v>
      </c>
      <c r="F100" s="131"/>
      <c r="G100" s="113" t="s">
        <v>71</v>
      </c>
      <c r="H100" s="108" t="s">
        <v>71</v>
      </c>
      <c r="I100" s="111">
        <v>44565</v>
      </c>
      <c r="J100" s="108">
        <f ca="1">DATEDIF(I100,$C$3,"y")</f>
        <v>1</v>
      </c>
      <c r="K100" s="108">
        <f ca="1">DATEDIF(I100,$C$3,"ym")</f>
        <v>10</v>
      </c>
      <c r="L100" s="108" t="str">
        <f t="shared" si="3"/>
        <v>PKWT</v>
      </c>
      <c r="M100" s="108"/>
      <c r="N100" s="112">
        <v>45294</v>
      </c>
      <c r="O100" s="108"/>
      <c r="P100" s="108" t="s">
        <v>261</v>
      </c>
      <c r="Q100" s="210" t="s">
        <v>4100</v>
      </c>
      <c r="R100" s="108" t="s">
        <v>4099</v>
      </c>
      <c r="S100" s="108" t="s">
        <v>2489</v>
      </c>
      <c r="T100" s="108" t="s">
        <v>784</v>
      </c>
      <c r="U100" s="108" t="s">
        <v>785</v>
      </c>
      <c r="V100" s="108" t="s">
        <v>662</v>
      </c>
      <c r="W100" s="108"/>
      <c r="X100" s="108"/>
      <c r="Y100" s="108" t="s">
        <v>60</v>
      </c>
      <c r="Z100" s="108" t="s">
        <v>71</v>
      </c>
      <c r="AA100" s="111">
        <v>36567</v>
      </c>
      <c r="AB100" s="113">
        <f ca="1">DATEDIF(AA100,$C$3,"y")</f>
        <v>23</v>
      </c>
      <c r="AC100" s="108" t="s">
        <v>2490</v>
      </c>
      <c r="AD100" s="129" t="s">
        <v>2491</v>
      </c>
      <c r="AE100" s="108" t="s">
        <v>2492</v>
      </c>
      <c r="AF100" s="108"/>
      <c r="AG100" s="108" t="s">
        <v>2493</v>
      </c>
      <c r="AH100" s="114" t="s">
        <v>2494</v>
      </c>
      <c r="AI100" s="115">
        <v>22017333588</v>
      </c>
      <c r="AJ100" s="108" t="s">
        <v>255</v>
      </c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>
        <f>COUNTA(AL100:AO100)</f>
        <v>0</v>
      </c>
      <c r="AU100" s="108" t="str">
        <f>IF(AJ100="Menikah","K","TK")&amp;"/"&amp;AT100</f>
        <v>TK/0</v>
      </c>
      <c r="AV100" s="131"/>
      <c r="AW100" s="113" t="s">
        <v>74</v>
      </c>
      <c r="AX100" s="108" t="s">
        <v>13</v>
      </c>
      <c r="AY100" s="108" t="s">
        <v>2487</v>
      </c>
      <c r="AZ100" s="108" t="s">
        <v>482</v>
      </c>
      <c r="BA100" s="108">
        <v>2021</v>
      </c>
      <c r="BB100" s="108" t="s">
        <v>13</v>
      </c>
      <c r="BC100" s="108" t="s">
        <v>2487</v>
      </c>
      <c r="BD100" s="108" t="s">
        <v>482</v>
      </c>
      <c r="BE100" s="108">
        <v>2021</v>
      </c>
      <c r="BF100" s="116"/>
      <c r="BG100" s="116"/>
      <c r="BH100" s="108"/>
      <c r="BI100" s="108"/>
      <c r="BJ100" s="194"/>
      <c r="BK100" s="111"/>
      <c r="BL100" s="111"/>
      <c r="BM100" s="111">
        <v>44950</v>
      </c>
      <c r="BN100" s="111"/>
      <c r="BO100" s="108"/>
      <c r="BP100" s="108"/>
      <c r="BQ100" s="108"/>
      <c r="BR100" s="108"/>
      <c r="BS100" s="108"/>
      <c r="BT100" s="108"/>
      <c r="BU100" s="108"/>
      <c r="BV100" s="108"/>
      <c r="BW100" s="108"/>
      <c r="BX100" s="108"/>
      <c r="BY100" s="108"/>
      <c r="BZ100" s="108" t="e">
        <f>VLOOKUP(C100,[1]Sertifikasi!$B$4:$I$19,8,0)</f>
        <v>#N/A</v>
      </c>
    </row>
    <row r="101" spans="1:78" ht="11.25" customHeight="1">
      <c r="A101" s="108"/>
      <c r="B101" s="108">
        <v>98</v>
      </c>
      <c r="C101" s="108" t="s">
        <v>991</v>
      </c>
      <c r="D101" s="109">
        <v>642001043</v>
      </c>
      <c r="E101" s="131">
        <v>1710003987719</v>
      </c>
      <c r="F101" s="131"/>
      <c r="G101" s="108" t="s">
        <v>71</v>
      </c>
      <c r="H101" s="108" t="s">
        <v>71</v>
      </c>
      <c r="I101" s="111">
        <v>42857</v>
      </c>
      <c r="J101" s="108">
        <v>6</v>
      </c>
      <c r="K101" s="108">
        <v>5</v>
      </c>
      <c r="L101" s="108" t="str">
        <f t="shared" si="3"/>
        <v>PKWT</v>
      </c>
      <c r="M101" s="108"/>
      <c r="N101" s="112">
        <v>45291</v>
      </c>
      <c r="O101" s="108"/>
      <c r="P101" s="108" t="s">
        <v>213</v>
      </c>
      <c r="Q101" s="210" t="s">
        <v>4102</v>
      </c>
      <c r="R101" s="108" t="s">
        <v>33</v>
      </c>
      <c r="S101" s="108" t="s">
        <v>232</v>
      </c>
      <c r="T101" s="108" t="s">
        <v>199</v>
      </c>
      <c r="U101" s="108" t="s">
        <v>199</v>
      </c>
      <c r="V101" s="108" t="s">
        <v>180</v>
      </c>
      <c r="W101" s="108"/>
      <c r="X101" s="108" t="s">
        <v>215</v>
      </c>
      <c r="Y101" s="108" t="s">
        <v>216</v>
      </c>
      <c r="Z101" s="108" t="s">
        <v>992</v>
      </c>
      <c r="AA101" s="111">
        <v>35699</v>
      </c>
      <c r="AB101" s="113">
        <v>26</v>
      </c>
      <c r="AC101" s="108" t="s">
        <v>993</v>
      </c>
      <c r="AD101" s="129" t="s">
        <v>994</v>
      </c>
      <c r="AE101" s="108" t="s">
        <v>995</v>
      </c>
      <c r="AF101" s="108" t="s">
        <v>996</v>
      </c>
      <c r="AG101" s="108" t="s">
        <v>997</v>
      </c>
      <c r="AH101" s="114" t="s">
        <v>998</v>
      </c>
      <c r="AI101" s="115">
        <v>17043907603</v>
      </c>
      <c r="AJ101" s="108" t="s">
        <v>255</v>
      </c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>
        <v>0</v>
      </c>
      <c r="AU101" s="108" t="s">
        <v>304</v>
      </c>
      <c r="AV101" s="115">
        <v>0</v>
      </c>
      <c r="AW101" s="108" t="s">
        <v>74</v>
      </c>
      <c r="AX101" s="108" t="s">
        <v>16</v>
      </c>
      <c r="AY101" s="108" t="s">
        <v>331</v>
      </c>
      <c r="AZ101" s="108" t="s">
        <v>966</v>
      </c>
      <c r="BA101" s="108">
        <v>2016</v>
      </c>
      <c r="BB101" s="108" t="s">
        <v>287</v>
      </c>
      <c r="BC101" s="108" t="s">
        <v>331</v>
      </c>
      <c r="BD101" s="108" t="s">
        <v>966</v>
      </c>
      <c r="BE101" s="108">
        <v>2016</v>
      </c>
      <c r="BF101" s="116"/>
      <c r="BG101" s="116"/>
      <c r="BH101" s="108" t="s">
        <v>228</v>
      </c>
      <c r="BI101" s="108">
        <v>36</v>
      </c>
      <c r="BJ101" s="108">
        <v>43</v>
      </c>
      <c r="BK101" s="111"/>
      <c r="BL101" s="111"/>
      <c r="BM101" s="111"/>
      <c r="BN101" s="111"/>
      <c r="BO101" s="108">
        <v>43467</v>
      </c>
      <c r="BP101" s="108">
        <v>43830</v>
      </c>
      <c r="BQ101" s="108" t="s">
        <v>999</v>
      </c>
      <c r="BR101" s="108" t="s">
        <v>1000</v>
      </c>
      <c r="BS101" s="108"/>
      <c r="BT101" s="108"/>
      <c r="BU101" s="108"/>
      <c r="BV101" s="108"/>
      <c r="BW101" s="108"/>
      <c r="BX101" s="108"/>
      <c r="BY101" s="108"/>
      <c r="BZ101" s="108" t="e">
        <f>VLOOKUP(C101,[1]Sertifikasi!$B$4:$I$19,8,0)</f>
        <v>#N/A</v>
      </c>
    </row>
    <row r="102" spans="1:78" ht="11.25" customHeight="1">
      <c r="A102" s="108"/>
      <c r="B102" s="108">
        <v>170</v>
      </c>
      <c r="C102" s="108" t="s">
        <v>1569</v>
      </c>
      <c r="D102" s="109">
        <v>641810189</v>
      </c>
      <c r="E102" s="131">
        <v>1710004810159</v>
      </c>
      <c r="F102" s="131"/>
      <c r="G102" s="108" t="s">
        <v>259</v>
      </c>
      <c r="H102" s="108" t="s">
        <v>259</v>
      </c>
      <c r="I102" s="111">
        <v>43395</v>
      </c>
      <c r="J102" s="108">
        <v>4</v>
      </c>
      <c r="K102" s="108">
        <v>11</v>
      </c>
      <c r="L102" s="108" t="str">
        <f t="shared" si="3"/>
        <v>PKWT</v>
      </c>
      <c r="M102" s="108"/>
      <c r="N102" s="112">
        <v>45291</v>
      </c>
      <c r="O102" s="108"/>
      <c r="P102" s="108" t="s">
        <v>213</v>
      </c>
      <c r="Q102" s="210" t="s">
        <v>4102</v>
      </c>
      <c r="R102" s="108" t="s">
        <v>259</v>
      </c>
      <c r="S102" s="108" t="s">
        <v>262</v>
      </c>
      <c r="T102" s="108" t="s">
        <v>89</v>
      </c>
      <c r="U102" s="108" t="s">
        <v>199</v>
      </c>
      <c r="V102" s="108" t="s">
        <v>180</v>
      </c>
      <c r="W102" s="108" t="s">
        <v>277</v>
      </c>
      <c r="X102" s="108" t="s">
        <v>215</v>
      </c>
      <c r="Y102" s="108" t="s">
        <v>216</v>
      </c>
      <c r="Z102" s="108" t="s">
        <v>1185</v>
      </c>
      <c r="AA102" s="111">
        <v>34006</v>
      </c>
      <c r="AB102" s="113">
        <v>30</v>
      </c>
      <c r="AC102" s="108" t="s">
        <v>1570</v>
      </c>
      <c r="AD102" s="129" t="s">
        <v>1571</v>
      </c>
      <c r="AE102" s="108" t="s">
        <v>1572</v>
      </c>
      <c r="AF102" s="108"/>
      <c r="AG102" s="108" t="s">
        <v>1573</v>
      </c>
      <c r="AH102" s="114" t="s">
        <v>1574</v>
      </c>
      <c r="AI102" s="115">
        <v>18099947485</v>
      </c>
      <c r="AJ102" s="108" t="s">
        <v>189</v>
      </c>
      <c r="AK102" s="108" t="s">
        <v>1575</v>
      </c>
      <c r="AL102" s="108" t="s">
        <v>1576</v>
      </c>
      <c r="AM102" s="108"/>
      <c r="AN102" s="108"/>
      <c r="AO102" s="108"/>
      <c r="AP102" s="108" t="s">
        <v>1577</v>
      </c>
      <c r="AQ102" s="108"/>
      <c r="AR102" s="108"/>
      <c r="AS102" s="108"/>
      <c r="AT102" s="108">
        <v>1</v>
      </c>
      <c r="AU102" s="108" t="s">
        <v>225</v>
      </c>
      <c r="AV102" s="115">
        <v>0</v>
      </c>
      <c r="AW102" s="108" t="s">
        <v>74</v>
      </c>
      <c r="AX102" s="108" t="s">
        <v>12</v>
      </c>
      <c r="AY102" s="108" t="s">
        <v>226</v>
      </c>
      <c r="AZ102" s="108" t="s">
        <v>1199</v>
      </c>
      <c r="BA102" s="108">
        <v>2016</v>
      </c>
      <c r="BB102" s="108" t="s">
        <v>12</v>
      </c>
      <c r="BC102" s="108" t="s">
        <v>226</v>
      </c>
      <c r="BD102" s="108" t="s">
        <v>1199</v>
      </c>
      <c r="BE102" s="108">
        <v>2016</v>
      </c>
      <c r="BF102" s="116"/>
      <c r="BG102" s="116"/>
      <c r="BH102" s="108" t="s">
        <v>241</v>
      </c>
      <c r="BI102" s="108">
        <v>28</v>
      </c>
      <c r="BJ102" s="108">
        <v>40</v>
      </c>
      <c r="BK102" s="111"/>
      <c r="BL102" s="111"/>
      <c r="BM102" s="111"/>
      <c r="BN102" s="111"/>
      <c r="BO102" s="108"/>
      <c r="BP102" s="108"/>
      <c r="BQ102" s="108"/>
      <c r="BR102" s="108"/>
      <c r="BS102" s="108"/>
      <c r="BT102" s="108"/>
      <c r="BU102" s="108"/>
      <c r="BV102" s="108"/>
      <c r="BW102" s="108"/>
      <c r="BX102" s="108"/>
      <c r="BY102" s="108"/>
      <c r="BZ102" s="108" t="e">
        <f>VLOOKUP(C102,[1]Sertifikasi!$B$4:$I$19,8,0)</f>
        <v>#N/A</v>
      </c>
    </row>
    <row r="103" spans="1:78" ht="11.25" customHeight="1">
      <c r="A103" s="108"/>
      <c r="B103" s="108">
        <v>221</v>
      </c>
      <c r="C103" s="108" t="s">
        <v>2867</v>
      </c>
      <c r="D103" s="109">
        <v>642301192</v>
      </c>
      <c r="E103" s="131">
        <v>1330026036293</v>
      </c>
      <c r="F103" s="131"/>
      <c r="G103" s="108" t="s">
        <v>71</v>
      </c>
      <c r="H103" s="108" t="s">
        <v>71</v>
      </c>
      <c r="I103" s="111">
        <v>44931</v>
      </c>
      <c r="J103" s="108">
        <v>0</v>
      </c>
      <c r="K103" s="108">
        <v>9</v>
      </c>
      <c r="L103" s="108" t="str">
        <f t="shared" si="3"/>
        <v>PKWT</v>
      </c>
      <c r="M103" s="108"/>
      <c r="N103" s="112">
        <v>45291</v>
      </c>
      <c r="O103" s="108"/>
      <c r="P103" s="108" t="s">
        <v>213</v>
      </c>
      <c r="Q103" s="210" t="s">
        <v>4102</v>
      </c>
      <c r="R103" s="108" t="s">
        <v>259</v>
      </c>
      <c r="S103" s="108" t="s">
        <v>33</v>
      </c>
      <c r="T103" s="108" t="s">
        <v>432</v>
      </c>
      <c r="U103" s="108" t="s">
        <v>199</v>
      </c>
      <c r="V103" s="108" t="s">
        <v>180</v>
      </c>
      <c r="W103" s="108" t="s">
        <v>277</v>
      </c>
      <c r="X103" s="108"/>
      <c r="Y103" s="108" t="s">
        <v>216</v>
      </c>
      <c r="Z103" s="108" t="s">
        <v>1898</v>
      </c>
      <c r="AA103" s="111">
        <v>36942</v>
      </c>
      <c r="AB103" s="113">
        <v>22</v>
      </c>
      <c r="AC103" s="108" t="s">
        <v>2868</v>
      </c>
      <c r="AD103" s="129" t="s">
        <v>2869</v>
      </c>
      <c r="AE103" s="108" t="s">
        <v>2870</v>
      </c>
      <c r="AF103" s="108"/>
      <c r="AG103" s="108" t="s">
        <v>2871</v>
      </c>
      <c r="AH103" s="114" t="s">
        <v>2872</v>
      </c>
      <c r="AI103" s="115" t="s">
        <v>2873</v>
      </c>
      <c r="AJ103" s="108" t="s">
        <v>255</v>
      </c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>
        <v>0</v>
      </c>
      <c r="AU103" s="108" t="s">
        <v>304</v>
      </c>
      <c r="AV103" s="115"/>
      <c r="AW103" s="108" t="s">
        <v>74</v>
      </c>
      <c r="AX103" s="108" t="s">
        <v>13</v>
      </c>
      <c r="AY103" s="108" t="s">
        <v>2789</v>
      </c>
      <c r="AZ103" s="108" t="s">
        <v>2472</v>
      </c>
      <c r="BA103" s="108">
        <v>2022</v>
      </c>
      <c r="BB103" s="108" t="s">
        <v>13</v>
      </c>
      <c r="BC103" s="108" t="s">
        <v>2789</v>
      </c>
      <c r="BD103" s="108" t="s">
        <v>2472</v>
      </c>
      <c r="BE103" s="108">
        <v>2022</v>
      </c>
      <c r="BF103" s="116"/>
      <c r="BG103" s="116"/>
      <c r="BH103" s="108"/>
      <c r="BI103" s="108"/>
      <c r="BJ103" s="108">
        <v>46</v>
      </c>
      <c r="BK103" s="111"/>
      <c r="BL103" s="111"/>
      <c r="BM103" s="111">
        <v>44887</v>
      </c>
      <c r="BN103" s="111"/>
      <c r="BO103" s="108"/>
      <c r="BP103" s="108"/>
      <c r="BQ103" s="108"/>
      <c r="BR103" s="108"/>
      <c r="BS103" s="108"/>
      <c r="BT103" s="108"/>
      <c r="BU103" s="108"/>
      <c r="BV103" s="108"/>
      <c r="BW103" s="108"/>
      <c r="BX103" s="108"/>
      <c r="BY103" s="108"/>
      <c r="BZ103" s="108" t="e">
        <f>VLOOKUP(C103,[1]Sertifikasi!$B$4:$I$19,8,0)</f>
        <v>#N/A</v>
      </c>
    </row>
    <row r="104" spans="1:78" ht="11.25" customHeight="1">
      <c r="A104" s="108"/>
      <c r="B104" s="108">
        <v>301</v>
      </c>
      <c r="C104" s="108" t="s">
        <v>1690</v>
      </c>
      <c r="D104" s="109">
        <v>641810205</v>
      </c>
      <c r="E104" s="131">
        <v>1710004811074</v>
      </c>
      <c r="F104" s="131"/>
      <c r="G104" s="108" t="s">
        <v>1276</v>
      </c>
      <c r="H104" s="108" t="s">
        <v>1276</v>
      </c>
      <c r="I104" s="111">
        <v>43395</v>
      </c>
      <c r="J104" s="108">
        <v>4</v>
      </c>
      <c r="K104" s="108">
        <v>11</v>
      </c>
      <c r="L104" s="108" t="str">
        <f t="shared" si="3"/>
        <v>PKWT</v>
      </c>
      <c r="M104" s="108"/>
      <c r="N104" s="112">
        <v>45586</v>
      </c>
      <c r="O104" s="108"/>
      <c r="P104" s="108" t="s">
        <v>213</v>
      </c>
      <c r="Q104" s="210" t="s">
        <v>4102</v>
      </c>
      <c r="R104" s="108" t="s">
        <v>1276</v>
      </c>
      <c r="S104" s="108" t="s">
        <v>275</v>
      </c>
      <c r="T104" s="108" t="s">
        <v>94</v>
      </c>
      <c r="U104" s="108" t="s">
        <v>276</v>
      </c>
      <c r="V104" s="108" t="s">
        <v>180</v>
      </c>
      <c r="W104" s="108"/>
      <c r="X104" s="108" t="s">
        <v>215</v>
      </c>
      <c r="Y104" s="108" t="s">
        <v>216</v>
      </c>
      <c r="Z104" s="108" t="s">
        <v>1691</v>
      </c>
      <c r="AA104" s="111">
        <v>35891</v>
      </c>
      <c r="AB104" s="113">
        <v>25</v>
      </c>
      <c r="AC104" s="108" t="s">
        <v>1692</v>
      </c>
      <c r="AD104" s="129" t="s">
        <v>1693</v>
      </c>
      <c r="AE104" s="108" t="s">
        <v>1694</v>
      </c>
      <c r="AF104" s="108"/>
      <c r="AG104" s="108" t="s">
        <v>1695</v>
      </c>
      <c r="AH104" s="114" t="s">
        <v>1696</v>
      </c>
      <c r="AI104" s="115">
        <v>18099947501</v>
      </c>
      <c r="AJ104" s="108" t="s">
        <v>255</v>
      </c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>
        <v>0</v>
      </c>
      <c r="AU104" s="108" t="s">
        <v>304</v>
      </c>
      <c r="AV104" s="115">
        <v>0</v>
      </c>
      <c r="AW104" s="108" t="s">
        <v>74</v>
      </c>
      <c r="AX104" s="108" t="s">
        <v>16</v>
      </c>
      <c r="AY104" s="108" t="s">
        <v>226</v>
      </c>
      <c r="AZ104" s="108" t="s">
        <v>1697</v>
      </c>
      <c r="BA104" s="108">
        <v>2016</v>
      </c>
      <c r="BB104" s="108" t="s">
        <v>287</v>
      </c>
      <c r="BC104" s="108" t="s">
        <v>226</v>
      </c>
      <c r="BD104" s="108" t="s">
        <v>1697</v>
      </c>
      <c r="BE104" s="108">
        <v>2016</v>
      </c>
      <c r="BF104" s="116"/>
      <c r="BG104" s="116"/>
      <c r="BH104" s="108" t="s">
        <v>241</v>
      </c>
      <c r="BI104" s="108">
        <v>29</v>
      </c>
      <c r="BJ104" s="108">
        <v>40</v>
      </c>
      <c r="BK104" s="111">
        <v>44365</v>
      </c>
      <c r="BL104" s="111">
        <v>44797</v>
      </c>
      <c r="BM104" s="111"/>
      <c r="BN104" s="111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  <c r="BY104" s="108"/>
      <c r="BZ104" s="108" t="e">
        <f>VLOOKUP(C104,[1]Sertifikasi!$B$4:$I$19,8,0)</f>
        <v>#N/A</v>
      </c>
    </row>
    <row r="105" spans="1:78" ht="11.25" customHeight="1">
      <c r="A105" s="108"/>
      <c r="B105" s="108">
        <v>222</v>
      </c>
      <c r="C105" s="108" t="s">
        <v>638</v>
      </c>
      <c r="D105" s="109">
        <v>642001069</v>
      </c>
      <c r="E105" s="131">
        <v>1710004034404</v>
      </c>
      <c r="F105" s="131"/>
      <c r="G105" s="108" t="s">
        <v>71</v>
      </c>
      <c r="H105" s="108" t="s">
        <v>71</v>
      </c>
      <c r="I105" s="111">
        <v>42430</v>
      </c>
      <c r="J105" s="108">
        <v>7</v>
      </c>
      <c r="K105" s="108">
        <v>7</v>
      </c>
      <c r="L105" s="108" t="str">
        <f t="shared" si="3"/>
        <v>PKWT</v>
      </c>
      <c r="M105" s="108"/>
      <c r="N105" s="112">
        <v>45291</v>
      </c>
      <c r="O105" s="108"/>
      <c r="P105" s="108" t="s">
        <v>213</v>
      </c>
      <c r="Q105" s="210" t="s">
        <v>4102</v>
      </c>
      <c r="R105" s="108" t="s">
        <v>259</v>
      </c>
      <c r="S105" s="108" t="s">
        <v>33</v>
      </c>
      <c r="T105" s="108" t="s">
        <v>432</v>
      </c>
      <c r="U105" s="108" t="s">
        <v>199</v>
      </c>
      <c r="V105" s="108" t="s">
        <v>180</v>
      </c>
      <c r="W105" s="108" t="s">
        <v>277</v>
      </c>
      <c r="X105" s="108" t="s">
        <v>215</v>
      </c>
      <c r="Y105" s="108" t="s">
        <v>216</v>
      </c>
      <c r="Z105" s="108" t="s">
        <v>639</v>
      </c>
      <c r="AA105" s="111">
        <v>35648</v>
      </c>
      <c r="AB105" s="113">
        <v>26</v>
      </c>
      <c r="AC105" s="108" t="s">
        <v>640</v>
      </c>
      <c r="AD105" s="129" t="s">
        <v>641</v>
      </c>
      <c r="AE105" s="108" t="s">
        <v>642</v>
      </c>
      <c r="AF105" s="108"/>
      <c r="AG105" s="108" t="s">
        <v>643</v>
      </c>
      <c r="AH105" s="114" t="s">
        <v>644</v>
      </c>
      <c r="AI105" s="115">
        <v>16013068693</v>
      </c>
      <c r="AJ105" s="108" t="s">
        <v>255</v>
      </c>
      <c r="AK105" s="108"/>
      <c r="AL105" s="108"/>
      <c r="AM105" s="108"/>
      <c r="AN105" s="108"/>
      <c r="AO105" s="108" t="s">
        <v>645</v>
      </c>
      <c r="AP105" s="108"/>
      <c r="AQ105" s="108"/>
      <c r="AR105" s="108"/>
      <c r="AS105" s="108"/>
      <c r="AT105" s="108">
        <v>1</v>
      </c>
      <c r="AU105" s="108" t="s">
        <v>646</v>
      </c>
      <c r="AV105" s="115">
        <v>0</v>
      </c>
      <c r="AW105" s="108" t="s">
        <v>74</v>
      </c>
      <c r="AX105" s="108" t="s">
        <v>16</v>
      </c>
      <c r="AY105" s="108" t="s">
        <v>305</v>
      </c>
      <c r="AZ105" s="108" t="s">
        <v>647</v>
      </c>
      <c r="BA105" s="108">
        <v>2015</v>
      </c>
      <c r="BB105" s="108" t="s">
        <v>287</v>
      </c>
      <c r="BC105" s="108" t="s">
        <v>305</v>
      </c>
      <c r="BD105" s="108" t="s">
        <v>647</v>
      </c>
      <c r="BE105" s="108">
        <v>2015</v>
      </c>
      <c r="BF105" s="116"/>
      <c r="BG105" s="116"/>
      <c r="BH105" s="108" t="s">
        <v>241</v>
      </c>
      <c r="BI105" s="108">
        <v>29</v>
      </c>
      <c r="BJ105" s="108">
        <v>42</v>
      </c>
      <c r="BK105" s="111"/>
      <c r="BL105" s="111"/>
      <c r="BM105" s="111"/>
      <c r="BN105" s="111"/>
      <c r="BO105" s="108">
        <v>43467</v>
      </c>
      <c r="BP105" s="108">
        <v>43830</v>
      </c>
      <c r="BQ105" s="108" t="s">
        <v>648</v>
      </c>
      <c r="BR105" s="108" t="s">
        <v>649</v>
      </c>
      <c r="BS105" s="108"/>
      <c r="BT105" s="108"/>
      <c r="BU105" s="108"/>
      <c r="BV105" s="108"/>
      <c r="BW105" s="108"/>
      <c r="BX105" s="108"/>
      <c r="BY105" s="108"/>
      <c r="BZ105" s="108" t="e">
        <f>VLOOKUP(C105,[1]Sertifikasi!$B$4:$I$19,8,0)</f>
        <v>#N/A</v>
      </c>
    </row>
    <row r="106" spans="1:78" ht="11.25" customHeight="1">
      <c r="A106" s="108"/>
      <c r="B106" s="108">
        <v>99</v>
      </c>
      <c r="C106" s="108" t="s">
        <v>452</v>
      </c>
      <c r="D106" s="109">
        <v>642001005</v>
      </c>
      <c r="E106" s="131">
        <v>1710003987818</v>
      </c>
      <c r="F106" s="131"/>
      <c r="G106" s="108" t="s">
        <v>71</v>
      </c>
      <c r="H106" s="108" t="s">
        <v>71</v>
      </c>
      <c r="I106" s="111">
        <v>42125</v>
      </c>
      <c r="J106" s="108">
        <v>8</v>
      </c>
      <c r="K106" s="108">
        <v>5</v>
      </c>
      <c r="L106" s="108" t="str">
        <f t="shared" si="3"/>
        <v>PKWT</v>
      </c>
      <c r="M106" s="108"/>
      <c r="N106" s="112">
        <v>45291</v>
      </c>
      <c r="O106" s="108"/>
      <c r="P106" s="108" t="s">
        <v>213</v>
      </c>
      <c r="Q106" s="210" t="s">
        <v>4102</v>
      </c>
      <c r="R106" s="108" t="s">
        <v>33</v>
      </c>
      <c r="S106" s="108" t="s">
        <v>232</v>
      </c>
      <c r="T106" s="108" t="s">
        <v>199</v>
      </c>
      <c r="U106" s="108" t="s">
        <v>199</v>
      </c>
      <c r="V106" s="108" t="s">
        <v>180</v>
      </c>
      <c r="W106" s="108" t="s">
        <v>277</v>
      </c>
      <c r="X106" s="108" t="s">
        <v>215</v>
      </c>
      <c r="Y106" s="108" t="s">
        <v>216</v>
      </c>
      <c r="Z106" s="108" t="s">
        <v>71</v>
      </c>
      <c r="AA106" s="111">
        <v>29616</v>
      </c>
      <c r="AB106" s="113">
        <v>42</v>
      </c>
      <c r="AC106" s="108" t="s">
        <v>453</v>
      </c>
      <c r="AD106" s="129" t="s">
        <v>454</v>
      </c>
      <c r="AE106" s="108" t="s">
        <v>455</v>
      </c>
      <c r="AF106" s="108"/>
      <c r="AG106" s="108" t="s">
        <v>456</v>
      </c>
      <c r="AH106" s="114" t="s">
        <v>457</v>
      </c>
      <c r="AI106" s="115">
        <v>16006271981</v>
      </c>
      <c r="AJ106" s="108" t="s">
        <v>189</v>
      </c>
      <c r="AK106" s="108" t="s">
        <v>458</v>
      </c>
      <c r="AL106" s="108" t="s">
        <v>459</v>
      </c>
      <c r="AM106" s="108"/>
      <c r="AN106" s="108"/>
      <c r="AO106" s="108"/>
      <c r="AP106" s="108"/>
      <c r="AQ106" s="108"/>
      <c r="AR106" s="108"/>
      <c r="AS106" s="108"/>
      <c r="AT106" s="108">
        <v>1</v>
      </c>
      <c r="AU106" s="108" t="s">
        <v>225</v>
      </c>
      <c r="AV106" s="115">
        <v>0</v>
      </c>
      <c r="AW106" s="108" t="s">
        <v>74</v>
      </c>
      <c r="AX106" s="108" t="s">
        <v>16</v>
      </c>
      <c r="AY106" s="108" t="s">
        <v>331</v>
      </c>
      <c r="AZ106" s="108" t="s">
        <v>286</v>
      </c>
      <c r="BA106" s="108">
        <v>2001</v>
      </c>
      <c r="BB106" s="108" t="s">
        <v>287</v>
      </c>
      <c r="BC106" s="108" t="s">
        <v>331</v>
      </c>
      <c r="BD106" s="108" t="s">
        <v>286</v>
      </c>
      <c r="BE106" s="108">
        <v>2001</v>
      </c>
      <c r="BF106" s="116"/>
      <c r="BG106" s="116"/>
      <c r="BH106" s="108" t="s">
        <v>241</v>
      </c>
      <c r="BI106" s="108">
        <v>28</v>
      </c>
      <c r="BJ106" s="108">
        <v>39</v>
      </c>
      <c r="BK106" s="111"/>
      <c r="BL106" s="111"/>
      <c r="BM106" s="111">
        <v>44711</v>
      </c>
      <c r="BN106" s="111"/>
      <c r="BO106" s="108">
        <v>43467</v>
      </c>
      <c r="BP106" s="108">
        <v>43830</v>
      </c>
      <c r="BQ106" s="108" t="s">
        <v>460</v>
      </c>
      <c r="BR106" s="108" t="s">
        <v>461</v>
      </c>
      <c r="BS106" s="108"/>
      <c r="BT106" s="108"/>
      <c r="BU106" s="108"/>
      <c r="BV106" s="108"/>
      <c r="BW106" s="108"/>
      <c r="BX106" s="108"/>
      <c r="BY106" s="108"/>
      <c r="BZ106" s="108" t="e">
        <f>VLOOKUP(C106,[1]Sertifikasi!$B$4:$I$19,8,0)</f>
        <v>#N/A</v>
      </c>
    </row>
    <row r="107" spans="1:78" ht="11.25" customHeight="1">
      <c r="A107" s="108"/>
      <c r="B107" s="108">
        <v>277</v>
      </c>
      <c r="C107" s="108" t="s">
        <v>2448</v>
      </c>
      <c r="D107" s="109">
        <v>642109118</v>
      </c>
      <c r="E107" s="131">
        <v>1130012336792</v>
      </c>
      <c r="F107" s="131"/>
      <c r="G107" s="108" t="s">
        <v>575</v>
      </c>
      <c r="H107" s="108" t="s">
        <v>575</v>
      </c>
      <c r="I107" s="111">
        <v>44490</v>
      </c>
      <c r="J107" s="108">
        <v>1</v>
      </c>
      <c r="K107" s="108">
        <v>11</v>
      </c>
      <c r="L107" s="108" t="str">
        <f t="shared" si="3"/>
        <v>PKWT</v>
      </c>
      <c r="M107" s="108"/>
      <c r="N107" s="112">
        <v>45585</v>
      </c>
      <c r="O107" s="108"/>
      <c r="P107" s="108" t="s">
        <v>213</v>
      </c>
      <c r="Q107" s="210" t="s">
        <v>4102</v>
      </c>
      <c r="R107" s="108" t="s">
        <v>575</v>
      </c>
      <c r="S107" s="108" t="s">
        <v>262</v>
      </c>
      <c r="T107" s="108" t="s">
        <v>92</v>
      </c>
      <c r="U107" s="108" t="s">
        <v>276</v>
      </c>
      <c r="V107" s="108" t="s">
        <v>180</v>
      </c>
      <c r="W107" s="108"/>
      <c r="X107" s="108"/>
      <c r="Y107" s="108" t="s">
        <v>216</v>
      </c>
      <c r="Z107" s="108" t="s">
        <v>575</v>
      </c>
      <c r="AA107" s="111">
        <v>36562</v>
      </c>
      <c r="AB107" s="113">
        <v>23</v>
      </c>
      <c r="AC107" s="108" t="s">
        <v>2449</v>
      </c>
      <c r="AD107" s="129" t="s">
        <v>2450</v>
      </c>
      <c r="AE107" s="108" t="s">
        <v>2451</v>
      </c>
      <c r="AF107" s="108"/>
      <c r="AG107" s="108" t="s">
        <v>2452</v>
      </c>
      <c r="AH107" s="114" t="s">
        <v>2453</v>
      </c>
      <c r="AI107" s="115">
        <v>18057396550</v>
      </c>
      <c r="AJ107" s="108" t="s">
        <v>255</v>
      </c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>
        <v>0</v>
      </c>
      <c r="AU107" s="108" t="s">
        <v>304</v>
      </c>
      <c r="AV107" s="115"/>
      <c r="AW107" s="108" t="s">
        <v>74</v>
      </c>
      <c r="AX107" s="108" t="s">
        <v>16</v>
      </c>
      <c r="AY107" s="108" t="s">
        <v>285</v>
      </c>
      <c r="AZ107" s="108" t="s">
        <v>1419</v>
      </c>
      <c r="BA107" s="108">
        <v>2017</v>
      </c>
      <c r="BB107" s="108" t="s">
        <v>16</v>
      </c>
      <c r="BC107" s="108" t="s">
        <v>285</v>
      </c>
      <c r="BD107" s="108" t="s">
        <v>1419</v>
      </c>
      <c r="BE107" s="108">
        <v>2017</v>
      </c>
      <c r="BF107" s="116"/>
      <c r="BG107" s="116"/>
      <c r="BH107" s="108"/>
      <c r="BI107" s="108"/>
      <c r="BJ107" s="108">
        <v>42</v>
      </c>
      <c r="BK107" s="111"/>
      <c r="BL107" s="111"/>
      <c r="BM107" s="111"/>
      <c r="BN107" s="111"/>
      <c r="BO107" s="108"/>
      <c r="BP107" s="108"/>
      <c r="BQ107" s="108"/>
      <c r="BR107" s="108" t="s">
        <v>2454</v>
      </c>
      <c r="BS107" s="108"/>
      <c r="BT107" s="108"/>
      <c r="BU107" s="108"/>
      <c r="BV107" s="108"/>
      <c r="BW107" s="108"/>
      <c r="BX107" s="108"/>
      <c r="BY107" s="108"/>
      <c r="BZ107" s="108" t="e">
        <f>VLOOKUP(C107,[1]Sertifikasi!$B$4:$I$19,8,0)</f>
        <v>#N/A</v>
      </c>
    </row>
    <row r="108" spans="1:78" ht="11.25" customHeight="1">
      <c r="A108" s="108"/>
      <c r="B108" s="108">
        <v>309</v>
      </c>
      <c r="C108" s="108" t="s">
        <v>1159</v>
      </c>
      <c r="D108" s="109">
        <v>642001027</v>
      </c>
      <c r="E108" s="131">
        <v>1710003987198</v>
      </c>
      <c r="F108" s="131"/>
      <c r="G108" s="108" t="s">
        <v>71</v>
      </c>
      <c r="H108" s="108" t="s">
        <v>71</v>
      </c>
      <c r="I108" s="111">
        <v>42919</v>
      </c>
      <c r="J108" s="108">
        <v>6</v>
      </c>
      <c r="K108" s="108">
        <v>3</v>
      </c>
      <c r="L108" s="108" t="str">
        <f t="shared" si="3"/>
        <v>PKWT</v>
      </c>
      <c r="M108" s="108"/>
      <c r="N108" s="112">
        <v>45291</v>
      </c>
      <c r="O108" s="108"/>
      <c r="P108" s="108" t="s">
        <v>213</v>
      </c>
      <c r="Q108" s="210" t="s">
        <v>4102</v>
      </c>
      <c r="R108" s="108" t="s">
        <v>422</v>
      </c>
      <c r="S108" s="108" t="s">
        <v>275</v>
      </c>
      <c r="T108" s="108" t="s">
        <v>93</v>
      </c>
      <c r="U108" s="108" t="s">
        <v>276</v>
      </c>
      <c r="V108" s="108" t="s">
        <v>180</v>
      </c>
      <c r="W108" s="108"/>
      <c r="X108" s="108" t="s">
        <v>215</v>
      </c>
      <c r="Y108" s="108" t="s">
        <v>216</v>
      </c>
      <c r="Z108" s="108" t="s">
        <v>72</v>
      </c>
      <c r="AA108" s="111">
        <v>34925</v>
      </c>
      <c r="AB108" s="113">
        <v>28</v>
      </c>
      <c r="AC108" s="108" t="s">
        <v>1160</v>
      </c>
      <c r="AD108" s="129" t="s">
        <v>1161</v>
      </c>
      <c r="AE108" s="108" t="s">
        <v>1162</v>
      </c>
      <c r="AF108" s="108"/>
      <c r="AG108" s="108" t="s">
        <v>1163</v>
      </c>
      <c r="AH108" s="114" t="s">
        <v>1164</v>
      </c>
      <c r="AI108" s="115">
        <v>17043907702</v>
      </c>
      <c r="AJ108" s="108" t="s">
        <v>255</v>
      </c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>
        <v>0</v>
      </c>
      <c r="AU108" s="108" t="s">
        <v>304</v>
      </c>
      <c r="AV108" s="115">
        <v>0</v>
      </c>
      <c r="AW108" s="108" t="s">
        <v>74</v>
      </c>
      <c r="AX108" s="108" t="s">
        <v>16</v>
      </c>
      <c r="AY108" s="108" t="s">
        <v>331</v>
      </c>
      <c r="AZ108" s="108" t="s">
        <v>1165</v>
      </c>
      <c r="BA108" s="108">
        <v>2013</v>
      </c>
      <c r="BB108" s="108" t="s">
        <v>287</v>
      </c>
      <c r="BC108" s="108" t="s">
        <v>331</v>
      </c>
      <c r="BD108" s="108" t="s">
        <v>1165</v>
      </c>
      <c r="BE108" s="108">
        <v>2013</v>
      </c>
      <c r="BF108" s="116"/>
      <c r="BG108" s="116"/>
      <c r="BH108" s="108" t="s">
        <v>345</v>
      </c>
      <c r="BI108" s="108">
        <v>28</v>
      </c>
      <c r="BJ108" s="108">
        <v>42</v>
      </c>
      <c r="BK108" s="111"/>
      <c r="BL108" s="111"/>
      <c r="BM108" s="111"/>
      <c r="BN108" s="111"/>
      <c r="BO108" s="108">
        <v>43467</v>
      </c>
      <c r="BP108" s="108">
        <v>43830</v>
      </c>
      <c r="BQ108" s="108" t="s">
        <v>1166</v>
      </c>
      <c r="BR108" s="108" t="s">
        <v>1167</v>
      </c>
      <c r="BS108" s="108"/>
      <c r="BT108" s="108"/>
      <c r="BU108" s="108"/>
      <c r="BV108" s="108"/>
      <c r="BW108" s="108"/>
      <c r="BX108" s="108"/>
      <c r="BY108" s="108"/>
      <c r="BZ108" s="108" t="e">
        <f>VLOOKUP(C108,[1]Sertifikasi!$B$4:$I$19,8,0)</f>
        <v>#N/A</v>
      </c>
    </row>
    <row r="109" spans="1:78" ht="11.25" customHeight="1">
      <c r="A109" s="108"/>
      <c r="B109" s="108">
        <v>223</v>
      </c>
      <c r="C109" s="108" t="s">
        <v>1238</v>
      </c>
      <c r="D109" s="109">
        <v>641805147</v>
      </c>
      <c r="E109" s="131">
        <v>1710004257757</v>
      </c>
      <c r="F109" s="131"/>
      <c r="G109" s="108" t="s">
        <v>71</v>
      </c>
      <c r="H109" s="108" t="s">
        <v>71</v>
      </c>
      <c r="I109" s="111">
        <v>43227</v>
      </c>
      <c r="J109" s="108">
        <v>5</v>
      </c>
      <c r="K109" s="108">
        <v>5</v>
      </c>
      <c r="L109" s="108" t="str">
        <f t="shared" si="3"/>
        <v>PKWT</v>
      </c>
      <c r="M109" s="108"/>
      <c r="N109" s="112">
        <v>45417</v>
      </c>
      <c r="O109" s="108"/>
      <c r="P109" s="108" t="s">
        <v>213</v>
      </c>
      <c r="Q109" s="210" t="s">
        <v>4102</v>
      </c>
      <c r="R109" s="108" t="s">
        <v>259</v>
      </c>
      <c r="S109" s="108" t="s">
        <v>33</v>
      </c>
      <c r="T109" s="108" t="s">
        <v>432</v>
      </c>
      <c r="U109" s="108" t="s">
        <v>199</v>
      </c>
      <c r="V109" s="108" t="s">
        <v>180</v>
      </c>
      <c r="W109" s="108" t="s">
        <v>931</v>
      </c>
      <c r="X109" s="108" t="s">
        <v>215</v>
      </c>
      <c r="Y109" s="108" t="s">
        <v>216</v>
      </c>
      <c r="Z109" s="108" t="s">
        <v>71</v>
      </c>
      <c r="AA109" s="111">
        <v>36050</v>
      </c>
      <c r="AB109" s="113">
        <v>25</v>
      </c>
      <c r="AC109" s="108" t="s">
        <v>1239</v>
      </c>
      <c r="AD109" s="129" t="s">
        <v>1240</v>
      </c>
      <c r="AE109" s="108" t="s">
        <v>1241</v>
      </c>
      <c r="AF109" s="108"/>
      <c r="AG109" s="108" t="s">
        <v>1242</v>
      </c>
      <c r="AH109" s="114" t="s">
        <v>1243</v>
      </c>
      <c r="AI109" s="115">
        <v>18035613464</v>
      </c>
      <c r="AJ109" s="108" t="s">
        <v>255</v>
      </c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>
        <v>0</v>
      </c>
      <c r="AU109" s="108" t="s">
        <v>304</v>
      </c>
      <c r="AV109" s="115">
        <v>0</v>
      </c>
      <c r="AW109" s="108" t="s">
        <v>74</v>
      </c>
      <c r="AX109" s="108" t="s">
        <v>16</v>
      </c>
      <c r="AY109" s="108" t="s">
        <v>331</v>
      </c>
      <c r="AZ109" s="108" t="s">
        <v>306</v>
      </c>
      <c r="BA109" s="108">
        <v>2017</v>
      </c>
      <c r="BB109" s="108" t="s">
        <v>287</v>
      </c>
      <c r="BC109" s="108" t="s">
        <v>331</v>
      </c>
      <c r="BD109" s="108" t="s">
        <v>306</v>
      </c>
      <c r="BE109" s="108">
        <v>2017</v>
      </c>
      <c r="BF109" s="116"/>
      <c r="BG109" s="116"/>
      <c r="BH109" s="108" t="s">
        <v>228</v>
      </c>
      <c r="BI109" s="108">
        <v>34</v>
      </c>
      <c r="BJ109" s="108">
        <v>42</v>
      </c>
      <c r="BK109" s="111"/>
      <c r="BL109" s="111"/>
      <c r="BM109" s="111">
        <v>44914</v>
      </c>
      <c r="BN109" s="111"/>
      <c r="BO109" s="108"/>
      <c r="BP109" s="108"/>
      <c r="BQ109" s="108"/>
      <c r="BR109" s="108"/>
      <c r="BS109" s="108"/>
      <c r="BT109" s="108"/>
      <c r="BU109" s="108"/>
      <c r="BV109" s="108"/>
      <c r="BW109" s="108"/>
      <c r="BX109" s="108"/>
      <c r="BY109" s="108"/>
      <c r="BZ109" s="108" t="e">
        <f>VLOOKUP(C109,[1]Sertifikasi!$B$4:$I$19,8,0)</f>
        <v>#N/A</v>
      </c>
    </row>
    <row r="110" spans="1:78" ht="11.25" customHeight="1">
      <c r="A110" s="108"/>
      <c r="B110" s="108">
        <v>224</v>
      </c>
      <c r="C110" s="108" t="s">
        <v>1244</v>
      </c>
      <c r="D110" s="109">
        <v>641805145</v>
      </c>
      <c r="E110" s="131">
        <v>1710004257831</v>
      </c>
      <c r="F110" s="131"/>
      <c r="G110" s="108" t="s">
        <v>71</v>
      </c>
      <c r="H110" s="108" t="s">
        <v>71</v>
      </c>
      <c r="I110" s="111">
        <v>43227</v>
      </c>
      <c r="J110" s="108">
        <v>5</v>
      </c>
      <c r="K110" s="108">
        <v>5</v>
      </c>
      <c r="L110" s="108" t="str">
        <f t="shared" si="3"/>
        <v>PKWT</v>
      </c>
      <c r="M110" s="108"/>
      <c r="N110" s="112">
        <v>45417</v>
      </c>
      <c r="O110" s="108"/>
      <c r="P110" s="108" t="s">
        <v>213</v>
      </c>
      <c r="Q110" s="210" t="s">
        <v>4102</v>
      </c>
      <c r="R110" s="108" t="s">
        <v>259</v>
      </c>
      <c r="S110" s="108" t="s">
        <v>33</v>
      </c>
      <c r="T110" s="108" t="s">
        <v>432</v>
      </c>
      <c r="U110" s="108" t="s">
        <v>199</v>
      </c>
      <c r="V110" s="108" t="s">
        <v>180</v>
      </c>
      <c r="W110" s="108" t="s">
        <v>931</v>
      </c>
      <c r="X110" s="108" t="s">
        <v>215</v>
      </c>
      <c r="Y110" s="108" t="s">
        <v>216</v>
      </c>
      <c r="Z110" s="108" t="s">
        <v>182</v>
      </c>
      <c r="AA110" s="111">
        <v>35575</v>
      </c>
      <c r="AB110" s="113">
        <v>26</v>
      </c>
      <c r="AC110" s="108" t="s">
        <v>1245</v>
      </c>
      <c r="AD110" s="129" t="s">
        <v>1246</v>
      </c>
      <c r="AE110" s="108" t="s">
        <v>1247</v>
      </c>
      <c r="AF110" s="108" t="s">
        <v>1247</v>
      </c>
      <c r="AG110" s="108" t="s">
        <v>1248</v>
      </c>
      <c r="AH110" s="114" t="s">
        <v>1249</v>
      </c>
      <c r="AI110" s="115">
        <v>18035613498</v>
      </c>
      <c r="AJ110" s="108" t="s">
        <v>255</v>
      </c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>
        <v>0</v>
      </c>
      <c r="AU110" s="108" t="s">
        <v>304</v>
      </c>
      <c r="AV110" s="115">
        <v>0</v>
      </c>
      <c r="AW110" s="108" t="s">
        <v>74</v>
      </c>
      <c r="AX110" s="108" t="s">
        <v>16</v>
      </c>
      <c r="AY110" s="108" t="s">
        <v>331</v>
      </c>
      <c r="AZ110" s="108" t="s">
        <v>1250</v>
      </c>
      <c r="BA110" s="108">
        <v>2015</v>
      </c>
      <c r="BB110" s="108" t="s">
        <v>287</v>
      </c>
      <c r="BC110" s="108" t="s">
        <v>331</v>
      </c>
      <c r="BD110" s="108" t="s">
        <v>1250</v>
      </c>
      <c r="BE110" s="108">
        <v>2015</v>
      </c>
      <c r="BF110" s="116"/>
      <c r="BG110" s="116"/>
      <c r="BH110" s="108" t="s">
        <v>228</v>
      </c>
      <c r="BI110" s="108">
        <v>38</v>
      </c>
      <c r="BJ110" s="108">
        <v>44</v>
      </c>
      <c r="BK110" s="111"/>
      <c r="BL110" s="111"/>
      <c r="BM110" s="111"/>
      <c r="BN110" s="111"/>
      <c r="BO110" s="108"/>
      <c r="BP110" s="108"/>
      <c r="BQ110" s="108"/>
      <c r="BR110" s="108"/>
      <c r="BS110" s="108"/>
      <c r="BT110" s="108"/>
      <c r="BU110" s="108"/>
      <c r="BV110" s="108"/>
      <c r="BW110" s="108"/>
      <c r="BX110" s="108"/>
      <c r="BY110" s="108"/>
      <c r="BZ110" s="108" t="e">
        <f>VLOOKUP(C110,[1]Sertifikasi!$B$4:$I$19,8,0)</f>
        <v>#N/A</v>
      </c>
    </row>
    <row r="111" spans="1:78" ht="11.25" customHeight="1">
      <c r="A111" s="108"/>
      <c r="B111" s="108">
        <v>37</v>
      </c>
      <c r="C111" s="128" t="s">
        <v>840</v>
      </c>
      <c r="D111" s="109">
        <v>971800019</v>
      </c>
      <c r="E111" s="131">
        <v>1710003929455</v>
      </c>
      <c r="F111" s="131">
        <v>5346366740</v>
      </c>
      <c r="G111" s="113" t="s">
        <v>71</v>
      </c>
      <c r="H111" s="108" t="s">
        <v>71</v>
      </c>
      <c r="I111" s="111">
        <v>42767</v>
      </c>
      <c r="J111" s="108">
        <f ca="1">DATEDIF(I111,$C$3,"y")</f>
        <v>6</v>
      </c>
      <c r="K111" s="108">
        <f ca="1">DATEDIF(I111,$C$3,"ym")</f>
        <v>9</v>
      </c>
      <c r="L111" s="108" t="str">
        <f t="shared" si="3"/>
        <v>Tetap</v>
      </c>
      <c r="M111" s="108" t="s">
        <v>260</v>
      </c>
      <c r="N111" s="112">
        <v>43116</v>
      </c>
      <c r="O111" s="111"/>
      <c r="P111" s="108" t="s">
        <v>261</v>
      </c>
      <c r="Q111" s="210" t="s">
        <v>4100</v>
      </c>
      <c r="R111" s="108" t="s">
        <v>4099</v>
      </c>
      <c r="S111" s="108" t="s">
        <v>841</v>
      </c>
      <c r="T111" s="108" t="s">
        <v>841</v>
      </c>
      <c r="U111" s="108" t="s">
        <v>785</v>
      </c>
      <c r="V111" s="108" t="s">
        <v>662</v>
      </c>
      <c r="W111" s="108"/>
      <c r="X111" s="108"/>
      <c r="Y111" s="108" t="s">
        <v>59</v>
      </c>
      <c r="Z111" s="108" t="s">
        <v>842</v>
      </c>
      <c r="AA111" s="111">
        <v>33445</v>
      </c>
      <c r="AB111" s="113">
        <f ca="1">DATEDIF(AA111,$C$3,"y")</f>
        <v>32</v>
      </c>
      <c r="AC111" s="108" t="s">
        <v>843</v>
      </c>
      <c r="AD111" s="129" t="s">
        <v>844</v>
      </c>
      <c r="AE111" s="108" t="s">
        <v>845</v>
      </c>
      <c r="AF111" s="108"/>
      <c r="AG111" s="130" t="s">
        <v>846</v>
      </c>
      <c r="AH111" s="114" t="s">
        <v>847</v>
      </c>
      <c r="AI111" s="115" t="s">
        <v>848</v>
      </c>
      <c r="AJ111" s="108" t="s">
        <v>189</v>
      </c>
      <c r="AK111" s="108"/>
      <c r="AL111" s="108" t="s">
        <v>849</v>
      </c>
      <c r="AM111" s="108"/>
      <c r="AN111" s="108"/>
      <c r="AO111" s="108"/>
      <c r="AP111" s="108"/>
      <c r="AQ111" s="108"/>
      <c r="AR111" s="108"/>
      <c r="AS111" s="108"/>
      <c r="AT111" s="108">
        <f>COUNTA(AL111:AO111)</f>
        <v>1</v>
      </c>
      <c r="AU111" s="108" t="str">
        <f>IF(AJ111="Menikah","K","TK")&amp;"/"&amp;AT111</f>
        <v>K/1</v>
      </c>
      <c r="AV111" s="131">
        <v>832701908621000</v>
      </c>
      <c r="AW111" s="113" t="s">
        <v>74</v>
      </c>
      <c r="AX111" s="108" t="s">
        <v>12</v>
      </c>
      <c r="AY111" s="108" t="s">
        <v>850</v>
      </c>
      <c r="AZ111" s="108" t="s">
        <v>851</v>
      </c>
      <c r="BA111" s="108">
        <v>2016</v>
      </c>
      <c r="BB111" s="108" t="s">
        <v>12</v>
      </c>
      <c r="BC111" s="108" t="s">
        <v>850</v>
      </c>
      <c r="BD111" s="108" t="s">
        <v>851</v>
      </c>
      <c r="BE111" s="108">
        <v>2016</v>
      </c>
      <c r="BF111" s="116">
        <v>53708</v>
      </c>
      <c r="BG111" s="116">
        <v>54073</v>
      </c>
      <c r="BH111" s="132"/>
      <c r="BI111" s="108"/>
      <c r="BJ111" s="207"/>
      <c r="BK111" s="111">
        <v>44294</v>
      </c>
      <c r="BL111" s="111">
        <v>44322</v>
      </c>
      <c r="BM111" s="208"/>
      <c r="BN111" s="111"/>
      <c r="BO111" s="108"/>
      <c r="BP111" s="108"/>
      <c r="BQ111" s="108"/>
      <c r="BR111" s="108"/>
      <c r="BS111" s="108"/>
      <c r="BT111" s="108"/>
      <c r="BU111" s="108"/>
      <c r="BV111" s="108"/>
      <c r="BW111" s="108"/>
      <c r="BX111" s="108"/>
      <c r="BY111" s="108"/>
      <c r="BZ111" s="108" t="e">
        <f>VLOOKUP(C111,[1]Sertifikasi!$B$4:$I$19,8,0)</f>
        <v>#N/A</v>
      </c>
    </row>
    <row r="112" spans="1:78" ht="11.25" customHeight="1">
      <c r="A112" s="108"/>
      <c r="B112" s="108">
        <v>278</v>
      </c>
      <c r="C112" s="108" t="s">
        <v>2411</v>
      </c>
      <c r="D112" s="109">
        <v>642109114</v>
      </c>
      <c r="E112" s="131">
        <v>1710001957854</v>
      </c>
      <c r="F112" s="131"/>
      <c r="G112" s="108" t="s">
        <v>71</v>
      </c>
      <c r="H112" s="108" t="s">
        <v>71</v>
      </c>
      <c r="I112" s="111">
        <v>44466</v>
      </c>
      <c r="J112" s="108">
        <v>2</v>
      </c>
      <c r="K112" s="108">
        <v>0</v>
      </c>
      <c r="L112" s="108" t="str">
        <f t="shared" si="3"/>
        <v>PKWT</v>
      </c>
      <c r="M112" s="108"/>
      <c r="N112" s="112">
        <v>45561</v>
      </c>
      <c r="O112" s="108"/>
      <c r="P112" s="108" t="s">
        <v>213</v>
      </c>
      <c r="Q112" s="210" t="s">
        <v>4102</v>
      </c>
      <c r="R112" s="108" t="s">
        <v>575</v>
      </c>
      <c r="S112" s="108" t="s">
        <v>262</v>
      </c>
      <c r="T112" s="108" t="s">
        <v>92</v>
      </c>
      <c r="U112" s="108" t="s">
        <v>276</v>
      </c>
      <c r="V112" s="108" t="s">
        <v>180</v>
      </c>
      <c r="W112" s="108"/>
      <c r="X112" s="108"/>
      <c r="Y112" s="108" t="s">
        <v>216</v>
      </c>
      <c r="Z112" s="108" t="s">
        <v>182</v>
      </c>
      <c r="AA112" s="111">
        <v>35730</v>
      </c>
      <c r="AB112" s="113">
        <v>25</v>
      </c>
      <c r="AC112" s="108" t="s">
        <v>2412</v>
      </c>
      <c r="AD112" s="129" t="s">
        <v>2413</v>
      </c>
      <c r="AE112" s="108" t="s">
        <v>2414</v>
      </c>
      <c r="AF112" s="108"/>
      <c r="AG112" s="108" t="s">
        <v>2415</v>
      </c>
      <c r="AH112" s="114" t="s">
        <v>2416</v>
      </c>
      <c r="AI112" s="115">
        <v>21076296116</v>
      </c>
      <c r="AJ112" s="108" t="s">
        <v>255</v>
      </c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>
        <v>0</v>
      </c>
      <c r="AU112" s="108" t="s">
        <v>304</v>
      </c>
      <c r="AV112" s="115"/>
      <c r="AW112" s="108" t="s">
        <v>74</v>
      </c>
      <c r="AX112" s="108" t="s">
        <v>16</v>
      </c>
      <c r="AY112" s="108" t="s">
        <v>331</v>
      </c>
      <c r="AZ112" s="108" t="s">
        <v>605</v>
      </c>
      <c r="BA112" s="108">
        <v>2016</v>
      </c>
      <c r="BB112" s="108" t="s">
        <v>16</v>
      </c>
      <c r="BC112" s="108" t="s">
        <v>331</v>
      </c>
      <c r="BD112" s="108" t="s">
        <v>605</v>
      </c>
      <c r="BE112" s="108">
        <v>2016</v>
      </c>
      <c r="BF112" s="116"/>
      <c r="BG112" s="116"/>
      <c r="BH112" s="108"/>
      <c r="BI112" s="108"/>
      <c r="BJ112" s="108">
        <v>42</v>
      </c>
      <c r="BK112" s="111"/>
      <c r="BL112" s="111"/>
      <c r="BM112" s="111">
        <v>44765</v>
      </c>
      <c r="BN112" s="111"/>
      <c r="BO112" s="108"/>
      <c r="BP112" s="108"/>
      <c r="BQ112" s="108"/>
      <c r="BR112" s="108" t="s">
        <v>2417</v>
      </c>
      <c r="BS112" s="108"/>
      <c r="BT112" s="108"/>
      <c r="BU112" s="108"/>
      <c r="BV112" s="108"/>
      <c r="BW112" s="108"/>
      <c r="BX112" s="108"/>
      <c r="BY112" s="108"/>
      <c r="BZ112" s="108" t="e">
        <f>VLOOKUP(C112,[1]Sertifikasi!$B$4:$I$19,8,0)</f>
        <v>#N/A</v>
      </c>
    </row>
    <row r="113" spans="1:78" ht="11.25" customHeight="1">
      <c r="A113" s="108"/>
      <c r="B113" s="108">
        <v>312</v>
      </c>
      <c r="C113" s="108" t="s">
        <v>474</v>
      </c>
      <c r="D113" s="109">
        <v>642001012</v>
      </c>
      <c r="E113" s="131">
        <v>1710003988030</v>
      </c>
      <c r="F113" s="131"/>
      <c r="G113" s="108" t="s">
        <v>71</v>
      </c>
      <c r="H113" s="108" t="s">
        <v>71</v>
      </c>
      <c r="I113" s="111">
        <v>42217</v>
      </c>
      <c r="J113" s="108">
        <v>8</v>
      </c>
      <c r="K113" s="108">
        <v>2</v>
      </c>
      <c r="L113" s="108" t="str">
        <f t="shared" si="3"/>
        <v>PKWT</v>
      </c>
      <c r="M113" s="108"/>
      <c r="N113" s="112">
        <v>45291</v>
      </c>
      <c r="O113" s="108"/>
      <c r="P113" s="108" t="s">
        <v>213</v>
      </c>
      <c r="Q113" s="210" t="s">
        <v>4100</v>
      </c>
      <c r="R113" s="108" t="s">
        <v>475</v>
      </c>
      <c r="S113" s="108" t="s">
        <v>476</v>
      </c>
      <c r="T113" s="108" t="s">
        <v>96</v>
      </c>
      <c r="U113" s="108" t="s">
        <v>276</v>
      </c>
      <c r="V113" s="108" t="s">
        <v>180</v>
      </c>
      <c r="W113" s="108" t="s">
        <v>277</v>
      </c>
      <c r="X113" s="108" t="s">
        <v>215</v>
      </c>
      <c r="Y113" s="108" t="s">
        <v>216</v>
      </c>
      <c r="Z113" s="108" t="s">
        <v>71</v>
      </c>
      <c r="AA113" s="111">
        <v>33907</v>
      </c>
      <c r="AB113" s="113">
        <v>30</v>
      </c>
      <c r="AC113" s="108" t="s">
        <v>477</v>
      </c>
      <c r="AD113" s="129" t="s">
        <v>478</v>
      </c>
      <c r="AE113" s="108" t="s">
        <v>479</v>
      </c>
      <c r="AF113" s="108"/>
      <c r="AG113" s="108" t="s">
        <v>480</v>
      </c>
      <c r="AH113" s="114" t="s">
        <v>481</v>
      </c>
      <c r="AI113" s="115">
        <v>16006272344</v>
      </c>
      <c r="AJ113" s="108" t="s">
        <v>189</v>
      </c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>
        <v>0</v>
      </c>
      <c r="AU113" s="108" t="s">
        <v>390</v>
      </c>
      <c r="AV113" s="115">
        <v>0</v>
      </c>
      <c r="AW113" s="108" t="s">
        <v>75</v>
      </c>
      <c r="AX113" s="108" t="s">
        <v>13</v>
      </c>
      <c r="AY113" s="108" t="s">
        <v>331</v>
      </c>
      <c r="AZ113" s="108" t="s">
        <v>482</v>
      </c>
      <c r="BA113" s="108">
        <v>2011</v>
      </c>
      <c r="BB113" s="108" t="s">
        <v>13</v>
      </c>
      <c r="BC113" s="108" t="s">
        <v>331</v>
      </c>
      <c r="BD113" s="108" t="s">
        <v>482</v>
      </c>
      <c r="BE113" s="108">
        <v>2011</v>
      </c>
      <c r="BF113" s="116"/>
      <c r="BG113" s="116"/>
      <c r="BH113" s="108" t="s">
        <v>345</v>
      </c>
      <c r="BI113" s="108">
        <v>31</v>
      </c>
      <c r="BJ113" s="108">
        <v>41</v>
      </c>
      <c r="BK113" s="111">
        <v>44294</v>
      </c>
      <c r="BL113" s="111">
        <v>44322</v>
      </c>
      <c r="BM113" s="111">
        <v>44672</v>
      </c>
      <c r="BN113" s="111"/>
      <c r="BO113" s="108">
        <v>43467</v>
      </c>
      <c r="BP113" s="108">
        <v>43830</v>
      </c>
      <c r="BQ113" s="108" t="s">
        <v>483</v>
      </c>
      <c r="BR113" s="108" t="s">
        <v>484</v>
      </c>
      <c r="BS113" s="108"/>
      <c r="BT113" s="108"/>
      <c r="BU113" s="108"/>
      <c r="BV113" s="108"/>
      <c r="BW113" s="108"/>
      <c r="BX113" s="108"/>
      <c r="BY113" s="108"/>
      <c r="BZ113" s="108" t="e">
        <f>VLOOKUP(C113,[1]Sertifikasi!$B$4:$I$19,8,0)</f>
        <v>#N/A</v>
      </c>
    </row>
    <row r="114" spans="1:78" ht="11.25" customHeight="1">
      <c r="A114" s="108"/>
      <c r="B114" s="108">
        <v>52</v>
      </c>
      <c r="C114" s="108" t="s">
        <v>2481</v>
      </c>
      <c r="D114" s="109">
        <v>642201128</v>
      </c>
      <c r="E114" s="131">
        <v>1710007727012</v>
      </c>
      <c r="F114" s="131"/>
      <c r="G114" s="113" t="s">
        <v>71</v>
      </c>
      <c r="H114" s="108" t="s">
        <v>71</v>
      </c>
      <c r="I114" s="111">
        <v>44565</v>
      </c>
      <c r="J114" s="108">
        <f ca="1">DATEDIF(I114,$C$3,"y")</f>
        <v>1</v>
      </c>
      <c r="K114" s="108">
        <f ca="1">DATEDIF(I114,$C$3,"ym")</f>
        <v>10</v>
      </c>
      <c r="L114" s="108" t="str">
        <f t="shared" si="3"/>
        <v>PKWT</v>
      </c>
      <c r="M114" s="108"/>
      <c r="N114" s="112">
        <v>45294</v>
      </c>
      <c r="O114" s="108"/>
      <c r="P114" s="108" t="s">
        <v>261</v>
      </c>
      <c r="Q114" s="210" t="s">
        <v>4100</v>
      </c>
      <c r="R114" s="108" t="s">
        <v>4099</v>
      </c>
      <c r="S114" s="108" t="s">
        <v>784</v>
      </c>
      <c r="T114" s="108" t="s">
        <v>784</v>
      </c>
      <c r="U114" s="108" t="s">
        <v>785</v>
      </c>
      <c r="V114" s="108" t="s">
        <v>662</v>
      </c>
      <c r="W114" s="108"/>
      <c r="X114" s="108"/>
      <c r="Y114" s="108" t="s">
        <v>60</v>
      </c>
      <c r="Z114" s="108" t="s">
        <v>71</v>
      </c>
      <c r="AA114" s="111">
        <v>36297</v>
      </c>
      <c r="AB114" s="113">
        <f ca="1">DATEDIF(AA114,$C$3,"y")</f>
        <v>24</v>
      </c>
      <c r="AC114" s="108" t="s">
        <v>2482</v>
      </c>
      <c r="AD114" s="129" t="s">
        <v>2483</v>
      </c>
      <c r="AE114" s="108" t="s">
        <v>2484</v>
      </c>
      <c r="AF114" s="108"/>
      <c r="AG114" s="108" t="s">
        <v>2485</v>
      </c>
      <c r="AH114" s="114" t="s">
        <v>2486</v>
      </c>
      <c r="AI114" s="115">
        <v>22017333554</v>
      </c>
      <c r="AJ114" s="108" t="s">
        <v>255</v>
      </c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>
        <f>COUNTA(AL114:AO114)</f>
        <v>0</v>
      </c>
      <c r="AU114" s="108" t="str">
        <f>IF(AJ114="Menikah","K","TK")&amp;"/"&amp;AT114</f>
        <v>TK/0</v>
      </c>
      <c r="AV114" s="131"/>
      <c r="AW114" s="113" t="s">
        <v>74</v>
      </c>
      <c r="AX114" s="108" t="s">
        <v>13</v>
      </c>
      <c r="AY114" s="108" t="s">
        <v>2487</v>
      </c>
      <c r="AZ114" s="108" t="s">
        <v>482</v>
      </c>
      <c r="BA114" s="108">
        <v>2021</v>
      </c>
      <c r="BB114" s="108" t="s">
        <v>13</v>
      </c>
      <c r="BC114" s="108" t="s">
        <v>2487</v>
      </c>
      <c r="BD114" s="108" t="s">
        <v>482</v>
      </c>
      <c r="BE114" s="108">
        <v>2021</v>
      </c>
      <c r="BF114" s="116"/>
      <c r="BG114" s="116"/>
      <c r="BH114" s="108"/>
      <c r="BI114" s="108"/>
      <c r="BJ114" s="194"/>
      <c r="BK114" s="111"/>
      <c r="BL114" s="111"/>
      <c r="BM114" s="111">
        <v>44601</v>
      </c>
      <c r="BN114" s="111"/>
      <c r="BO114" s="108"/>
      <c r="BP114" s="108"/>
      <c r="BQ114" s="108"/>
      <c r="BR114" s="108"/>
      <c r="BS114" s="108"/>
      <c r="BT114" s="108"/>
      <c r="BU114" s="108"/>
      <c r="BV114" s="108"/>
      <c r="BW114" s="108"/>
      <c r="BX114" s="108"/>
      <c r="BY114" s="108"/>
      <c r="BZ114" s="108" t="e">
        <f>VLOOKUP(C114,[1]Sertifikasi!$B$4:$I$19,8,0)</f>
        <v>#N/A</v>
      </c>
    </row>
    <row r="115" spans="1:78" ht="11.25" customHeight="1">
      <c r="A115" s="108"/>
      <c r="B115" s="108">
        <v>82</v>
      </c>
      <c r="C115" s="108" t="s">
        <v>796</v>
      </c>
      <c r="D115" s="109">
        <v>642001052</v>
      </c>
      <c r="E115" s="131">
        <v>1710003987206</v>
      </c>
      <c r="F115" s="131"/>
      <c r="G115" s="108" t="s">
        <v>71</v>
      </c>
      <c r="H115" s="108" t="s">
        <v>71</v>
      </c>
      <c r="I115" s="111">
        <v>42644</v>
      </c>
      <c r="J115" s="108">
        <v>7</v>
      </c>
      <c r="K115" s="108">
        <v>0</v>
      </c>
      <c r="L115" s="108" t="str">
        <f t="shared" si="3"/>
        <v>PKWT</v>
      </c>
      <c r="M115" s="108"/>
      <c r="N115" s="112">
        <v>45291</v>
      </c>
      <c r="O115" s="108"/>
      <c r="P115" s="108" t="s">
        <v>213</v>
      </c>
      <c r="Q115" s="210" t="s">
        <v>4102</v>
      </c>
      <c r="R115" s="210" t="s">
        <v>2085</v>
      </c>
      <c r="S115" s="108" t="s">
        <v>33</v>
      </c>
      <c r="T115" s="108" t="s">
        <v>84</v>
      </c>
      <c r="U115" s="108" t="s">
        <v>214</v>
      </c>
      <c r="V115" s="108" t="s">
        <v>180</v>
      </c>
      <c r="W115" s="108"/>
      <c r="X115" s="108" t="s">
        <v>215</v>
      </c>
      <c r="Y115" s="108" t="s">
        <v>216</v>
      </c>
      <c r="Z115" s="108" t="s">
        <v>71</v>
      </c>
      <c r="AA115" s="111">
        <v>31106</v>
      </c>
      <c r="AB115" s="113">
        <v>38</v>
      </c>
      <c r="AC115" s="108" t="s">
        <v>797</v>
      </c>
      <c r="AD115" s="129" t="s">
        <v>798</v>
      </c>
      <c r="AE115" s="108" t="s">
        <v>799</v>
      </c>
      <c r="AF115" s="108"/>
      <c r="AG115" s="108" t="s">
        <v>800</v>
      </c>
      <c r="AH115" s="114" t="s">
        <v>801</v>
      </c>
      <c r="AI115" s="115">
        <v>17043907595</v>
      </c>
      <c r="AJ115" s="108" t="s">
        <v>189</v>
      </c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>
        <v>0</v>
      </c>
      <c r="AU115" s="108" t="s">
        <v>390</v>
      </c>
      <c r="AV115" s="115">
        <v>0</v>
      </c>
      <c r="AW115" s="108" t="s">
        <v>74</v>
      </c>
      <c r="AX115" s="108" t="s">
        <v>16</v>
      </c>
      <c r="AY115" s="108" t="s">
        <v>226</v>
      </c>
      <c r="AZ115" s="108" t="s">
        <v>802</v>
      </c>
      <c r="BA115" s="108">
        <v>2005</v>
      </c>
      <c r="BB115" s="108" t="s">
        <v>287</v>
      </c>
      <c r="BC115" s="108" t="s">
        <v>226</v>
      </c>
      <c r="BD115" s="108" t="s">
        <v>802</v>
      </c>
      <c r="BE115" s="108">
        <v>2005</v>
      </c>
      <c r="BF115" s="116"/>
      <c r="BG115" s="116"/>
      <c r="BH115" s="108" t="s">
        <v>241</v>
      </c>
      <c r="BI115" s="108">
        <v>30</v>
      </c>
      <c r="BJ115" s="108">
        <v>40</v>
      </c>
      <c r="BK115" s="111">
        <v>44293</v>
      </c>
      <c r="BL115" s="111">
        <v>44322</v>
      </c>
      <c r="BM115" s="111">
        <v>44601</v>
      </c>
      <c r="BN115" s="111"/>
      <c r="BO115" s="108">
        <v>43467</v>
      </c>
      <c r="BP115" s="108">
        <v>43830</v>
      </c>
      <c r="BQ115" s="108" t="s">
        <v>803</v>
      </c>
      <c r="BR115" s="108" t="s">
        <v>804</v>
      </c>
      <c r="BS115" s="108"/>
      <c r="BT115" s="108"/>
      <c r="BU115" s="108"/>
      <c r="BV115" s="108"/>
      <c r="BW115" s="108"/>
      <c r="BX115" s="108"/>
      <c r="BY115" s="108"/>
      <c r="BZ115" s="108" t="e">
        <f>VLOOKUP(C115,[1]Sertifikasi!$B$4:$I$19,8,0)</f>
        <v>#N/A</v>
      </c>
    </row>
    <row r="116" spans="1:78" ht="11.25" customHeight="1">
      <c r="A116" s="108"/>
      <c r="B116" s="108">
        <v>131</v>
      </c>
      <c r="C116" s="108" t="s">
        <v>2343</v>
      </c>
      <c r="D116" s="109">
        <v>642102107</v>
      </c>
      <c r="E116" s="131">
        <v>1710002922428</v>
      </c>
      <c r="F116" s="131"/>
      <c r="G116" s="108" t="s">
        <v>71</v>
      </c>
      <c r="H116" s="108" t="s">
        <v>71</v>
      </c>
      <c r="I116" s="111">
        <v>44242</v>
      </c>
      <c r="J116" s="108">
        <v>2</v>
      </c>
      <c r="K116" s="108">
        <v>7</v>
      </c>
      <c r="L116" s="108" t="str">
        <f t="shared" si="3"/>
        <v>PKWT</v>
      </c>
      <c r="M116" s="108"/>
      <c r="N116" s="112">
        <v>45336</v>
      </c>
      <c r="O116" s="108"/>
      <c r="P116" s="108" t="s">
        <v>213</v>
      </c>
      <c r="Q116" s="210" t="s">
        <v>4102</v>
      </c>
      <c r="R116" s="108" t="s">
        <v>409</v>
      </c>
      <c r="S116" s="108" t="s">
        <v>33</v>
      </c>
      <c r="T116" s="108" t="s">
        <v>88</v>
      </c>
      <c r="U116" s="108" t="s">
        <v>199</v>
      </c>
      <c r="V116" s="108" t="s">
        <v>180</v>
      </c>
      <c r="W116" s="108"/>
      <c r="X116" s="108"/>
      <c r="Y116" s="108" t="s">
        <v>216</v>
      </c>
      <c r="Z116" s="108" t="s">
        <v>71</v>
      </c>
      <c r="AA116" s="111">
        <v>34979</v>
      </c>
      <c r="AB116" s="113">
        <v>28</v>
      </c>
      <c r="AC116" s="108" t="s">
        <v>2344</v>
      </c>
      <c r="AD116" s="129" t="s">
        <v>2345</v>
      </c>
      <c r="AE116" s="108" t="s">
        <v>2346</v>
      </c>
      <c r="AF116" s="108"/>
      <c r="AG116" s="108" t="s">
        <v>2347</v>
      </c>
      <c r="AH116" s="114" t="s">
        <v>2348</v>
      </c>
      <c r="AI116" s="115">
        <v>21013284738</v>
      </c>
      <c r="AJ116" s="108" t="s">
        <v>255</v>
      </c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>
        <v>0</v>
      </c>
      <c r="AU116" s="108" t="s">
        <v>304</v>
      </c>
      <c r="AV116" s="115"/>
      <c r="AW116" s="108" t="s">
        <v>74</v>
      </c>
      <c r="AX116" s="108" t="s">
        <v>16</v>
      </c>
      <c r="AY116" s="108" t="s">
        <v>226</v>
      </c>
      <c r="AZ116" s="108" t="s">
        <v>319</v>
      </c>
      <c r="BA116" s="108">
        <v>2014</v>
      </c>
      <c r="BB116" s="108" t="s">
        <v>16</v>
      </c>
      <c r="BC116" s="108" t="s">
        <v>226</v>
      </c>
      <c r="BD116" s="108" t="s">
        <v>319</v>
      </c>
      <c r="BE116" s="108">
        <v>2014</v>
      </c>
      <c r="BF116" s="116"/>
      <c r="BG116" s="116"/>
      <c r="BH116" s="108" t="s">
        <v>345</v>
      </c>
      <c r="BI116" s="108">
        <v>35</v>
      </c>
      <c r="BJ116" s="108">
        <v>41</v>
      </c>
      <c r="BK116" s="111"/>
      <c r="BL116" s="111"/>
      <c r="BM116" s="111"/>
      <c r="BN116" s="111"/>
      <c r="BO116" s="108"/>
      <c r="BP116" s="108"/>
      <c r="BQ116" s="108"/>
      <c r="BR116" s="108" t="s">
        <v>2349</v>
      </c>
      <c r="BS116" s="108"/>
      <c r="BT116" s="108"/>
      <c r="BU116" s="108"/>
      <c r="BV116" s="108"/>
      <c r="BW116" s="108"/>
      <c r="BX116" s="108"/>
      <c r="BY116" s="108"/>
      <c r="BZ116" s="108" t="e">
        <f>VLOOKUP(C116,[1]Sertifikasi!$B$4:$I$19,8,0)</f>
        <v>#N/A</v>
      </c>
    </row>
    <row r="117" spans="1:78" ht="11.25" customHeight="1">
      <c r="A117" s="108"/>
      <c r="B117" s="108">
        <v>225</v>
      </c>
      <c r="C117" s="108" t="s">
        <v>3029</v>
      </c>
      <c r="D117" s="109">
        <v>642307125</v>
      </c>
      <c r="E117" s="131"/>
      <c r="F117" s="131">
        <v>7252451368</v>
      </c>
      <c r="G117" s="108" t="s">
        <v>71</v>
      </c>
      <c r="H117" s="108" t="s">
        <v>3030</v>
      </c>
      <c r="I117" s="111">
        <v>45204</v>
      </c>
      <c r="J117" s="108">
        <v>0</v>
      </c>
      <c r="K117" s="108">
        <v>0</v>
      </c>
      <c r="L117" s="108" t="str">
        <f t="shared" si="3"/>
        <v>PKWT</v>
      </c>
      <c r="M117" s="108"/>
      <c r="N117" s="112">
        <v>45291</v>
      </c>
      <c r="O117" s="108"/>
      <c r="P117" s="108" t="s">
        <v>213</v>
      </c>
      <c r="Q117" s="210" t="s">
        <v>4102</v>
      </c>
      <c r="R117" s="108" t="s">
        <v>259</v>
      </c>
      <c r="S117" s="108" t="s">
        <v>33</v>
      </c>
      <c r="T117" s="108" t="s">
        <v>432</v>
      </c>
      <c r="U117" s="108" t="s">
        <v>199</v>
      </c>
      <c r="V117" s="108" t="s">
        <v>180</v>
      </c>
      <c r="W117" s="108" t="s">
        <v>277</v>
      </c>
      <c r="X117" s="108"/>
      <c r="Y117" s="108" t="s">
        <v>216</v>
      </c>
      <c r="Z117" s="108" t="s">
        <v>3030</v>
      </c>
      <c r="AA117" s="111">
        <v>35956</v>
      </c>
      <c r="AB117" s="113">
        <v>25</v>
      </c>
      <c r="AC117" s="108" t="s">
        <v>3031</v>
      </c>
      <c r="AD117" s="129" t="s">
        <v>3032</v>
      </c>
      <c r="AE117" s="108" t="s">
        <v>3033</v>
      </c>
      <c r="AF117" s="108"/>
      <c r="AG117" s="108" t="s">
        <v>3034</v>
      </c>
      <c r="AH117" s="114" t="s">
        <v>3035</v>
      </c>
      <c r="AI117" s="115">
        <v>23156731335</v>
      </c>
      <c r="AJ117" s="108" t="s">
        <v>255</v>
      </c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>
        <v>0</v>
      </c>
      <c r="AU117" s="108" t="s">
        <v>304</v>
      </c>
      <c r="AV117" s="115"/>
      <c r="AW117" s="108" t="s">
        <v>74</v>
      </c>
      <c r="AX117" s="108" t="s">
        <v>13</v>
      </c>
      <c r="AY117" s="108" t="s">
        <v>2789</v>
      </c>
      <c r="AZ117" s="108" t="s">
        <v>2472</v>
      </c>
      <c r="BA117" s="108">
        <v>2021</v>
      </c>
      <c r="BB117" s="108" t="s">
        <v>13</v>
      </c>
      <c r="BC117" s="108" t="s">
        <v>2789</v>
      </c>
      <c r="BD117" s="108" t="s">
        <v>2472</v>
      </c>
      <c r="BE117" s="108">
        <v>2021</v>
      </c>
      <c r="BF117" s="116"/>
      <c r="BG117" s="116"/>
      <c r="BH117" s="108"/>
      <c r="BI117" s="108"/>
      <c r="BJ117" s="108"/>
      <c r="BK117" s="111"/>
      <c r="BL117" s="111"/>
      <c r="BM117" s="111"/>
      <c r="BN117" s="111"/>
      <c r="BO117" s="108"/>
      <c r="BP117" s="108"/>
      <c r="BQ117" s="108"/>
      <c r="BR117" s="108"/>
      <c r="BS117" s="108"/>
      <c r="BT117" s="108"/>
      <c r="BU117" s="108"/>
      <c r="BV117" s="108"/>
      <c r="BW117" s="108"/>
      <c r="BX117" s="108"/>
      <c r="BY117" s="108"/>
      <c r="BZ117" s="108" t="e">
        <f>VLOOKUP(C117,[1]Sertifikasi!$B$4:$I$19,8,0)</f>
        <v>#N/A</v>
      </c>
    </row>
    <row r="118" spans="1:78" ht="11.25" customHeight="1">
      <c r="A118" s="108"/>
      <c r="B118" s="108">
        <v>132</v>
      </c>
      <c r="C118" s="108" t="s">
        <v>1284</v>
      </c>
      <c r="D118" s="109">
        <v>641806155</v>
      </c>
      <c r="E118" s="131">
        <v>1710004289610</v>
      </c>
      <c r="F118" s="131"/>
      <c r="G118" s="108" t="s">
        <v>71</v>
      </c>
      <c r="H118" s="108" t="s">
        <v>71</v>
      </c>
      <c r="I118" s="111">
        <v>43255</v>
      </c>
      <c r="J118" s="108">
        <v>5</v>
      </c>
      <c r="K118" s="108">
        <v>4</v>
      </c>
      <c r="L118" s="108" t="str">
        <f t="shared" si="3"/>
        <v>PKWT</v>
      </c>
      <c r="M118" s="108"/>
      <c r="N118" s="112">
        <v>45291</v>
      </c>
      <c r="O118" s="108"/>
      <c r="P118" s="108" t="s">
        <v>213</v>
      </c>
      <c r="Q118" s="210" t="s">
        <v>4102</v>
      </c>
      <c r="R118" s="108" t="s">
        <v>409</v>
      </c>
      <c r="S118" s="108" t="s">
        <v>33</v>
      </c>
      <c r="T118" s="108" t="s">
        <v>88</v>
      </c>
      <c r="U118" s="108" t="s">
        <v>199</v>
      </c>
      <c r="V118" s="108" t="s">
        <v>180</v>
      </c>
      <c r="W118" s="108" t="s">
        <v>263</v>
      </c>
      <c r="X118" s="108" t="s">
        <v>215</v>
      </c>
      <c r="Y118" s="108" t="s">
        <v>216</v>
      </c>
      <c r="Z118" s="108" t="s">
        <v>1285</v>
      </c>
      <c r="AA118" s="111">
        <v>33683</v>
      </c>
      <c r="AB118" s="113">
        <v>31</v>
      </c>
      <c r="AC118" s="108" t="s">
        <v>1286</v>
      </c>
      <c r="AD118" s="129" t="s">
        <v>1287</v>
      </c>
      <c r="AE118" s="108" t="s">
        <v>1288</v>
      </c>
      <c r="AF118" s="108" t="s">
        <v>1289</v>
      </c>
      <c r="AG118" s="108" t="s">
        <v>1290</v>
      </c>
      <c r="AH118" s="114" t="s">
        <v>1291</v>
      </c>
      <c r="AI118" s="115">
        <v>18041757198</v>
      </c>
      <c r="AJ118" s="108" t="s">
        <v>189</v>
      </c>
      <c r="AK118" s="108" t="s">
        <v>1292</v>
      </c>
      <c r="AL118" s="108" t="s">
        <v>1293</v>
      </c>
      <c r="AM118" s="108"/>
      <c r="AN118" s="108"/>
      <c r="AO118" s="108"/>
      <c r="AP118" s="108"/>
      <c r="AQ118" s="108"/>
      <c r="AR118" s="108"/>
      <c r="AS118" s="108"/>
      <c r="AT118" s="108">
        <v>1</v>
      </c>
      <c r="AU118" s="108" t="s">
        <v>225</v>
      </c>
      <c r="AV118" s="115">
        <v>0</v>
      </c>
      <c r="AW118" s="108" t="s">
        <v>74</v>
      </c>
      <c r="AX118" s="108" t="s">
        <v>13</v>
      </c>
      <c r="AY118" s="108" t="s">
        <v>226</v>
      </c>
      <c r="AZ118" s="108" t="s">
        <v>211</v>
      </c>
      <c r="BA118" s="108">
        <v>2016</v>
      </c>
      <c r="BB118" s="108" t="s">
        <v>13</v>
      </c>
      <c r="BC118" s="108" t="s">
        <v>226</v>
      </c>
      <c r="BD118" s="108" t="s">
        <v>211</v>
      </c>
      <c r="BE118" s="108">
        <v>2016</v>
      </c>
      <c r="BF118" s="116"/>
      <c r="BG118" s="116"/>
      <c r="BH118" s="108" t="s">
        <v>1294</v>
      </c>
      <c r="BI118" s="108">
        <v>45</v>
      </c>
      <c r="BJ118" s="108">
        <v>44</v>
      </c>
      <c r="BK118" s="111">
        <v>44293</v>
      </c>
      <c r="BL118" s="111">
        <v>44322</v>
      </c>
      <c r="BM118" s="111"/>
      <c r="BN118" s="111"/>
      <c r="BO118" s="108"/>
      <c r="BP118" s="108"/>
      <c r="BQ118" s="108"/>
      <c r="BR118" s="108"/>
      <c r="BS118" s="108"/>
      <c r="BT118" s="108"/>
      <c r="BU118" s="108"/>
      <c r="BV118" s="108"/>
      <c r="BW118" s="108"/>
      <c r="BX118" s="108"/>
      <c r="BY118" s="108"/>
      <c r="BZ118" s="108" t="str">
        <f>VLOOKUP(C118,[1]Sertifikasi!$B$4:$I$19,8,0)</f>
        <v>Pembinaan Dan Sertifikasi Calon Ahli K3 Umum</v>
      </c>
    </row>
    <row r="119" spans="1:78" ht="11.25" customHeight="1">
      <c r="A119" s="108"/>
      <c r="B119" s="108">
        <v>279</v>
      </c>
      <c r="C119" s="108" t="s">
        <v>2065</v>
      </c>
      <c r="D119" s="109">
        <v>642002083</v>
      </c>
      <c r="E119" s="131">
        <v>1710006361144</v>
      </c>
      <c r="F119" s="131"/>
      <c r="G119" s="108" t="s">
        <v>37</v>
      </c>
      <c r="H119" s="108" t="s">
        <v>37</v>
      </c>
      <c r="I119" s="111">
        <v>43891</v>
      </c>
      <c r="J119" s="108">
        <v>3</v>
      </c>
      <c r="K119" s="108">
        <v>7</v>
      </c>
      <c r="L119" s="108" t="str">
        <f t="shared" si="3"/>
        <v>PKWT</v>
      </c>
      <c r="M119" s="108"/>
      <c r="N119" s="112">
        <v>45291</v>
      </c>
      <c r="O119" s="108"/>
      <c r="P119" s="108" t="s">
        <v>213</v>
      </c>
      <c r="Q119" s="210" t="s">
        <v>4102</v>
      </c>
      <c r="R119" s="108" t="s">
        <v>575</v>
      </c>
      <c r="S119" s="108" t="s">
        <v>262</v>
      </c>
      <c r="T119" s="108" t="s">
        <v>92</v>
      </c>
      <c r="U119" s="108" t="s">
        <v>276</v>
      </c>
      <c r="V119" s="108" t="s">
        <v>180</v>
      </c>
      <c r="W119" s="108"/>
      <c r="X119" s="108"/>
      <c r="Y119" s="108" t="s">
        <v>216</v>
      </c>
      <c r="Z119" s="108" t="s">
        <v>2066</v>
      </c>
      <c r="AA119" s="111">
        <v>37116</v>
      </c>
      <c r="AB119" s="113">
        <v>22</v>
      </c>
      <c r="AC119" s="108" t="s">
        <v>2067</v>
      </c>
      <c r="AD119" s="129" t="s">
        <v>2068</v>
      </c>
      <c r="AE119" s="108" t="s">
        <v>2069</v>
      </c>
      <c r="AF119" s="108"/>
      <c r="AG119" s="108" t="s">
        <v>2070</v>
      </c>
      <c r="AH119" s="114" t="s">
        <v>2071</v>
      </c>
      <c r="AI119" s="115">
        <v>20024319855</v>
      </c>
      <c r="AJ119" s="108" t="s">
        <v>255</v>
      </c>
      <c r="AK119" s="108"/>
      <c r="AL119" s="108"/>
      <c r="AM119" s="108"/>
      <c r="AN119" s="108"/>
      <c r="AO119" s="108"/>
      <c r="AP119" s="108"/>
      <c r="AQ119" s="108"/>
      <c r="AR119" s="108"/>
      <c r="AS119" s="108"/>
      <c r="AT119" s="108">
        <v>0</v>
      </c>
      <c r="AU119" s="108" t="s">
        <v>304</v>
      </c>
      <c r="AV119" s="115"/>
      <c r="AW119" s="108" t="s">
        <v>74</v>
      </c>
      <c r="AX119" s="108" t="s">
        <v>16</v>
      </c>
      <c r="AY119" s="108" t="s">
        <v>331</v>
      </c>
      <c r="AZ119" s="108" t="s">
        <v>2072</v>
      </c>
      <c r="BA119" s="108">
        <v>2019</v>
      </c>
      <c r="BB119" s="108" t="s">
        <v>16</v>
      </c>
      <c r="BC119" s="108" t="s">
        <v>331</v>
      </c>
      <c r="BD119" s="108" t="s">
        <v>2072</v>
      </c>
      <c r="BE119" s="108">
        <v>2019</v>
      </c>
      <c r="BF119" s="116"/>
      <c r="BG119" s="116"/>
      <c r="BH119" s="108" t="s">
        <v>228</v>
      </c>
      <c r="BI119" s="108" t="s">
        <v>228</v>
      </c>
      <c r="BJ119" s="108">
        <v>43</v>
      </c>
      <c r="BK119" s="111"/>
      <c r="BL119" s="111"/>
      <c r="BM119" s="111"/>
      <c r="BN119" s="111"/>
      <c r="BO119" s="108"/>
      <c r="BP119" s="108"/>
      <c r="BQ119" s="108"/>
      <c r="BR119" s="108"/>
      <c r="BS119" s="108"/>
      <c r="BT119" s="108"/>
      <c r="BU119" s="108"/>
      <c r="BV119" s="108"/>
      <c r="BW119" s="108"/>
      <c r="BX119" s="108"/>
      <c r="BY119" s="108"/>
      <c r="BZ119" s="108" t="e">
        <f>VLOOKUP(C119,[1]Sertifikasi!$B$4:$I$19,8,0)</f>
        <v>#N/A</v>
      </c>
    </row>
    <row r="120" spans="1:78" ht="11.25" customHeight="1">
      <c r="A120" s="108"/>
      <c r="B120" s="108">
        <v>171</v>
      </c>
      <c r="C120" s="108" t="s">
        <v>1344</v>
      </c>
      <c r="D120" s="109">
        <v>641807162</v>
      </c>
      <c r="E120" s="131">
        <v>1710004387604</v>
      </c>
      <c r="F120" s="131"/>
      <c r="G120" s="108" t="s">
        <v>71</v>
      </c>
      <c r="H120" s="108" t="s">
        <v>71</v>
      </c>
      <c r="I120" s="111">
        <v>43282</v>
      </c>
      <c r="J120" s="108">
        <v>5</v>
      </c>
      <c r="K120" s="108">
        <v>3</v>
      </c>
      <c r="L120" s="108" t="str">
        <f t="shared" si="3"/>
        <v>PKWT</v>
      </c>
      <c r="M120" s="108"/>
      <c r="N120" s="112">
        <v>45291</v>
      </c>
      <c r="O120" s="108"/>
      <c r="P120" s="108" t="s">
        <v>213</v>
      </c>
      <c r="Q120" s="210" t="s">
        <v>4102</v>
      </c>
      <c r="R120" s="108" t="s">
        <v>259</v>
      </c>
      <c r="S120" s="108" t="s">
        <v>262</v>
      </c>
      <c r="T120" s="108" t="s">
        <v>89</v>
      </c>
      <c r="U120" s="108" t="s">
        <v>199</v>
      </c>
      <c r="V120" s="108" t="s">
        <v>180</v>
      </c>
      <c r="W120" s="108" t="s">
        <v>277</v>
      </c>
      <c r="X120" s="108" t="s">
        <v>215</v>
      </c>
      <c r="Y120" s="108" t="s">
        <v>216</v>
      </c>
      <c r="Z120" s="108" t="s">
        <v>71</v>
      </c>
      <c r="AA120" s="111">
        <v>34835</v>
      </c>
      <c r="AB120" s="113">
        <v>28</v>
      </c>
      <c r="AC120" s="108" t="s">
        <v>1345</v>
      </c>
      <c r="AD120" s="129" t="s">
        <v>1346</v>
      </c>
      <c r="AE120" s="108" t="s">
        <v>1347</v>
      </c>
      <c r="AF120" s="108"/>
      <c r="AG120" s="108" t="s">
        <v>1348</v>
      </c>
      <c r="AH120" s="114" t="s">
        <v>1349</v>
      </c>
      <c r="AI120" s="115">
        <v>18056171988</v>
      </c>
      <c r="AJ120" s="108" t="s">
        <v>255</v>
      </c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>
        <v>0</v>
      </c>
      <c r="AU120" s="108" t="s">
        <v>304</v>
      </c>
      <c r="AV120" s="115">
        <v>0</v>
      </c>
      <c r="AW120" s="108" t="s">
        <v>74</v>
      </c>
      <c r="AX120" s="108" t="s">
        <v>16</v>
      </c>
      <c r="AY120" s="108" t="s">
        <v>331</v>
      </c>
      <c r="AZ120" s="108" t="s">
        <v>306</v>
      </c>
      <c r="BA120" s="108">
        <v>2013</v>
      </c>
      <c r="BB120" s="108" t="s">
        <v>287</v>
      </c>
      <c r="BC120" s="108" t="s">
        <v>331</v>
      </c>
      <c r="BD120" s="108" t="s">
        <v>306</v>
      </c>
      <c r="BE120" s="108">
        <v>2013</v>
      </c>
      <c r="BF120" s="116"/>
      <c r="BG120" s="116"/>
      <c r="BH120" s="108" t="s">
        <v>345</v>
      </c>
      <c r="BI120" s="108">
        <v>30</v>
      </c>
      <c r="BJ120" s="108">
        <v>41</v>
      </c>
      <c r="BK120" s="111"/>
      <c r="BL120" s="111"/>
      <c r="BM120" s="111"/>
      <c r="BN120" s="111"/>
      <c r="BO120" s="108"/>
      <c r="BP120" s="108"/>
      <c r="BQ120" s="108"/>
      <c r="BR120" s="108"/>
      <c r="BS120" s="108"/>
      <c r="BT120" s="108"/>
      <c r="BU120" s="108"/>
      <c r="BV120" s="108"/>
      <c r="BW120" s="108"/>
      <c r="BX120" s="108"/>
      <c r="BY120" s="108"/>
      <c r="BZ120" s="108" t="e">
        <f>VLOOKUP(C120,[1]Sertifikasi!$B$4:$I$19,8,0)</f>
        <v>#N/A</v>
      </c>
    </row>
    <row r="121" spans="1:78" ht="11.25" customHeight="1">
      <c r="A121" s="108"/>
      <c r="B121" s="108">
        <v>78</v>
      </c>
      <c r="C121" s="128" t="s">
        <v>177</v>
      </c>
      <c r="D121" s="109">
        <v>971500002</v>
      </c>
      <c r="E121" s="131">
        <v>1710003919928</v>
      </c>
      <c r="F121" s="131"/>
      <c r="G121" s="113" t="s">
        <v>71</v>
      </c>
      <c r="H121" s="108" t="s">
        <v>71</v>
      </c>
      <c r="I121" s="111">
        <v>41884</v>
      </c>
      <c r="J121" s="108">
        <f ca="1">DATEDIF(I121,$C$3,"y")</f>
        <v>9</v>
      </c>
      <c r="K121" s="108">
        <f ca="1">DATEDIF(I121,$C$3,"ym")</f>
        <v>2</v>
      </c>
      <c r="L121" s="108" t="str">
        <f t="shared" si="3"/>
        <v>Tetap</v>
      </c>
      <c r="M121" s="108" t="s">
        <v>178</v>
      </c>
      <c r="N121" s="112">
        <v>42491</v>
      </c>
      <c r="O121" s="111"/>
      <c r="P121" s="108" t="s">
        <v>5</v>
      </c>
      <c r="Q121" s="210" t="s">
        <v>4100</v>
      </c>
      <c r="R121" s="108" t="s">
        <v>2085</v>
      </c>
      <c r="S121" s="108"/>
      <c r="T121" s="108" t="s">
        <v>179</v>
      </c>
      <c r="U121" s="108"/>
      <c r="V121" s="108" t="s">
        <v>180</v>
      </c>
      <c r="W121" s="108" t="s">
        <v>181</v>
      </c>
      <c r="X121" s="108"/>
      <c r="Y121" s="108" t="s">
        <v>59</v>
      </c>
      <c r="Z121" s="108" t="s">
        <v>182</v>
      </c>
      <c r="AA121" s="111">
        <v>27206</v>
      </c>
      <c r="AB121" s="113">
        <f ca="1">DATEDIF(AA121,$C$3,"y")</f>
        <v>49</v>
      </c>
      <c r="AC121" s="108" t="s">
        <v>183</v>
      </c>
      <c r="AD121" s="129" t="s">
        <v>184</v>
      </c>
      <c r="AE121" s="108" t="s">
        <v>185</v>
      </c>
      <c r="AF121" s="108"/>
      <c r="AG121" s="130" t="s">
        <v>186</v>
      </c>
      <c r="AH121" s="114" t="s">
        <v>187</v>
      </c>
      <c r="AI121" s="115" t="s">
        <v>188</v>
      </c>
      <c r="AJ121" s="108" t="s">
        <v>189</v>
      </c>
      <c r="AK121" s="108" t="s">
        <v>190</v>
      </c>
      <c r="AL121" s="108" t="s">
        <v>191</v>
      </c>
      <c r="AM121" s="108"/>
      <c r="AN121" s="108"/>
      <c r="AO121" s="108"/>
      <c r="AP121" s="108"/>
      <c r="AQ121" s="108"/>
      <c r="AR121" s="108"/>
      <c r="AS121" s="108"/>
      <c r="AT121" s="108">
        <f>COUNTA(AL121:AO121)</f>
        <v>1</v>
      </c>
      <c r="AU121" s="108" t="str">
        <f>IF(AJ121="Menikah","K","TK")&amp;"/"&amp;AT121</f>
        <v>K/1</v>
      </c>
      <c r="AV121" s="131">
        <v>712677376621000</v>
      </c>
      <c r="AW121" s="113" t="s">
        <v>74</v>
      </c>
      <c r="AX121" s="108" t="s">
        <v>12</v>
      </c>
      <c r="AY121" s="108" t="s">
        <v>192</v>
      </c>
      <c r="AZ121" s="108" t="s">
        <v>193</v>
      </c>
      <c r="BA121" s="108">
        <v>2009</v>
      </c>
      <c r="BB121" s="108" t="s">
        <v>12</v>
      </c>
      <c r="BC121" s="108" t="s">
        <v>192</v>
      </c>
      <c r="BD121" s="108" t="s">
        <v>194</v>
      </c>
      <c r="BE121" s="108">
        <v>2009</v>
      </c>
      <c r="BF121" s="116">
        <v>47604</v>
      </c>
      <c r="BG121" s="116">
        <v>47969</v>
      </c>
      <c r="BH121" s="132"/>
      <c r="BI121" s="108"/>
      <c r="BJ121" s="108">
        <v>42</v>
      </c>
      <c r="BK121" s="111">
        <v>44293</v>
      </c>
      <c r="BL121" s="111">
        <v>44322</v>
      </c>
      <c r="BM121" s="111">
        <v>44585</v>
      </c>
      <c r="BN121" s="111"/>
      <c r="BO121" s="108"/>
      <c r="BP121" s="108"/>
      <c r="BQ121" s="108"/>
      <c r="BR121" s="108"/>
      <c r="BS121" s="108"/>
      <c r="BT121" s="108"/>
      <c r="BU121" s="108"/>
      <c r="BV121" s="108"/>
      <c r="BW121" s="108"/>
      <c r="BX121" s="108"/>
      <c r="BY121" s="108"/>
      <c r="BZ121" s="108" t="e">
        <f>VLOOKUP(C121,[1]Sertifikasi!$B$4:$I$19,8,0)</f>
        <v>#N/A</v>
      </c>
    </row>
    <row r="122" spans="1:78" ht="11.25" customHeight="1">
      <c r="A122" s="108"/>
      <c r="B122" s="108">
        <v>319</v>
      </c>
      <c r="C122" s="108" t="s">
        <v>1391</v>
      </c>
      <c r="D122" s="109">
        <v>641807161</v>
      </c>
      <c r="E122" s="131">
        <v>1710004387570</v>
      </c>
      <c r="F122" s="131"/>
      <c r="G122" s="108" t="s">
        <v>71</v>
      </c>
      <c r="H122" s="108" t="s">
        <v>71</v>
      </c>
      <c r="I122" s="111">
        <v>43283</v>
      </c>
      <c r="J122" s="108">
        <v>5</v>
      </c>
      <c r="K122" s="108">
        <v>3</v>
      </c>
      <c r="L122" s="108" t="str">
        <f t="shared" si="3"/>
        <v>PKWT</v>
      </c>
      <c r="M122" s="108"/>
      <c r="N122" s="112">
        <v>45291</v>
      </c>
      <c r="O122" s="108"/>
      <c r="P122" s="108" t="s">
        <v>213</v>
      </c>
      <c r="Q122" s="210" t="s">
        <v>4102</v>
      </c>
      <c r="R122" s="108" t="s">
        <v>475</v>
      </c>
      <c r="S122" s="108" t="s">
        <v>476</v>
      </c>
      <c r="T122" s="108" t="s">
        <v>99</v>
      </c>
      <c r="U122" s="108" t="s">
        <v>276</v>
      </c>
      <c r="V122" s="108" t="s">
        <v>180</v>
      </c>
      <c r="W122" s="108"/>
      <c r="X122" s="108" t="s">
        <v>215</v>
      </c>
      <c r="Y122" s="108" t="s">
        <v>216</v>
      </c>
      <c r="Z122" s="108" t="s">
        <v>71</v>
      </c>
      <c r="AA122" s="111">
        <v>34465</v>
      </c>
      <c r="AB122" s="113">
        <v>29</v>
      </c>
      <c r="AC122" s="108" t="s">
        <v>1392</v>
      </c>
      <c r="AD122" s="129" t="s">
        <v>1393</v>
      </c>
      <c r="AE122" s="108" t="s">
        <v>1394</v>
      </c>
      <c r="AF122" s="108"/>
      <c r="AG122" s="108" t="s">
        <v>1395</v>
      </c>
      <c r="AH122" s="114" t="s">
        <v>1396</v>
      </c>
      <c r="AI122" s="115">
        <v>18056172010</v>
      </c>
      <c r="AJ122" s="108" t="s">
        <v>189</v>
      </c>
      <c r="AK122" s="108" t="s">
        <v>1397</v>
      </c>
      <c r="AL122" s="108" t="s">
        <v>1398</v>
      </c>
      <c r="AM122" s="108"/>
      <c r="AN122" s="108"/>
      <c r="AO122" s="108"/>
      <c r="AP122" s="108" t="s">
        <v>1399</v>
      </c>
      <c r="AQ122" s="108"/>
      <c r="AR122" s="108"/>
      <c r="AS122" s="108"/>
      <c r="AT122" s="108">
        <v>1</v>
      </c>
      <c r="AU122" s="108" t="s">
        <v>225</v>
      </c>
      <c r="AV122" s="115">
        <v>0</v>
      </c>
      <c r="AW122" s="108" t="s">
        <v>74</v>
      </c>
      <c r="AX122" s="108" t="s">
        <v>16</v>
      </c>
      <c r="AY122" s="108" t="s">
        <v>1357</v>
      </c>
      <c r="AZ122" s="108" t="s">
        <v>595</v>
      </c>
      <c r="BA122" s="108">
        <v>2012</v>
      </c>
      <c r="BB122" s="108" t="s">
        <v>287</v>
      </c>
      <c r="BC122" s="108" t="s">
        <v>1357</v>
      </c>
      <c r="BD122" s="108" t="s">
        <v>595</v>
      </c>
      <c r="BE122" s="108">
        <v>2012</v>
      </c>
      <c r="BF122" s="116"/>
      <c r="BG122" s="116"/>
      <c r="BH122" s="108" t="s">
        <v>228</v>
      </c>
      <c r="BI122" s="108">
        <v>30</v>
      </c>
      <c r="BJ122" s="108">
        <v>41</v>
      </c>
      <c r="BK122" s="111"/>
      <c r="BL122" s="111"/>
      <c r="BM122" s="111"/>
      <c r="BN122" s="111"/>
      <c r="BO122" s="108"/>
      <c r="BP122" s="108"/>
      <c r="BQ122" s="108"/>
      <c r="BR122" s="108"/>
      <c r="BS122" s="108"/>
      <c r="BT122" s="108"/>
      <c r="BU122" s="108"/>
      <c r="BV122" s="108"/>
      <c r="BW122" s="108"/>
      <c r="BX122" s="108"/>
      <c r="BY122" s="108"/>
      <c r="BZ122" s="108" t="e">
        <f>VLOOKUP(C122,[1]Sertifikasi!$B$4:$I$19,8,0)</f>
        <v>#N/A</v>
      </c>
    </row>
    <row r="123" spans="1:78" ht="11.25" customHeight="1">
      <c r="A123" s="108"/>
      <c r="B123" s="108">
        <v>226</v>
      </c>
      <c r="C123" s="108" t="s">
        <v>3036</v>
      </c>
      <c r="D123" s="109">
        <v>642307126</v>
      </c>
      <c r="E123" s="131"/>
      <c r="F123" s="131">
        <v>7219063018</v>
      </c>
      <c r="G123" s="108" t="s">
        <v>71</v>
      </c>
      <c r="H123" s="108" t="s">
        <v>433</v>
      </c>
      <c r="I123" s="111">
        <v>45204</v>
      </c>
      <c r="J123" s="108">
        <v>0</v>
      </c>
      <c r="K123" s="108">
        <v>0</v>
      </c>
      <c r="L123" s="108" t="str">
        <f t="shared" si="3"/>
        <v>PKWT</v>
      </c>
      <c r="M123" s="108"/>
      <c r="N123" s="112">
        <v>45291</v>
      </c>
      <c r="O123" s="108"/>
      <c r="P123" s="108" t="s">
        <v>213</v>
      </c>
      <c r="Q123" s="210" t="s">
        <v>4102</v>
      </c>
      <c r="R123" s="108" t="s">
        <v>259</v>
      </c>
      <c r="S123" s="108" t="s">
        <v>33</v>
      </c>
      <c r="T123" s="108" t="s">
        <v>432</v>
      </c>
      <c r="U123" s="108" t="s">
        <v>199</v>
      </c>
      <c r="V123" s="108" t="s">
        <v>180</v>
      </c>
      <c r="W123" s="108" t="s">
        <v>277</v>
      </c>
      <c r="X123" s="108"/>
      <c r="Y123" s="108" t="s">
        <v>216</v>
      </c>
      <c r="Z123" s="108" t="s">
        <v>433</v>
      </c>
      <c r="AA123" s="111">
        <v>36280</v>
      </c>
      <c r="AB123" s="113">
        <v>24</v>
      </c>
      <c r="AC123" s="108" t="s">
        <v>3037</v>
      </c>
      <c r="AD123" s="129" t="s">
        <v>3038</v>
      </c>
      <c r="AE123" s="108" t="s">
        <v>3039</v>
      </c>
      <c r="AF123" s="108"/>
      <c r="AG123" s="108" t="s">
        <v>3040</v>
      </c>
      <c r="AH123" s="114" t="s">
        <v>3041</v>
      </c>
      <c r="AI123" s="115">
        <v>23156731277</v>
      </c>
      <c r="AJ123" s="108" t="s">
        <v>255</v>
      </c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>
        <v>0</v>
      </c>
      <c r="AU123" s="108" t="s">
        <v>304</v>
      </c>
      <c r="AV123" s="115"/>
      <c r="AW123" s="108" t="s">
        <v>74</v>
      </c>
      <c r="AX123" s="108" t="s">
        <v>13</v>
      </c>
      <c r="AY123" s="108" t="s">
        <v>2860</v>
      </c>
      <c r="AZ123" s="108" t="s">
        <v>2472</v>
      </c>
      <c r="BA123" s="108">
        <v>2020</v>
      </c>
      <c r="BB123" s="108" t="s">
        <v>13</v>
      </c>
      <c r="BC123" s="108" t="s">
        <v>2860</v>
      </c>
      <c r="BD123" s="108" t="s">
        <v>2472</v>
      </c>
      <c r="BE123" s="108">
        <v>2020</v>
      </c>
      <c r="BF123" s="116"/>
      <c r="BG123" s="116"/>
      <c r="BH123" s="108"/>
      <c r="BI123" s="108"/>
      <c r="BJ123" s="108"/>
      <c r="BK123" s="111"/>
      <c r="BL123" s="111"/>
      <c r="BM123" s="111"/>
      <c r="BN123" s="111"/>
      <c r="BO123" s="108"/>
      <c r="BP123" s="108"/>
      <c r="BQ123" s="108"/>
      <c r="BR123" s="108"/>
      <c r="BS123" s="108"/>
      <c r="BT123" s="108"/>
      <c r="BU123" s="108"/>
      <c r="BV123" s="108"/>
      <c r="BW123" s="108"/>
      <c r="BX123" s="108"/>
      <c r="BY123" s="108"/>
      <c r="BZ123" s="108" t="e">
        <f>VLOOKUP(C123,[1]Sertifikasi!$B$4:$I$19,8,0)</f>
        <v>#N/A</v>
      </c>
    </row>
    <row r="124" spans="1:78" ht="11.25" customHeight="1">
      <c r="A124" s="108"/>
      <c r="B124" s="108">
        <v>227</v>
      </c>
      <c r="C124" s="108" t="s">
        <v>1891</v>
      </c>
      <c r="D124" s="109">
        <v>641907263</v>
      </c>
      <c r="E124" s="131">
        <v>1710005657971</v>
      </c>
      <c r="F124" s="131"/>
      <c r="G124" s="108" t="s">
        <v>71</v>
      </c>
      <c r="H124" s="108" t="s">
        <v>71</v>
      </c>
      <c r="I124" s="111">
        <v>43647</v>
      </c>
      <c r="J124" s="108">
        <v>4</v>
      </c>
      <c r="K124" s="108">
        <v>3</v>
      </c>
      <c r="L124" s="108" t="str">
        <f t="shared" si="3"/>
        <v>PKWT</v>
      </c>
      <c r="M124" s="108"/>
      <c r="N124" s="112">
        <v>45291</v>
      </c>
      <c r="O124" s="108"/>
      <c r="P124" s="108" t="s">
        <v>213</v>
      </c>
      <c r="Q124" s="210" t="s">
        <v>4102</v>
      </c>
      <c r="R124" s="108" t="s">
        <v>259</v>
      </c>
      <c r="S124" s="108" t="s">
        <v>33</v>
      </c>
      <c r="T124" s="108" t="s">
        <v>432</v>
      </c>
      <c r="U124" s="108" t="s">
        <v>199</v>
      </c>
      <c r="V124" s="108" t="s">
        <v>180</v>
      </c>
      <c r="W124" s="108"/>
      <c r="X124" s="108" t="s">
        <v>215</v>
      </c>
      <c r="Y124" s="108" t="s">
        <v>216</v>
      </c>
      <c r="Z124" s="108" t="s">
        <v>182</v>
      </c>
      <c r="AA124" s="111">
        <v>34126</v>
      </c>
      <c r="AB124" s="113">
        <v>30</v>
      </c>
      <c r="AC124" s="108" t="s">
        <v>1892</v>
      </c>
      <c r="AD124" s="129" t="s">
        <v>1893</v>
      </c>
      <c r="AE124" s="108" t="s">
        <v>1894</v>
      </c>
      <c r="AF124" s="108"/>
      <c r="AG124" s="108" t="s">
        <v>1895</v>
      </c>
      <c r="AH124" s="114" t="s">
        <v>1896</v>
      </c>
      <c r="AI124" s="115">
        <v>19047644232</v>
      </c>
      <c r="AJ124" s="108" t="s">
        <v>255</v>
      </c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>
        <v>0</v>
      </c>
      <c r="AU124" s="108" t="s">
        <v>304</v>
      </c>
      <c r="AV124" s="115">
        <v>0</v>
      </c>
      <c r="AW124" s="108" t="s">
        <v>74</v>
      </c>
      <c r="AX124" s="108" t="s">
        <v>16</v>
      </c>
      <c r="AY124" s="108" t="s">
        <v>226</v>
      </c>
      <c r="AZ124" s="108" t="s">
        <v>306</v>
      </c>
      <c r="BA124" s="108">
        <v>2012</v>
      </c>
      <c r="BB124" s="108" t="s">
        <v>16</v>
      </c>
      <c r="BC124" s="108" t="s">
        <v>226</v>
      </c>
      <c r="BD124" s="108" t="s">
        <v>306</v>
      </c>
      <c r="BE124" s="108">
        <v>2012</v>
      </c>
      <c r="BF124" s="116"/>
      <c r="BG124" s="116"/>
      <c r="BH124" s="108" t="s">
        <v>241</v>
      </c>
      <c r="BI124" s="108">
        <v>28</v>
      </c>
      <c r="BJ124" s="108">
        <v>40</v>
      </c>
      <c r="BK124" s="111">
        <v>44365</v>
      </c>
      <c r="BL124" s="111">
        <v>44400</v>
      </c>
      <c r="BM124" s="111"/>
      <c r="BN124" s="111"/>
      <c r="BO124" s="108"/>
      <c r="BP124" s="108"/>
      <c r="BQ124" s="108"/>
      <c r="BR124" s="108"/>
      <c r="BS124" s="108"/>
      <c r="BT124" s="108"/>
      <c r="BU124" s="108"/>
      <c r="BV124" s="108"/>
      <c r="BW124" s="108"/>
      <c r="BX124" s="108"/>
      <c r="BY124" s="108"/>
      <c r="BZ124" s="108" t="e">
        <f>VLOOKUP(C124,[1]Sertifikasi!$B$4:$I$19,8,0)</f>
        <v>#N/A</v>
      </c>
    </row>
    <row r="125" spans="1:78" ht="11.25" customHeight="1">
      <c r="A125" s="108"/>
      <c r="B125" s="108">
        <v>100</v>
      </c>
      <c r="C125" s="108" t="s">
        <v>1001</v>
      </c>
      <c r="D125" s="109">
        <v>642001042</v>
      </c>
      <c r="E125" s="131">
        <v>1710004040773</v>
      </c>
      <c r="F125" s="131"/>
      <c r="G125" s="108" t="s">
        <v>71</v>
      </c>
      <c r="H125" s="108" t="s">
        <v>71</v>
      </c>
      <c r="I125" s="111">
        <v>42857</v>
      </c>
      <c r="J125" s="108">
        <v>6</v>
      </c>
      <c r="K125" s="108">
        <v>5</v>
      </c>
      <c r="L125" s="108" t="str">
        <f t="shared" ref="L125:L156" si="4">IF(LEFT(D125,2)="99","Organik",IF(LEFT(D125,2)="97","Tetap",IF(LEFT(D125,2)="75","Capeg",IF(LEFT(D125,2)="64","PKWT","Resign"))))</f>
        <v>PKWT</v>
      </c>
      <c r="M125" s="108"/>
      <c r="N125" s="112">
        <v>45291</v>
      </c>
      <c r="O125" s="108"/>
      <c r="P125" s="108" t="s">
        <v>213</v>
      </c>
      <c r="Q125" s="210" t="s">
        <v>4102</v>
      </c>
      <c r="R125" s="108" t="s">
        <v>33</v>
      </c>
      <c r="S125" s="108" t="s">
        <v>232</v>
      </c>
      <c r="T125" s="108" t="s">
        <v>199</v>
      </c>
      <c r="U125" s="108" t="s">
        <v>199</v>
      </c>
      <c r="V125" s="108" t="s">
        <v>180</v>
      </c>
      <c r="W125" s="108" t="s">
        <v>83</v>
      </c>
      <c r="X125" s="108" t="s">
        <v>215</v>
      </c>
      <c r="Y125" s="108" t="s">
        <v>216</v>
      </c>
      <c r="Z125" s="108" t="s">
        <v>433</v>
      </c>
      <c r="AA125" s="111">
        <v>35744</v>
      </c>
      <c r="AB125" s="113">
        <v>25</v>
      </c>
      <c r="AC125" s="108" t="s">
        <v>1002</v>
      </c>
      <c r="AD125" s="129" t="s">
        <v>1003</v>
      </c>
      <c r="AE125" s="108" t="s">
        <v>1004</v>
      </c>
      <c r="AF125" s="108" t="s">
        <v>1005</v>
      </c>
      <c r="AG125" s="108" t="s">
        <v>1006</v>
      </c>
      <c r="AH125" s="114" t="s">
        <v>1007</v>
      </c>
      <c r="AI125" s="115">
        <v>17043907769</v>
      </c>
      <c r="AJ125" s="108" t="s">
        <v>255</v>
      </c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>
        <v>0</v>
      </c>
      <c r="AU125" s="108" t="s">
        <v>304</v>
      </c>
      <c r="AV125" s="115">
        <v>0</v>
      </c>
      <c r="AW125" s="108" t="s">
        <v>74</v>
      </c>
      <c r="AX125" s="108" t="s">
        <v>16</v>
      </c>
      <c r="AY125" s="108" t="s">
        <v>331</v>
      </c>
      <c r="AZ125" s="108" t="s">
        <v>1008</v>
      </c>
      <c r="BA125" s="108">
        <v>2016</v>
      </c>
      <c r="BB125" s="108" t="s">
        <v>287</v>
      </c>
      <c r="BC125" s="108" t="s">
        <v>331</v>
      </c>
      <c r="BD125" s="108" t="s">
        <v>1008</v>
      </c>
      <c r="BE125" s="108">
        <v>2016</v>
      </c>
      <c r="BF125" s="116"/>
      <c r="BG125" s="116"/>
      <c r="BH125" s="108" t="s">
        <v>228</v>
      </c>
      <c r="BI125" s="108">
        <v>33</v>
      </c>
      <c r="BJ125" s="108">
        <v>42</v>
      </c>
      <c r="BK125" s="111"/>
      <c r="BL125" s="111"/>
      <c r="BM125" s="111"/>
      <c r="BN125" s="111"/>
      <c r="BO125" s="108">
        <v>43467</v>
      </c>
      <c r="BP125" s="108">
        <v>43830</v>
      </c>
      <c r="BQ125" s="108" t="s">
        <v>1009</v>
      </c>
      <c r="BR125" s="108" t="s">
        <v>1010</v>
      </c>
      <c r="BS125" s="108"/>
      <c r="BT125" s="108"/>
      <c r="BU125" s="108"/>
      <c r="BV125" s="108"/>
      <c r="BW125" s="108"/>
      <c r="BX125" s="108"/>
      <c r="BY125" s="108"/>
      <c r="BZ125" s="108" t="e">
        <f>VLOOKUP(C125,[1]Sertifikasi!$B$4:$I$19,8,0)</f>
        <v>#N/A</v>
      </c>
    </row>
    <row r="126" spans="1:78" ht="11.25" customHeight="1">
      <c r="A126" s="108"/>
      <c r="B126" s="108">
        <v>63</v>
      </c>
      <c r="C126" s="108" t="s">
        <v>2168</v>
      </c>
      <c r="D126" s="109">
        <v>999800078</v>
      </c>
      <c r="E126" s="131">
        <v>1440011136048</v>
      </c>
      <c r="F126" s="131"/>
      <c r="G126" s="113" t="s">
        <v>33</v>
      </c>
      <c r="H126" s="108" t="s">
        <v>71</v>
      </c>
      <c r="I126" s="111">
        <v>43987</v>
      </c>
      <c r="J126" s="108">
        <f ca="1">DATEDIF(I126,$C$3,"y")</f>
        <v>3</v>
      </c>
      <c r="K126" s="108">
        <f ca="1">DATEDIF(I126,$C$3,"ym")</f>
        <v>5</v>
      </c>
      <c r="L126" s="108" t="str">
        <f t="shared" si="4"/>
        <v>Organik</v>
      </c>
      <c r="M126" s="108" t="s">
        <v>2111</v>
      </c>
      <c r="N126" s="112">
        <v>36312</v>
      </c>
      <c r="O126" s="108" t="s">
        <v>2112</v>
      </c>
      <c r="P126" s="108" t="s">
        <v>4</v>
      </c>
      <c r="Q126" s="210" t="s">
        <v>4100</v>
      </c>
      <c r="R126" s="108" t="s">
        <v>4099</v>
      </c>
      <c r="S126" s="108"/>
      <c r="T126" s="108" t="s">
        <v>854</v>
      </c>
      <c r="U126" s="108" t="s">
        <v>199</v>
      </c>
      <c r="V126" s="108" t="s">
        <v>180</v>
      </c>
      <c r="W126" s="108"/>
      <c r="X126" s="108"/>
      <c r="Y126" s="108" t="s">
        <v>59</v>
      </c>
      <c r="Z126" s="108" t="s">
        <v>71</v>
      </c>
      <c r="AA126" s="111">
        <v>27124</v>
      </c>
      <c r="AB126" s="113">
        <f ca="1">DATEDIF(AA126,$C$3,"y")</f>
        <v>49</v>
      </c>
      <c r="AC126" s="108" t="s">
        <v>2169</v>
      </c>
      <c r="AD126" s="129" t="s">
        <v>2170</v>
      </c>
      <c r="AE126" s="108" t="s">
        <v>2171</v>
      </c>
      <c r="AF126" s="108"/>
      <c r="AG126" s="108" t="s">
        <v>2172</v>
      </c>
      <c r="AH126" s="114" t="s">
        <v>2173</v>
      </c>
      <c r="AI126" s="115" t="s">
        <v>2174</v>
      </c>
      <c r="AJ126" s="108" t="s">
        <v>189</v>
      </c>
      <c r="AK126" s="108" t="s">
        <v>2175</v>
      </c>
      <c r="AL126" s="108" t="s">
        <v>2176</v>
      </c>
      <c r="AM126" s="108" t="s">
        <v>2177</v>
      </c>
      <c r="AN126" s="108"/>
      <c r="AO126" s="108"/>
      <c r="AP126" s="108"/>
      <c r="AQ126" s="108"/>
      <c r="AR126" s="108"/>
      <c r="AS126" s="108"/>
      <c r="AT126" s="108">
        <f>COUNTA(AL126:AO126)</f>
        <v>2</v>
      </c>
      <c r="AU126" s="108" t="str">
        <f>IF(AJ126="Menikah","K","TK")&amp;"/"&amp;AT126</f>
        <v>K/2</v>
      </c>
      <c r="AV126" s="131" t="s">
        <v>2178</v>
      </c>
      <c r="AW126" s="113" t="s">
        <v>74</v>
      </c>
      <c r="AX126" s="108" t="s">
        <v>16</v>
      </c>
      <c r="AY126" s="108" t="s">
        <v>2179</v>
      </c>
      <c r="AZ126" s="108" t="s">
        <v>2180</v>
      </c>
      <c r="BA126" s="108"/>
      <c r="BB126" s="108" t="s">
        <v>16</v>
      </c>
      <c r="BC126" s="108" t="s">
        <v>2179</v>
      </c>
      <c r="BD126" s="108" t="s">
        <v>2180</v>
      </c>
      <c r="BE126" s="108"/>
      <c r="BF126" s="116">
        <v>47239</v>
      </c>
      <c r="BG126" s="116" t="s">
        <v>2181</v>
      </c>
      <c r="BH126" s="108"/>
      <c r="BI126" s="108"/>
      <c r="BJ126" s="207"/>
      <c r="BK126" s="111">
        <v>44294</v>
      </c>
      <c r="BL126" s="111">
        <v>44322</v>
      </c>
      <c r="BM126" s="208"/>
      <c r="BN126" s="111"/>
      <c r="BO126" s="108"/>
      <c r="BP126" s="108"/>
      <c r="BQ126" s="108"/>
      <c r="BR126" s="108"/>
      <c r="BS126" s="108"/>
      <c r="BT126" s="108"/>
      <c r="BU126" s="108"/>
      <c r="BV126" s="108"/>
      <c r="BW126" s="108"/>
      <c r="BX126" s="108"/>
      <c r="BY126" s="108"/>
      <c r="BZ126" s="108" t="e">
        <f>VLOOKUP(C126,[1]Sertifikasi!$B$4:$I$19,8,0)</f>
        <v>#N/A</v>
      </c>
    </row>
    <row r="127" spans="1:78" ht="11.25" customHeight="1">
      <c r="A127" s="108"/>
      <c r="B127" s="108">
        <v>280</v>
      </c>
      <c r="C127" s="108" t="s">
        <v>574</v>
      </c>
      <c r="D127" s="109">
        <v>971900030</v>
      </c>
      <c r="E127" s="131">
        <v>1710003987594</v>
      </c>
      <c r="F127" s="131"/>
      <c r="G127" s="108" t="s">
        <v>71</v>
      </c>
      <c r="H127" s="108" t="s">
        <v>71</v>
      </c>
      <c r="I127" s="111">
        <v>42401</v>
      </c>
      <c r="J127" s="108">
        <v>7</v>
      </c>
      <c r="K127" s="108">
        <v>8</v>
      </c>
      <c r="L127" s="108" t="str">
        <f t="shared" si="4"/>
        <v>Tetap</v>
      </c>
      <c r="M127" s="108" t="s">
        <v>408</v>
      </c>
      <c r="N127" s="112">
        <v>43647</v>
      </c>
      <c r="O127" s="108"/>
      <c r="P127" s="108" t="s">
        <v>311</v>
      </c>
      <c r="Q127" s="210" t="s">
        <v>4102</v>
      </c>
      <c r="R127" s="108" t="s">
        <v>575</v>
      </c>
      <c r="S127" s="108" t="s">
        <v>262</v>
      </c>
      <c r="T127" s="108" t="s">
        <v>92</v>
      </c>
      <c r="U127" s="108" t="s">
        <v>276</v>
      </c>
      <c r="V127" s="108" t="s">
        <v>180</v>
      </c>
      <c r="W127" s="108" t="s">
        <v>277</v>
      </c>
      <c r="X127" s="108" t="s">
        <v>215</v>
      </c>
      <c r="Y127" s="108" t="s">
        <v>216</v>
      </c>
      <c r="Z127" s="108" t="s">
        <v>71</v>
      </c>
      <c r="AA127" s="111">
        <v>33934</v>
      </c>
      <c r="AB127" s="113">
        <v>30</v>
      </c>
      <c r="AC127" s="108" t="s">
        <v>576</v>
      </c>
      <c r="AD127" s="129" t="s">
        <v>577</v>
      </c>
      <c r="AE127" s="108" t="s">
        <v>578</v>
      </c>
      <c r="AF127" s="108"/>
      <c r="AG127" s="108" t="s">
        <v>579</v>
      </c>
      <c r="AH127" s="114" t="s">
        <v>580</v>
      </c>
      <c r="AI127" s="115">
        <v>16006272237</v>
      </c>
      <c r="AJ127" s="108" t="s">
        <v>189</v>
      </c>
      <c r="AK127" s="108" t="s">
        <v>581</v>
      </c>
      <c r="AL127" s="108" t="s">
        <v>582</v>
      </c>
      <c r="AM127" s="108" t="s">
        <v>583</v>
      </c>
      <c r="AN127" s="108"/>
      <c r="AO127" s="108"/>
      <c r="AP127" s="108" t="s">
        <v>584</v>
      </c>
      <c r="AQ127" s="108"/>
      <c r="AR127" s="108" t="s">
        <v>585</v>
      </c>
      <c r="AS127" s="108"/>
      <c r="AT127" s="108">
        <v>2</v>
      </c>
      <c r="AU127" s="108" t="s">
        <v>330</v>
      </c>
      <c r="AV127" s="115">
        <v>0</v>
      </c>
      <c r="AW127" s="108" t="s">
        <v>74</v>
      </c>
      <c r="AX127" s="108" t="s">
        <v>16</v>
      </c>
      <c r="AY127" s="108" t="s">
        <v>226</v>
      </c>
      <c r="AZ127" s="108" t="s">
        <v>306</v>
      </c>
      <c r="BA127" s="108">
        <v>2010</v>
      </c>
      <c r="BB127" s="108" t="s">
        <v>287</v>
      </c>
      <c r="BC127" s="108" t="s">
        <v>226</v>
      </c>
      <c r="BD127" s="108" t="s">
        <v>306</v>
      </c>
      <c r="BE127" s="108">
        <v>2010</v>
      </c>
      <c r="BF127" s="116">
        <v>54240</v>
      </c>
      <c r="BG127" s="116">
        <v>54605</v>
      </c>
      <c r="BH127" s="108" t="s">
        <v>345</v>
      </c>
      <c r="BI127" s="108">
        <v>31</v>
      </c>
      <c r="BJ127" s="108">
        <v>42</v>
      </c>
      <c r="BK127" s="111">
        <v>44356</v>
      </c>
      <c r="BL127" s="111">
        <v>44403</v>
      </c>
      <c r="BM127" s="111">
        <v>44765</v>
      </c>
      <c r="BN127" s="111"/>
      <c r="BO127" s="108"/>
      <c r="BP127" s="108"/>
      <c r="BQ127" s="108"/>
      <c r="BR127" s="108"/>
      <c r="BS127" s="108"/>
      <c r="BT127" s="108"/>
      <c r="BU127" s="108"/>
      <c r="BV127" s="108"/>
      <c r="BW127" s="108"/>
      <c r="BX127" s="108"/>
      <c r="BY127" s="108"/>
      <c r="BZ127" s="108" t="e">
        <f>VLOOKUP(C127,[1]Sertifikasi!$B$4:$I$19,8,0)</f>
        <v>#N/A</v>
      </c>
    </row>
    <row r="128" spans="1:78" ht="11.25" customHeight="1">
      <c r="A128" s="108"/>
      <c r="B128" s="108">
        <v>84</v>
      </c>
      <c r="C128" s="108" t="s">
        <v>2261</v>
      </c>
      <c r="D128" s="109">
        <v>642007089</v>
      </c>
      <c r="E128" s="131">
        <v>1710000713522</v>
      </c>
      <c r="F128" s="131"/>
      <c r="G128" s="108" t="s">
        <v>71</v>
      </c>
      <c r="H128" s="108" t="s">
        <v>71</v>
      </c>
      <c r="I128" s="111">
        <v>44013</v>
      </c>
      <c r="J128" s="108">
        <v>3</v>
      </c>
      <c r="K128" s="108">
        <v>3</v>
      </c>
      <c r="L128" s="108" t="str">
        <f t="shared" si="4"/>
        <v>PKWT</v>
      </c>
      <c r="M128" s="108"/>
      <c r="N128" s="112">
        <v>45473</v>
      </c>
      <c r="O128" s="108"/>
      <c r="P128" s="108" t="s">
        <v>213</v>
      </c>
      <c r="Q128" s="210" t="s">
        <v>4102</v>
      </c>
      <c r="R128" s="108" t="s">
        <v>2085</v>
      </c>
      <c r="S128" s="108" t="s">
        <v>232</v>
      </c>
      <c r="T128" s="108" t="s">
        <v>214</v>
      </c>
      <c r="U128" s="108" t="s">
        <v>214</v>
      </c>
      <c r="V128" s="108" t="s">
        <v>180</v>
      </c>
      <c r="W128" s="108"/>
      <c r="X128" s="108"/>
      <c r="Y128" s="108" t="s">
        <v>216</v>
      </c>
      <c r="Z128" s="108" t="s">
        <v>71</v>
      </c>
      <c r="AA128" s="111">
        <v>33146</v>
      </c>
      <c r="AB128" s="113">
        <v>33</v>
      </c>
      <c r="AC128" s="108" t="s">
        <v>2262</v>
      </c>
      <c r="AD128" s="129" t="s">
        <v>2263</v>
      </c>
      <c r="AE128" s="108" t="s">
        <v>2264</v>
      </c>
      <c r="AF128" s="108"/>
      <c r="AG128" s="108" t="s">
        <v>2265</v>
      </c>
      <c r="AH128" s="114" t="s">
        <v>2266</v>
      </c>
      <c r="AI128" s="115">
        <v>15010091765</v>
      </c>
      <c r="AJ128" s="108" t="s">
        <v>189</v>
      </c>
      <c r="AK128" s="108"/>
      <c r="AL128" s="108"/>
      <c r="AM128" s="108"/>
      <c r="AN128" s="108"/>
      <c r="AO128" s="108"/>
      <c r="AP128" s="108" t="s">
        <v>2267</v>
      </c>
      <c r="AQ128" s="108" t="s">
        <v>2268</v>
      </c>
      <c r="AR128" s="108"/>
      <c r="AS128" s="108"/>
      <c r="AT128" s="108">
        <v>0</v>
      </c>
      <c r="AU128" s="108" t="s">
        <v>390</v>
      </c>
      <c r="AV128" s="115"/>
      <c r="AW128" s="108" t="s">
        <v>74</v>
      </c>
      <c r="AX128" s="108" t="s">
        <v>16</v>
      </c>
      <c r="AY128" s="108" t="s">
        <v>285</v>
      </c>
      <c r="AZ128" s="108" t="s">
        <v>404</v>
      </c>
      <c r="BA128" s="108">
        <v>2009</v>
      </c>
      <c r="BB128" s="108" t="s">
        <v>16</v>
      </c>
      <c r="BC128" s="108" t="s">
        <v>285</v>
      </c>
      <c r="BD128" s="108" t="s">
        <v>404</v>
      </c>
      <c r="BE128" s="108">
        <v>2009</v>
      </c>
      <c r="BF128" s="116"/>
      <c r="BG128" s="116"/>
      <c r="BH128" s="108"/>
      <c r="BI128" s="108"/>
      <c r="BJ128" s="195">
        <v>41</v>
      </c>
      <c r="BK128" s="111">
        <v>44294</v>
      </c>
      <c r="BL128" s="111">
        <v>44322</v>
      </c>
      <c r="BM128" s="209">
        <v>44600</v>
      </c>
      <c r="BN128" s="111"/>
      <c r="BO128" s="108"/>
      <c r="BP128" s="108"/>
      <c r="BQ128" s="108"/>
      <c r="BR128" s="108" t="s">
        <v>2269</v>
      </c>
      <c r="BS128" s="108"/>
      <c r="BT128" s="108"/>
      <c r="BU128" s="108"/>
      <c r="BV128" s="108"/>
      <c r="BW128" s="108"/>
      <c r="BX128" s="108"/>
      <c r="BY128" s="108"/>
      <c r="BZ128" s="108" t="e">
        <f>VLOOKUP(C128,[1]Sertifikasi!$B$4:$I$19,8,0)</f>
        <v>#N/A</v>
      </c>
    </row>
    <row r="129" spans="1:78" ht="11.25" customHeight="1">
      <c r="A129" s="108"/>
      <c r="B129" s="108">
        <v>228</v>
      </c>
      <c r="C129" s="108" t="s">
        <v>960</v>
      </c>
      <c r="D129" s="109">
        <v>642001036</v>
      </c>
      <c r="E129" s="131">
        <v>1710003987784</v>
      </c>
      <c r="F129" s="131"/>
      <c r="G129" s="108" t="s">
        <v>71</v>
      </c>
      <c r="H129" s="108" t="s">
        <v>71</v>
      </c>
      <c r="I129" s="111">
        <v>42857</v>
      </c>
      <c r="J129" s="108">
        <v>6</v>
      </c>
      <c r="K129" s="108">
        <v>5</v>
      </c>
      <c r="L129" s="108" t="str">
        <f t="shared" si="4"/>
        <v>PKWT</v>
      </c>
      <c r="M129" s="108"/>
      <c r="N129" s="112">
        <v>45291</v>
      </c>
      <c r="O129" s="108"/>
      <c r="P129" s="108" t="s">
        <v>213</v>
      </c>
      <c r="Q129" s="210" t="s">
        <v>4102</v>
      </c>
      <c r="R129" s="108" t="s">
        <v>259</v>
      </c>
      <c r="S129" s="108" t="s">
        <v>33</v>
      </c>
      <c r="T129" s="108" t="s">
        <v>432</v>
      </c>
      <c r="U129" s="108" t="s">
        <v>199</v>
      </c>
      <c r="V129" s="108" t="s">
        <v>180</v>
      </c>
      <c r="W129" s="108"/>
      <c r="X129" s="108" t="s">
        <v>215</v>
      </c>
      <c r="Y129" s="108" t="s">
        <v>216</v>
      </c>
      <c r="Z129" s="108" t="s">
        <v>71</v>
      </c>
      <c r="AA129" s="111">
        <v>34614</v>
      </c>
      <c r="AB129" s="113">
        <v>29</v>
      </c>
      <c r="AC129" s="108" t="s">
        <v>961</v>
      </c>
      <c r="AD129" s="129" t="s">
        <v>962</v>
      </c>
      <c r="AE129" s="108" t="s">
        <v>963</v>
      </c>
      <c r="AF129" s="108"/>
      <c r="AG129" s="108" t="s">
        <v>964</v>
      </c>
      <c r="AH129" s="114" t="s">
        <v>965</v>
      </c>
      <c r="AI129" s="115">
        <v>17043907637</v>
      </c>
      <c r="AJ129" s="108" t="s">
        <v>255</v>
      </c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>
        <v>0</v>
      </c>
      <c r="AU129" s="108" t="s">
        <v>304</v>
      </c>
      <c r="AV129" s="115">
        <v>0</v>
      </c>
      <c r="AW129" s="108" t="s">
        <v>74</v>
      </c>
      <c r="AX129" s="108" t="s">
        <v>16</v>
      </c>
      <c r="AY129" s="108" t="s">
        <v>331</v>
      </c>
      <c r="AZ129" s="108" t="s">
        <v>966</v>
      </c>
      <c r="BA129" s="108">
        <v>2013</v>
      </c>
      <c r="BB129" s="108" t="s">
        <v>287</v>
      </c>
      <c r="BC129" s="108" t="s">
        <v>331</v>
      </c>
      <c r="BD129" s="108" t="s">
        <v>966</v>
      </c>
      <c r="BE129" s="108">
        <v>2013</v>
      </c>
      <c r="BF129" s="116"/>
      <c r="BG129" s="116"/>
      <c r="BH129" s="108" t="s">
        <v>345</v>
      </c>
      <c r="BI129" s="108">
        <v>32</v>
      </c>
      <c r="BJ129" s="195">
        <v>40</v>
      </c>
      <c r="BK129" s="111"/>
      <c r="BL129" s="111"/>
      <c r="BM129" s="111"/>
      <c r="BN129" s="111"/>
      <c r="BO129" s="108">
        <v>43467</v>
      </c>
      <c r="BP129" s="108">
        <v>43830</v>
      </c>
      <c r="BQ129" s="108" t="s">
        <v>967</v>
      </c>
      <c r="BR129" s="108" t="s">
        <v>968</v>
      </c>
      <c r="BS129" s="108"/>
      <c r="BT129" s="108"/>
      <c r="BU129" s="108"/>
      <c r="BV129" s="108"/>
      <c r="BW129" s="108"/>
      <c r="BX129" s="108"/>
      <c r="BY129" s="108"/>
      <c r="BZ129" s="108" t="e">
        <f>VLOOKUP(C129,[1]Sertifikasi!$B$4:$I$19,8,0)</f>
        <v>#N/A</v>
      </c>
    </row>
    <row r="130" spans="1:78" ht="11.25" customHeight="1">
      <c r="A130" s="108"/>
      <c r="B130" s="108">
        <v>172</v>
      </c>
      <c r="C130" s="108" t="s">
        <v>4110</v>
      </c>
      <c r="D130" s="109">
        <v>642201171</v>
      </c>
      <c r="E130" s="131">
        <v>60011446550</v>
      </c>
      <c r="F130" s="131"/>
      <c r="G130" s="108" t="s">
        <v>71</v>
      </c>
      <c r="H130" s="108" t="s">
        <v>71</v>
      </c>
      <c r="I130" s="111">
        <v>44702</v>
      </c>
      <c r="J130" s="108">
        <v>1</v>
      </c>
      <c r="K130" s="108">
        <v>4</v>
      </c>
      <c r="L130" s="108" t="str">
        <f t="shared" si="4"/>
        <v>PKWT</v>
      </c>
      <c r="M130" s="108"/>
      <c r="N130" s="112">
        <v>45432</v>
      </c>
      <c r="O130" s="108"/>
      <c r="P130" s="108" t="s">
        <v>213</v>
      </c>
      <c r="Q130" s="210" t="s">
        <v>4102</v>
      </c>
      <c r="R130" s="108" t="s">
        <v>259</v>
      </c>
      <c r="S130" s="108" t="s">
        <v>262</v>
      </c>
      <c r="T130" s="108" t="s">
        <v>89</v>
      </c>
      <c r="U130" s="108" t="s">
        <v>199</v>
      </c>
      <c r="V130" s="108" t="s">
        <v>180</v>
      </c>
      <c r="W130" s="108"/>
      <c r="X130" s="108"/>
      <c r="Y130" s="108" t="s">
        <v>216</v>
      </c>
      <c r="Z130" s="108" t="s">
        <v>71</v>
      </c>
      <c r="AA130" s="111">
        <v>37189</v>
      </c>
      <c r="AB130" s="113">
        <v>21</v>
      </c>
      <c r="AC130" s="108" t="s">
        <v>2798</v>
      </c>
      <c r="AD130" s="129" t="s">
        <v>2799</v>
      </c>
      <c r="AE130" s="108" t="s">
        <v>2800</v>
      </c>
      <c r="AF130" s="108"/>
      <c r="AG130" s="108" t="s">
        <v>2801</v>
      </c>
      <c r="AH130" s="114" t="s">
        <v>2802</v>
      </c>
      <c r="AI130" s="115">
        <v>22063660777</v>
      </c>
      <c r="AJ130" s="108" t="s">
        <v>255</v>
      </c>
      <c r="AK130" s="108"/>
      <c r="AL130" s="108"/>
      <c r="AM130" s="108"/>
      <c r="AN130" s="108"/>
      <c r="AO130" s="108"/>
      <c r="AP130" s="108"/>
      <c r="AQ130" s="108"/>
      <c r="AR130" s="108"/>
      <c r="AS130" s="108"/>
      <c r="AT130" s="108">
        <v>0</v>
      </c>
      <c r="AU130" s="108" t="s">
        <v>304</v>
      </c>
      <c r="AV130" s="115"/>
      <c r="AW130" s="108" t="s">
        <v>74</v>
      </c>
      <c r="AX130" s="108" t="s">
        <v>13</v>
      </c>
      <c r="AY130" s="108" t="s">
        <v>331</v>
      </c>
      <c r="AZ130" s="108" t="s">
        <v>482</v>
      </c>
      <c r="BA130" s="108">
        <v>2021</v>
      </c>
      <c r="BB130" s="108" t="s">
        <v>13</v>
      </c>
      <c r="BC130" s="108" t="s">
        <v>331</v>
      </c>
      <c r="BD130" s="108" t="s">
        <v>482</v>
      </c>
      <c r="BE130" s="108">
        <v>2021</v>
      </c>
      <c r="BF130" s="116"/>
      <c r="BG130" s="116"/>
      <c r="BH130" s="108"/>
      <c r="BI130" s="108"/>
      <c r="BJ130" s="195">
        <v>43</v>
      </c>
      <c r="BK130" s="111"/>
      <c r="BL130" s="111"/>
      <c r="BM130" s="111"/>
      <c r="BN130" s="111"/>
      <c r="BO130" s="108"/>
      <c r="BP130" s="108"/>
      <c r="BQ130" s="108"/>
      <c r="BR130" s="108" t="s">
        <v>2803</v>
      </c>
      <c r="BS130" s="108"/>
      <c r="BT130" s="108"/>
      <c r="BU130" s="108"/>
      <c r="BV130" s="108"/>
      <c r="BW130" s="108"/>
      <c r="BX130" s="108"/>
      <c r="BY130" s="108"/>
      <c r="BZ130" s="108" t="e">
        <f>VLOOKUP(C130,[1]Sertifikasi!$B$4:$I$19,8,0)</f>
        <v>#N/A</v>
      </c>
    </row>
    <row r="131" spans="1:78" ht="11.25" customHeight="1">
      <c r="A131" s="108"/>
      <c r="B131" s="108">
        <v>11</v>
      </c>
      <c r="C131" s="142" t="s">
        <v>2996</v>
      </c>
      <c r="D131" s="109">
        <v>991100007</v>
      </c>
      <c r="E131" s="197" t="s">
        <v>2997</v>
      </c>
      <c r="F131" s="131"/>
      <c r="G131" s="113" t="s">
        <v>33</v>
      </c>
      <c r="H131" s="132" t="s">
        <v>71</v>
      </c>
      <c r="I131" s="111">
        <v>45156</v>
      </c>
      <c r="J131" s="108">
        <f ca="1">DATEDIF(I131,$C$3,"y")</f>
        <v>0</v>
      </c>
      <c r="K131" s="108">
        <f ca="1">DATEDIF(I131,$C$3,"ym")</f>
        <v>2</v>
      </c>
      <c r="L131" s="108" t="str">
        <f t="shared" si="4"/>
        <v>Organik</v>
      </c>
      <c r="M131" s="115" t="s">
        <v>2998</v>
      </c>
      <c r="N131" s="112">
        <v>45156</v>
      </c>
      <c r="O131" s="142" t="s">
        <v>2112</v>
      </c>
      <c r="P131" s="108" t="s">
        <v>5</v>
      </c>
      <c r="Q131" s="210" t="s">
        <v>4100</v>
      </c>
      <c r="R131" s="108" t="s">
        <v>4099</v>
      </c>
      <c r="S131" s="108"/>
      <c r="T131" s="108" t="s">
        <v>661</v>
      </c>
      <c r="U131" s="108" t="s">
        <v>661</v>
      </c>
      <c r="V131" s="108" t="s">
        <v>662</v>
      </c>
      <c r="W131" s="108"/>
      <c r="X131" s="108"/>
      <c r="Y131" s="108" t="s">
        <v>60</v>
      </c>
      <c r="Z131" s="196" t="s">
        <v>2999</v>
      </c>
      <c r="AA131" s="111">
        <v>30643</v>
      </c>
      <c r="AB131" s="113">
        <f ca="1">DATEDIF(AA131,$C$3,"y")</f>
        <v>39</v>
      </c>
      <c r="AC131" s="197">
        <v>3577036309830000</v>
      </c>
      <c r="AD131" s="200" t="s">
        <v>3000</v>
      </c>
      <c r="AE131" s="201" t="s">
        <v>3001</v>
      </c>
      <c r="AF131" s="108"/>
      <c r="AG131" s="196" t="s">
        <v>3002</v>
      </c>
      <c r="AH131" s="202" t="s">
        <v>3003</v>
      </c>
      <c r="AI131" s="201">
        <v>10027333151</v>
      </c>
      <c r="AJ131" s="108" t="s">
        <v>189</v>
      </c>
      <c r="AK131" s="196" t="s">
        <v>3004</v>
      </c>
      <c r="AL131" s="108"/>
      <c r="AM131" s="108"/>
      <c r="AN131" s="108"/>
      <c r="AO131" s="108"/>
      <c r="AP131" s="108"/>
      <c r="AQ131" s="108"/>
      <c r="AR131" s="108"/>
      <c r="AS131" s="108"/>
      <c r="AT131" s="108">
        <f>COUNTA(AL131:AO131)</f>
        <v>0</v>
      </c>
      <c r="AU131" s="108" t="str">
        <f>IF(AJ131="Menikah","K","TK")&amp;"/"&amp;AT131</f>
        <v>K/0</v>
      </c>
      <c r="AV131" s="201" t="s">
        <v>3005</v>
      </c>
      <c r="AW131" s="113" t="s">
        <v>74</v>
      </c>
      <c r="AX131" s="201" t="s">
        <v>12</v>
      </c>
      <c r="AY131" s="201" t="s">
        <v>3006</v>
      </c>
      <c r="AZ131" s="142" t="s">
        <v>3007</v>
      </c>
      <c r="BA131" s="142"/>
      <c r="BB131" s="108" t="s">
        <v>12</v>
      </c>
      <c r="BC131" s="201" t="s">
        <v>3006</v>
      </c>
      <c r="BD131" s="196" t="s">
        <v>3007</v>
      </c>
      <c r="BE131" s="196"/>
      <c r="BF131" s="116">
        <v>50679</v>
      </c>
      <c r="BG131" s="116">
        <v>51044</v>
      </c>
      <c r="BH131" s="108"/>
      <c r="BI131" s="108"/>
      <c r="BJ131" s="108"/>
      <c r="BK131" s="111"/>
      <c r="BL131" s="111"/>
      <c r="BM131" s="111"/>
      <c r="BN131" s="111"/>
      <c r="BO131" s="108"/>
      <c r="BP131" s="108"/>
      <c r="BQ131" s="108"/>
      <c r="BR131" s="108"/>
      <c r="BS131" s="108"/>
      <c r="BT131" s="108"/>
      <c r="BU131" s="108"/>
      <c r="BV131" s="108"/>
      <c r="BW131" s="108"/>
      <c r="BX131" s="108"/>
      <c r="BY131" s="108"/>
      <c r="BZ131" s="108" t="e">
        <f>VLOOKUP(C131,[1]Sertifikasi!$B$4:$I$19,8,0)</f>
        <v>#N/A</v>
      </c>
    </row>
    <row r="132" spans="1:78" ht="11.25" customHeight="1">
      <c r="A132" s="108"/>
      <c r="B132" s="108">
        <v>14</v>
      </c>
      <c r="C132" s="128" t="s">
        <v>1011</v>
      </c>
      <c r="D132" s="109">
        <v>971800018</v>
      </c>
      <c r="E132" s="131">
        <v>1710003919795</v>
      </c>
      <c r="F132" s="131"/>
      <c r="G132" s="113" t="s">
        <v>71</v>
      </c>
      <c r="H132" s="108" t="s">
        <v>71</v>
      </c>
      <c r="I132" s="111">
        <v>42863</v>
      </c>
      <c r="J132" s="108">
        <f ca="1">DATEDIF(I132,$C$3,"y")</f>
        <v>6</v>
      </c>
      <c r="K132" s="108">
        <f ca="1">DATEDIF(I132,$C$3,"ym")</f>
        <v>6</v>
      </c>
      <c r="L132" s="108" t="str">
        <f t="shared" si="4"/>
        <v>Tetap</v>
      </c>
      <c r="M132" s="108" t="s">
        <v>260</v>
      </c>
      <c r="N132" s="112">
        <v>43116</v>
      </c>
      <c r="O132" s="111"/>
      <c r="P132" s="108" t="s">
        <v>261</v>
      </c>
      <c r="Q132" s="210" t="s">
        <v>4100</v>
      </c>
      <c r="R132" s="108" t="s">
        <v>4099</v>
      </c>
      <c r="S132" s="108" t="s">
        <v>360</v>
      </c>
      <c r="T132" s="108" t="s">
        <v>361</v>
      </c>
      <c r="U132" s="108" t="s">
        <v>362</v>
      </c>
      <c r="V132" s="108" t="s">
        <v>180</v>
      </c>
      <c r="W132" s="108"/>
      <c r="X132" s="108"/>
      <c r="Y132" s="108" t="s">
        <v>60</v>
      </c>
      <c r="Z132" s="108" t="s">
        <v>71</v>
      </c>
      <c r="AA132" s="111">
        <v>34122</v>
      </c>
      <c r="AB132" s="113">
        <f ca="1">DATEDIF(AA132,$C$3,"y")</f>
        <v>30</v>
      </c>
      <c r="AC132" s="108" t="s">
        <v>1012</v>
      </c>
      <c r="AD132" s="129" t="s">
        <v>1013</v>
      </c>
      <c r="AE132" s="108" t="s">
        <v>1014</v>
      </c>
      <c r="AF132" s="108"/>
      <c r="AG132" s="130" t="s">
        <v>1015</v>
      </c>
      <c r="AH132" s="114" t="s">
        <v>1016</v>
      </c>
      <c r="AI132" s="115">
        <v>17043917347</v>
      </c>
      <c r="AJ132" s="108" t="s">
        <v>255</v>
      </c>
      <c r="AK132" s="108"/>
      <c r="AL132" s="108"/>
      <c r="AM132" s="108"/>
      <c r="AN132" s="108"/>
      <c r="AO132" s="108"/>
      <c r="AP132" s="108"/>
      <c r="AQ132" s="108"/>
      <c r="AR132" s="108"/>
      <c r="AS132" s="108"/>
      <c r="AT132" s="108">
        <f>COUNTA(AL132:AO132)</f>
        <v>0</v>
      </c>
      <c r="AU132" s="108" t="str">
        <f>IF(AJ132="Menikah","K","TK")&amp;"/"&amp;AT132</f>
        <v>TK/0</v>
      </c>
      <c r="AV132" s="131">
        <v>940611965621000</v>
      </c>
      <c r="AW132" s="113" t="s">
        <v>74</v>
      </c>
      <c r="AX132" s="108" t="s">
        <v>12</v>
      </c>
      <c r="AY132" s="108" t="s">
        <v>1017</v>
      </c>
      <c r="AZ132" s="108" t="s">
        <v>1018</v>
      </c>
      <c r="BA132" s="108">
        <v>2016</v>
      </c>
      <c r="BB132" s="108" t="s">
        <v>12</v>
      </c>
      <c r="BC132" s="108" t="s">
        <v>1017</v>
      </c>
      <c r="BD132" s="108" t="s">
        <v>1018</v>
      </c>
      <c r="BE132" s="108">
        <v>2016</v>
      </c>
      <c r="BF132" s="116">
        <v>54073</v>
      </c>
      <c r="BG132" s="116">
        <v>54438</v>
      </c>
      <c r="BH132" s="132"/>
      <c r="BI132" s="108"/>
      <c r="BJ132" s="133"/>
      <c r="BK132" s="111">
        <v>44294</v>
      </c>
      <c r="BL132" s="111">
        <v>44322</v>
      </c>
      <c r="BM132" s="208"/>
      <c r="BN132" s="111"/>
      <c r="BO132" s="108"/>
      <c r="BP132" s="108"/>
      <c r="BQ132" s="108"/>
      <c r="BR132" s="108"/>
      <c r="BS132" s="108"/>
      <c r="BT132" s="108"/>
      <c r="BU132" s="108"/>
      <c r="BV132" s="108"/>
      <c r="BW132" s="108"/>
      <c r="BX132" s="108"/>
      <c r="BY132" s="108"/>
      <c r="BZ132" s="108" t="e">
        <f>VLOOKUP(C132,[1]Sertifikasi!$B$4:$I$19,8,0)</f>
        <v>#N/A</v>
      </c>
    </row>
    <row r="133" spans="1:78" ht="11.25" customHeight="1">
      <c r="A133" s="108"/>
      <c r="B133" s="108">
        <v>229</v>
      </c>
      <c r="C133" s="108" t="s">
        <v>2683</v>
      </c>
      <c r="D133" s="109">
        <v>642201150</v>
      </c>
      <c r="E133" s="131">
        <v>1710001955833</v>
      </c>
      <c r="F133" s="131"/>
      <c r="G133" s="108" t="s">
        <v>71</v>
      </c>
      <c r="H133" s="108" t="s">
        <v>71</v>
      </c>
      <c r="I133" s="111">
        <v>44579</v>
      </c>
      <c r="J133" s="108">
        <v>1</v>
      </c>
      <c r="K133" s="108">
        <v>8</v>
      </c>
      <c r="L133" s="108" t="str">
        <f t="shared" si="4"/>
        <v>PKWT</v>
      </c>
      <c r="M133" s="108"/>
      <c r="N133" s="112">
        <v>45291</v>
      </c>
      <c r="O133" s="108"/>
      <c r="P133" s="108" t="s">
        <v>213</v>
      </c>
      <c r="Q133" s="210" t="s">
        <v>4102</v>
      </c>
      <c r="R133" s="108" t="s">
        <v>259</v>
      </c>
      <c r="S133" s="108" t="s">
        <v>33</v>
      </c>
      <c r="T133" s="108" t="s">
        <v>432</v>
      </c>
      <c r="U133" s="108" t="s">
        <v>199</v>
      </c>
      <c r="V133" s="108" t="s">
        <v>180</v>
      </c>
      <c r="W133" s="108"/>
      <c r="X133" s="108"/>
      <c r="Y133" s="108" t="s">
        <v>216</v>
      </c>
      <c r="Z133" s="108" t="s">
        <v>71</v>
      </c>
      <c r="AA133" s="111">
        <v>35990</v>
      </c>
      <c r="AB133" s="113">
        <v>25</v>
      </c>
      <c r="AC133" s="108" t="s">
        <v>2684</v>
      </c>
      <c r="AD133" s="129" t="s">
        <v>2685</v>
      </c>
      <c r="AE133" s="108" t="s">
        <v>2686</v>
      </c>
      <c r="AF133" s="108"/>
      <c r="AG133" s="108" t="s">
        <v>2687</v>
      </c>
      <c r="AH133" s="114" t="s">
        <v>2688</v>
      </c>
      <c r="AI133" s="115">
        <v>22017333661</v>
      </c>
      <c r="AJ133" s="108" t="s">
        <v>255</v>
      </c>
      <c r="AK133" s="108"/>
      <c r="AL133" s="108"/>
      <c r="AM133" s="108"/>
      <c r="AN133" s="108"/>
      <c r="AO133" s="108"/>
      <c r="AP133" s="108"/>
      <c r="AQ133" s="108"/>
      <c r="AR133" s="108"/>
      <c r="AS133" s="108"/>
      <c r="AT133" s="108">
        <v>0</v>
      </c>
      <c r="AU133" s="108" t="s">
        <v>304</v>
      </c>
      <c r="AV133" s="115"/>
      <c r="AW133" s="108" t="s">
        <v>74</v>
      </c>
      <c r="AX133" s="108" t="s">
        <v>16</v>
      </c>
      <c r="AY133" s="108" t="s">
        <v>331</v>
      </c>
      <c r="AZ133" s="108" t="s">
        <v>1237</v>
      </c>
      <c r="BA133" s="108">
        <v>2016</v>
      </c>
      <c r="BB133" s="108" t="s">
        <v>16</v>
      </c>
      <c r="BC133" s="108" t="s">
        <v>331</v>
      </c>
      <c r="BD133" s="108" t="s">
        <v>1237</v>
      </c>
      <c r="BE133" s="108">
        <v>2016</v>
      </c>
      <c r="BF133" s="116"/>
      <c r="BG133" s="116"/>
      <c r="BH133" s="108"/>
      <c r="BI133" s="108"/>
      <c r="BJ133" s="195">
        <v>41</v>
      </c>
      <c r="BK133" s="111"/>
      <c r="BL133" s="111"/>
      <c r="BM133" s="111"/>
      <c r="BN133" s="111"/>
      <c r="BO133" s="108"/>
      <c r="BP133" s="108"/>
      <c r="BQ133" s="108"/>
      <c r="BR133" s="108"/>
      <c r="BS133" s="108"/>
      <c r="BT133" s="108"/>
      <c r="BU133" s="108"/>
      <c r="BV133" s="108"/>
      <c r="BW133" s="108"/>
      <c r="BX133" s="108"/>
      <c r="BY133" s="108"/>
      <c r="BZ133" s="108" t="e">
        <f>VLOOKUP(C133,[1]Sertifikasi!$B$4:$I$19,8,0)</f>
        <v>#N/A</v>
      </c>
    </row>
    <row r="134" spans="1:78" ht="11.25" customHeight="1">
      <c r="A134" s="108"/>
      <c r="B134" s="108">
        <v>173</v>
      </c>
      <c r="C134" s="108" t="s">
        <v>1999</v>
      </c>
      <c r="D134" s="109">
        <v>642002072</v>
      </c>
      <c r="E134" s="131">
        <v>1710006288685</v>
      </c>
      <c r="F134" s="131"/>
      <c r="G134" s="113" t="s">
        <v>259</v>
      </c>
      <c r="H134" s="108" t="s">
        <v>259</v>
      </c>
      <c r="I134" s="111">
        <v>43832</v>
      </c>
      <c r="J134" s="108">
        <f ca="1">DATEDIF(I134,$C$3,"y")</f>
        <v>3</v>
      </c>
      <c r="K134" s="108">
        <f ca="1">DATEDIF(I134,$C$3,"ym")</f>
        <v>10</v>
      </c>
      <c r="L134" s="108" t="str">
        <f t="shared" si="4"/>
        <v>PKWT</v>
      </c>
      <c r="M134" s="108" t="s">
        <v>2000</v>
      </c>
      <c r="N134" s="112">
        <v>45291</v>
      </c>
      <c r="O134" s="111"/>
      <c r="P134" s="108" t="s">
        <v>261</v>
      </c>
      <c r="Q134" s="210" t="s">
        <v>4100</v>
      </c>
      <c r="R134" s="108" t="s">
        <v>259</v>
      </c>
      <c r="S134" s="108" t="s">
        <v>262</v>
      </c>
      <c r="T134" s="108" t="s">
        <v>89</v>
      </c>
      <c r="U134" s="108" t="s">
        <v>199</v>
      </c>
      <c r="V134" s="108" t="s">
        <v>180</v>
      </c>
      <c r="W134" s="108"/>
      <c r="X134" s="108"/>
      <c r="Y134" s="108" t="s">
        <v>59</v>
      </c>
      <c r="Z134" s="108" t="s">
        <v>2001</v>
      </c>
      <c r="AA134" s="111">
        <v>35285</v>
      </c>
      <c r="AB134" s="113">
        <f ca="1">DATEDIF(AA134,$C$3,"y")</f>
        <v>27</v>
      </c>
      <c r="AC134" s="113" t="s">
        <v>2002</v>
      </c>
      <c r="AD134" s="129" t="s">
        <v>2003</v>
      </c>
      <c r="AE134" s="108" t="s">
        <v>2004</v>
      </c>
      <c r="AF134" s="108"/>
      <c r="AG134" s="130" t="s">
        <v>2005</v>
      </c>
      <c r="AH134" s="114" t="s">
        <v>2006</v>
      </c>
      <c r="AI134" s="115" t="s">
        <v>2007</v>
      </c>
      <c r="AJ134" s="108" t="s">
        <v>189</v>
      </c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>
        <f>COUNTA(AL134:AO134)</f>
        <v>0</v>
      </c>
      <c r="AU134" s="108" t="str">
        <f>IF(AJ134="Menikah","K","TK")&amp;"/"&amp;AT134</f>
        <v>K/0</v>
      </c>
      <c r="AV134" s="131"/>
      <c r="AW134" s="113" t="s">
        <v>74</v>
      </c>
      <c r="AX134" s="108" t="s">
        <v>12</v>
      </c>
      <c r="AY134" s="108" t="s">
        <v>1484</v>
      </c>
      <c r="AZ134" s="108" t="s">
        <v>2008</v>
      </c>
      <c r="BA134" s="108">
        <v>2019</v>
      </c>
      <c r="BB134" s="108" t="s">
        <v>12</v>
      </c>
      <c r="BC134" s="108" t="s">
        <v>1484</v>
      </c>
      <c r="BD134" s="108" t="s">
        <v>2008</v>
      </c>
      <c r="BE134" s="108">
        <v>2019</v>
      </c>
      <c r="BF134" s="116"/>
      <c r="BG134" s="116"/>
      <c r="BH134" s="108"/>
      <c r="BI134" s="108"/>
      <c r="BJ134" s="137"/>
      <c r="BK134" s="111"/>
      <c r="BL134" s="111"/>
      <c r="BM134" s="111">
        <v>44621</v>
      </c>
      <c r="BN134" s="111"/>
      <c r="BO134" s="108"/>
      <c r="BP134" s="108"/>
      <c r="BQ134" s="108"/>
      <c r="BR134" s="108"/>
      <c r="BS134" s="108"/>
      <c r="BT134" s="108"/>
      <c r="BU134" s="108"/>
      <c r="BV134" s="108"/>
      <c r="BW134" s="108"/>
      <c r="BX134" s="108"/>
      <c r="BY134" s="108"/>
      <c r="BZ134" s="108" t="str">
        <f>VLOOKUP(C134,[1]Sertifikasi!$B$4:$I$19,8,0)</f>
        <v>Pembinaan Dan Sertifikasi Calon Ahli K3 Umum</v>
      </c>
    </row>
    <row r="135" spans="1:78" ht="11.25" customHeight="1">
      <c r="A135" s="108"/>
      <c r="B135" s="108">
        <v>29</v>
      </c>
      <c r="C135" s="108" t="s">
        <v>1065</v>
      </c>
      <c r="D135" s="109">
        <v>972000055</v>
      </c>
      <c r="E135" s="131">
        <v>1710003987768</v>
      </c>
      <c r="F135" s="131"/>
      <c r="G135" s="113" t="s">
        <v>71</v>
      </c>
      <c r="H135" s="108" t="s">
        <v>71</v>
      </c>
      <c r="I135" s="111">
        <v>42919</v>
      </c>
      <c r="J135" s="108">
        <f ca="1">DATEDIF(I135,$C$3,"y")</f>
        <v>6</v>
      </c>
      <c r="K135" s="108">
        <f ca="1">DATEDIF(I135,$C$3,"ym")</f>
        <v>4</v>
      </c>
      <c r="L135" s="108" t="str">
        <f t="shared" si="4"/>
        <v>Tetap</v>
      </c>
      <c r="M135" s="108" t="s">
        <v>587</v>
      </c>
      <c r="N135" s="112">
        <v>43899</v>
      </c>
      <c r="O135" s="111"/>
      <c r="P135" s="108" t="s">
        <v>261</v>
      </c>
      <c r="Q135" s="210" t="s">
        <v>4100</v>
      </c>
      <c r="R135" s="108" t="s">
        <v>4099</v>
      </c>
      <c r="S135" s="108" t="s">
        <v>854</v>
      </c>
      <c r="T135" s="108" t="s">
        <v>854</v>
      </c>
      <c r="U135" s="108" t="s">
        <v>199</v>
      </c>
      <c r="V135" s="108" t="s">
        <v>180</v>
      </c>
      <c r="W135" s="108"/>
      <c r="X135" s="108"/>
      <c r="Y135" s="108" t="s">
        <v>59</v>
      </c>
      <c r="Z135" s="108" t="s">
        <v>71</v>
      </c>
      <c r="AA135" s="111">
        <v>34585</v>
      </c>
      <c r="AB135" s="113">
        <f ca="1">DATEDIF(AA135,$C$3,"y")</f>
        <v>29</v>
      </c>
      <c r="AC135" s="108" t="s">
        <v>1066</v>
      </c>
      <c r="AD135" s="129" t="s">
        <v>1067</v>
      </c>
      <c r="AE135" s="108" t="s">
        <v>1068</v>
      </c>
      <c r="AF135" s="108"/>
      <c r="AG135" s="130" t="s">
        <v>1069</v>
      </c>
      <c r="AH135" s="139" t="s">
        <v>1070</v>
      </c>
      <c r="AI135" s="115">
        <v>17043907876</v>
      </c>
      <c r="AJ135" s="108" t="s">
        <v>189</v>
      </c>
      <c r="AK135" s="108" t="s">
        <v>1071</v>
      </c>
      <c r="AL135" s="108" t="s">
        <v>1072</v>
      </c>
      <c r="AM135" s="108"/>
      <c r="AN135" s="108"/>
      <c r="AO135" s="108"/>
      <c r="AP135" s="108"/>
      <c r="AQ135" s="108"/>
      <c r="AR135" s="108"/>
      <c r="AS135" s="108"/>
      <c r="AT135" s="108">
        <f>COUNTA(AL135:AO135)</f>
        <v>1</v>
      </c>
      <c r="AU135" s="108" t="str">
        <f>IF(AJ135="Menikah","K","TK")&amp;"/"&amp;AT135</f>
        <v>K/1</v>
      </c>
      <c r="AV135" s="131">
        <v>806947339621000</v>
      </c>
      <c r="AW135" s="113" t="s">
        <v>74</v>
      </c>
      <c r="AX135" s="108" t="s">
        <v>13</v>
      </c>
      <c r="AY135" s="108" t="s">
        <v>285</v>
      </c>
      <c r="AZ135" s="108" t="s">
        <v>482</v>
      </c>
      <c r="BA135" s="108">
        <v>2016</v>
      </c>
      <c r="BB135" s="108" t="s">
        <v>13</v>
      </c>
      <c r="BC135" s="108" t="s">
        <v>285</v>
      </c>
      <c r="BD135" s="108" t="s">
        <v>482</v>
      </c>
      <c r="BE135" s="108">
        <v>2016</v>
      </c>
      <c r="BF135" s="116">
        <v>54856</v>
      </c>
      <c r="BG135" s="116">
        <v>55221</v>
      </c>
      <c r="BH135" s="132"/>
      <c r="BI135" s="108">
        <v>29</v>
      </c>
      <c r="BJ135" s="108">
        <v>42</v>
      </c>
      <c r="BK135" s="111">
        <v>44259</v>
      </c>
      <c r="BL135" s="111">
        <v>44304</v>
      </c>
      <c r="BM135" s="209">
        <v>44588</v>
      </c>
      <c r="BN135" s="111"/>
      <c r="BO135" s="108"/>
      <c r="BP135" s="108"/>
      <c r="BQ135" s="108"/>
      <c r="BR135" s="108"/>
      <c r="BS135" s="108"/>
      <c r="BT135" s="108"/>
      <c r="BU135" s="108"/>
      <c r="BV135" s="108"/>
      <c r="BW135" s="108"/>
      <c r="BX135" s="108"/>
      <c r="BY135" s="108"/>
      <c r="BZ135" s="108" t="e">
        <f>VLOOKUP(C135,[1]Sertifikasi!$B$4:$I$19,8,0)</f>
        <v>#N/A</v>
      </c>
    </row>
    <row r="136" spans="1:78" ht="11.25" customHeight="1">
      <c r="A136" s="108"/>
      <c r="B136" s="108">
        <v>315</v>
      </c>
      <c r="C136" s="108" t="s">
        <v>1435</v>
      </c>
      <c r="D136" s="109">
        <v>641808176</v>
      </c>
      <c r="E136" s="131">
        <v>1130012942250</v>
      </c>
      <c r="F136" s="131"/>
      <c r="G136" s="108" t="s">
        <v>575</v>
      </c>
      <c r="H136" s="108" t="s">
        <v>575</v>
      </c>
      <c r="I136" s="111">
        <v>43325</v>
      </c>
      <c r="J136" s="108">
        <v>5</v>
      </c>
      <c r="K136" s="108">
        <v>1</v>
      </c>
      <c r="L136" s="108" t="str">
        <f t="shared" si="4"/>
        <v>PKWT</v>
      </c>
      <c r="M136" s="108"/>
      <c r="N136" s="112">
        <v>45515</v>
      </c>
      <c r="O136" s="108"/>
      <c r="P136" s="108" t="s">
        <v>213</v>
      </c>
      <c r="Q136" s="210" t="s">
        <v>4102</v>
      </c>
      <c r="R136" s="108" t="s">
        <v>1436</v>
      </c>
      <c r="S136" s="108" t="s">
        <v>476</v>
      </c>
      <c r="T136" s="108" t="s">
        <v>98</v>
      </c>
      <c r="U136" s="108" t="s">
        <v>276</v>
      </c>
      <c r="V136" s="108" t="s">
        <v>180</v>
      </c>
      <c r="W136" s="108"/>
      <c r="X136" s="108" t="s">
        <v>215</v>
      </c>
      <c r="Y136" s="108" t="s">
        <v>216</v>
      </c>
      <c r="Z136" s="108" t="s">
        <v>575</v>
      </c>
      <c r="AA136" s="111">
        <v>29619</v>
      </c>
      <c r="AB136" s="113">
        <v>42</v>
      </c>
      <c r="AC136" s="108" t="s">
        <v>1437</v>
      </c>
      <c r="AD136" s="129" t="s">
        <v>1438</v>
      </c>
      <c r="AE136" s="108" t="s">
        <v>1439</v>
      </c>
      <c r="AF136" s="108"/>
      <c r="AG136" s="108" t="s">
        <v>1440</v>
      </c>
      <c r="AH136" s="114" t="s">
        <v>1441</v>
      </c>
      <c r="AI136" s="115">
        <v>18070553997</v>
      </c>
      <c r="AJ136" s="108" t="s">
        <v>189</v>
      </c>
      <c r="AK136" s="108" t="s">
        <v>1442</v>
      </c>
      <c r="AL136" s="108" t="s">
        <v>1443</v>
      </c>
      <c r="AM136" s="108" t="s">
        <v>1444</v>
      </c>
      <c r="AN136" s="108" t="s">
        <v>1445</v>
      </c>
      <c r="AO136" s="108" t="s">
        <v>1446</v>
      </c>
      <c r="AP136" s="108"/>
      <c r="AQ136" s="108"/>
      <c r="AR136" s="108"/>
      <c r="AS136" s="108"/>
      <c r="AT136" s="108">
        <v>4</v>
      </c>
      <c r="AU136" s="108" t="s">
        <v>1447</v>
      </c>
      <c r="AV136" s="115">
        <v>0</v>
      </c>
      <c r="AW136" s="108" t="s">
        <v>74</v>
      </c>
      <c r="AX136" s="108" t="s">
        <v>16</v>
      </c>
      <c r="AY136" s="108" t="s">
        <v>1448</v>
      </c>
      <c r="AZ136" s="108" t="s">
        <v>1449</v>
      </c>
      <c r="BA136" s="108">
        <v>1999</v>
      </c>
      <c r="BB136" s="108" t="s">
        <v>287</v>
      </c>
      <c r="BC136" s="108" t="s">
        <v>1448</v>
      </c>
      <c r="BD136" s="108" t="s">
        <v>1449</v>
      </c>
      <c r="BE136" s="108">
        <v>1999</v>
      </c>
      <c r="BF136" s="116"/>
      <c r="BG136" s="116"/>
      <c r="BH136" s="108" t="s">
        <v>345</v>
      </c>
      <c r="BI136" s="108">
        <v>33</v>
      </c>
      <c r="BJ136" s="195">
        <v>41</v>
      </c>
      <c r="BK136" s="111"/>
      <c r="BL136" s="111"/>
      <c r="BM136" s="111">
        <v>44776</v>
      </c>
      <c r="BN136" s="111"/>
      <c r="BO136" s="108"/>
      <c r="BP136" s="108"/>
      <c r="BQ136" s="108"/>
      <c r="BR136" s="108"/>
      <c r="BS136" s="108"/>
      <c r="BT136" s="108"/>
      <c r="BU136" s="108"/>
      <c r="BV136" s="108"/>
      <c r="BW136" s="108"/>
      <c r="BX136" s="108"/>
      <c r="BY136" s="108"/>
      <c r="BZ136" s="108" t="e">
        <f>VLOOKUP(C136,[1]Sertifikasi!$B$4:$I$19,8,0)</f>
        <v>#N/A</v>
      </c>
    </row>
    <row r="137" spans="1:78" ht="11.25" customHeight="1">
      <c r="A137" s="108"/>
      <c r="B137" s="108">
        <v>133</v>
      </c>
      <c r="C137" s="108" t="s">
        <v>761</v>
      </c>
      <c r="D137" s="109">
        <v>642001053</v>
      </c>
      <c r="E137" s="131">
        <v>1710003988303</v>
      </c>
      <c r="F137" s="131"/>
      <c r="G137" s="108" t="s">
        <v>71</v>
      </c>
      <c r="H137" s="108" t="s">
        <v>71</v>
      </c>
      <c r="I137" s="111">
        <v>42522</v>
      </c>
      <c r="J137" s="108">
        <v>7</v>
      </c>
      <c r="K137" s="108">
        <v>4</v>
      </c>
      <c r="L137" s="108" t="str">
        <f t="shared" si="4"/>
        <v>PKWT</v>
      </c>
      <c r="M137" s="108"/>
      <c r="N137" s="112">
        <v>45291</v>
      </c>
      <c r="O137" s="108"/>
      <c r="P137" s="108" t="s">
        <v>213</v>
      </c>
      <c r="Q137" s="210" t="s">
        <v>4102</v>
      </c>
      <c r="R137" s="108" t="s">
        <v>409</v>
      </c>
      <c r="S137" s="108" t="s">
        <v>33</v>
      </c>
      <c r="T137" s="108" t="s">
        <v>88</v>
      </c>
      <c r="U137" s="108" t="s">
        <v>199</v>
      </c>
      <c r="V137" s="108" t="s">
        <v>180</v>
      </c>
      <c r="W137" s="108"/>
      <c r="X137" s="108" t="s">
        <v>215</v>
      </c>
      <c r="Y137" s="108" t="s">
        <v>216</v>
      </c>
      <c r="Z137" s="108" t="s">
        <v>71</v>
      </c>
      <c r="AA137" s="111">
        <v>34369</v>
      </c>
      <c r="AB137" s="113">
        <v>29</v>
      </c>
      <c r="AC137" s="108" t="s">
        <v>762</v>
      </c>
      <c r="AD137" s="129" t="s">
        <v>763</v>
      </c>
      <c r="AE137" s="108" t="s">
        <v>764</v>
      </c>
      <c r="AF137" s="108"/>
      <c r="AG137" s="108" t="s">
        <v>765</v>
      </c>
      <c r="AH137" s="114" t="s">
        <v>766</v>
      </c>
      <c r="AI137" s="115">
        <v>16040373579</v>
      </c>
      <c r="AJ137" s="108" t="s">
        <v>255</v>
      </c>
      <c r="AK137" s="108"/>
      <c r="AL137" s="108"/>
      <c r="AM137" s="108"/>
      <c r="AN137" s="108"/>
      <c r="AO137" s="108"/>
      <c r="AP137" s="108"/>
      <c r="AQ137" s="108"/>
      <c r="AR137" s="108"/>
      <c r="AS137" s="108"/>
      <c r="AT137" s="108">
        <v>0</v>
      </c>
      <c r="AU137" s="108" t="s">
        <v>304</v>
      </c>
      <c r="AV137" s="115">
        <v>0</v>
      </c>
      <c r="AW137" s="108" t="s">
        <v>74</v>
      </c>
      <c r="AX137" s="108" t="s">
        <v>16</v>
      </c>
      <c r="AY137" s="108" t="s">
        <v>226</v>
      </c>
      <c r="AZ137" s="108" t="s">
        <v>767</v>
      </c>
      <c r="BA137" s="108">
        <v>2016</v>
      </c>
      <c r="BB137" s="108" t="s">
        <v>287</v>
      </c>
      <c r="BC137" s="108" t="s">
        <v>226</v>
      </c>
      <c r="BD137" s="108" t="s">
        <v>767</v>
      </c>
      <c r="BE137" s="108">
        <v>2016</v>
      </c>
      <c r="BF137" s="116"/>
      <c r="BG137" s="116"/>
      <c r="BH137" s="108" t="s">
        <v>241</v>
      </c>
      <c r="BI137" s="108">
        <v>29</v>
      </c>
      <c r="BJ137" s="108">
        <v>40</v>
      </c>
      <c r="BK137" s="111">
        <v>44294</v>
      </c>
      <c r="BL137" s="111">
        <v>44322</v>
      </c>
      <c r="BM137" s="111">
        <v>44859</v>
      </c>
      <c r="BN137" s="111"/>
      <c r="BO137" s="108">
        <v>43467</v>
      </c>
      <c r="BP137" s="108">
        <v>43830</v>
      </c>
      <c r="BQ137" s="108" t="s">
        <v>768</v>
      </c>
      <c r="BR137" s="108" t="s">
        <v>769</v>
      </c>
      <c r="BS137" s="108"/>
      <c r="BT137" s="108"/>
      <c r="BU137" s="108"/>
      <c r="BV137" s="108"/>
      <c r="BW137" s="108"/>
      <c r="BX137" s="108"/>
      <c r="BY137" s="108"/>
      <c r="BZ137" s="108" t="e">
        <f>VLOOKUP(C137,[1]Sertifikasi!$B$4:$I$19,8,0)</f>
        <v>#N/A</v>
      </c>
    </row>
    <row r="138" spans="1:78" ht="11.25" customHeight="1">
      <c r="A138" s="108"/>
      <c r="B138" s="108">
        <v>174</v>
      </c>
      <c r="C138" s="108" t="s">
        <v>1578</v>
      </c>
      <c r="D138" s="109">
        <v>641810185</v>
      </c>
      <c r="E138" s="131">
        <v>1710004811710</v>
      </c>
      <c r="F138" s="131"/>
      <c r="G138" s="108" t="s">
        <v>259</v>
      </c>
      <c r="H138" s="108" t="s">
        <v>259</v>
      </c>
      <c r="I138" s="111">
        <v>43395</v>
      </c>
      <c r="J138" s="108">
        <v>4</v>
      </c>
      <c r="K138" s="108">
        <v>11</v>
      </c>
      <c r="L138" s="108" t="str">
        <f t="shared" si="4"/>
        <v>PKWT</v>
      </c>
      <c r="M138" s="108"/>
      <c r="N138" s="112">
        <v>45291</v>
      </c>
      <c r="O138" s="108"/>
      <c r="P138" s="108" t="s">
        <v>213</v>
      </c>
      <c r="Q138" s="210" t="s">
        <v>4102</v>
      </c>
      <c r="R138" s="108" t="s">
        <v>259</v>
      </c>
      <c r="S138" s="108" t="s">
        <v>262</v>
      </c>
      <c r="T138" s="108" t="s">
        <v>89</v>
      </c>
      <c r="U138" s="108" t="s">
        <v>199</v>
      </c>
      <c r="V138" s="108" t="s">
        <v>180</v>
      </c>
      <c r="W138" s="108" t="s">
        <v>277</v>
      </c>
      <c r="X138" s="108" t="s">
        <v>215</v>
      </c>
      <c r="Y138" s="108" t="s">
        <v>216</v>
      </c>
      <c r="Z138" s="108" t="s">
        <v>259</v>
      </c>
      <c r="AA138" s="111">
        <v>33638</v>
      </c>
      <c r="AB138" s="113">
        <v>31</v>
      </c>
      <c r="AC138" s="108" t="s">
        <v>1579</v>
      </c>
      <c r="AD138" s="129" t="s">
        <v>1580</v>
      </c>
      <c r="AE138" s="108" t="s">
        <v>1581</v>
      </c>
      <c r="AF138" s="108"/>
      <c r="AG138" s="108" t="s">
        <v>1582</v>
      </c>
      <c r="AH138" s="114" t="s">
        <v>1583</v>
      </c>
      <c r="AI138" s="115">
        <v>1809947535</v>
      </c>
      <c r="AJ138" s="108" t="s">
        <v>189</v>
      </c>
      <c r="AK138" s="108" t="s">
        <v>1584</v>
      </c>
      <c r="AL138" s="108" t="s">
        <v>1585</v>
      </c>
      <c r="AM138" s="108"/>
      <c r="AN138" s="108"/>
      <c r="AO138" s="108"/>
      <c r="AP138" s="108"/>
      <c r="AQ138" s="108"/>
      <c r="AR138" s="108"/>
      <c r="AS138" s="108"/>
      <c r="AT138" s="108">
        <v>1</v>
      </c>
      <c r="AU138" s="108" t="s">
        <v>225</v>
      </c>
      <c r="AV138" s="115">
        <v>0</v>
      </c>
      <c r="AW138" s="108" t="s">
        <v>74</v>
      </c>
      <c r="AX138" s="108" t="s">
        <v>16</v>
      </c>
      <c r="AY138" s="108" t="s">
        <v>285</v>
      </c>
      <c r="AZ138" s="108" t="s">
        <v>1586</v>
      </c>
      <c r="BA138" s="108">
        <v>2011</v>
      </c>
      <c r="BB138" s="108" t="s">
        <v>287</v>
      </c>
      <c r="BC138" s="108" t="s">
        <v>285</v>
      </c>
      <c r="BD138" s="108" t="s">
        <v>1586</v>
      </c>
      <c r="BE138" s="108">
        <v>2011</v>
      </c>
      <c r="BF138" s="116"/>
      <c r="BG138" s="116"/>
      <c r="BH138" s="108" t="s">
        <v>345</v>
      </c>
      <c r="BI138" s="108">
        <v>31</v>
      </c>
      <c r="BJ138" s="108">
        <v>42</v>
      </c>
      <c r="BK138" s="111"/>
      <c r="BL138" s="111"/>
      <c r="BM138" s="111"/>
      <c r="BN138" s="111"/>
      <c r="BO138" s="108"/>
      <c r="BP138" s="108"/>
      <c r="BQ138" s="108"/>
      <c r="BR138" s="108"/>
      <c r="BS138" s="108"/>
      <c r="BT138" s="108"/>
      <c r="BU138" s="108"/>
      <c r="BV138" s="108"/>
      <c r="BW138" s="108"/>
      <c r="BX138" s="108"/>
      <c r="BY138" s="108"/>
      <c r="BZ138" s="108" t="e">
        <f>VLOOKUP(C138,[1]Sertifikasi!$B$4:$I$19,8,0)</f>
        <v>#N/A</v>
      </c>
    </row>
    <row r="139" spans="1:78" ht="11.25" customHeight="1">
      <c r="A139" s="108"/>
      <c r="B139" s="108">
        <v>85</v>
      </c>
      <c r="C139" s="108" t="s">
        <v>2321</v>
      </c>
      <c r="D139" s="109">
        <v>642101094</v>
      </c>
      <c r="E139" s="131">
        <v>1710000644610</v>
      </c>
      <c r="F139" s="131"/>
      <c r="G139" s="108" t="s">
        <v>71</v>
      </c>
      <c r="H139" s="108" t="s">
        <v>71</v>
      </c>
      <c r="I139" s="111">
        <v>44200</v>
      </c>
      <c r="J139" s="108">
        <v>2</v>
      </c>
      <c r="K139" s="108">
        <v>9</v>
      </c>
      <c r="L139" s="108" t="str">
        <f t="shared" si="4"/>
        <v>PKWT</v>
      </c>
      <c r="M139" s="108"/>
      <c r="N139" s="112">
        <v>45291</v>
      </c>
      <c r="O139" s="108"/>
      <c r="P139" s="108" t="s">
        <v>213</v>
      </c>
      <c r="Q139" s="210" t="s">
        <v>4102</v>
      </c>
      <c r="R139" s="108" t="s">
        <v>2085</v>
      </c>
      <c r="S139" s="108" t="s">
        <v>232</v>
      </c>
      <c r="T139" s="108" t="s">
        <v>214</v>
      </c>
      <c r="U139" s="108" t="s">
        <v>214</v>
      </c>
      <c r="V139" s="108" t="s">
        <v>180</v>
      </c>
      <c r="W139" s="108"/>
      <c r="X139" s="108"/>
      <c r="Y139" s="108" t="s">
        <v>216</v>
      </c>
      <c r="Z139" s="108" t="s">
        <v>182</v>
      </c>
      <c r="AA139" s="111">
        <v>33022</v>
      </c>
      <c r="AB139" s="113">
        <v>33</v>
      </c>
      <c r="AC139" s="108" t="s">
        <v>2322</v>
      </c>
      <c r="AD139" s="129" t="s">
        <v>2323</v>
      </c>
      <c r="AE139" s="108" t="s">
        <v>2324</v>
      </c>
      <c r="AF139" s="108"/>
      <c r="AG139" s="108" t="s">
        <v>2325</v>
      </c>
      <c r="AH139" s="114" t="s">
        <v>2326</v>
      </c>
      <c r="AI139" s="115">
        <v>14041228579</v>
      </c>
      <c r="AJ139" s="108" t="s">
        <v>255</v>
      </c>
      <c r="AK139" s="108" t="s">
        <v>2327</v>
      </c>
      <c r="AL139" s="108" t="s">
        <v>2328</v>
      </c>
      <c r="AM139" s="108"/>
      <c r="AN139" s="108"/>
      <c r="AO139" s="108"/>
      <c r="AP139" s="108"/>
      <c r="AQ139" s="108"/>
      <c r="AR139" s="108"/>
      <c r="AS139" s="108"/>
      <c r="AT139" s="108">
        <v>1</v>
      </c>
      <c r="AU139" s="108" t="s">
        <v>646</v>
      </c>
      <c r="AV139" s="115"/>
      <c r="AW139" s="108" t="s">
        <v>74</v>
      </c>
      <c r="AX139" s="108" t="s">
        <v>16</v>
      </c>
      <c r="AY139" s="108" t="s">
        <v>226</v>
      </c>
      <c r="AZ139" s="108" t="s">
        <v>306</v>
      </c>
      <c r="BA139" s="108"/>
      <c r="BB139" s="108" t="s">
        <v>16</v>
      </c>
      <c r="BC139" s="108" t="s">
        <v>226</v>
      </c>
      <c r="BD139" s="108" t="s">
        <v>306</v>
      </c>
      <c r="BE139" s="108"/>
      <c r="BF139" s="116"/>
      <c r="BG139" s="116"/>
      <c r="BH139" s="108"/>
      <c r="BI139" s="108"/>
      <c r="BJ139" s="108">
        <v>41</v>
      </c>
      <c r="BK139" s="111">
        <v>44294</v>
      </c>
      <c r="BL139" s="111">
        <v>44322</v>
      </c>
      <c r="BM139" s="111">
        <v>44600</v>
      </c>
      <c r="BN139" s="111"/>
      <c r="BO139" s="108"/>
      <c r="BP139" s="108"/>
      <c r="BQ139" s="108"/>
      <c r="BR139" s="108" t="s">
        <v>2329</v>
      </c>
      <c r="BS139" s="108"/>
      <c r="BT139" s="108"/>
      <c r="BU139" s="108"/>
      <c r="BV139" s="108"/>
      <c r="BW139" s="108"/>
      <c r="BX139" s="108"/>
      <c r="BY139" s="108"/>
      <c r="BZ139" s="108" t="e">
        <f>VLOOKUP(C139,[1]Sertifikasi!$B$4:$I$19,8,0)</f>
        <v>#N/A</v>
      </c>
    </row>
    <row r="140" spans="1:78" ht="11.25" customHeight="1">
      <c r="A140" s="108"/>
      <c r="B140" s="108">
        <v>86</v>
      </c>
      <c r="C140" s="108" t="s">
        <v>2350</v>
      </c>
      <c r="D140" s="109">
        <v>642102105</v>
      </c>
      <c r="E140" s="131">
        <v>1710000376304</v>
      </c>
      <c r="F140" s="131"/>
      <c r="G140" s="108" t="s">
        <v>71</v>
      </c>
      <c r="H140" s="108" t="s">
        <v>71</v>
      </c>
      <c r="I140" s="111">
        <v>44242</v>
      </c>
      <c r="J140" s="108">
        <v>2</v>
      </c>
      <c r="K140" s="108">
        <v>7</v>
      </c>
      <c r="L140" s="108" t="str">
        <f t="shared" si="4"/>
        <v>PKWT</v>
      </c>
      <c r="M140" s="108"/>
      <c r="N140" s="112">
        <v>45336</v>
      </c>
      <c r="O140" s="108"/>
      <c r="P140" s="108" t="s">
        <v>213</v>
      </c>
      <c r="Q140" s="210" t="s">
        <v>4102</v>
      </c>
      <c r="R140" s="108" t="s">
        <v>2085</v>
      </c>
      <c r="S140" s="108" t="s">
        <v>232</v>
      </c>
      <c r="T140" s="108" t="s">
        <v>214</v>
      </c>
      <c r="U140" s="108" t="s">
        <v>214</v>
      </c>
      <c r="V140" s="108" t="s">
        <v>180</v>
      </c>
      <c r="W140" s="108" t="s">
        <v>617</v>
      </c>
      <c r="X140" s="108"/>
      <c r="Y140" s="108" t="s">
        <v>216</v>
      </c>
      <c r="Z140" s="108" t="s">
        <v>71</v>
      </c>
      <c r="AA140" s="111">
        <v>33290</v>
      </c>
      <c r="AB140" s="113">
        <v>32</v>
      </c>
      <c r="AC140" s="108" t="s">
        <v>2351</v>
      </c>
      <c r="AD140" s="129" t="s">
        <v>2352</v>
      </c>
      <c r="AE140" s="108" t="s">
        <v>2353</v>
      </c>
      <c r="AF140" s="108"/>
      <c r="AG140" s="108" t="s">
        <v>2354</v>
      </c>
      <c r="AH140" s="114" t="s">
        <v>2355</v>
      </c>
      <c r="AI140" s="115">
        <v>21013284746</v>
      </c>
      <c r="AJ140" s="108" t="s">
        <v>189</v>
      </c>
      <c r="AK140" s="108" t="s">
        <v>2356</v>
      </c>
      <c r="AL140" s="108" t="s">
        <v>2357</v>
      </c>
      <c r="AM140" s="108" t="s">
        <v>2358</v>
      </c>
      <c r="AN140" s="108"/>
      <c r="AO140" s="108"/>
      <c r="AP140" s="108"/>
      <c r="AQ140" s="108"/>
      <c r="AR140" s="108"/>
      <c r="AS140" s="108"/>
      <c r="AT140" s="108">
        <v>2</v>
      </c>
      <c r="AU140" s="108" t="s">
        <v>330</v>
      </c>
      <c r="AV140" s="115"/>
      <c r="AW140" s="108" t="s">
        <v>74</v>
      </c>
      <c r="AX140" s="108" t="s">
        <v>16</v>
      </c>
      <c r="AY140" s="108" t="s">
        <v>226</v>
      </c>
      <c r="AZ140" s="108" t="s">
        <v>306</v>
      </c>
      <c r="BA140" s="108">
        <v>2009</v>
      </c>
      <c r="BB140" s="108" t="s">
        <v>16</v>
      </c>
      <c r="BC140" s="108" t="s">
        <v>226</v>
      </c>
      <c r="BD140" s="108" t="s">
        <v>306</v>
      </c>
      <c r="BE140" s="108">
        <v>2009</v>
      </c>
      <c r="BF140" s="116"/>
      <c r="BG140" s="116"/>
      <c r="BH140" s="108" t="s">
        <v>345</v>
      </c>
      <c r="BI140" s="108">
        <v>32</v>
      </c>
      <c r="BJ140" s="108">
        <v>40</v>
      </c>
      <c r="BK140" s="111"/>
      <c r="BL140" s="111"/>
      <c r="BM140" s="111">
        <v>44601</v>
      </c>
      <c r="BN140" s="111"/>
      <c r="BO140" s="108"/>
      <c r="BP140" s="108"/>
      <c r="BQ140" s="108"/>
      <c r="BR140" s="108" t="s">
        <v>2359</v>
      </c>
      <c r="BS140" s="108"/>
      <c r="BT140" s="108"/>
      <c r="BU140" s="108"/>
      <c r="BV140" s="108"/>
      <c r="BW140" s="108"/>
      <c r="BX140" s="108"/>
      <c r="BY140" s="108"/>
      <c r="BZ140" s="108" t="e">
        <f>VLOOKUP(C140,[1]Sertifikasi!$B$4:$I$19,8,0)</f>
        <v>#N/A</v>
      </c>
    </row>
    <row r="141" spans="1:78" ht="11.25" customHeight="1">
      <c r="A141" s="108"/>
      <c r="B141" s="108">
        <v>281</v>
      </c>
      <c r="C141" s="212" t="s">
        <v>4148</v>
      </c>
      <c r="D141" s="109">
        <v>642301188</v>
      </c>
      <c r="E141" s="131">
        <v>1710007809752</v>
      </c>
      <c r="F141" s="131"/>
      <c r="G141" s="108" t="s">
        <v>71</v>
      </c>
      <c r="H141" s="108" t="s">
        <v>71</v>
      </c>
      <c r="I141" s="111">
        <v>44931</v>
      </c>
      <c r="J141" s="108">
        <v>0</v>
      </c>
      <c r="K141" s="108">
        <v>9</v>
      </c>
      <c r="L141" s="108" t="str">
        <f t="shared" si="4"/>
        <v>PKWT</v>
      </c>
      <c r="M141" s="108"/>
      <c r="N141" s="112">
        <v>45291</v>
      </c>
      <c r="O141" s="108"/>
      <c r="P141" s="108" t="s">
        <v>213</v>
      </c>
      <c r="Q141" s="210" t="s">
        <v>4102</v>
      </c>
      <c r="R141" s="108" t="s">
        <v>575</v>
      </c>
      <c r="S141" s="108" t="s">
        <v>262</v>
      </c>
      <c r="T141" s="108" t="s">
        <v>92</v>
      </c>
      <c r="U141" s="108" t="s">
        <v>276</v>
      </c>
      <c r="V141" s="108" t="s">
        <v>180</v>
      </c>
      <c r="W141" s="108" t="s">
        <v>277</v>
      </c>
      <c r="X141" s="108"/>
      <c r="Y141" s="108" t="s">
        <v>216</v>
      </c>
      <c r="Z141" s="108" t="s">
        <v>2875</v>
      </c>
      <c r="AA141" s="111">
        <v>36013</v>
      </c>
      <c r="AB141" s="113">
        <v>25</v>
      </c>
      <c r="AC141" s="108" t="s">
        <v>2906</v>
      </c>
      <c r="AD141" s="129" t="s">
        <v>2907</v>
      </c>
      <c r="AE141" s="108" t="s">
        <v>2908</v>
      </c>
      <c r="AF141" s="108"/>
      <c r="AG141" s="108" t="s">
        <v>2909</v>
      </c>
      <c r="AH141" s="114" t="s">
        <v>2910</v>
      </c>
      <c r="AI141" s="115">
        <v>23009096746</v>
      </c>
      <c r="AJ141" s="108" t="s">
        <v>255</v>
      </c>
      <c r="AK141" s="108"/>
      <c r="AL141" s="108"/>
      <c r="AM141" s="108"/>
      <c r="AN141" s="108"/>
      <c r="AO141" s="108"/>
      <c r="AP141" s="108"/>
      <c r="AQ141" s="108"/>
      <c r="AR141" s="108"/>
      <c r="AS141" s="108"/>
      <c r="AT141" s="108">
        <v>0</v>
      </c>
      <c r="AU141" s="108" t="s">
        <v>304</v>
      </c>
      <c r="AV141" s="115"/>
      <c r="AW141" s="108" t="s">
        <v>74</v>
      </c>
      <c r="AX141" s="108" t="s">
        <v>13</v>
      </c>
      <c r="AY141" s="108" t="s">
        <v>2789</v>
      </c>
      <c r="AZ141" s="108" t="s">
        <v>2472</v>
      </c>
      <c r="BA141" s="108">
        <v>2020</v>
      </c>
      <c r="BB141" s="108" t="s">
        <v>13</v>
      </c>
      <c r="BC141" s="108" t="s">
        <v>2789</v>
      </c>
      <c r="BD141" s="108" t="s">
        <v>2472</v>
      </c>
      <c r="BE141" s="108">
        <v>2020</v>
      </c>
      <c r="BF141" s="116"/>
      <c r="BG141" s="116"/>
      <c r="BH141" s="108"/>
      <c r="BI141" s="108"/>
      <c r="BJ141" s="108">
        <v>42</v>
      </c>
      <c r="BK141" s="111"/>
      <c r="BL141" s="111"/>
      <c r="BM141" s="111"/>
      <c r="BN141" s="111"/>
      <c r="BO141" s="108"/>
      <c r="BP141" s="108"/>
      <c r="BQ141" s="108"/>
      <c r="BR141" s="108"/>
      <c r="BS141" s="108"/>
      <c r="BT141" s="108"/>
      <c r="BU141" s="108"/>
      <c r="BV141" s="108"/>
      <c r="BW141" s="108"/>
      <c r="BX141" s="108"/>
      <c r="BY141" s="108"/>
      <c r="BZ141" s="108" t="e">
        <f>VLOOKUP(C141,[1]Sertifikasi!$B$4:$I$19,8,0)</f>
        <v>#N/A</v>
      </c>
    </row>
    <row r="142" spans="1:78" ht="11.25" customHeight="1">
      <c r="A142" s="108"/>
      <c r="B142" s="108">
        <v>230</v>
      </c>
      <c r="C142" s="108" t="s">
        <v>1313</v>
      </c>
      <c r="D142" s="109">
        <v>641806160</v>
      </c>
      <c r="E142" s="131">
        <v>1710004289701</v>
      </c>
      <c r="F142" s="131"/>
      <c r="G142" s="108" t="s">
        <v>71</v>
      </c>
      <c r="H142" s="108" t="s">
        <v>71</v>
      </c>
      <c r="I142" s="111">
        <v>43255</v>
      </c>
      <c r="J142" s="108">
        <v>5</v>
      </c>
      <c r="K142" s="108">
        <v>4</v>
      </c>
      <c r="L142" s="108" t="str">
        <f t="shared" si="4"/>
        <v>PKWT</v>
      </c>
      <c r="M142" s="108"/>
      <c r="N142" s="112">
        <v>45446</v>
      </c>
      <c r="O142" s="108"/>
      <c r="P142" s="108" t="s">
        <v>213</v>
      </c>
      <c r="Q142" s="210" t="s">
        <v>4102</v>
      </c>
      <c r="R142" s="108" t="s">
        <v>259</v>
      </c>
      <c r="S142" s="108" t="s">
        <v>33</v>
      </c>
      <c r="T142" s="108" t="s">
        <v>432</v>
      </c>
      <c r="U142" s="108" t="s">
        <v>199</v>
      </c>
      <c r="V142" s="108" t="s">
        <v>180</v>
      </c>
      <c r="W142" s="108"/>
      <c r="X142" s="108" t="s">
        <v>215</v>
      </c>
      <c r="Y142" s="108" t="s">
        <v>216</v>
      </c>
      <c r="Z142" s="108" t="s">
        <v>71</v>
      </c>
      <c r="AA142" s="111">
        <v>35863</v>
      </c>
      <c r="AB142" s="113">
        <v>25</v>
      </c>
      <c r="AC142" s="108" t="s">
        <v>1314</v>
      </c>
      <c r="AD142" s="129" t="s">
        <v>1315</v>
      </c>
      <c r="AE142" s="108" t="s">
        <v>1316</v>
      </c>
      <c r="AF142" s="108"/>
      <c r="AG142" s="108" t="s">
        <v>1317</v>
      </c>
      <c r="AH142" s="114" t="s">
        <v>1318</v>
      </c>
      <c r="AI142" s="115">
        <v>18041757156</v>
      </c>
      <c r="AJ142" s="108" t="s">
        <v>255</v>
      </c>
      <c r="AK142" s="108"/>
      <c r="AL142" s="108"/>
      <c r="AM142" s="108"/>
      <c r="AN142" s="108"/>
      <c r="AO142" s="108"/>
      <c r="AP142" s="108"/>
      <c r="AQ142" s="108"/>
      <c r="AR142" s="108"/>
      <c r="AS142" s="108"/>
      <c r="AT142" s="108">
        <v>0</v>
      </c>
      <c r="AU142" s="108" t="s">
        <v>304</v>
      </c>
      <c r="AV142" s="115">
        <v>0</v>
      </c>
      <c r="AW142" s="108" t="s">
        <v>74</v>
      </c>
      <c r="AX142" s="108" t="s">
        <v>16</v>
      </c>
      <c r="AY142" s="108" t="s">
        <v>331</v>
      </c>
      <c r="AZ142" s="108" t="s">
        <v>966</v>
      </c>
      <c r="BA142" s="108">
        <v>2017</v>
      </c>
      <c r="BB142" s="108" t="s">
        <v>287</v>
      </c>
      <c r="BC142" s="108" t="s">
        <v>331</v>
      </c>
      <c r="BD142" s="108" t="s">
        <v>966</v>
      </c>
      <c r="BE142" s="108">
        <v>2017</v>
      </c>
      <c r="BF142" s="116"/>
      <c r="BG142" s="116"/>
      <c r="BH142" s="108" t="s">
        <v>345</v>
      </c>
      <c r="BI142" s="108">
        <v>30</v>
      </c>
      <c r="BJ142" s="108">
        <v>42</v>
      </c>
      <c r="BK142" s="111"/>
      <c r="BL142" s="111"/>
      <c r="BM142" s="111"/>
      <c r="BN142" s="111"/>
      <c r="BO142" s="108"/>
      <c r="BP142" s="108"/>
      <c r="BQ142" s="108"/>
      <c r="BR142" s="108"/>
      <c r="BS142" s="108"/>
      <c r="BT142" s="108"/>
      <c r="BU142" s="108"/>
      <c r="BV142" s="108"/>
      <c r="BW142" s="108"/>
      <c r="BX142" s="108"/>
      <c r="BY142" s="108"/>
      <c r="BZ142" s="108" t="e">
        <f>VLOOKUP(C142,[1]Sertifikasi!$B$4:$I$19,8,0)</f>
        <v>#N/A</v>
      </c>
    </row>
    <row r="143" spans="1:78" ht="11.25" customHeight="1">
      <c r="A143" s="108"/>
      <c r="B143" s="108">
        <v>282</v>
      </c>
      <c r="C143" s="108" t="s">
        <v>1924</v>
      </c>
      <c r="D143" s="109">
        <v>641907235</v>
      </c>
      <c r="E143" s="131">
        <v>1710005657179</v>
      </c>
      <c r="F143" s="131"/>
      <c r="G143" s="108" t="s">
        <v>575</v>
      </c>
      <c r="H143" s="108" t="s">
        <v>575</v>
      </c>
      <c r="I143" s="111">
        <v>43647</v>
      </c>
      <c r="J143" s="108">
        <v>4</v>
      </c>
      <c r="K143" s="108">
        <v>3</v>
      </c>
      <c r="L143" s="108" t="str">
        <f t="shared" si="4"/>
        <v>PKWT</v>
      </c>
      <c r="M143" s="108"/>
      <c r="N143" s="112">
        <v>45473</v>
      </c>
      <c r="O143" s="108"/>
      <c r="P143" s="108" t="s">
        <v>213</v>
      </c>
      <c r="Q143" s="210" t="s">
        <v>4102</v>
      </c>
      <c r="R143" s="108" t="s">
        <v>575</v>
      </c>
      <c r="S143" s="108" t="s">
        <v>262</v>
      </c>
      <c r="T143" s="108" t="s">
        <v>92</v>
      </c>
      <c r="U143" s="108" t="s">
        <v>276</v>
      </c>
      <c r="V143" s="108" t="s">
        <v>180</v>
      </c>
      <c r="W143" s="108"/>
      <c r="X143" s="108" t="s">
        <v>215</v>
      </c>
      <c r="Y143" s="108" t="s">
        <v>216</v>
      </c>
      <c r="Z143" s="108" t="s">
        <v>1925</v>
      </c>
      <c r="AA143" s="111">
        <v>36708</v>
      </c>
      <c r="AB143" s="113">
        <v>23</v>
      </c>
      <c r="AC143" s="108" t="s">
        <v>1926</v>
      </c>
      <c r="AD143" s="129" t="s">
        <v>1927</v>
      </c>
      <c r="AE143" s="108" t="s">
        <v>1928</v>
      </c>
      <c r="AF143" s="108"/>
      <c r="AG143" s="108" t="s">
        <v>1929</v>
      </c>
      <c r="AH143" s="114" t="s">
        <v>1930</v>
      </c>
      <c r="AI143" s="115">
        <v>19047643978</v>
      </c>
      <c r="AJ143" s="108" t="s">
        <v>255</v>
      </c>
      <c r="AK143" s="108"/>
      <c r="AL143" s="108"/>
      <c r="AM143" s="108"/>
      <c r="AN143" s="108"/>
      <c r="AO143" s="108"/>
      <c r="AP143" s="108"/>
      <c r="AQ143" s="108"/>
      <c r="AR143" s="108"/>
      <c r="AS143" s="108"/>
      <c r="AT143" s="108">
        <v>0</v>
      </c>
      <c r="AU143" s="108" t="s">
        <v>304</v>
      </c>
      <c r="AV143" s="115">
        <v>0</v>
      </c>
      <c r="AW143" s="108" t="s">
        <v>74</v>
      </c>
      <c r="AX143" s="108" t="s">
        <v>16</v>
      </c>
      <c r="AY143" s="108" t="s">
        <v>1931</v>
      </c>
      <c r="AZ143" s="108" t="s">
        <v>1932</v>
      </c>
      <c r="BA143" s="108">
        <v>2018</v>
      </c>
      <c r="BB143" s="108" t="s">
        <v>287</v>
      </c>
      <c r="BC143" s="108" t="s">
        <v>1931</v>
      </c>
      <c r="BD143" s="108" t="s">
        <v>1932</v>
      </c>
      <c r="BE143" s="108">
        <v>2018</v>
      </c>
      <c r="BF143" s="116"/>
      <c r="BG143" s="116"/>
      <c r="BH143" s="108" t="s">
        <v>241</v>
      </c>
      <c r="BI143" s="108">
        <v>29</v>
      </c>
      <c r="BJ143" s="108">
        <v>39</v>
      </c>
      <c r="BK143" s="111"/>
      <c r="BL143" s="111"/>
      <c r="BM143" s="111">
        <v>44792</v>
      </c>
      <c r="BN143" s="111"/>
      <c r="BO143" s="108"/>
      <c r="BP143" s="108"/>
      <c r="BQ143" s="108"/>
      <c r="BR143" s="108"/>
      <c r="BS143" s="108"/>
      <c r="BT143" s="108"/>
      <c r="BU143" s="108"/>
      <c r="BV143" s="108"/>
      <c r="BW143" s="108"/>
      <c r="BX143" s="108"/>
      <c r="BY143" s="108"/>
      <c r="BZ143" s="108" t="e">
        <f>VLOOKUP(C143,[1]Sertifikasi!$B$4:$I$19,8,0)</f>
        <v>#N/A</v>
      </c>
    </row>
    <row r="144" spans="1:78" ht="11.25" customHeight="1">
      <c r="A144" s="108"/>
      <c r="B144" s="108">
        <v>12</v>
      </c>
      <c r="C144" s="128" t="s">
        <v>659</v>
      </c>
      <c r="D144" s="109">
        <v>971700013</v>
      </c>
      <c r="E144" s="131">
        <v>1710003919746</v>
      </c>
      <c r="F144" s="131">
        <v>7177633377</v>
      </c>
      <c r="G144" s="113" t="s">
        <v>71</v>
      </c>
      <c r="H144" s="108" t="s">
        <v>71</v>
      </c>
      <c r="I144" s="111">
        <v>42471</v>
      </c>
      <c r="J144" s="108">
        <f ca="1">DATEDIF(I144,$C$3,"y")</f>
        <v>7</v>
      </c>
      <c r="K144" s="108">
        <f ca="1">DATEDIF(I144,$C$3,"ym")</f>
        <v>7</v>
      </c>
      <c r="L144" s="108" t="str">
        <f t="shared" si="4"/>
        <v>Tetap</v>
      </c>
      <c r="M144" s="108" t="s">
        <v>423</v>
      </c>
      <c r="N144" s="112">
        <v>42767</v>
      </c>
      <c r="O144" s="111"/>
      <c r="P144" s="108" t="s">
        <v>261</v>
      </c>
      <c r="Q144" s="210" t="s">
        <v>4100</v>
      </c>
      <c r="R144" s="108" t="s">
        <v>4099</v>
      </c>
      <c r="S144" s="108" t="s">
        <v>660</v>
      </c>
      <c r="T144" s="108" t="s">
        <v>661</v>
      </c>
      <c r="U144" s="108" t="s">
        <v>661</v>
      </c>
      <c r="V144" s="108" t="s">
        <v>662</v>
      </c>
      <c r="W144" s="108"/>
      <c r="X144" s="108"/>
      <c r="Y144" s="108" t="s">
        <v>60</v>
      </c>
      <c r="Z144" s="108" t="s">
        <v>663</v>
      </c>
      <c r="AA144" s="111">
        <v>30424</v>
      </c>
      <c r="AB144" s="113">
        <f ca="1">DATEDIF(AA144,$C$3,"y")</f>
        <v>40</v>
      </c>
      <c r="AC144" s="108" t="s">
        <v>664</v>
      </c>
      <c r="AD144" s="129" t="s">
        <v>665</v>
      </c>
      <c r="AE144" s="108" t="s">
        <v>666</v>
      </c>
      <c r="AF144" s="108"/>
      <c r="AG144" s="130" t="s">
        <v>667</v>
      </c>
      <c r="AH144" s="114" t="s">
        <v>668</v>
      </c>
      <c r="AI144" s="115" t="s">
        <v>669</v>
      </c>
      <c r="AJ144" s="108" t="s">
        <v>189</v>
      </c>
      <c r="AK144" s="108" t="s">
        <v>670</v>
      </c>
      <c r="AL144" s="108"/>
      <c r="AM144" s="108"/>
      <c r="AN144" s="108"/>
      <c r="AO144" s="108"/>
      <c r="AP144" s="108"/>
      <c r="AQ144" s="108"/>
      <c r="AR144" s="108"/>
      <c r="AS144" s="108"/>
      <c r="AT144" s="108">
        <f>COUNTA(AL144:AO144)</f>
        <v>0</v>
      </c>
      <c r="AU144" s="108" t="str">
        <f>IF(AJ144="Menikah","K","TK")&amp;"/"&amp;AT144</f>
        <v>K/0</v>
      </c>
      <c r="AV144" s="131">
        <v>862733763646000</v>
      </c>
      <c r="AW144" s="113" t="s">
        <v>74</v>
      </c>
      <c r="AX144" s="108" t="s">
        <v>13</v>
      </c>
      <c r="AY144" s="108" t="s">
        <v>671</v>
      </c>
      <c r="AZ144" s="108" t="s">
        <v>672</v>
      </c>
      <c r="BA144" s="108">
        <v>2004</v>
      </c>
      <c r="BB144" s="108" t="s">
        <v>13</v>
      </c>
      <c r="BC144" s="108" t="s">
        <v>671</v>
      </c>
      <c r="BD144" s="108" t="s">
        <v>672</v>
      </c>
      <c r="BE144" s="108">
        <v>2004</v>
      </c>
      <c r="BF144" s="116">
        <v>50437</v>
      </c>
      <c r="BG144" s="116">
        <v>50802</v>
      </c>
      <c r="BH144" s="132"/>
      <c r="BI144" s="108"/>
      <c r="BJ144" s="194"/>
      <c r="BK144" s="111"/>
      <c r="BL144" s="111">
        <v>44503</v>
      </c>
      <c r="BM144" s="208"/>
      <c r="BN144" s="111"/>
      <c r="BO144" s="108"/>
      <c r="BP144" s="108"/>
      <c r="BQ144" s="108"/>
      <c r="BR144" s="108"/>
      <c r="BS144" s="108"/>
      <c r="BT144" s="108"/>
      <c r="BU144" s="108"/>
      <c r="BV144" s="108"/>
      <c r="BW144" s="108"/>
      <c r="BX144" s="108"/>
      <c r="BY144" s="108"/>
      <c r="BZ144" s="108" t="e">
        <f>VLOOKUP(C144,[1]Sertifikasi!$B$4:$I$19,8,0)</f>
        <v>#N/A</v>
      </c>
    </row>
    <row r="145" spans="1:78" ht="11.25" customHeight="1">
      <c r="A145" s="108"/>
      <c r="B145" s="108">
        <v>64</v>
      </c>
      <c r="C145" s="108" t="s">
        <v>2465</v>
      </c>
      <c r="D145" s="109">
        <v>642201126</v>
      </c>
      <c r="E145" s="131">
        <v>1710007727087</v>
      </c>
      <c r="F145" s="131"/>
      <c r="G145" s="113" t="s">
        <v>71</v>
      </c>
      <c r="H145" s="108" t="s">
        <v>71</v>
      </c>
      <c r="I145" s="111">
        <v>44565</v>
      </c>
      <c r="J145" s="108">
        <f ca="1">DATEDIF(I145,$C$3,"y")</f>
        <v>1</v>
      </c>
      <c r="K145" s="108">
        <f ca="1">DATEDIF(I145,$C$3,"ym")</f>
        <v>10</v>
      </c>
      <c r="L145" s="108" t="str">
        <f t="shared" si="4"/>
        <v>PKWT</v>
      </c>
      <c r="M145" s="108"/>
      <c r="N145" s="112">
        <v>45294</v>
      </c>
      <c r="O145" s="108"/>
      <c r="P145" s="108" t="s">
        <v>261</v>
      </c>
      <c r="Q145" s="210" t="s">
        <v>4100</v>
      </c>
      <c r="R145" s="210" t="s">
        <v>4099</v>
      </c>
      <c r="S145" s="108" t="s">
        <v>2281</v>
      </c>
      <c r="T145" s="108" t="s">
        <v>199</v>
      </c>
      <c r="U145" s="108" t="s">
        <v>199</v>
      </c>
      <c r="V145" s="108" t="s">
        <v>180</v>
      </c>
      <c r="W145" s="108"/>
      <c r="X145" s="108"/>
      <c r="Y145" s="108" t="s">
        <v>60</v>
      </c>
      <c r="Z145" s="108" t="s">
        <v>71</v>
      </c>
      <c r="AA145" s="111">
        <v>36188</v>
      </c>
      <c r="AB145" s="113">
        <f ca="1">DATEDIF(AA145,$C$3,"y")</f>
        <v>24</v>
      </c>
      <c r="AC145" s="108" t="s">
        <v>2466</v>
      </c>
      <c r="AD145" s="129" t="s">
        <v>2467</v>
      </c>
      <c r="AE145" s="108" t="s">
        <v>2468</v>
      </c>
      <c r="AF145" s="108"/>
      <c r="AG145" s="108" t="s">
        <v>2469</v>
      </c>
      <c r="AH145" s="136" t="s">
        <v>2470</v>
      </c>
      <c r="AI145" s="115">
        <v>22017333562</v>
      </c>
      <c r="AJ145" s="108" t="s">
        <v>255</v>
      </c>
      <c r="AK145" s="108"/>
      <c r="AL145" s="108"/>
      <c r="AM145" s="108"/>
      <c r="AN145" s="108"/>
      <c r="AO145" s="108"/>
      <c r="AP145" s="108"/>
      <c r="AQ145" s="108"/>
      <c r="AR145" s="108"/>
      <c r="AS145" s="108"/>
      <c r="AT145" s="108">
        <f>COUNTA(AL145:AO145)</f>
        <v>0</v>
      </c>
      <c r="AU145" s="108" t="str">
        <f>IF(AJ145="Menikah","K","TK")&amp;"/"&amp;AT145</f>
        <v>TK/0</v>
      </c>
      <c r="AV145" s="131"/>
      <c r="AW145" s="113" t="s">
        <v>74</v>
      </c>
      <c r="AX145" s="108" t="s">
        <v>13</v>
      </c>
      <c r="AY145" s="108" t="s">
        <v>2471</v>
      </c>
      <c r="AZ145" s="108" t="s">
        <v>2472</v>
      </c>
      <c r="BA145" s="108">
        <v>2020</v>
      </c>
      <c r="BB145" s="108" t="s">
        <v>13</v>
      </c>
      <c r="BC145" s="108" t="s">
        <v>2471</v>
      </c>
      <c r="BD145" s="108" t="s">
        <v>2473</v>
      </c>
      <c r="BE145" s="108">
        <v>2020</v>
      </c>
      <c r="BF145" s="116"/>
      <c r="BG145" s="116"/>
      <c r="BH145" s="108"/>
      <c r="BI145" s="108"/>
      <c r="BJ145" s="194"/>
      <c r="BK145" s="111"/>
      <c r="BL145" s="111"/>
      <c r="BM145" s="111">
        <v>44601</v>
      </c>
      <c r="BN145" s="111"/>
      <c r="BO145" s="108"/>
      <c r="BP145" s="108"/>
      <c r="BQ145" s="108"/>
      <c r="BR145" s="108"/>
      <c r="BS145" s="108"/>
      <c r="BT145" s="108"/>
      <c r="BU145" s="108"/>
      <c r="BV145" s="108"/>
      <c r="BW145" s="108"/>
      <c r="BX145" s="108"/>
      <c r="BY145" s="108"/>
      <c r="BZ145" s="108" t="e">
        <f>VLOOKUP(C145,[1]Sertifikasi!$B$4:$I$19,8,0)</f>
        <v>#N/A</v>
      </c>
    </row>
    <row r="146" spans="1:78" ht="11.25" customHeight="1">
      <c r="A146" s="108"/>
      <c r="B146" s="108">
        <v>40</v>
      </c>
      <c r="C146" s="108" t="s">
        <v>1741</v>
      </c>
      <c r="D146" s="109">
        <v>972000052</v>
      </c>
      <c r="E146" s="131">
        <v>1710005659951</v>
      </c>
      <c r="F146" s="131">
        <v>7178801017</v>
      </c>
      <c r="G146" s="113" t="s">
        <v>71</v>
      </c>
      <c r="H146" s="108" t="s">
        <v>71</v>
      </c>
      <c r="I146" s="111">
        <v>43647</v>
      </c>
      <c r="J146" s="108">
        <f ca="1">DATEDIF(I146,$C$3,"y")</f>
        <v>4</v>
      </c>
      <c r="K146" s="108">
        <f ca="1">DATEDIF(I146,$C$3,"ym")</f>
        <v>4</v>
      </c>
      <c r="L146" s="108" t="str">
        <f t="shared" si="4"/>
        <v>Tetap</v>
      </c>
      <c r="M146" s="108" t="s">
        <v>587</v>
      </c>
      <c r="N146" s="112">
        <v>43899</v>
      </c>
      <c r="O146" s="111"/>
      <c r="P146" s="108" t="s">
        <v>5</v>
      </c>
      <c r="Q146" s="210" t="s">
        <v>4100</v>
      </c>
      <c r="R146" s="108" t="s">
        <v>4099</v>
      </c>
      <c r="S146" s="108" t="s">
        <v>1742</v>
      </c>
      <c r="T146" s="108" t="s">
        <v>1742</v>
      </c>
      <c r="U146" s="108" t="s">
        <v>1742</v>
      </c>
      <c r="V146" s="108" t="s">
        <v>180</v>
      </c>
      <c r="W146" s="108"/>
      <c r="X146" s="108"/>
      <c r="Y146" s="108" t="s">
        <v>59</v>
      </c>
      <c r="Z146" s="108" t="s">
        <v>816</v>
      </c>
      <c r="AA146" s="111">
        <v>28288</v>
      </c>
      <c r="AB146" s="113">
        <f ca="1">DATEDIF(AA146,$C$3,"y")</f>
        <v>46</v>
      </c>
      <c r="AC146" s="108" t="s">
        <v>1743</v>
      </c>
      <c r="AD146" s="129" t="s">
        <v>1744</v>
      </c>
      <c r="AE146" s="108" t="s">
        <v>1745</v>
      </c>
      <c r="AF146" s="108"/>
      <c r="AG146" s="130" t="s">
        <v>1746</v>
      </c>
      <c r="AH146" s="136" t="s">
        <v>1747</v>
      </c>
      <c r="AI146" s="115" t="s">
        <v>1748</v>
      </c>
      <c r="AJ146" s="108" t="s">
        <v>189</v>
      </c>
      <c r="AK146" s="108" t="s">
        <v>1749</v>
      </c>
      <c r="AL146" s="108"/>
      <c r="AM146" s="108"/>
      <c r="AN146" s="108"/>
      <c r="AO146" s="108"/>
      <c r="AP146" s="108"/>
      <c r="AQ146" s="108"/>
      <c r="AR146" s="108"/>
      <c r="AS146" s="108"/>
      <c r="AT146" s="108">
        <f>COUNTA(AL146:AO146)</f>
        <v>0</v>
      </c>
      <c r="AU146" s="108" t="str">
        <f>IF(AJ146="Menikah","K","TK")&amp;"/"&amp;AT146</f>
        <v>K/0</v>
      </c>
      <c r="AV146" s="131">
        <v>590132395657000</v>
      </c>
      <c r="AW146" s="113" t="s">
        <v>74</v>
      </c>
      <c r="AX146" s="108" t="s">
        <v>11</v>
      </c>
      <c r="AY146" s="108" t="s">
        <v>671</v>
      </c>
      <c r="AZ146" s="108" t="s">
        <v>839</v>
      </c>
      <c r="BA146" s="108"/>
      <c r="BB146" s="108" t="s">
        <v>11</v>
      </c>
      <c r="BC146" s="108" t="s">
        <v>671</v>
      </c>
      <c r="BD146" s="108" t="s">
        <v>839</v>
      </c>
      <c r="BE146" s="108"/>
      <c r="BF146" s="116">
        <v>48282</v>
      </c>
      <c r="BG146" s="116">
        <v>48647</v>
      </c>
      <c r="BH146" s="132"/>
      <c r="BI146" s="108"/>
      <c r="BJ146" s="207"/>
      <c r="BK146" s="111">
        <v>44294</v>
      </c>
      <c r="BL146" s="111">
        <v>44322</v>
      </c>
      <c r="BM146" s="111">
        <v>44585</v>
      </c>
      <c r="BN146" s="111"/>
      <c r="BO146" s="108"/>
      <c r="BP146" s="108"/>
      <c r="BQ146" s="108"/>
      <c r="BR146" s="108"/>
      <c r="BS146" s="108"/>
      <c r="BT146" s="108"/>
      <c r="BU146" s="108"/>
      <c r="BV146" s="108"/>
      <c r="BW146" s="108"/>
      <c r="BX146" s="108"/>
      <c r="BY146" s="108"/>
      <c r="BZ146" s="108" t="str">
        <f>VLOOKUP(C146,[1]Sertifikasi!$B$4:$I$19,8,0)</f>
        <v>Pembinaan Dan Sertifikasi Calon Ahli K3 Umum</v>
      </c>
    </row>
    <row r="147" spans="1:78" ht="11.25" customHeight="1">
      <c r="A147" s="108"/>
      <c r="B147" s="108">
        <v>1</v>
      </c>
      <c r="C147" s="115" t="s">
        <v>2623</v>
      </c>
      <c r="D147" s="109">
        <v>642201151</v>
      </c>
      <c r="E147" s="131">
        <v>1240011123388</v>
      </c>
      <c r="F147" s="131"/>
      <c r="G147" s="108" t="s">
        <v>71</v>
      </c>
      <c r="H147" s="108" t="s">
        <v>71</v>
      </c>
      <c r="I147" s="111">
        <v>44579</v>
      </c>
      <c r="J147" s="108">
        <v>1</v>
      </c>
      <c r="K147" s="108">
        <v>8</v>
      </c>
      <c r="L147" s="108" t="str">
        <f t="shared" si="4"/>
        <v>PKWT</v>
      </c>
      <c r="M147" s="108"/>
      <c r="N147" s="112">
        <v>45291</v>
      </c>
      <c r="O147" s="108"/>
      <c r="P147" s="108" t="s">
        <v>213</v>
      </c>
      <c r="Q147" s="210" t="s">
        <v>4102</v>
      </c>
      <c r="R147" s="108" t="s">
        <v>1834</v>
      </c>
      <c r="S147" s="108" t="s">
        <v>33</v>
      </c>
      <c r="T147" s="108" t="s">
        <v>86</v>
      </c>
      <c r="U147" s="108" t="s">
        <v>276</v>
      </c>
      <c r="V147" s="108" t="s">
        <v>180</v>
      </c>
      <c r="W147" s="108"/>
      <c r="X147" s="108"/>
      <c r="Y147" s="108" t="s">
        <v>216</v>
      </c>
      <c r="Z147" s="108" t="s">
        <v>71</v>
      </c>
      <c r="AA147" s="111">
        <v>35905</v>
      </c>
      <c r="AB147" s="113">
        <v>25</v>
      </c>
      <c r="AC147" s="108" t="s">
        <v>2624</v>
      </c>
      <c r="AD147" s="129" t="s">
        <v>2625</v>
      </c>
      <c r="AE147" s="108" t="s">
        <v>2626</v>
      </c>
      <c r="AF147" s="108"/>
      <c r="AG147" s="108" t="s">
        <v>2627</v>
      </c>
      <c r="AH147" s="114" t="s">
        <v>2628</v>
      </c>
      <c r="AI147" s="115">
        <v>22017333596</v>
      </c>
      <c r="AJ147" s="108" t="s">
        <v>255</v>
      </c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>
        <v>0</v>
      </c>
      <c r="AU147" s="108" t="s">
        <v>304</v>
      </c>
      <c r="AV147" s="115"/>
      <c r="AW147" s="108" t="s">
        <v>74</v>
      </c>
      <c r="AX147" s="108" t="s">
        <v>16</v>
      </c>
      <c r="AY147" s="108" t="s">
        <v>2629</v>
      </c>
      <c r="AZ147" s="108" t="s">
        <v>2630</v>
      </c>
      <c r="BA147" s="108">
        <v>2016</v>
      </c>
      <c r="BB147" s="108" t="s">
        <v>16</v>
      </c>
      <c r="BC147" s="108" t="s">
        <v>2629</v>
      </c>
      <c r="BD147" s="108" t="s">
        <v>2630</v>
      </c>
      <c r="BE147" s="108">
        <v>2016</v>
      </c>
      <c r="BF147" s="116"/>
      <c r="BG147" s="116"/>
      <c r="BH147" s="108"/>
      <c r="BI147" s="108"/>
      <c r="BJ147" s="108">
        <v>41</v>
      </c>
      <c r="BK147" s="111"/>
      <c r="BL147" s="111"/>
      <c r="BM147" s="111"/>
      <c r="BN147" s="111"/>
      <c r="BO147" s="108"/>
      <c r="BP147" s="108"/>
      <c r="BQ147" s="108"/>
      <c r="BR147" s="108" t="s">
        <v>2631</v>
      </c>
      <c r="BS147" s="108"/>
      <c r="BT147" s="108"/>
      <c r="BU147" s="108"/>
      <c r="BV147" s="108"/>
      <c r="BW147" s="108"/>
      <c r="BX147" s="108"/>
      <c r="BY147" s="108"/>
      <c r="BZ147" s="108" t="e">
        <f>VLOOKUP(C147,[1]Sertifikasi!$B$4:$I$19,8,0)</f>
        <v>#N/A</v>
      </c>
    </row>
    <row r="148" spans="1:78" ht="11.25" customHeight="1">
      <c r="A148" s="108"/>
      <c r="B148" s="108">
        <v>231</v>
      </c>
      <c r="C148" s="108" t="s">
        <v>942</v>
      </c>
      <c r="D148" s="109">
        <v>642001040</v>
      </c>
      <c r="E148" s="131">
        <v>1710003987826</v>
      </c>
      <c r="F148" s="131"/>
      <c r="G148" s="108" t="s">
        <v>71</v>
      </c>
      <c r="H148" s="108" t="s">
        <v>71</v>
      </c>
      <c r="I148" s="111">
        <v>42857</v>
      </c>
      <c r="J148" s="108">
        <v>6</v>
      </c>
      <c r="K148" s="108">
        <v>5</v>
      </c>
      <c r="L148" s="108" t="str">
        <f t="shared" si="4"/>
        <v>PKWT</v>
      </c>
      <c r="M148" s="108"/>
      <c r="N148" s="112">
        <v>45291</v>
      </c>
      <c r="O148" s="108"/>
      <c r="P148" s="108" t="s">
        <v>213</v>
      </c>
      <c r="Q148" s="210" t="s">
        <v>4102</v>
      </c>
      <c r="R148" s="108" t="s">
        <v>259</v>
      </c>
      <c r="S148" s="108" t="s">
        <v>33</v>
      </c>
      <c r="T148" s="108" t="s">
        <v>432</v>
      </c>
      <c r="U148" s="108" t="s">
        <v>199</v>
      </c>
      <c r="V148" s="108" t="s">
        <v>180</v>
      </c>
      <c r="W148" s="108" t="s">
        <v>931</v>
      </c>
      <c r="X148" s="108" t="s">
        <v>215</v>
      </c>
      <c r="Y148" s="108" t="s">
        <v>216</v>
      </c>
      <c r="Z148" s="108" t="s">
        <v>182</v>
      </c>
      <c r="AA148" s="111">
        <v>35623</v>
      </c>
      <c r="AB148" s="113">
        <v>26</v>
      </c>
      <c r="AC148" s="108" t="s">
        <v>943</v>
      </c>
      <c r="AD148" s="129" t="s">
        <v>944</v>
      </c>
      <c r="AE148" s="108" t="s">
        <v>945</v>
      </c>
      <c r="AF148" s="108"/>
      <c r="AG148" s="108" t="s">
        <v>946</v>
      </c>
      <c r="AH148" s="114" t="s">
        <v>947</v>
      </c>
      <c r="AI148" s="115">
        <v>17043907793</v>
      </c>
      <c r="AJ148" s="108" t="s">
        <v>255</v>
      </c>
      <c r="AK148" s="108"/>
      <c r="AL148" s="108"/>
      <c r="AM148" s="108"/>
      <c r="AN148" s="108"/>
      <c r="AO148" s="108"/>
      <c r="AP148" s="108"/>
      <c r="AQ148" s="108"/>
      <c r="AR148" s="108"/>
      <c r="AS148" s="108"/>
      <c r="AT148" s="108">
        <v>0</v>
      </c>
      <c r="AU148" s="108" t="s">
        <v>304</v>
      </c>
      <c r="AV148" s="115">
        <v>0</v>
      </c>
      <c r="AW148" s="108" t="s">
        <v>74</v>
      </c>
      <c r="AX148" s="108" t="s">
        <v>16</v>
      </c>
      <c r="AY148" s="108" t="s">
        <v>285</v>
      </c>
      <c r="AZ148" s="108" t="s">
        <v>306</v>
      </c>
      <c r="BA148" s="108">
        <v>2016</v>
      </c>
      <c r="BB148" s="108" t="s">
        <v>287</v>
      </c>
      <c r="BC148" s="108" t="s">
        <v>285</v>
      </c>
      <c r="BD148" s="108" t="s">
        <v>306</v>
      </c>
      <c r="BE148" s="108">
        <v>2016</v>
      </c>
      <c r="BF148" s="116"/>
      <c r="BG148" s="116"/>
      <c r="BH148" s="108" t="s">
        <v>228</v>
      </c>
      <c r="BI148" s="108">
        <v>38</v>
      </c>
      <c r="BJ148" s="108">
        <v>42</v>
      </c>
      <c r="BK148" s="111">
        <v>44293</v>
      </c>
      <c r="BL148" s="111">
        <v>44322</v>
      </c>
      <c r="BM148" s="111">
        <v>44674</v>
      </c>
      <c r="BN148" s="111"/>
      <c r="BO148" s="108">
        <v>43467</v>
      </c>
      <c r="BP148" s="108">
        <v>43830</v>
      </c>
      <c r="BQ148" s="108" t="s">
        <v>948</v>
      </c>
      <c r="BR148" s="108" t="s">
        <v>949</v>
      </c>
      <c r="BS148" s="108"/>
      <c r="BT148" s="108"/>
      <c r="BU148" s="108"/>
      <c r="BV148" s="108"/>
      <c r="BW148" s="108"/>
      <c r="BX148" s="108"/>
      <c r="BY148" s="108"/>
      <c r="BZ148" s="108" t="e">
        <f>VLOOKUP(C148,[1]Sertifikasi!$B$4:$I$19,8,0)</f>
        <v>#N/A</v>
      </c>
    </row>
    <row r="149" spans="1:78" ht="11.25" customHeight="1">
      <c r="A149" s="108"/>
      <c r="B149" s="108">
        <v>55</v>
      </c>
      <c r="C149" s="108" t="s">
        <v>2937</v>
      </c>
      <c r="D149" s="109">
        <v>642301186</v>
      </c>
      <c r="E149" s="131">
        <v>1430027926995</v>
      </c>
      <c r="F149" s="131"/>
      <c r="G149" s="108" t="s">
        <v>71</v>
      </c>
      <c r="H149" s="108" t="s">
        <v>71</v>
      </c>
      <c r="I149" s="111">
        <v>44931</v>
      </c>
      <c r="J149" s="108">
        <v>0</v>
      </c>
      <c r="K149" s="108">
        <v>9</v>
      </c>
      <c r="L149" s="108" t="str">
        <f t="shared" si="4"/>
        <v>PKWT</v>
      </c>
      <c r="M149" s="108"/>
      <c r="N149" s="112">
        <v>45291</v>
      </c>
      <c r="O149" s="108"/>
      <c r="P149" s="108" t="s">
        <v>213</v>
      </c>
      <c r="Q149" s="210" t="s">
        <v>4100</v>
      </c>
      <c r="R149" s="108" t="s">
        <v>4099</v>
      </c>
      <c r="S149" s="108" t="s">
        <v>232</v>
      </c>
      <c r="T149" s="108" t="s">
        <v>1498</v>
      </c>
      <c r="U149" s="108" t="s">
        <v>276</v>
      </c>
      <c r="V149" s="108" t="s">
        <v>180</v>
      </c>
      <c r="W149" s="108"/>
      <c r="X149" s="108"/>
      <c r="Y149" s="108" t="s">
        <v>216</v>
      </c>
      <c r="Z149" s="108" t="s">
        <v>1122</v>
      </c>
      <c r="AA149" s="111">
        <v>37127</v>
      </c>
      <c r="AB149" s="113">
        <v>22</v>
      </c>
      <c r="AC149" s="108" t="s">
        <v>2938</v>
      </c>
      <c r="AD149" s="129" t="s">
        <v>2939</v>
      </c>
      <c r="AE149" s="108" t="s">
        <v>2940</v>
      </c>
      <c r="AF149" s="108"/>
      <c r="AG149" s="108" t="s">
        <v>2941</v>
      </c>
      <c r="AH149" s="114" t="s">
        <v>2942</v>
      </c>
      <c r="AI149" s="115">
        <v>23009096621</v>
      </c>
      <c r="AJ149" s="108" t="s">
        <v>255</v>
      </c>
      <c r="AK149" s="108"/>
      <c r="AL149" s="108"/>
      <c r="AM149" s="108"/>
      <c r="AN149" s="108"/>
      <c r="AO149" s="108"/>
      <c r="AP149" s="108"/>
      <c r="AQ149" s="108"/>
      <c r="AR149" s="108"/>
      <c r="AS149" s="108"/>
      <c r="AT149" s="108">
        <v>0</v>
      </c>
      <c r="AU149" s="108" t="s">
        <v>304</v>
      </c>
      <c r="AV149" s="115"/>
      <c r="AW149" s="108" t="s">
        <v>74</v>
      </c>
      <c r="AX149" s="108" t="s">
        <v>13</v>
      </c>
      <c r="AY149" s="108" t="s">
        <v>2860</v>
      </c>
      <c r="AZ149" s="108" t="s">
        <v>2472</v>
      </c>
      <c r="BA149" s="108">
        <v>2022</v>
      </c>
      <c r="BB149" s="108" t="s">
        <v>13</v>
      </c>
      <c r="BC149" s="108" t="s">
        <v>2860</v>
      </c>
      <c r="BD149" s="108" t="s">
        <v>2472</v>
      </c>
      <c r="BE149" s="108">
        <v>2022</v>
      </c>
      <c r="BF149" s="116"/>
      <c r="BG149" s="116"/>
      <c r="BH149" s="108"/>
      <c r="BI149" s="108"/>
      <c r="BJ149" s="108">
        <v>41</v>
      </c>
      <c r="BK149" s="111"/>
      <c r="BL149" s="111"/>
      <c r="BM149" s="111">
        <v>44650</v>
      </c>
      <c r="BN149" s="111"/>
      <c r="BO149" s="108"/>
      <c r="BP149" s="108"/>
      <c r="BQ149" s="108"/>
      <c r="BR149" s="108"/>
      <c r="BS149" s="108"/>
      <c r="BT149" s="108"/>
      <c r="BU149" s="108"/>
      <c r="BV149" s="108"/>
      <c r="BW149" s="108"/>
      <c r="BX149" s="108"/>
      <c r="BY149" s="108"/>
      <c r="BZ149" s="108" t="e">
        <f>VLOOKUP(C149,[1]Sertifikasi!$B$4:$I$19,8,0)</f>
        <v>#N/A</v>
      </c>
    </row>
    <row r="150" spans="1:78" ht="11.25" customHeight="1">
      <c r="A150" s="108"/>
      <c r="B150" s="108">
        <v>232</v>
      </c>
      <c r="C150" s="108" t="s">
        <v>1319</v>
      </c>
      <c r="D150" s="109">
        <v>641806157</v>
      </c>
      <c r="E150" s="131">
        <v>1710004289644</v>
      </c>
      <c r="F150" s="131"/>
      <c r="G150" s="108" t="s">
        <v>71</v>
      </c>
      <c r="H150" s="108" t="s">
        <v>71</v>
      </c>
      <c r="I150" s="111">
        <v>43255</v>
      </c>
      <c r="J150" s="108">
        <v>5</v>
      </c>
      <c r="K150" s="108">
        <v>4</v>
      </c>
      <c r="L150" s="108" t="str">
        <f t="shared" si="4"/>
        <v>PKWT</v>
      </c>
      <c r="M150" s="108"/>
      <c r="N150" s="112">
        <v>45447</v>
      </c>
      <c r="O150" s="108"/>
      <c r="P150" s="108" t="s">
        <v>213</v>
      </c>
      <c r="Q150" s="210" t="s">
        <v>4102</v>
      </c>
      <c r="R150" s="108" t="s">
        <v>259</v>
      </c>
      <c r="S150" s="108" t="s">
        <v>33</v>
      </c>
      <c r="T150" s="108" t="s">
        <v>432</v>
      </c>
      <c r="U150" s="108" t="s">
        <v>199</v>
      </c>
      <c r="V150" s="108" t="s">
        <v>180</v>
      </c>
      <c r="W150" s="108"/>
      <c r="X150" s="108" t="s">
        <v>215</v>
      </c>
      <c r="Y150" s="108" t="s">
        <v>216</v>
      </c>
      <c r="Z150" s="108" t="s">
        <v>71</v>
      </c>
      <c r="AA150" s="111">
        <v>35916</v>
      </c>
      <c r="AB150" s="113">
        <v>25</v>
      </c>
      <c r="AC150" s="108" t="s">
        <v>1320</v>
      </c>
      <c r="AD150" s="129" t="s">
        <v>1321</v>
      </c>
      <c r="AE150" s="108" t="s">
        <v>1322</v>
      </c>
      <c r="AF150" s="108" t="s">
        <v>1323</v>
      </c>
      <c r="AG150" s="108" t="s">
        <v>1324</v>
      </c>
      <c r="AH150" s="114" t="s">
        <v>1325</v>
      </c>
      <c r="AI150" s="115">
        <v>18041757115</v>
      </c>
      <c r="AJ150" s="108" t="s">
        <v>255</v>
      </c>
      <c r="AK150" s="108"/>
      <c r="AL150" s="108"/>
      <c r="AM150" s="108"/>
      <c r="AN150" s="108"/>
      <c r="AO150" s="108"/>
      <c r="AP150" s="108"/>
      <c r="AQ150" s="108"/>
      <c r="AR150" s="108"/>
      <c r="AS150" s="108"/>
      <c r="AT150" s="108">
        <v>0</v>
      </c>
      <c r="AU150" s="108" t="s">
        <v>304</v>
      </c>
      <c r="AV150" s="115">
        <v>0</v>
      </c>
      <c r="AW150" s="108" t="s">
        <v>74</v>
      </c>
      <c r="AX150" s="108" t="s">
        <v>16</v>
      </c>
      <c r="AY150" s="108" t="s">
        <v>331</v>
      </c>
      <c r="AZ150" s="108" t="s">
        <v>319</v>
      </c>
      <c r="BA150" s="108">
        <v>2017</v>
      </c>
      <c r="BB150" s="108" t="s">
        <v>287</v>
      </c>
      <c r="BC150" s="108" t="s">
        <v>331</v>
      </c>
      <c r="BD150" s="108" t="s">
        <v>319</v>
      </c>
      <c r="BE150" s="108">
        <v>2017</v>
      </c>
      <c r="BF150" s="116"/>
      <c r="BG150" s="116"/>
      <c r="BH150" s="108" t="s">
        <v>345</v>
      </c>
      <c r="BI150" s="108">
        <v>29</v>
      </c>
      <c r="BJ150" s="108">
        <v>39</v>
      </c>
      <c r="BK150" s="111">
        <v>44293</v>
      </c>
      <c r="BL150" s="111">
        <v>44322</v>
      </c>
      <c r="BM150" s="111"/>
      <c r="BN150" s="111"/>
      <c r="BO150" s="108"/>
      <c r="BP150" s="108"/>
      <c r="BQ150" s="108"/>
      <c r="BR150" s="108"/>
      <c r="BS150" s="108"/>
      <c r="BT150" s="108"/>
      <c r="BU150" s="108"/>
      <c r="BV150" s="108"/>
      <c r="BW150" s="108"/>
      <c r="BX150" s="108"/>
      <c r="BY150" s="108"/>
      <c r="BZ150" s="108" t="e">
        <f>VLOOKUP(C150,[1]Sertifikasi!$B$4:$I$19,8,0)</f>
        <v>#N/A</v>
      </c>
    </row>
    <row r="151" spans="1:78" ht="11.25" customHeight="1">
      <c r="A151" s="108"/>
      <c r="B151" s="108">
        <v>73</v>
      </c>
      <c r="C151" s="115" t="s">
        <v>717</v>
      </c>
      <c r="D151" s="109">
        <v>642001060</v>
      </c>
      <c r="E151" s="131">
        <v>1710003987560</v>
      </c>
      <c r="F151" s="131"/>
      <c r="G151" s="108" t="s">
        <v>71</v>
      </c>
      <c r="H151" s="108" t="s">
        <v>71</v>
      </c>
      <c r="I151" s="111">
        <v>42522</v>
      </c>
      <c r="J151" s="108">
        <v>7</v>
      </c>
      <c r="K151" s="108">
        <v>4</v>
      </c>
      <c r="L151" s="108" t="str">
        <f t="shared" si="4"/>
        <v>PKWT</v>
      </c>
      <c r="M151" s="108"/>
      <c r="N151" s="112">
        <v>45291</v>
      </c>
      <c r="O151" s="108"/>
      <c r="P151" s="108" t="s">
        <v>213</v>
      </c>
      <c r="Q151" s="210" t="s">
        <v>4102</v>
      </c>
      <c r="R151" s="108" t="s">
        <v>2085</v>
      </c>
      <c r="S151" s="108" t="s">
        <v>2085</v>
      </c>
      <c r="T151" s="108" t="s">
        <v>82</v>
      </c>
      <c r="U151" s="108" t="s">
        <v>214</v>
      </c>
      <c r="V151" s="108" t="s">
        <v>180</v>
      </c>
      <c r="W151" s="108"/>
      <c r="X151" s="108" t="s">
        <v>215</v>
      </c>
      <c r="Y151" s="108" t="s">
        <v>216</v>
      </c>
      <c r="Z151" s="108" t="s">
        <v>71</v>
      </c>
      <c r="AA151" s="111">
        <v>24603</v>
      </c>
      <c r="AB151" s="113">
        <v>56</v>
      </c>
      <c r="AC151" s="108" t="s">
        <v>718</v>
      </c>
      <c r="AD151" s="129" t="s">
        <v>719</v>
      </c>
      <c r="AE151" s="108" t="s">
        <v>720</v>
      </c>
      <c r="AF151" s="108"/>
      <c r="AG151" s="108" t="s">
        <v>721</v>
      </c>
      <c r="AH151" s="114" t="s">
        <v>722</v>
      </c>
      <c r="AI151" s="115">
        <v>16040373561</v>
      </c>
      <c r="AJ151" s="108" t="s">
        <v>189</v>
      </c>
      <c r="AK151" s="108" t="s">
        <v>723</v>
      </c>
      <c r="AL151" s="108" t="s">
        <v>724</v>
      </c>
      <c r="AM151" s="108" t="s">
        <v>725</v>
      </c>
      <c r="AN151" s="108"/>
      <c r="AO151" s="108"/>
      <c r="AP151" s="108"/>
      <c r="AQ151" s="108"/>
      <c r="AR151" s="108"/>
      <c r="AS151" s="108"/>
      <c r="AT151" s="108">
        <v>2</v>
      </c>
      <c r="AU151" s="108" t="s">
        <v>330</v>
      </c>
      <c r="AV151" s="115">
        <v>0</v>
      </c>
      <c r="AW151" s="108" t="s">
        <v>74</v>
      </c>
      <c r="AX151" s="108" t="s">
        <v>391</v>
      </c>
      <c r="AY151" s="108" t="s">
        <v>392</v>
      </c>
      <c r="AZ151" s="108" t="s">
        <v>726</v>
      </c>
      <c r="BA151" s="108"/>
      <c r="BB151" s="108" t="s">
        <v>391</v>
      </c>
      <c r="BC151" s="108" t="s">
        <v>392</v>
      </c>
      <c r="BD151" s="108" t="s">
        <v>726</v>
      </c>
      <c r="BE151" s="108"/>
      <c r="BF151" s="116"/>
      <c r="BG151" s="116"/>
      <c r="BH151" s="108" t="s">
        <v>345</v>
      </c>
      <c r="BI151" s="108">
        <v>32</v>
      </c>
      <c r="BJ151" s="108">
        <v>41</v>
      </c>
      <c r="BK151" s="111">
        <v>44294</v>
      </c>
      <c r="BL151" s="111">
        <v>44322</v>
      </c>
      <c r="BM151" s="111">
        <v>44601</v>
      </c>
      <c r="BN151" s="111"/>
      <c r="BO151" s="108">
        <v>43467</v>
      </c>
      <c r="BP151" s="108">
        <v>43830</v>
      </c>
      <c r="BQ151" s="108" t="s">
        <v>727</v>
      </c>
      <c r="BR151" s="108" t="s">
        <v>728</v>
      </c>
      <c r="BS151" s="108"/>
      <c r="BT151" s="108"/>
      <c r="BU151" s="108"/>
      <c r="BV151" s="108"/>
      <c r="BW151" s="108"/>
      <c r="BX151" s="108"/>
      <c r="BY151" s="108"/>
      <c r="BZ151" s="108" t="e">
        <f>VLOOKUP(C151,[1]Sertifikasi!$B$4:$I$19,8,0)</f>
        <v>#N/A</v>
      </c>
    </row>
    <row r="152" spans="1:78" ht="11.25" customHeight="1">
      <c r="A152" s="108"/>
      <c r="B152" s="108">
        <v>233</v>
      </c>
      <c r="C152" s="108" t="s">
        <v>3071</v>
      </c>
      <c r="D152" s="109">
        <v>642307132</v>
      </c>
      <c r="E152" s="131">
        <v>1670006022403</v>
      </c>
      <c r="F152" s="131"/>
      <c r="G152" s="108" t="s">
        <v>259</v>
      </c>
      <c r="H152" s="108" t="s">
        <v>1898</v>
      </c>
      <c r="I152" s="111">
        <v>45204</v>
      </c>
      <c r="J152" s="108">
        <v>0</v>
      </c>
      <c r="K152" s="108">
        <v>0</v>
      </c>
      <c r="L152" s="108" t="str">
        <f t="shared" si="4"/>
        <v>PKWT</v>
      </c>
      <c r="M152" s="108"/>
      <c r="N152" s="112">
        <v>45291</v>
      </c>
      <c r="O152" s="108"/>
      <c r="P152" s="108" t="s">
        <v>213</v>
      </c>
      <c r="Q152" s="210" t="s">
        <v>4102</v>
      </c>
      <c r="R152" s="108" t="s">
        <v>259</v>
      </c>
      <c r="S152" s="108" t="s">
        <v>33</v>
      </c>
      <c r="T152" s="108" t="s">
        <v>432</v>
      </c>
      <c r="U152" s="108" t="s">
        <v>199</v>
      </c>
      <c r="V152" s="108" t="s">
        <v>180</v>
      </c>
      <c r="W152" s="108"/>
      <c r="X152" s="108"/>
      <c r="Y152" s="108" t="s">
        <v>216</v>
      </c>
      <c r="Z152" s="108" t="s">
        <v>1359</v>
      </c>
      <c r="AA152" s="111">
        <v>35874</v>
      </c>
      <c r="AB152" s="113">
        <v>25</v>
      </c>
      <c r="AC152" s="108" t="s">
        <v>3072</v>
      </c>
      <c r="AD152" s="129" t="s">
        <v>3073</v>
      </c>
      <c r="AE152" s="108" t="s">
        <v>3074</v>
      </c>
      <c r="AF152" s="108"/>
      <c r="AG152" s="108" t="s">
        <v>3075</v>
      </c>
      <c r="AH152" s="114" t="s">
        <v>3076</v>
      </c>
      <c r="AI152" s="115">
        <v>23156731343</v>
      </c>
      <c r="AJ152" s="108" t="s">
        <v>255</v>
      </c>
      <c r="AK152" s="108"/>
      <c r="AL152" s="108"/>
      <c r="AM152" s="108"/>
      <c r="AN152" s="108"/>
      <c r="AO152" s="108"/>
      <c r="AP152" s="108"/>
      <c r="AQ152" s="108"/>
      <c r="AR152" s="108"/>
      <c r="AS152" s="108"/>
      <c r="AT152" s="108">
        <v>0</v>
      </c>
      <c r="AU152" s="108" t="s">
        <v>304</v>
      </c>
      <c r="AV152" s="115"/>
      <c r="AW152" s="108" t="s">
        <v>74</v>
      </c>
      <c r="AX152" s="108" t="s">
        <v>12</v>
      </c>
      <c r="AY152" s="108" t="s">
        <v>3077</v>
      </c>
      <c r="AZ152" s="108" t="s">
        <v>3078</v>
      </c>
      <c r="BA152" s="108">
        <v>2023</v>
      </c>
      <c r="BB152" s="108" t="s">
        <v>12</v>
      </c>
      <c r="BC152" s="108" t="s">
        <v>3077</v>
      </c>
      <c r="BD152" s="108" t="s">
        <v>3078</v>
      </c>
      <c r="BE152" s="108">
        <v>2023</v>
      </c>
      <c r="BF152" s="116"/>
      <c r="BG152" s="116"/>
      <c r="BH152" s="108"/>
      <c r="BI152" s="108"/>
      <c r="BJ152" s="108"/>
      <c r="BK152" s="111"/>
      <c r="BL152" s="111"/>
      <c r="BM152" s="111"/>
      <c r="BN152" s="111"/>
      <c r="BO152" s="108"/>
      <c r="BP152" s="108"/>
      <c r="BQ152" s="108"/>
      <c r="BR152" s="108"/>
      <c r="BS152" s="108"/>
      <c r="BT152" s="108"/>
      <c r="BU152" s="108"/>
      <c r="BV152" s="108"/>
      <c r="BW152" s="108"/>
      <c r="BX152" s="108"/>
      <c r="BY152" s="108"/>
      <c r="BZ152" s="108" t="e">
        <f>VLOOKUP(C152,[1]Sertifikasi!$B$4:$I$19,8,0)</f>
        <v>#N/A</v>
      </c>
    </row>
    <row r="153" spans="1:78" ht="11.25" customHeight="1">
      <c r="A153" s="108"/>
      <c r="B153" s="108">
        <v>59</v>
      </c>
      <c r="C153" s="108" t="s">
        <v>2182</v>
      </c>
      <c r="D153" s="109">
        <v>999500021</v>
      </c>
      <c r="E153" s="131">
        <v>1440001094504</v>
      </c>
      <c r="F153" s="131"/>
      <c r="G153" s="113" t="s">
        <v>33</v>
      </c>
      <c r="H153" s="108" t="s">
        <v>71</v>
      </c>
      <c r="I153" s="111">
        <v>43987</v>
      </c>
      <c r="J153" s="108">
        <f ca="1">DATEDIF(I153,$C$3,"y")</f>
        <v>3</v>
      </c>
      <c r="K153" s="108">
        <f ca="1">DATEDIF(I153,$C$3,"ym")</f>
        <v>5</v>
      </c>
      <c r="L153" s="108" t="str">
        <f t="shared" si="4"/>
        <v>Organik</v>
      </c>
      <c r="M153" s="108" t="s">
        <v>2111</v>
      </c>
      <c r="N153" s="112">
        <v>34820</v>
      </c>
      <c r="O153" s="108" t="s">
        <v>2112</v>
      </c>
      <c r="P153" s="108" t="s">
        <v>4</v>
      </c>
      <c r="Q153" s="210" t="s">
        <v>4100</v>
      </c>
      <c r="R153" s="108" t="s">
        <v>4099</v>
      </c>
      <c r="S153" s="108" t="s">
        <v>674</v>
      </c>
      <c r="T153" s="108" t="s">
        <v>674</v>
      </c>
      <c r="U153" s="108" t="s">
        <v>674</v>
      </c>
      <c r="V153" s="108" t="s">
        <v>247</v>
      </c>
      <c r="W153" s="108"/>
      <c r="X153" s="108"/>
      <c r="Y153" s="108" t="s">
        <v>59</v>
      </c>
      <c r="Z153" s="108" t="s">
        <v>2183</v>
      </c>
      <c r="AA153" s="111">
        <v>25869</v>
      </c>
      <c r="AB153" s="113">
        <f ca="1">DATEDIF(AA153,$C$3,"y")</f>
        <v>53</v>
      </c>
      <c r="AC153" s="108" t="s">
        <v>2184</v>
      </c>
      <c r="AD153" s="129" t="s">
        <v>2185</v>
      </c>
      <c r="AE153" s="108" t="s">
        <v>2186</v>
      </c>
      <c r="AF153" s="108"/>
      <c r="AG153" s="108" t="s">
        <v>2187</v>
      </c>
      <c r="AH153" s="136" t="s">
        <v>2188</v>
      </c>
      <c r="AI153" s="115" t="s">
        <v>2189</v>
      </c>
      <c r="AJ153" s="108" t="s">
        <v>189</v>
      </c>
      <c r="AK153" s="108" t="s">
        <v>2190</v>
      </c>
      <c r="AL153" s="108" t="s">
        <v>2191</v>
      </c>
      <c r="AM153" s="108" t="s">
        <v>2192</v>
      </c>
      <c r="AN153" s="108" t="s">
        <v>2193</v>
      </c>
      <c r="AO153" s="108"/>
      <c r="AP153" s="108"/>
      <c r="AQ153" s="108"/>
      <c r="AR153" s="108"/>
      <c r="AS153" s="108"/>
      <c r="AT153" s="108">
        <f>COUNTA(AM153:AO153)</f>
        <v>2</v>
      </c>
      <c r="AU153" s="108" t="str">
        <f>IF(AJ153="Menikah","K","TK")&amp;"/"&amp;AT153</f>
        <v>K/2</v>
      </c>
      <c r="AV153" s="131">
        <v>576323406643000</v>
      </c>
      <c r="AW153" s="113" t="s">
        <v>74</v>
      </c>
      <c r="AX153" s="108" t="s">
        <v>13</v>
      </c>
      <c r="AY153" s="108" t="s">
        <v>210</v>
      </c>
      <c r="AZ153" s="108" t="s">
        <v>193</v>
      </c>
      <c r="BA153" s="108">
        <v>1992</v>
      </c>
      <c r="BB153" s="108" t="s">
        <v>13</v>
      </c>
      <c r="BC153" s="108" t="s">
        <v>210</v>
      </c>
      <c r="BD153" s="108" t="s">
        <v>193</v>
      </c>
      <c r="BE153" s="108">
        <v>1992</v>
      </c>
      <c r="BF153" s="116">
        <v>45962</v>
      </c>
      <c r="BG153" s="116">
        <v>46327</v>
      </c>
      <c r="BH153" s="108"/>
      <c r="BI153" s="108"/>
      <c r="BJ153" s="108">
        <v>42</v>
      </c>
      <c r="BK153" s="111">
        <v>44294</v>
      </c>
      <c r="BL153" s="111">
        <v>44322</v>
      </c>
      <c r="BM153" s="111">
        <v>44585</v>
      </c>
      <c r="BN153" s="111"/>
      <c r="BO153" s="108"/>
      <c r="BP153" s="108"/>
      <c r="BQ153" s="108"/>
      <c r="BR153" s="108"/>
      <c r="BS153" s="108"/>
      <c r="BT153" s="108"/>
      <c r="BU153" s="108"/>
      <c r="BV153" s="108"/>
      <c r="BW153" s="108"/>
      <c r="BX153" s="108"/>
      <c r="BY153" s="108"/>
      <c r="BZ153" s="108" t="e">
        <f>VLOOKUP(C153,[1]Sertifikasi!$B$4:$I$19,8,0)</f>
        <v>#N/A</v>
      </c>
    </row>
    <row r="154" spans="1:78" ht="11.25" customHeight="1">
      <c r="A154" s="108"/>
      <c r="B154" s="108">
        <v>87</v>
      </c>
      <c r="C154" s="108" t="s">
        <v>2270</v>
      </c>
      <c r="D154" s="109">
        <v>642007090</v>
      </c>
      <c r="E154" s="131">
        <v>1710000416969</v>
      </c>
      <c r="F154" s="131"/>
      <c r="G154" s="108" t="s">
        <v>71</v>
      </c>
      <c r="H154" s="108" t="s">
        <v>71</v>
      </c>
      <c r="I154" s="111">
        <v>44013</v>
      </c>
      <c r="J154" s="108">
        <v>3</v>
      </c>
      <c r="K154" s="108">
        <v>3</v>
      </c>
      <c r="L154" s="108" t="str">
        <f t="shared" si="4"/>
        <v>PKWT</v>
      </c>
      <c r="M154" s="108"/>
      <c r="N154" s="112">
        <v>45473</v>
      </c>
      <c r="O154" s="108"/>
      <c r="P154" s="108" t="s">
        <v>213</v>
      </c>
      <c r="Q154" s="210" t="s">
        <v>4102</v>
      </c>
      <c r="R154" s="108" t="s">
        <v>2085</v>
      </c>
      <c r="S154" s="108" t="s">
        <v>232</v>
      </c>
      <c r="T154" s="108" t="s">
        <v>214</v>
      </c>
      <c r="U154" s="108" t="s">
        <v>214</v>
      </c>
      <c r="V154" s="108" t="s">
        <v>180</v>
      </c>
      <c r="W154" s="108" t="s">
        <v>617</v>
      </c>
      <c r="X154" s="108"/>
      <c r="Y154" s="108" t="s">
        <v>216</v>
      </c>
      <c r="Z154" s="108" t="s">
        <v>71</v>
      </c>
      <c r="AA154" s="111">
        <v>33206</v>
      </c>
      <c r="AB154" s="113">
        <v>32</v>
      </c>
      <c r="AC154" s="108" t="s">
        <v>2271</v>
      </c>
      <c r="AD154" s="129" t="s">
        <v>2272</v>
      </c>
      <c r="AE154" s="108" t="s">
        <v>2273</v>
      </c>
      <c r="AF154" s="108"/>
      <c r="AG154" s="108" t="s">
        <v>2274</v>
      </c>
      <c r="AH154" s="114" t="s">
        <v>2275</v>
      </c>
      <c r="AI154" s="115">
        <v>14022429428</v>
      </c>
      <c r="AJ154" s="108" t="s">
        <v>189</v>
      </c>
      <c r="AK154" s="108" t="s">
        <v>2276</v>
      </c>
      <c r="AL154" s="108" t="s">
        <v>2277</v>
      </c>
      <c r="AM154" s="108"/>
      <c r="AN154" s="108"/>
      <c r="AO154" s="108"/>
      <c r="AP154" s="108"/>
      <c r="AQ154" s="108"/>
      <c r="AR154" s="108"/>
      <c r="AS154" s="108"/>
      <c r="AT154" s="108">
        <v>1</v>
      </c>
      <c r="AU154" s="108" t="s">
        <v>225</v>
      </c>
      <c r="AV154" s="115"/>
      <c r="AW154" s="108" t="s">
        <v>74</v>
      </c>
      <c r="AX154" s="108" t="s">
        <v>16</v>
      </c>
      <c r="AY154" s="108" t="s">
        <v>1988</v>
      </c>
      <c r="AZ154" s="108" t="s">
        <v>1008</v>
      </c>
      <c r="BA154" s="108">
        <v>2010</v>
      </c>
      <c r="BB154" s="108" t="s">
        <v>16</v>
      </c>
      <c r="BC154" s="108" t="s">
        <v>1988</v>
      </c>
      <c r="BD154" s="108" t="s">
        <v>1008</v>
      </c>
      <c r="BE154" s="108">
        <v>2010</v>
      </c>
      <c r="BF154" s="116"/>
      <c r="BG154" s="116"/>
      <c r="BH154" s="108"/>
      <c r="BI154" s="108"/>
      <c r="BJ154" s="108">
        <v>40</v>
      </c>
      <c r="BK154" s="111">
        <v>44293</v>
      </c>
      <c r="BL154" s="111">
        <v>44322</v>
      </c>
      <c r="BM154" s="111">
        <v>44565</v>
      </c>
      <c r="BN154" s="111"/>
      <c r="BO154" s="108"/>
      <c r="BP154" s="108"/>
      <c r="BQ154" s="108"/>
      <c r="BR154" s="108" t="s">
        <v>2278</v>
      </c>
      <c r="BS154" s="108"/>
      <c r="BT154" s="108"/>
      <c r="BU154" s="108"/>
      <c r="BV154" s="108"/>
      <c r="BW154" s="108"/>
      <c r="BX154" s="108"/>
      <c r="BY154" s="108"/>
      <c r="BZ154" s="108" t="e">
        <f>VLOOKUP(C154,[1]Sertifikasi!$B$4:$I$19,8,0)</f>
        <v>#N/A</v>
      </c>
    </row>
    <row r="155" spans="1:78" ht="11.25" customHeight="1">
      <c r="A155" s="108"/>
      <c r="B155" s="108">
        <v>175</v>
      </c>
      <c r="C155" s="108" t="s">
        <v>2547</v>
      </c>
      <c r="D155" s="109">
        <v>642201134</v>
      </c>
      <c r="E155" s="131">
        <v>1570007938195</v>
      </c>
      <c r="F155" s="131"/>
      <c r="G155" s="108" t="s">
        <v>259</v>
      </c>
      <c r="H155" s="108" t="s">
        <v>259</v>
      </c>
      <c r="I155" s="111">
        <v>44578</v>
      </c>
      <c r="J155" s="108">
        <v>1</v>
      </c>
      <c r="K155" s="108">
        <v>8</v>
      </c>
      <c r="L155" s="108" t="str">
        <f t="shared" si="4"/>
        <v>PKWT</v>
      </c>
      <c r="M155" s="108"/>
      <c r="N155" s="112">
        <v>45291</v>
      </c>
      <c r="O155" s="108"/>
      <c r="P155" s="108" t="s">
        <v>213</v>
      </c>
      <c r="Q155" s="210" t="s">
        <v>4102</v>
      </c>
      <c r="R155" s="108" t="s">
        <v>259</v>
      </c>
      <c r="S155" s="108" t="s">
        <v>262</v>
      </c>
      <c r="T155" s="108" t="s">
        <v>89</v>
      </c>
      <c r="U155" s="108" t="s">
        <v>199</v>
      </c>
      <c r="V155" s="108" t="s">
        <v>180</v>
      </c>
      <c r="W155" s="108"/>
      <c r="X155" s="108"/>
      <c r="Y155" s="108" t="s">
        <v>216</v>
      </c>
      <c r="Z155" s="108" t="s">
        <v>2028</v>
      </c>
      <c r="AA155" s="111">
        <v>35058</v>
      </c>
      <c r="AB155" s="113">
        <v>27</v>
      </c>
      <c r="AC155" s="108" t="s">
        <v>2548</v>
      </c>
      <c r="AD155" s="129" t="s">
        <v>2549</v>
      </c>
      <c r="AE155" s="108"/>
      <c r="AF155" s="108"/>
      <c r="AG155" s="108" t="s">
        <v>2550</v>
      </c>
      <c r="AH155" s="114" t="s">
        <v>2551</v>
      </c>
      <c r="AI155" s="115">
        <v>22017333711</v>
      </c>
      <c r="AJ155" s="108" t="s">
        <v>189</v>
      </c>
      <c r="AK155" s="108" t="s">
        <v>2552</v>
      </c>
      <c r="AL155" s="108" t="s">
        <v>2553</v>
      </c>
      <c r="AM155" s="108"/>
      <c r="AN155" s="108"/>
      <c r="AO155" s="108"/>
      <c r="AP155" s="108"/>
      <c r="AQ155" s="108"/>
      <c r="AR155" s="108"/>
      <c r="AS155" s="108"/>
      <c r="AT155" s="108">
        <v>1</v>
      </c>
      <c r="AU155" s="108" t="s">
        <v>225</v>
      </c>
      <c r="AV155" s="115"/>
      <c r="AW155" s="108" t="s">
        <v>74</v>
      </c>
      <c r="AX155" s="108" t="s">
        <v>391</v>
      </c>
      <c r="AY155" s="108" t="s">
        <v>450</v>
      </c>
      <c r="AZ155" s="108" t="s">
        <v>2554</v>
      </c>
      <c r="BA155" s="108">
        <v>2014</v>
      </c>
      <c r="BB155" s="108" t="s">
        <v>391</v>
      </c>
      <c r="BC155" s="108" t="s">
        <v>450</v>
      </c>
      <c r="BD155" s="108" t="s">
        <v>2554</v>
      </c>
      <c r="BE155" s="108">
        <v>2014</v>
      </c>
      <c r="BF155" s="116"/>
      <c r="BG155" s="116"/>
      <c r="BH155" s="108"/>
      <c r="BI155" s="108"/>
      <c r="BJ155" s="108">
        <v>42</v>
      </c>
      <c r="BK155" s="111"/>
      <c r="BL155" s="111"/>
      <c r="BM155" s="111"/>
      <c r="BN155" s="111"/>
      <c r="BO155" s="108"/>
      <c r="BP155" s="108"/>
      <c r="BQ155" s="108"/>
      <c r="BR155" s="108" t="s">
        <v>2555</v>
      </c>
      <c r="BS155" s="108"/>
      <c r="BT155" s="108"/>
      <c r="BU155" s="108"/>
      <c r="BV155" s="108"/>
      <c r="BW155" s="108"/>
      <c r="BX155" s="108"/>
      <c r="BY155" s="108"/>
      <c r="BZ155" s="108" t="e">
        <f>VLOOKUP(C155,[1]Sertifikasi!$B$4:$I$19,8,0)</f>
        <v>#N/A</v>
      </c>
    </row>
    <row r="156" spans="1:78" ht="11.25" customHeight="1">
      <c r="A156" s="108"/>
      <c r="B156" s="108">
        <v>34</v>
      </c>
      <c r="C156" s="108" t="s">
        <v>1497</v>
      </c>
      <c r="D156" s="109">
        <v>971900040</v>
      </c>
      <c r="E156" s="131">
        <v>1710004667583</v>
      </c>
      <c r="F156" s="131">
        <v>7243278923</v>
      </c>
      <c r="G156" s="113" t="s">
        <v>71</v>
      </c>
      <c r="H156" s="108" t="s">
        <v>71</v>
      </c>
      <c r="I156" s="111">
        <v>43346</v>
      </c>
      <c r="J156" s="108">
        <f ca="1">DATEDIF(I156,$C$3,"y")</f>
        <v>5</v>
      </c>
      <c r="K156" s="108">
        <f ca="1">DATEDIF(I156,$C$3,"ym")</f>
        <v>2</v>
      </c>
      <c r="L156" s="108" t="str">
        <f t="shared" si="4"/>
        <v>Tetap</v>
      </c>
      <c r="M156" s="108" t="s">
        <v>1451</v>
      </c>
      <c r="N156" s="112">
        <v>43683</v>
      </c>
      <c r="O156" s="111"/>
      <c r="P156" s="108" t="s">
        <v>6</v>
      </c>
      <c r="Q156" s="210" t="s">
        <v>4100</v>
      </c>
      <c r="R156" s="108" t="s">
        <v>4099</v>
      </c>
      <c r="S156" s="108" t="s">
        <v>1498</v>
      </c>
      <c r="T156" s="108" t="s">
        <v>1498</v>
      </c>
      <c r="U156" s="108" t="s">
        <v>276</v>
      </c>
      <c r="V156" s="108" t="s">
        <v>180</v>
      </c>
      <c r="W156" s="108"/>
      <c r="X156" s="108"/>
      <c r="Y156" s="108" t="s">
        <v>60</v>
      </c>
      <c r="Z156" s="108" t="s">
        <v>1499</v>
      </c>
      <c r="AA156" s="111">
        <v>34991</v>
      </c>
      <c r="AB156" s="113">
        <f ca="1">DATEDIF(AA156,$C$3,"y")</f>
        <v>28</v>
      </c>
      <c r="AC156" s="108" t="s">
        <v>1500</v>
      </c>
      <c r="AD156" s="129" t="s">
        <v>1501</v>
      </c>
      <c r="AE156" s="108" t="s">
        <v>1502</v>
      </c>
      <c r="AF156" s="108"/>
      <c r="AG156" s="130" t="s">
        <v>1503</v>
      </c>
      <c r="AH156" s="114" t="s">
        <v>1504</v>
      </c>
      <c r="AI156" s="115" t="s">
        <v>1505</v>
      </c>
      <c r="AJ156" s="108" t="s">
        <v>189</v>
      </c>
      <c r="AK156" s="108"/>
      <c r="AL156" s="108"/>
      <c r="AM156" s="108"/>
      <c r="AN156" s="108"/>
      <c r="AO156" s="108"/>
      <c r="AP156" s="108"/>
      <c r="AQ156" s="108"/>
      <c r="AR156" s="108"/>
      <c r="AS156" s="108"/>
      <c r="AT156" s="108">
        <f>COUNTA(AL156:AO156)</f>
        <v>0</v>
      </c>
      <c r="AU156" s="108" t="str">
        <f>IF(AJ156="Menikah","K","TK")&amp;"/"&amp;AT156</f>
        <v>K/0</v>
      </c>
      <c r="AV156" s="131"/>
      <c r="AW156" s="113" t="s">
        <v>74</v>
      </c>
      <c r="AX156" s="108" t="s">
        <v>12</v>
      </c>
      <c r="AY156" s="108" t="s">
        <v>226</v>
      </c>
      <c r="AZ156" s="108" t="s">
        <v>1506</v>
      </c>
      <c r="BA156" s="108">
        <v>2017</v>
      </c>
      <c r="BB156" s="108" t="s">
        <v>12</v>
      </c>
      <c r="BC156" s="108" t="s">
        <v>226</v>
      </c>
      <c r="BD156" s="108" t="s">
        <v>1506</v>
      </c>
      <c r="BE156" s="108">
        <v>2017</v>
      </c>
      <c r="BF156" s="116">
        <v>55371</v>
      </c>
      <c r="BG156" s="116">
        <v>55736</v>
      </c>
      <c r="BH156" s="132"/>
      <c r="BI156" s="108"/>
      <c r="BJ156" s="194"/>
      <c r="BK156" s="111" t="s">
        <v>795</v>
      </c>
      <c r="BL156" s="111" t="s">
        <v>795</v>
      </c>
      <c r="BM156" s="111">
        <v>44827</v>
      </c>
      <c r="BN156" s="111"/>
      <c r="BO156" s="108"/>
      <c r="BP156" s="108"/>
      <c r="BQ156" s="108"/>
      <c r="BR156" s="108"/>
      <c r="BS156" s="108"/>
      <c r="BT156" s="108"/>
      <c r="BU156" s="108"/>
      <c r="BV156" s="108"/>
      <c r="BW156" s="108"/>
      <c r="BX156" s="108"/>
      <c r="BY156" s="108"/>
      <c r="BZ156" s="108" t="e">
        <f>VLOOKUP(C156,[1]Sertifikasi!$B$4:$I$19,8,0)</f>
        <v>#N/A</v>
      </c>
    </row>
    <row r="157" spans="1:78" ht="11.25" customHeight="1">
      <c r="A157" s="108"/>
      <c r="B157" s="108">
        <v>176</v>
      </c>
      <c r="C157" s="108" t="s">
        <v>2027</v>
      </c>
      <c r="D157" s="109">
        <v>642002077</v>
      </c>
      <c r="E157" s="131">
        <v>1710006361292</v>
      </c>
      <c r="F157" s="131"/>
      <c r="G157" s="108" t="s">
        <v>259</v>
      </c>
      <c r="H157" s="108" t="s">
        <v>259</v>
      </c>
      <c r="I157" s="111">
        <v>43885</v>
      </c>
      <c r="J157" s="108">
        <v>3</v>
      </c>
      <c r="K157" s="108">
        <v>7</v>
      </c>
      <c r="L157" s="108" t="str">
        <f t="shared" ref="L157:L186" si="5">IF(LEFT(D157,2)="99","Organik",IF(LEFT(D157,2)="97","Tetap",IF(LEFT(D157,2)="75","Capeg",IF(LEFT(D157,2)="64","PKWT","Resign"))))</f>
        <v>PKWT</v>
      </c>
      <c r="M157" s="108"/>
      <c r="N157" s="112">
        <v>45291</v>
      </c>
      <c r="O157" s="108"/>
      <c r="P157" s="108" t="s">
        <v>213</v>
      </c>
      <c r="Q157" s="210" t="s">
        <v>4102</v>
      </c>
      <c r="R157" s="108" t="s">
        <v>259</v>
      </c>
      <c r="S157" s="108" t="s">
        <v>262</v>
      </c>
      <c r="T157" s="108" t="s">
        <v>89</v>
      </c>
      <c r="U157" s="108" t="s">
        <v>199</v>
      </c>
      <c r="V157" s="108" t="s">
        <v>180</v>
      </c>
      <c r="W157" s="108"/>
      <c r="X157" s="108"/>
      <c r="Y157" s="108" t="s">
        <v>216</v>
      </c>
      <c r="Z157" s="108" t="s">
        <v>2028</v>
      </c>
      <c r="AA157" s="111">
        <v>35720</v>
      </c>
      <c r="AB157" s="113">
        <v>25</v>
      </c>
      <c r="AC157" s="108" t="s">
        <v>2029</v>
      </c>
      <c r="AD157" s="129" t="s">
        <v>2030</v>
      </c>
      <c r="AE157" s="108" t="s">
        <v>2031</v>
      </c>
      <c r="AF157" s="108"/>
      <c r="AG157" s="108" t="s">
        <v>2032</v>
      </c>
      <c r="AH157" s="114" t="s">
        <v>2033</v>
      </c>
      <c r="AI157" s="115">
        <v>20024319780</v>
      </c>
      <c r="AJ157" s="108" t="s">
        <v>255</v>
      </c>
      <c r="AK157" s="108"/>
      <c r="AL157" s="108"/>
      <c r="AM157" s="108"/>
      <c r="AN157" s="108"/>
      <c r="AO157" s="108"/>
      <c r="AP157" s="108"/>
      <c r="AQ157" s="108"/>
      <c r="AR157" s="108"/>
      <c r="AS157" s="108"/>
      <c r="AT157" s="108">
        <v>0</v>
      </c>
      <c r="AU157" s="108" t="s">
        <v>304</v>
      </c>
      <c r="AV157" s="115"/>
      <c r="AW157" s="108" t="s">
        <v>74</v>
      </c>
      <c r="AX157" s="108" t="s">
        <v>16</v>
      </c>
      <c r="AY157" s="108" t="s">
        <v>331</v>
      </c>
      <c r="AZ157" s="108" t="s">
        <v>2034</v>
      </c>
      <c r="BA157" s="108">
        <v>2018</v>
      </c>
      <c r="BB157" s="108" t="s">
        <v>16</v>
      </c>
      <c r="BC157" s="108" t="s">
        <v>331</v>
      </c>
      <c r="BD157" s="108" t="s">
        <v>2034</v>
      </c>
      <c r="BE157" s="108">
        <v>2018</v>
      </c>
      <c r="BF157" s="116"/>
      <c r="BG157" s="116"/>
      <c r="BH157" s="108"/>
      <c r="BI157" s="108"/>
      <c r="BJ157" s="108">
        <v>42</v>
      </c>
      <c r="BK157" s="111"/>
      <c r="BL157" s="111"/>
      <c r="BM157" s="111"/>
      <c r="BN157" s="111"/>
      <c r="BO157" s="108"/>
      <c r="BP157" s="108"/>
      <c r="BQ157" s="108"/>
      <c r="BR157" s="108"/>
      <c r="BS157" s="108"/>
      <c r="BT157" s="108"/>
      <c r="BU157" s="108"/>
      <c r="BV157" s="108"/>
      <c r="BW157" s="108"/>
      <c r="BX157" s="108"/>
      <c r="BY157" s="108"/>
      <c r="BZ157" s="108" t="e">
        <f>VLOOKUP(C157,[1]Sertifikasi!$B$4:$I$19,8,0)</f>
        <v>#N/A</v>
      </c>
    </row>
    <row r="158" spans="1:78" ht="11.25" customHeight="1">
      <c r="A158" s="108"/>
      <c r="B158" s="108">
        <v>66</v>
      </c>
      <c r="C158" s="108" t="s">
        <v>2119</v>
      </c>
      <c r="D158" s="109">
        <v>999200022</v>
      </c>
      <c r="E158" s="131">
        <v>1440001093357</v>
      </c>
      <c r="F158" s="131"/>
      <c r="G158" s="113" t="s">
        <v>33</v>
      </c>
      <c r="H158" s="108" t="s">
        <v>71</v>
      </c>
      <c r="I158" s="111">
        <v>43987</v>
      </c>
      <c r="J158" s="108">
        <f ca="1">DATEDIF(I158,$C$3,"y")</f>
        <v>3</v>
      </c>
      <c r="K158" s="108">
        <f ca="1">DATEDIF(I158,$C$3,"ym")</f>
        <v>5</v>
      </c>
      <c r="L158" s="108" t="str">
        <f t="shared" si="5"/>
        <v>Organik</v>
      </c>
      <c r="M158" s="108" t="s">
        <v>2120</v>
      </c>
      <c r="N158" s="112">
        <v>33909</v>
      </c>
      <c r="O158" s="108" t="s">
        <v>2121</v>
      </c>
      <c r="P158" s="108" t="s">
        <v>4</v>
      </c>
      <c r="Q158" s="210" t="s">
        <v>4100</v>
      </c>
      <c r="R158" s="108" t="s">
        <v>4099</v>
      </c>
      <c r="S158" s="108"/>
      <c r="T158" s="108" t="s">
        <v>1498</v>
      </c>
      <c r="U158" s="108" t="s">
        <v>276</v>
      </c>
      <c r="V158" s="108" t="s">
        <v>180</v>
      </c>
      <c r="W158" s="108"/>
      <c r="X158" s="108"/>
      <c r="Y158" s="108" t="s">
        <v>59</v>
      </c>
      <c r="Z158" s="108" t="s">
        <v>2122</v>
      </c>
      <c r="AA158" s="111">
        <v>26032</v>
      </c>
      <c r="AB158" s="113">
        <f ca="1">DATEDIF(AA158,$C$3,"y")</f>
        <v>52</v>
      </c>
      <c r="AC158" s="108" t="s">
        <v>2123</v>
      </c>
      <c r="AD158" s="129" t="s">
        <v>2124</v>
      </c>
      <c r="AE158" s="108" t="s">
        <v>2125</v>
      </c>
      <c r="AF158" s="108"/>
      <c r="AG158" s="108" t="s">
        <v>2126</v>
      </c>
      <c r="AH158" s="114" t="s">
        <v>2127</v>
      </c>
      <c r="AI158" s="115" t="s">
        <v>2128</v>
      </c>
      <c r="AJ158" s="108" t="s">
        <v>189</v>
      </c>
      <c r="AK158" s="108" t="s">
        <v>2129</v>
      </c>
      <c r="AL158" s="108" t="s">
        <v>2130</v>
      </c>
      <c r="AM158" s="108" t="s">
        <v>2131</v>
      </c>
      <c r="AN158" s="108" t="s">
        <v>2132</v>
      </c>
      <c r="AO158" s="108" t="s">
        <v>2133</v>
      </c>
      <c r="AP158" s="108"/>
      <c r="AQ158" s="108"/>
      <c r="AR158" s="108"/>
      <c r="AS158" s="108"/>
      <c r="AT158" s="108">
        <f>COUNTA(AL158:AO158)</f>
        <v>4</v>
      </c>
      <c r="AU158" s="108" t="str">
        <f>IF(AJ158="Menikah","K","TK")&amp;"/"&amp;AT158</f>
        <v>K/4</v>
      </c>
      <c r="AV158" s="131" t="s">
        <v>2134</v>
      </c>
      <c r="AW158" s="113" t="s">
        <v>74</v>
      </c>
      <c r="AX158" s="108" t="s">
        <v>12</v>
      </c>
      <c r="AY158" s="108" t="s">
        <v>226</v>
      </c>
      <c r="AZ158" s="108" t="s">
        <v>419</v>
      </c>
      <c r="BA158" s="108"/>
      <c r="BB158" s="108" t="s">
        <v>12</v>
      </c>
      <c r="BC158" s="108" t="s">
        <v>226</v>
      </c>
      <c r="BD158" s="108" t="s">
        <v>419</v>
      </c>
      <c r="BE158" s="108"/>
      <c r="BF158" s="116">
        <v>46143</v>
      </c>
      <c r="BG158" s="116" t="s">
        <v>2135</v>
      </c>
      <c r="BH158" s="108"/>
      <c r="BI158" s="108"/>
      <c r="BJ158" s="108">
        <v>40</v>
      </c>
      <c r="BK158" s="111">
        <v>44294</v>
      </c>
      <c r="BL158" s="111">
        <v>44322</v>
      </c>
      <c r="BM158" s="111">
        <v>44585</v>
      </c>
      <c r="BN158" s="111"/>
      <c r="BO158" s="108"/>
      <c r="BP158" s="108"/>
      <c r="BQ158" s="108"/>
      <c r="BR158" s="108"/>
      <c r="BS158" s="108"/>
      <c r="BT158" s="108"/>
      <c r="BU158" s="108"/>
      <c r="BV158" s="108"/>
      <c r="BW158" s="108"/>
      <c r="BX158" s="108"/>
      <c r="BY158" s="108"/>
      <c r="BZ158" s="108" t="e">
        <f>VLOOKUP(C158,[1]Sertifikasi!$B$4:$I$19,8,0)</f>
        <v>#N/A</v>
      </c>
    </row>
    <row r="159" spans="1:78" ht="11.25" customHeight="1">
      <c r="A159" s="108"/>
      <c r="B159" s="108">
        <v>177</v>
      </c>
      <c r="C159" s="108" t="s">
        <v>1210</v>
      </c>
      <c r="D159" s="109">
        <v>641801140</v>
      </c>
      <c r="E159" s="131">
        <v>1710004055417</v>
      </c>
      <c r="F159" s="131"/>
      <c r="G159" s="108" t="s">
        <v>259</v>
      </c>
      <c r="H159" s="108" t="s">
        <v>71</v>
      </c>
      <c r="I159" s="111">
        <v>43160</v>
      </c>
      <c r="J159" s="108">
        <v>5</v>
      </c>
      <c r="K159" s="108">
        <v>7</v>
      </c>
      <c r="L159" s="108" t="str">
        <f t="shared" si="5"/>
        <v>PKWT</v>
      </c>
      <c r="M159" s="108"/>
      <c r="N159" s="112">
        <v>45291</v>
      </c>
      <c r="O159" s="108"/>
      <c r="P159" s="108" t="s">
        <v>213</v>
      </c>
      <c r="Q159" s="210" t="s">
        <v>4102</v>
      </c>
      <c r="R159" s="108" t="s">
        <v>259</v>
      </c>
      <c r="S159" s="108" t="s">
        <v>262</v>
      </c>
      <c r="T159" s="108" t="s">
        <v>89</v>
      </c>
      <c r="U159" s="108" t="s">
        <v>199</v>
      </c>
      <c r="V159" s="108" t="s">
        <v>180</v>
      </c>
      <c r="W159" s="108" t="s">
        <v>277</v>
      </c>
      <c r="X159" s="108" t="s">
        <v>215</v>
      </c>
      <c r="Y159" s="108" t="s">
        <v>216</v>
      </c>
      <c r="Z159" s="108" t="s">
        <v>1211</v>
      </c>
      <c r="AA159" s="111">
        <v>28769</v>
      </c>
      <c r="AB159" s="113">
        <v>45</v>
      </c>
      <c r="AC159" s="108" t="s">
        <v>1212</v>
      </c>
      <c r="AD159" s="129" t="s">
        <v>1213</v>
      </c>
      <c r="AE159" s="108" t="s">
        <v>1214</v>
      </c>
      <c r="AF159" s="108"/>
      <c r="AG159" s="108" t="s">
        <v>1215</v>
      </c>
      <c r="AH159" s="114" t="s">
        <v>1216</v>
      </c>
      <c r="AI159" s="115">
        <v>18035613423</v>
      </c>
      <c r="AJ159" s="108" t="s">
        <v>189</v>
      </c>
      <c r="AK159" s="108" t="s">
        <v>1217</v>
      </c>
      <c r="AL159" s="108" t="s">
        <v>1218</v>
      </c>
      <c r="AM159" s="108" t="s">
        <v>1219</v>
      </c>
      <c r="AN159" s="108"/>
      <c r="AO159" s="108"/>
      <c r="AP159" s="108"/>
      <c r="AQ159" s="108"/>
      <c r="AR159" s="108"/>
      <c r="AS159" s="108"/>
      <c r="AT159" s="108">
        <v>2</v>
      </c>
      <c r="AU159" s="108" t="s">
        <v>330</v>
      </c>
      <c r="AV159" s="115">
        <v>0</v>
      </c>
      <c r="AW159" s="108" t="s">
        <v>74</v>
      </c>
      <c r="AX159" s="108" t="s">
        <v>16</v>
      </c>
      <c r="AY159" s="108" t="s">
        <v>226</v>
      </c>
      <c r="AZ159" s="108" t="s">
        <v>1220</v>
      </c>
      <c r="BA159" s="108">
        <v>1998</v>
      </c>
      <c r="BB159" s="108" t="s">
        <v>287</v>
      </c>
      <c r="BC159" s="108" t="s">
        <v>226</v>
      </c>
      <c r="BD159" s="108" t="s">
        <v>1220</v>
      </c>
      <c r="BE159" s="108">
        <v>1998</v>
      </c>
      <c r="BF159" s="116"/>
      <c r="BG159" s="116"/>
      <c r="BH159" s="108" t="s">
        <v>241</v>
      </c>
      <c r="BI159" s="108">
        <v>31</v>
      </c>
      <c r="BJ159" s="195">
        <v>40</v>
      </c>
      <c r="BK159" s="111"/>
      <c r="BL159" s="111">
        <v>44314</v>
      </c>
      <c r="BM159" s="111"/>
      <c r="BN159" s="111"/>
      <c r="BO159" s="108"/>
      <c r="BP159" s="108"/>
      <c r="BQ159" s="108"/>
      <c r="BR159" s="108"/>
      <c r="BS159" s="108"/>
      <c r="BT159" s="108"/>
      <c r="BU159" s="108"/>
      <c r="BV159" s="108"/>
      <c r="BW159" s="108"/>
      <c r="BX159" s="108"/>
      <c r="BY159" s="108"/>
      <c r="BZ159" s="108" t="e">
        <f>VLOOKUP(C159,[1]Sertifikasi!$B$4:$I$19,8,0)</f>
        <v>#N/A</v>
      </c>
    </row>
    <row r="160" spans="1:78" ht="11.25" customHeight="1">
      <c r="A160" s="108"/>
      <c r="B160" s="108">
        <v>316</v>
      </c>
      <c r="C160" s="108" t="s">
        <v>2009</v>
      </c>
      <c r="D160" s="109">
        <v>642002073</v>
      </c>
      <c r="E160" s="131">
        <v>1710006986346</v>
      </c>
      <c r="F160" s="131"/>
      <c r="G160" s="108" t="s">
        <v>1436</v>
      </c>
      <c r="H160" s="108" t="s">
        <v>1436</v>
      </c>
      <c r="I160" s="111">
        <v>43878</v>
      </c>
      <c r="J160" s="108">
        <v>3</v>
      </c>
      <c r="K160" s="108">
        <v>7</v>
      </c>
      <c r="L160" s="108" t="str">
        <f t="shared" si="5"/>
        <v>PKWT</v>
      </c>
      <c r="M160" s="108"/>
      <c r="N160" s="112">
        <v>45291</v>
      </c>
      <c r="O160" s="108"/>
      <c r="P160" s="108" t="s">
        <v>213</v>
      </c>
      <c r="Q160" s="210" t="s">
        <v>4102</v>
      </c>
      <c r="R160" s="108" t="s">
        <v>1436</v>
      </c>
      <c r="S160" s="108" t="s">
        <v>476</v>
      </c>
      <c r="T160" s="108" t="s">
        <v>98</v>
      </c>
      <c r="U160" s="108" t="s">
        <v>276</v>
      </c>
      <c r="V160" s="108" t="s">
        <v>180</v>
      </c>
      <c r="W160" s="108"/>
      <c r="X160" s="108"/>
      <c r="Y160" s="108" t="s">
        <v>216</v>
      </c>
      <c r="Z160" s="108" t="s">
        <v>2010</v>
      </c>
      <c r="AA160" s="111">
        <v>33600</v>
      </c>
      <c r="AB160" s="113">
        <v>31</v>
      </c>
      <c r="AC160" s="108" t="s">
        <v>2011</v>
      </c>
      <c r="AD160" s="129" t="s">
        <v>2012</v>
      </c>
      <c r="AE160" s="108" t="s">
        <v>2013</v>
      </c>
      <c r="AF160" s="108"/>
      <c r="AG160" s="108" t="s">
        <v>2014</v>
      </c>
      <c r="AH160" s="114" t="s">
        <v>2015</v>
      </c>
      <c r="AI160" s="115">
        <v>20024319749</v>
      </c>
      <c r="AJ160" s="108" t="s">
        <v>189</v>
      </c>
      <c r="AK160" s="108" t="s">
        <v>2016</v>
      </c>
      <c r="AL160" s="108" t="s">
        <v>2017</v>
      </c>
      <c r="AM160" s="108"/>
      <c r="AN160" s="108"/>
      <c r="AO160" s="108"/>
      <c r="AP160" s="108"/>
      <c r="AQ160" s="108"/>
      <c r="AR160" s="108"/>
      <c r="AS160" s="108"/>
      <c r="AT160" s="108">
        <v>1</v>
      </c>
      <c r="AU160" s="108" t="s">
        <v>225</v>
      </c>
      <c r="AV160" s="115"/>
      <c r="AW160" s="108" t="s">
        <v>74</v>
      </c>
      <c r="AX160" s="108" t="s">
        <v>16</v>
      </c>
      <c r="AY160" s="108" t="s">
        <v>226</v>
      </c>
      <c r="AZ160" s="108" t="s">
        <v>2018</v>
      </c>
      <c r="BA160" s="108">
        <v>2009</v>
      </c>
      <c r="BB160" s="108" t="s">
        <v>16</v>
      </c>
      <c r="BC160" s="108" t="s">
        <v>226</v>
      </c>
      <c r="BD160" s="108" t="s">
        <v>2018</v>
      </c>
      <c r="BE160" s="108">
        <v>2009</v>
      </c>
      <c r="BF160" s="116"/>
      <c r="BG160" s="116"/>
      <c r="BH160" s="108" t="s">
        <v>241</v>
      </c>
      <c r="BI160" s="108" t="s">
        <v>241</v>
      </c>
      <c r="BJ160" s="108">
        <v>29</v>
      </c>
      <c r="BK160" s="111"/>
      <c r="BL160" s="111"/>
      <c r="BM160" s="111"/>
      <c r="BN160" s="111"/>
      <c r="BO160" s="108"/>
      <c r="BP160" s="108"/>
      <c r="BQ160" s="108"/>
      <c r="BR160" s="108"/>
      <c r="BS160" s="108"/>
      <c r="BT160" s="108"/>
      <c r="BU160" s="108"/>
      <c r="BV160" s="108"/>
      <c r="BW160" s="108"/>
      <c r="BX160" s="108"/>
      <c r="BY160" s="108"/>
      <c r="BZ160" s="108" t="e">
        <f>VLOOKUP(C160,[1]Sertifikasi!$B$4:$I$19,8,0)</f>
        <v>#N/A</v>
      </c>
    </row>
    <row r="161" spans="1:78" ht="11.25" customHeight="1">
      <c r="A161" s="108"/>
      <c r="B161" s="108">
        <v>234</v>
      </c>
      <c r="C161" s="108" t="s">
        <v>2951</v>
      </c>
      <c r="D161" s="109">
        <v>642301195</v>
      </c>
      <c r="E161" s="131"/>
      <c r="F161" s="131">
        <v>7221848677</v>
      </c>
      <c r="G161" s="108" t="s">
        <v>259</v>
      </c>
      <c r="H161" s="108" t="s">
        <v>259</v>
      </c>
      <c r="I161" s="111">
        <v>44939</v>
      </c>
      <c r="J161" s="108">
        <v>0</v>
      </c>
      <c r="K161" s="108">
        <v>8</v>
      </c>
      <c r="L161" s="108" t="str">
        <f t="shared" si="5"/>
        <v>PKWT</v>
      </c>
      <c r="M161" s="108"/>
      <c r="N161" s="112">
        <v>45535</v>
      </c>
      <c r="O161" s="108"/>
      <c r="P161" s="108" t="s">
        <v>213</v>
      </c>
      <c r="Q161" s="210" t="s">
        <v>4102</v>
      </c>
      <c r="R161" s="108" t="s">
        <v>259</v>
      </c>
      <c r="S161" s="108" t="s">
        <v>33</v>
      </c>
      <c r="T161" s="108" t="s">
        <v>432</v>
      </c>
      <c r="U161" s="108" t="s">
        <v>199</v>
      </c>
      <c r="V161" s="108" t="s">
        <v>180</v>
      </c>
      <c r="W161" s="108" t="s">
        <v>931</v>
      </c>
      <c r="X161" s="108"/>
      <c r="Y161" s="108" t="s">
        <v>216</v>
      </c>
      <c r="Z161" s="108" t="s">
        <v>1834</v>
      </c>
      <c r="AA161" s="111">
        <v>31260</v>
      </c>
      <c r="AB161" s="113">
        <v>38</v>
      </c>
      <c r="AC161" s="108" t="s">
        <v>2952</v>
      </c>
      <c r="AD161" s="129" t="s">
        <v>2953</v>
      </c>
      <c r="AE161" s="108" t="s">
        <v>2954</v>
      </c>
      <c r="AF161" s="108"/>
      <c r="AG161" s="108" t="s">
        <v>2955</v>
      </c>
      <c r="AH161" s="114" t="s">
        <v>2956</v>
      </c>
      <c r="AI161" s="115">
        <v>23009096779</v>
      </c>
      <c r="AJ161" s="108" t="s">
        <v>189</v>
      </c>
      <c r="AK161" s="108" t="s">
        <v>2957</v>
      </c>
      <c r="AL161" s="108" t="s">
        <v>2958</v>
      </c>
      <c r="AM161" s="108" t="s">
        <v>2959</v>
      </c>
      <c r="AN161" s="108"/>
      <c r="AO161" s="108"/>
      <c r="AP161" s="108"/>
      <c r="AQ161" s="108"/>
      <c r="AR161" s="108"/>
      <c r="AS161" s="108"/>
      <c r="AT161" s="108">
        <v>2</v>
      </c>
      <c r="AU161" s="108" t="s">
        <v>330</v>
      </c>
      <c r="AV161" s="115"/>
      <c r="AW161" s="108" t="s">
        <v>74</v>
      </c>
      <c r="AX161" s="108" t="s">
        <v>16</v>
      </c>
      <c r="AY161" s="108" t="s">
        <v>226</v>
      </c>
      <c r="AZ161" s="108" t="s">
        <v>2960</v>
      </c>
      <c r="BA161" s="108">
        <v>2003</v>
      </c>
      <c r="BB161" s="108" t="s">
        <v>16</v>
      </c>
      <c r="BC161" s="108" t="s">
        <v>226</v>
      </c>
      <c r="BD161" s="108" t="s">
        <v>2960</v>
      </c>
      <c r="BE161" s="108">
        <v>2003</v>
      </c>
      <c r="BF161" s="116"/>
      <c r="BG161" s="116"/>
      <c r="BH161" s="108"/>
      <c r="BI161" s="108"/>
      <c r="BJ161" s="195">
        <v>41</v>
      </c>
      <c r="BK161" s="111"/>
      <c r="BL161" s="111"/>
      <c r="BM161" s="111"/>
      <c r="BN161" s="111"/>
      <c r="BO161" s="108"/>
      <c r="BP161" s="108"/>
      <c r="BQ161" s="108"/>
      <c r="BR161" s="108"/>
      <c r="BS161" s="108"/>
      <c r="BT161" s="108"/>
      <c r="BU161" s="108"/>
      <c r="BV161" s="108"/>
      <c r="BW161" s="108"/>
      <c r="BX161" s="108"/>
      <c r="BY161" s="108"/>
      <c r="BZ161" s="108" t="e">
        <f>VLOOKUP(C161,[1]Sertifikasi!$B$4:$I$19,8,0)</f>
        <v>#N/A</v>
      </c>
    </row>
    <row r="162" spans="1:78" ht="11.25" customHeight="1">
      <c r="A162" s="108"/>
      <c r="B162" s="108">
        <v>178</v>
      </c>
      <c r="C162" s="108" t="s">
        <v>1295</v>
      </c>
      <c r="D162" s="109">
        <v>641806156</v>
      </c>
      <c r="E162" s="131">
        <v>1710004289651</v>
      </c>
      <c r="F162" s="131"/>
      <c r="G162" s="108" t="s">
        <v>71</v>
      </c>
      <c r="H162" s="108" t="s">
        <v>71</v>
      </c>
      <c r="I162" s="111">
        <v>43255</v>
      </c>
      <c r="J162" s="108">
        <v>5</v>
      </c>
      <c r="K162" s="108">
        <v>4</v>
      </c>
      <c r="L162" s="108" t="str">
        <f t="shared" si="5"/>
        <v>PKWT</v>
      </c>
      <c r="M162" s="108"/>
      <c r="N162" s="112">
        <v>45291</v>
      </c>
      <c r="O162" s="108"/>
      <c r="P162" s="108" t="s">
        <v>213</v>
      </c>
      <c r="Q162" s="210" t="s">
        <v>4102</v>
      </c>
      <c r="R162" s="108" t="s">
        <v>259</v>
      </c>
      <c r="S162" s="108" t="s">
        <v>262</v>
      </c>
      <c r="T162" s="108" t="s">
        <v>89</v>
      </c>
      <c r="U162" s="108" t="s">
        <v>199</v>
      </c>
      <c r="V162" s="108" t="s">
        <v>180</v>
      </c>
      <c r="W162" s="108" t="s">
        <v>277</v>
      </c>
      <c r="X162" s="108" t="s">
        <v>215</v>
      </c>
      <c r="Y162" s="108" t="s">
        <v>216</v>
      </c>
      <c r="Z162" s="108" t="s">
        <v>1296</v>
      </c>
      <c r="AA162" s="111">
        <v>34283</v>
      </c>
      <c r="AB162" s="113">
        <v>29</v>
      </c>
      <c r="AC162" s="108" t="s">
        <v>1297</v>
      </c>
      <c r="AD162" s="129" t="s">
        <v>1298</v>
      </c>
      <c r="AE162" s="108" t="s">
        <v>1299</v>
      </c>
      <c r="AF162" s="108"/>
      <c r="AG162" s="108" t="s">
        <v>1300</v>
      </c>
      <c r="AH162" s="114" t="s">
        <v>1301</v>
      </c>
      <c r="AI162" s="115">
        <v>18041757180</v>
      </c>
      <c r="AJ162" s="108" t="s">
        <v>189</v>
      </c>
      <c r="AK162" s="108" t="s">
        <v>1302</v>
      </c>
      <c r="AL162" s="108"/>
      <c r="AM162" s="108"/>
      <c r="AN162" s="108"/>
      <c r="AO162" s="108"/>
      <c r="AP162" s="108" t="s">
        <v>1303</v>
      </c>
      <c r="AQ162" s="108" t="s">
        <v>1304</v>
      </c>
      <c r="AR162" s="108"/>
      <c r="AS162" s="108"/>
      <c r="AT162" s="108">
        <v>0</v>
      </c>
      <c r="AU162" s="108" t="s">
        <v>390</v>
      </c>
      <c r="AV162" s="115">
        <v>0</v>
      </c>
      <c r="AW162" s="108" t="s">
        <v>74</v>
      </c>
      <c r="AX162" s="108" t="s">
        <v>16</v>
      </c>
      <c r="AY162" s="108" t="s">
        <v>331</v>
      </c>
      <c r="AZ162" s="108" t="s">
        <v>1305</v>
      </c>
      <c r="BA162" s="108">
        <v>2012</v>
      </c>
      <c r="BB162" s="108" t="s">
        <v>287</v>
      </c>
      <c r="BC162" s="108" t="s">
        <v>331</v>
      </c>
      <c r="BD162" s="108" t="s">
        <v>1305</v>
      </c>
      <c r="BE162" s="108">
        <v>2012</v>
      </c>
      <c r="BF162" s="116"/>
      <c r="BG162" s="116"/>
      <c r="BH162" s="108" t="s">
        <v>228</v>
      </c>
      <c r="BI162" s="108">
        <v>36</v>
      </c>
      <c r="BJ162" s="108">
        <v>44</v>
      </c>
      <c r="BK162" s="111"/>
      <c r="BL162" s="111"/>
      <c r="BM162" s="111"/>
      <c r="BN162" s="111"/>
      <c r="BO162" s="108"/>
      <c r="BP162" s="108"/>
      <c r="BQ162" s="108"/>
      <c r="BR162" s="108"/>
      <c r="BS162" s="108"/>
      <c r="BT162" s="108"/>
      <c r="BU162" s="108"/>
      <c r="BV162" s="108"/>
      <c r="BW162" s="108"/>
      <c r="BX162" s="108"/>
      <c r="BY162" s="108"/>
      <c r="BZ162" s="108" t="e">
        <f>VLOOKUP(C162,[1]Sertifikasi!$B$4:$I$19,8,0)</f>
        <v>#N/A</v>
      </c>
    </row>
    <row r="163" spans="1:78" ht="11.25" customHeight="1">
      <c r="A163" s="108"/>
      <c r="B163" s="108">
        <v>283</v>
      </c>
      <c r="C163" s="108" t="s">
        <v>586</v>
      </c>
      <c r="D163" s="109">
        <v>972000056</v>
      </c>
      <c r="E163" s="131">
        <v>1710003988014</v>
      </c>
      <c r="F163" s="131"/>
      <c r="G163" s="108" t="s">
        <v>71</v>
      </c>
      <c r="H163" s="108" t="s">
        <v>71</v>
      </c>
      <c r="I163" s="111">
        <v>42401</v>
      </c>
      <c r="J163" s="108">
        <v>7</v>
      </c>
      <c r="K163" s="108">
        <v>8</v>
      </c>
      <c r="L163" s="108" t="str">
        <f t="shared" si="5"/>
        <v>Tetap</v>
      </c>
      <c r="M163" s="108" t="s">
        <v>587</v>
      </c>
      <c r="N163" s="112">
        <v>43899</v>
      </c>
      <c r="O163" s="108"/>
      <c r="P163" s="108" t="s">
        <v>213</v>
      </c>
      <c r="Q163" s="210" t="s">
        <v>4102</v>
      </c>
      <c r="R163" s="108" t="s">
        <v>575</v>
      </c>
      <c r="S163" s="108" t="s">
        <v>262</v>
      </c>
      <c r="T163" s="108" t="s">
        <v>92</v>
      </c>
      <c r="U163" s="108" t="s">
        <v>276</v>
      </c>
      <c r="V163" s="108" t="s">
        <v>180</v>
      </c>
      <c r="W163" s="108" t="s">
        <v>277</v>
      </c>
      <c r="X163" s="108" t="s">
        <v>215</v>
      </c>
      <c r="Y163" s="108" t="s">
        <v>216</v>
      </c>
      <c r="Z163" s="108" t="s">
        <v>71</v>
      </c>
      <c r="AA163" s="111">
        <v>32689</v>
      </c>
      <c r="AB163" s="113">
        <v>34</v>
      </c>
      <c r="AC163" s="108" t="s">
        <v>588</v>
      </c>
      <c r="AD163" s="129" t="s">
        <v>589</v>
      </c>
      <c r="AE163" s="108" t="s">
        <v>590</v>
      </c>
      <c r="AF163" s="108"/>
      <c r="AG163" s="108" t="s">
        <v>591</v>
      </c>
      <c r="AH163" s="114" t="s">
        <v>592</v>
      </c>
      <c r="AI163" s="115">
        <v>16006272195</v>
      </c>
      <c r="AJ163" s="108" t="s">
        <v>189</v>
      </c>
      <c r="AK163" s="108" t="s">
        <v>593</v>
      </c>
      <c r="AL163" s="108" t="s">
        <v>594</v>
      </c>
      <c r="AM163" s="108"/>
      <c r="AN163" s="108"/>
      <c r="AO163" s="108"/>
      <c r="AP163" s="108"/>
      <c r="AQ163" s="108"/>
      <c r="AR163" s="108"/>
      <c r="AS163" s="108"/>
      <c r="AT163" s="108">
        <v>1</v>
      </c>
      <c r="AU163" s="108" t="s">
        <v>225</v>
      </c>
      <c r="AV163" s="115">
        <v>0</v>
      </c>
      <c r="AW163" s="108" t="s">
        <v>74</v>
      </c>
      <c r="AX163" s="108" t="s">
        <v>16</v>
      </c>
      <c r="AY163" s="108" t="s">
        <v>226</v>
      </c>
      <c r="AZ163" s="108" t="s">
        <v>595</v>
      </c>
      <c r="BA163" s="108">
        <v>2008</v>
      </c>
      <c r="BB163" s="108" t="s">
        <v>287</v>
      </c>
      <c r="BC163" s="108" t="s">
        <v>226</v>
      </c>
      <c r="BD163" s="108" t="s">
        <v>595</v>
      </c>
      <c r="BE163" s="108">
        <v>2008</v>
      </c>
      <c r="BF163" s="116">
        <v>53030</v>
      </c>
      <c r="BG163" s="116">
        <v>53395</v>
      </c>
      <c r="BH163" s="108" t="s">
        <v>345</v>
      </c>
      <c r="BI163" s="108">
        <v>34</v>
      </c>
      <c r="BJ163" s="108">
        <v>42</v>
      </c>
      <c r="BK163" s="111">
        <v>44377</v>
      </c>
      <c r="BL163" s="111"/>
      <c r="BM163" s="111">
        <v>44663</v>
      </c>
      <c r="BN163" s="111"/>
      <c r="BO163" s="108">
        <v>43467</v>
      </c>
      <c r="BP163" s="108">
        <v>43830</v>
      </c>
      <c r="BQ163" s="108" t="s">
        <v>596</v>
      </c>
      <c r="BR163" s="108" t="s">
        <v>597</v>
      </c>
      <c r="BS163" s="108"/>
      <c r="BT163" s="108"/>
      <c r="BU163" s="108"/>
      <c r="BV163" s="108"/>
      <c r="BW163" s="108"/>
      <c r="BX163" s="108"/>
      <c r="BY163" s="108"/>
      <c r="BZ163" s="108" t="e">
        <f>VLOOKUP(C163,[1]Sertifikasi!$B$4:$I$19,8,0)</f>
        <v>#N/A</v>
      </c>
    </row>
    <row r="164" spans="1:78" ht="11.25" customHeight="1">
      <c r="A164" s="108"/>
      <c r="B164" s="108">
        <v>68</v>
      </c>
      <c r="C164" s="108" t="s">
        <v>707</v>
      </c>
      <c r="D164" s="109">
        <v>642001055</v>
      </c>
      <c r="E164" s="131">
        <v>1710004028984</v>
      </c>
      <c r="F164" s="131"/>
      <c r="G164" s="108" t="s">
        <v>71</v>
      </c>
      <c r="H164" s="108" t="s">
        <v>71</v>
      </c>
      <c r="I164" s="111">
        <v>42522</v>
      </c>
      <c r="J164" s="108">
        <v>7</v>
      </c>
      <c r="K164" s="108">
        <v>4</v>
      </c>
      <c r="L164" s="108" t="str">
        <f t="shared" si="5"/>
        <v>PKWT</v>
      </c>
      <c r="M164" s="108"/>
      <c r="N164" s="112">
        <v>45291</v>
      </c>
      <c r="O164" s="108"/>
      <c r="P164" s="108" t="s">
        <v>213</v>
      </c>
      <c r="Q164" s="210" t="s">
        <v>4102</v>
      </c>
      <c r="R164" s="108" t="s">
        <v>2085</v>
      </c>
      <c r="S164" s="108" t="s">
        <v>33</v>
      </c>
      <c r="T164" s="108" t="s">
        <v>698</v>
      </c>
      <c r="U164" s="108" t="s">
        <v>214</v>
      </c>
      <c r="V164" s="108" t="s">
        <v>180</v>
      </c>
      <c r="W164" s="108"/>
      <c r="X164" s="108" t="s">
        <v>215</v>
      </c>
      <c r="Y164" s="108" t="s">
        <v>216</v>
      </c>
      <c r="Z164" s="108" t="s">
        <v>182</v>
      </c>
      <c r="AA164" s="111">
        <v>30638</v>
      </c>
      <c r="AB164" s="113">
        <v>39</v>
      </c>
      <c r="AC164" s="108" t="s">
        <v>708</v>
      </c>
      <c r="AD164" s="129" t="s">
        <v>700</v>
      </c>
      <c r="AE164" s="108" t="s">
        <v>709</v>
      </c>
      <c r="AF164" s="108"/>
      <c r="AG164" s="108" t="s">
        <v>710</v>
      </c>
      <c r="AH164" s="114" t="s">
        <v>711</v>
      </c>
      <c r="AI164" s="115">
        <v>16040373595</v>
      </c>
      <c r="AJ164" s="108" t="s">
        <v>189</v>
      </c>
      <c r="AK164" s="108" t="s">
        <v>712</v>
      </c>
      <c r="AL164" s="108" t="s">
        <v>713</v>
      </c>
      <c r="AM164" s="108"/>
      <c r="AN164" s="108"/>
      <c r="AO164" s="108"/>
      <c r="AP164" s="108"/>
      <c r="AQ164" s="108"/>
      <c r="AR164" s="108"/>
      <c r="AS164" s="108"/>
      <c r="AT164" s="108">
        <v>1</v>
      </c>
      <c r="AU164" s="108" t="s">
        <v>225</v>
      </c>
      <c r="AV164" s="115">
        <v>0</v>
      </c>
      <c r="AW164" s="108" t="s">
        <v>74</v>
      </c>
      <c r="AX164" s="108" t="s">
        <v>17</v>
      </c>
      <c r="AY164" s="108"/>
      <c r="AZ164" s="108" t="s">
        <v>714</v>
      </c>
      <c r="BA164" s="108"/>
      <c r="BB164" s="108" t="s">
        <v>17</v>
      </c>
      <c r="BC164" s="108" t="s">
        <v>714</v>
      </c>
      <c r="BD164" s="108" t="s">
        <v>714</v>
      </c>
      <c r="BE164" s="108"/>
      <c r="BF164" s="116"/>
      <c r="BG164" s="116"/>
      <c r="BH164" s="108" t="s">
        <v>345</v>
      </c>
      <c r="BI164" s="108">
        <v>32</v>
      </c>
      <c r="BJ164" s="108">
        <v>39</v>
      </c>
      <c r="BK164" s="111">
        <v>44293</v>
      </c>
      <c r="BL164" s="111">
        <v>44322</v>
      </c>
      <c r="BM164" s="111"/>
      <c r="BN164" s="111"/>
      <c r="BO164" s="108">
        <v>43467</v>
      </c>
      <c r="BP164" s="108">
        <v>43830</v>
      </c>
      <c r="BQ164" s="108" t="s">
        <v>715</v>
      </c>
      <c r="BR164" s="108" t="s">
        <v>716</v>
      </c>
      <c r="BS164" s="108"/>
      <c r="BT164" s="108"/>
      <c r="BU164" s="108"/>
      <c r="BV164" s="108"/>
      <c r="BW164" s="108"/>
      <c r="BX164" s="108"/>
      <c r="BY164" s="108"/>
      <c r="BZ164" s="108" t="e">
        <f>VLOOKUP(C164,[1]Sertifikasi!$B$4:$I$19,8,0)</f>
        <v>#N/A</v>
      </c>
    </row>
    <row r="165" spans="1:78" ht="11.25" customHeight="1">
      <c r="A165" s="108"/>
      <c r="B165" s="108">
        <v>30</v>
      </c>
      <c r="C165" s="108" t="s">
        <v>2711</v>
      </c>
      <c r="D165" s="109">
        <v>990900010</v>
      </c>
      <c r="E165" s="131">
        <v>1440009311355</v>
      </c>
      <c r="F165" s="131"/>
      <c r="G165" s="113" t="s">
        <v>33</v>
      </c>
      <c r="H165" s="108" t="s">
        <v>71</v>
      </c>
      <c r="I165" s="116">
        <v>44671</v>
      </c>
      <c r="J165" s="108">
        <f ca="1">DATEDIF(I165,$C$3,"y")</f>
        <v>1</v>
      </c>
      <c r="K165" s="108">
        <f ca="1">DATEDIF(I165,$C$3,"ym")</f>
        <v>6</v>
      </c>
      <c r="L165" s="108" t="str">
        <f t="shared" si="5"/>
        <v>Organik</v>
      </c>
      <c r="M165" s="108"/>
      <c r="N165" s="112">
        <v>44671</v>
      </c>
      <c r="O165" s="108" t="s">
        <v>2112</v>
      </c>
      <c r="P165" s="108" t="s">
        <v>5</v>
      </c>
      <c r="Q165" s="210" t="s">
        <v>4100</v>
      </c>
      <c r="R165" s="108" t="s">
        <v>4099</v>
      </c>
      <c r="S165" s="108" t="s">
        <v>854</v>
      </c>
      <c r="T165" s="108" t="s">
        <v>854</v>
      </c>
      <c r="U165" s="108" t="s">
        <v>199</v>
      </c>
      <c r="V165" s="108" t="s">
        <v>180</v>
      </c>
      <c r="W165" s="108"/>
      <c r="X165" s="108"/>
      <c r="Y165" s="108" t="s">
        <v>59</v>
      </c>
      <c r="Z165" s="108" t="s">
        <v>1486</v>
      </c>
      <c r="AA165" s="111">
        <v>31076</v>
      </c>
      <c r="AB165" s="113">
        <f ca="1">DATEDIF(AA165,$C$3,"y")</f>
        <v>38</v>
      </c>
      <c r="AC165" s="108" t="s">
        <v>2712</v>
      </c>
      <c r="AD165" s="129" t="s">
        <v>2713</v>
      </c>
      <c r="AE165" s="108" t="s">
        <v>2714</v>
      </c>
      <c r="AF165" s="108"/>
      <c r="AG165" s="108" t="s">
        <v>2715</v>
      </c>
      <c r="AH165" s="114" t="s">
        <v>2716</v>
      </c>
      <c r="AI165" s="115">
        <v>8024057328</v>
      </c>
      <c r="AJ165" s="108" t="s">
        <v>189</v>
      </c>
      <c r="AK165" s="108" t="s">
        <v>2717</v>
      </c>
      <c r="AL165" s="108" t="s">
        <v>2718</v>
      </c>
      <c r="AM165" s="108" t="s">
        <v>2719</v>
      </c>
      <c r="AN165" s="108"/>
      <c r="AO165" s="108"/>
      <c r="AP165" s="108"/>
      <c r="AQ165" s="108"/>
      <c r="AR165" s="108"/>
      <c r="AS165" s="108"/>
      <c r="AT165" s="108">
        <f>COUNTA(AL165:AO165)</f>
        <v>2</v>
      </c>
      <c r="AU165" s="108" t="str">
        <f>IF(AJ165="Menikah","K","TK")&amp;"/"&amp;AT165</f>
        <v>K/2</v>
      </c>
      <c r="AV165" s="131">
        <v>587580176522000</v>
      </c>
      <c r="AW165" s="113" t="s">
        <v>74</v>
      </c>
      <c r="AX165" s="108" t="s">
        <v>12</v>
      </c>
      <c r="AY165" s="108" t="s">
        <v>210</v>
      </c>
      <c r="AZ165" s="108" t="s">
        <v>2147</v>
      </c>
      <c r="BA165" s="108">
        <v>2006</v>
      </c>
      <c r="BB165" s="108" t="s">
        <v>12</v>
      </c>
      <c r="BC165" s="108" t="s">
        <v>210</v>
      </c>
      <c r="BD165" s="108" t="s">
        <v>2147</v>
      </c>
      <c r="BE165" s="108">
        <v>2006</v>
      </c>
      <c r="BF165" s="116"/>
      <c r="BG165" s="116"/>
      <c r="BH165" s="108"/>
      <c r="BI165" s="108"/>
      <c r="BJ165" s="108">
        <v>42</v>
      </c>
      <c r="BK165" s="111"/>
      <c r="BL165" s="111"/>
      <c r="BM165" s="111">
        <v>44649</v>
      </c>
      <c r="BN165" s="111"/>
      <c r="BO165" s="108"/>
      <c r="BP165" s="108"/>
      <c r="BQ165" s="108"/>
      <c r="BR165" s="108"/>
      <c r="BS165" s="108"/>
      <c r="BT165" s="108"/>
      <c r="BU165" s="108"/>
      <c r="BV165" s="108"/>
      <c r="BW165" s="108"/>
      <c r="BX165" s="108"/>
      <c r="BY165" s="108"/>
      <c r="BZ165" s="108" t="e">
        <f>VLOOKUP(C165,[1]Sertifikasi!$B$4:$I$19,8,0)</f>
        <v>#N/A</v>
      </c>
    </row>
    <row r="166" spans="1:78" ht="11.25" customHeight="1">
      <c r="A166" s="108"/>
      <c r="B166" s="108">
        <v>235</v>
      </c>
      <c r="C166" s="108" t="s">
        <v>431</v>
      </c>
      <c r="D166" s="109">
        <v>642001004</v>
      </c>
      <c r="E166" s="131">
        <v>1710004034461</v>
      </c>
      <c r="F166" s="131"/>
      <c r="G166" s="108" t="s">
        <v>71</v>
      </c>
      <c r="H166" s="108" t="s">
        <v>71</v>
      </c>
      <c r="I166" s="111">
        <v>42125</v>
      </c>
      <c r="J166" s="108">
        <v>8</v>
      </c>
      <c r="K166" s="108">
        <v>5</v>
      </c>
      <c r="L166" s="108" t="str">
        <f t="shared" si="5"/>
        <v>PKWT</v>
      </c>
      <c r="M166" s="108"/>
      <c r="N166" s="112">
        <v>45291</v>
      </c>
      <c r="O166" s="108"/>
      <c r="P166" s="108" t="s">
        <v>213</v>
      </c>
      <c r="Q166" s="210" t="s">
        <v>4102</v>
      </c>
      <c r="R166" s="108" t="s">
        <v>259</v>
      </c>
      <c r="S166" s="108" t="s">
        <v>33</v>
      </c>
      <c r="T166" s="108" t="s">
        <v>432</v>
      </c>
      <c r="U166" s="108" t="s">
        <v>199</v>
      </c>
      <c r="V166" s="108" t="s">
        <v>180</v>
      </c>
      <c r="W166" s="108" t="s">
        <v>277</v>
      </c>
      <c r="X166" s="108" t="s">
        <v>215</v>
      </c>
      <c r="Y166" s="108" t="s">
        <v>216</v>
      </c>
      <c r="Z166" s="108" t="s">
        <v>433</v>
      </c>
      <c r="AA166" s="111">
        <v>34621</v>
      </c>
      <c r="AB166" s="113">
        <v>28</v>
      </c>
      <c r="AC166" s="108" t="s">
        <v>434</v>
      </c>
      <c r="AD166" s="129" t="s">
        <v>435</v>
      </c>
      <c r="AE166" s="108" t="s">
        <v>436</v>
      </c>
      <c r="AF166" s="108"/>
      <c r="AG166" s="108" t="s">
        <v>437</v>
      </c>
      <c r="AH166" s="114" t="s">
        <v>438</v>
      </c>
      <c r="AI166" s="115">
        <v>16006272286</v>
      </c>
      <c r="AJ166" s="108" t="s">
        <v>189</v>
      </c>
      <c r="AK166" s="108" t="s">
        <v>439</v>
      </c>
      <c r="AL166" s="108"/>
      <c r="AM166" s="108"/>
      <c r="AN166" s="108"/>
      <c r="AO166" s="108"/>
      <c r="AP166" s="108"/>
      <c r="AQ166" s="108"/>
      <c r="AR166" s="108"/>
      <c r="AS166" s="108"/>
      <c r="AT166" s="108">
        <v>0</v>
      </c>
      <c r="AU166" s="108" t="s">
        <v>390</v>
      </c>
      <c r="AV166" s="115">
        <v>0</v>
      </c>
      <c r="AW166" s="108" t="s">
        <v>74</v>
      </c>
      <c r="AX166" s="108" t="s">
        <v>12</v>
      </c>
      <c r="AY166" s="108" t="s">
        <v>226</v>
      </c>
      <c r="AZ166" s="108" t="s">
        <v>440</v>
      </c>
      <c r="BA166" s="108">
        <v>2017</v>
      </c>
      <c r="BB166" s="108" t="s">
        <v>12</v>
      </c>
      <c r="BC166" s="108" t="s">
        <v>226</v>
      </c>
      <c r="BD166" s="108" t="s">
        <v>440</v>
      </c>
      <c r="BE166" s="108">
        <v>2017</v>
      </c>
      <c r="BF166" s="116"/>
      <c r="BG166" s="116"/>
      <c r="BH166" s="108" t="s">
        <v>345</v>
      </c>
      <c r="BI166" s="108">
        <v>33</v>
      </c>
      <c r="BJ166" s="108">
        <v>42</v>
      </c>
      <c r="BK166" s="111">
        <v>44293</v>
      </c>
      <c r="BL166" s="111">
        <v>44322</v>
      </c>
      <c r="BM166" s="111"/>
      <c r="BN166" s="111"/>
      <c r="BO166" s="108">
        <v>43467</v>
      </c>
      <c r="BP166" s="108">
        <v>43830</v>
      </c>
      <c r="BQ166" s="108" t="s">
        <v>441</v>
      </c>
      <c r="BR166" s="108" t="s">
        <v>442</v>
      </c>
      <c r="BS166" s="108"/>
      <c r="BT166" s="108"/>
      <c r="BU166" s="108"/>
      <c r="BV166" s="108"/>
      <c r="BW166" s="108"/>
      <c r="BX166" s="108"/>
      <c r="BY166" s="108"/>
      <c r="BZ166" s="108" t="e">
        <f>VLOOKUP(C166,[1]Sertifikasi!$B$4:$I$19,8,0)</f>
        <v>#N/A</v>
      </c>
    </row>
    <row r="167" spans="1:78" ht="11.25" customHeight="1">
      <c r="A167" s="108"/>
      <c r="B167" s="108">
        <v>236</v>
      </c>
      <c r="C167" s="108" t="s">
        <v>2093</v>
      </c>
      <c r="D167" s="109">
        <v>642002086</v>
      </c>
      <c r="E167" s="131">
        <v>1660002404481</v>
      </c>
      <c r="F167" s="131"/>
      <c r="G167" s="108" t="s">
        <v>259</v>
      </c>
      <c r="H167" s="108" t="s">
        <v>259</v>
      </c>
      <c r="I167" s="111">
        <v>43893</v>
      </c>
      <c r="J167" s="108">
        <v>3</v>
      </c>
      <c r="K167" s="108">
        <v>7</v>
      </c>
      <c r="L167" s="108" t="str">
        <f t="shared" si="5"/>
        <v>PKWT</v>
      </c>
      <c r="M167" s="108"/>
      <c r="N167" s="112">
        <v>45291</v>
      </c>
      <c r="O167" s="108"/>
      <c r="P167" s="108" t="s">
        <v>213</v>
      </c>
      <c r="Q167" s="210" t="s">
        <v>4102</v>
      </c>
      <c r="R167" s="108" t="s">
        <v>259</v>
      </c>
      <c r="S167" s="108" t="s">
        <v>33</v>
      </c>
      <c r="T167" s="108" t="s">
        <v>432</v>
      </c>
      <c r="U167" s="108" t="s">
        <v>199</v>
      </c>
      <c r="V167" s="108" t="s">
        <v>180</v>
      </c>
      <c r="W167" s="108"/>
      <c r="X167" s="108"/>
      <c r="Y167" s="108" t="s">
        <v>216</v>
      </c>
      <c r="Z167" s="108" t="s">
        <v>2094</v>
      </c>
      <c r="AA167" s="111">
        <v>36536</v>
      </c>
      <c r="AB167" s="113">
        <v>23</v>
      </c>
      <c r="AC167" s="108" t="s">
        <v>2095</v>
      </c>
      <c r="AD167" s="129" t="s">
        <v>2096</v>
      </c>
      <c r="AE167" s="108" t="s">
        <v>2097</v>
      </c>
      <c r="AF167" s="108"/>
      <c r="AG167" s="108" t="s">
        <v>2098</v>
      </c>
      <c r="AH167" s="114" t="s">
        <v>2099</v>
      </c>
      <c r="AI167" s="115">
        <v>20024319848</v>
      </c>
      <c r="AJ167" s="108" t="s">
        <v>255</v>
      </c>
      <c r="AK167" s="108"/>
      <c r="AL167" s="108"/>
      <c r="AM167" s="108"/>
      <c r="AN167" s="108"/>
      <c r="AO167" s="108"/>
      <c r="AP167" s="108"/>
      <c r="AQ167" s="108"/>
      <c r="AR167" s="108"/>
      <c r="AS167" s="108"/>
      <c r="AT167" s="108">
        <v>0</v>
      </c>
      <c r="AU167" s="108" t="s">
        <v>304</v>
      </c>
      <c r="AV167" s="115"/>
      <c r="AW167" s="108" t="s">
        <v>74</v>
      </c>
      <c r="AX167" s="108" t="s">
        <v>16</v>
      </c>
      <c r="AY167" s="108" t="s">
        <v>1357</v>
      </c>
      <c r="AZ167" s="108" t="s">
        <v>2100</v>
      </c>
      <c r="BA167" s="108">
        <v>2017</v>
      </c>
      <c r="BB167" s="108" t="s">
        <v>16</v>
      </c>
      <c r="BC167" s="108" t="s">
        <v>1357</v>
      </c>
      <c r="BD167" s="108" t="s">
        <v>2100</v>
      </c>
      <c r="BE167" s="108">
        <v>2017</v>
      </c>
      <c r="BF167" s="116"/>
      <c r="BG167" s="116"/>
      <c r="BH167" s="108" t="s">
        <v>241</v>
      </c>
      <c r="BI167" s="108" t="s">
        <v>241</v>
      </c>
      <c r="BJ167" s="108">
        <v>39</v>
      </c>
      <c r="BK167" s="111"/>
      <c r="BL167" s="111"/>
      <c r="BM167" s="111"/>
      <c r="BN167" s="111"/>
      <c r="BO167" s="108"/>
      <c r="BP167" s="108"/>
      <c r="BQ167" s="108"/>
      <c r="BR167" s="108"/>
      <c r="BS167" s="108"/>
      <c r="BT167" s="108"/>
      <c r="BU167" s="108"/>
      <c r="BV167" s="108"/>
      <c r="BW167" s="108"/>
      <c r="BX167" s="108"/>
      <c r="BY167" s="108"/>
      <c r="BZ167" s="108" t="e">
        <f>VLOOKUP(C167,[1]Sertifikasi!$B$4:$I$19,8,0)</f>
        <v>#N/A</v>
      </c>
    </row>
    <row r="168" spans="1:78" ht="11.25" customHeight="1">
      <c r="A168" s="108"/>
      <c r="B168" s="108">
        <v>284</v>
      </c>
      <c r="C168" s="108" t="s">
        <v>1933</v>
      </c>
      <c r="D168" s="109">
        <v>641907236</v>
      </c>
      <c r="E168" s="131">
        <v>1710005657690</v>
      </c>
      <c r="F168" s="131"/>
      <c r="G168" s="108" t="s">
        <v>575</v>
      </c>
      <c r="H168" s="108" t="s">
        <v>575</v>
      </c>
      <c r="I168" s="111">
        <v>43647</v>
      </c>
      <c r="J168" s="108">
        <v>4</v>
      </c>
      <c r="K168" s="108">
        <v>3</v>
      </c>
      <c r="L168" s="108" t="str">
        <f t="shared" si="5"/>
        <v>PKWT</v>
      </c>
      <c r="M168" s="108"/>
      <c r="N168" s="112">
        <v>45473</v>
      </c>
      <c r="O168" s="108"/>
      <c r="P168" s="108" t="s">
        <v>213</v>
      </c>
      <c r="Q168" s="210" t="s">
        <v>4102</v>
      </c>
      <c r="R168" s="108" t="s">
        <v>575</v>
      </c>
      <c r="S168" s="108" t="s">
        <v>262</v>
      </c>
      <c r="T168" s="108" t="s">
        <v>92</v>
      </c>
      <c r="U168" s="108" t="s">
        <v>276</v>
      </c>
      <c r="V168" s="108" t="s">
        <v>180</v>
      </c>
      <c r="W168" s="108"/>
      <c r="X168" s="108" t="s">
        <v>215</v>
      </c>
      <c r="Y168" s="108" t="s">
        <v>216</v>
      </c>
      <c r="Z168" s="108" t="s">
        <v>575</v>
      </c>
      <c r="AA168" s="111">
        <v>36500</v>
      </c>
      <c r="AB168" s="113">
        <v>23</v>
      </c>
      <c r="AC168" s="108" t="s">
        <v>1934</v>
      </c>
      <c r="AD168" s="129" t="s">
        <v>1935</v>
      </c>
      <c r="AE168" s="108" t="s">
        <v>1936</v>
      </c>
      <c r="AF168" s="108"/>
      <c r="AG168" s="108" t="s">
        <v>1937</v>
      </c>
      <c r="AH168" s="114" t="s">
        <v>1938</v>
      </c>
      <c r="AI168" s="115">
        <v>19047644018</v>
      </c>
      <c r="AJ168" s="108" t="s">
        <v>255</v>
      </c>
      <c r="AK168" s="108"/>
      <c r="AL168" s="108"/>
      <c r="AM168" s="108"/>
      <c r="AN168" s="108"/>
      <c r="AO168" s="108"/>
      <c r="AP168" s="108"/>
      <c r="AQ168" s="108"/>
      <c r="AR168" s="108"/>
      <c r="AS168" s="108"/>
      <c r="AT168" s="108">
        <v>0</v>
      </c>
      <c r="AU168" s="108" t="s">
        <v>304</v>
      </c>
      <c r="AV168" s="115">
        <v>0</v>
      </c>
      <c r="AW168" s="108" t="s">
        <v>74</v>
      </c>
      <c r="AX168" s="108" t="s">
        <v>16</v>
      </c>
      <c r="AY168" s="108" t="s">
        <v>1357</v>
      </c>
      <c r="AZ168" s="108" t="s">
        <v>1419</v>
      </c>
      <c r="BA168" s="108">
        <v>2018</v>
      </c>
      <c r="BB168" s="108" t="s">
        <v>287</v>
      </c>
      <c r="BC168" s="108" t="s">
        <v>1357</v>
      </c>
      <c r="BD168" s="108" t="s">
        <v>1419</v>
      </c>
      <c r="BE168" s="108">
        <v>2018</v>
      </c>
      <c r="BF168" s="116"/>
      <c r="BG168" s="116"/>
      <c r="BH168" s="108" t="s">
        <v>394</v>
      </c>
      <c r="BI168" s="108">
        <v>34</v>
      </c>
      <c r="BJ168" s="108">
        <v>43</v>
      </c>
      <c r="BK168" s="111"/>
      <c r="BL168" s="111"/>
      <c r="BM168" s="111"/>
      <c r="BN168" s="111"/>
      <c r="BO168" s="108"/>
      <c r="BP168" s="108"/>
      <c r="BQ168" s="108"/>
      <c r="BR168" s="108"/>
      <c r="BS168" s="108"/>
      <c r="BT168" s="108"/>
      <c r="BU168" s="108"/>
      <c r="BV168" s="108"/>
      <c r="BW168" s="108"/>
      <c r="BX168" s="108"/>
      <c r="BY168" s="108"/>
      <c r="BZ168" s="108" t="e">
        <f>VLOOKUP(C168,[1]Sertifikasi!$B$4:$I$19,8,0)</f>
        <v>#N/A</v>
      </c>
    </row>
    <row r="169" spans="1:78" ht="11.25" customHeight="1">
      <c r="A169" s="108"/>
      <c r="B169" s="108">
        <v>237</v>
      </c>
      <c r="C169" s="108" t="s">
        <v>3008</v>
      </c>
      <c r="D169" s="109">
        <v>642307120</v>
      </c>
      <c r="E169" s="131"/>
      <c r="F169" s="131">
        <v>7249704207</v>
      </c>
      <c r="G169" s="108" t="s">
        <v>71</v>
      </c>
      <c r="H169" s="108" t="s">
        <v>2875</v>
      </c>
      <c r="I169" s="111">
        <v>45174</v>
      </c>
      <c r="J169" s="108">
        <v>0</v>
      </c>
      <c r="K169" s="108">
        <v>1</v>
      </c>
      <c r="L169" s="108" t="str">
        <f t="shared" si="5"/>
        <v>PKWT</v>
      </c>
      <c r="M169" s="108"/>
      <c r="N169" s="112">
        <v>45539</v>
      </c>
      <c r="O169" s="108"/>
      <c r="P169" s="108" t="s">
        <v>213</v>
      </c>
      <c r="Q169" s="210" t="s">
        <v>4102</v>
      </c>
      <c r="R169" s="108" t="s">
        <v>259</v>
      </c>
      <c r="S169" s="108" t="s">
        <v>33</v>
      </c>
      <c r="T169" s="108" t="s">
        <v>432</v>
      </c>
      <c r="U169" s="108" t="s">
        <v>199</v>
      </c>
      <c r="V169" s="108" t="s">
        <v>180</v>
      </c>
      <c r="W169" s="108" t="s">
        <v>3009</v>
      </c>
      <c r="X169" s="108"/>
      <c r="Y169" s="108" t="s">
        <v>216</v>
      </c>
      <c r="Z169" s="108" t="s">
        <v>2875</v>
      </c>
      <c r="AA169" s="111">
        <v>36853</v>
      </c>
      <c r="AB169" s="113">
        <v>22</v>
      </c>
      <c r="AC169" s="108" t="s">
        <v>3010</v>
      </c>
      <c r="AD169" s="129" t="s">
        <v>3011</v>
      </c>
      <c r="AE169" s="108">
        <v>6285647824003</v>
      </c>
      <c r="AF169" s="108"/>
      <c r="AG169" s="108" t="s">
        <v>3012</v>
      </c>
      <c r="AH169" s="114" t="s">
        <v>3013</v>
      </c>
      <c r="AI169" s="115">
        <v>23138645884</v>
      </c>
      <c r="AJ169" s="108" t="s">
        <v>255</v>
      </c>
      <c r="AK169" s="108"/>
      <c r="AL169" s="108"/>
      <c r="AM169" s="108"/>
      <c r="AN169" s="108"/>
      <c r="AO169" s="108"/>
      <c r="AP169" s="108"/>
      <c r="AQ169" s="108"/>
      <c r="AR169" s="108"/>
      <c r="AS169" s="108"/>
      <c r="AT169" s="108">
        <v>0</v>
      </c>
      <c r="AU169" s="108" t="s">
        <v>304</v>
      </c>
      <c r="AV169" s="115"/>
      <c r="AW169" s="108" t="s">
        <v>74</v>
      </c>
      <c r="AX169" s="108" t="s">
        <v>13</v>
      </c>
      <c r="AY169" s="108" t="s">
        <v>2789</v>
      </c>
      <c r="AZ169" s="108" t="s">
        <v>2472</v>
      </c>
      <c r="BA169" s="108">
        <v>2022</v>
      </c>
      <c r="BB169" s="108" t="s">
        <v>13</v>
      </c>
      <c r="BC169" s="108" t="s">
        <v>2789</v>
      </c>
      <c r="BD169" s="108" t="s">
        <v>2472</v>
      </c>
      <c r="BE169" s="108">
        <v>2022</v>
      </c>
      <c r="BF169" s="116"/>
      <c r="BG169" s="116"/>
      <c r="BH169" s="108"/>
      <c r="BI169" s="108"/>
      <c r="BJ169" s="108"/>
      <c r="BK169" s="111"/>
      <c r="BL169" s="111"/>
      <c r="BM169" s="111"/>
      <c r="BN169" s="111"/>
      <c r="BO169" s="108"/>
      <c r="BP169" s="108"/>
      <c r="BQ169" s="108"/>
      <c r="BR169" s="108"/>
      <c r="BS169" s="108"/>
      <c r="BT169" s="108"/>
      <c r="BU169" s="108"/>
      <c r="BV169" s="108"/>
      <c r="BW169" s="108"/>
      <c r="BX169" s="108"/>
      <c r="BY169" s="108"/>
      <c r="BZ169" s="108" t="e">
        <f>VLOOKUP(C169,[1]Sertifikasi!$B$4:$I$19,8,0)</f>
        <v>#N/A</v>
      </c>
    </row>
    <row r="170" spans="1:78" ht="11.25" customHeight="1">
      <c r="A170" s="108"/>
      <c r="B170" s="108">
        <v>317</v>
      </c>
      <c r="C170" s="108" t="s">
        <v>1974</v>
      </c>
      <c r="D170" s="109">
        <v>641907248</v>
      </c>
      <c r="E170" s="131">
        <v>1710005657682</v>
      </c>
      <c r="F170" s="131"/>
      <c r="G170" s="108" t="s">
        <v>37</v>
      </c>
      <c r="H170" s="108" t="s">
        <v>37</v>
      </c>
      <c r="I170" s="111">
        <v>43647</v>
      </c>
      <c r="J170" s="108">
        <v>4</v>
      </c>
      <c r="K170" s="108">
        <v>3</v>
      </c>
      <c r="L170" s="108" t="str">
        <f t="shared" si="5"/>
        <v>PKWT</v>
      </c>
      <c r="M170" s="108"/>
      <c r="N170" s="112">
        <v>45291</v>
      </c>
      <c r="O170" s="108"/>
      <c r="P170" s="108" t="s">
        <v>213</v>
      </c>
      <c r="Q170" s="210" t="s">
        <v>4102</v>
      </c>
      <c r="R170" s="108" t="s">
        <v>37</v>
      </c>
      <c r="S170" s="108" t="s">
        <v>476</v>
      </c>
      <c r="T170" s="108" t="s">
        <v>100</v>
      </c>
      <c r="U170" s="108" t="s">
        <v>276</v>
      </c>
      <c r="V170" s="108" t="s">
        <v>180</v>
      </c>
      <c r="W170" s="108"/>
      <c r="X170" s="108" t="s">
        <v>215</v>
      </c>
      <c r="Y170" s="108" t="s">
        <v>216</v>
      </c>
      <c r="Z170" s="108" t="s">
        <v>37</v>
      </c>
      <c r="AA170" s="111">
        <v>35270</v>
      </c>
      <c r="AB170" s="113">
        <v>27</v>
      </c>
      <c r="AC170" s="108" t="s">
        <v>1975</v>
      </c>
      <c r="AD170" s="129" t="s">
        <v>1976</v>
      </c>
      <c r="AE170" s="108" t="s">
        <v>1977</v>
      </c>
      <c r="AF170" s="108"/>
      <c r="AG170" s="108" t="s">
        <v>1978</v>
      </c>
      <c r="AH170" s="114" t="s">
        <v>1979</v>
      </c>
      <c r="AI170" s="115">
        <v>19047644042</v>
      </c>
      <c r="AJ170" s="108" t="s">
        <v>255</v>
      </c>
      <c r="AK170" s="108"/>
      <c r="AL170" s="108"/>
      <c r="AM170" s="108"/>
      <c r="AN170" s="108"/>
      <c r="AO170" s="108" t="s">
        <v>1980</v>
      </c>
      <c r="AP170" s="108"/>
      <c r="AQ170" s="108"/>
      <c r="AR170" s="108"/>
      <c r="AS170" s="108"/>
      <c r="AT170" s="108">
        <v>1</v>
      </c>
      <c r="AU170" s="108" t="s">
        <v>646</v>
      </c>
      <c r="AV170" s="115">
        <v>0</v>
      </c>
      <c r="AW170" s="108" t="s">
        <v>74</v>
      </c>
      <c r="AX170" s="108" t="s">
        <v>16</v>
      </c>
      <c r="AY170" s="108" t="s">
        <v>331</v>
      </c>
      <c r="AZ170" s="108" t="s">
        <v>1981</v>
      </c>
      <c r="BA170" s="108">
        <v>2016</v>
      </c>
      <c r="BB170" s="108" t="s">
        <v>287</v>
      </c>
      <c r="BC170" s="108" t="s">
        <v>331</v>
      </c>
      <c r="BD170" s="108" t="s">
        <v>1981</v>
      </c>
      <c r="BE170" s="108">
        <v>2016</v>
      </c>
      <c r="BF170" s="116"/>
      <c r="BG170" s="116"/>
      <c r="BH170" s="108" t="s">
        <v>241</v>
      </c>
      <c r="BI170" s="108">
        <v>31</v>
      </c>
      <c r="BJ170" s="108">
        <v>41</v>
      </c>
      <c r="BK170" s="111"/>
      <c r="BL170" s="111"/>
      <c r="BM170" s="111"/>
      <c r="BN170" s="111"/>
      <c r="BO170" s="108"/>
      <c r="BP170" s="108"/>
      <c r="BQ170" s="108"/>
      <c r="BR170" s="108"/>
      <c r="BS170" s="108"/>
      <c r="BT170" s="108"/>
      <c r="BU170" s="108"/>
      <c r="BV170" s="108"/>
      <c r="BW170" s="108"/>
      <c r="BX170" s="108"/>
      <c r="BY170" s="108"/>
      <c r="BZ170" s="108" t="e">
        <f>VLOOKUP(C170,[1]Sertifikasi!$B$4:$I$19,8,0)</f>
        <v>#N/A</v>
      </c>
    </row>
    <row r="171" spans="1:78" ht="11.25" customHeight="1">
      <c r="A171" s="108"/>
      <c r="B171" s="108">
        <v>179</v>
      </c>
      <c r="C171" s="128" t="s">
        <v>258</v>
      </c>
      <c r="D171" s="109">
        <v>971800022</v>
      </c>
      <c r="E171" s="131">
        <v>1710003919845</v>
      </c>
      <c r="F171" s="131"/>
      <c r="G171" s="113" t="s">
        <v>71</v>
      </c>
      <c r="H171" s="108" t="s">
        <v>259</v>
      </c>
      <c r="I171" s="111">
        <v>42072</v>
      </c>
      <c r="J171" s="108">
        <f ca="1">DATEDIF(I171,$C$3,"y")</f>
        <v>8</v>
      </c>
      <c r="K171" s="108">
        <f ca="1">DATEDIF(I171,$C$3,"ym")</f>
        <v>8</v>
      </c>
      <c r="L171" s="108" t="str">
        <f t="shared" si="5"/>
        <v>Tetap</v>
      </c>
      <c r="M171" s="108" t="s">
        <v>260</v>
      </c>
      <c r="N171" s="112">
        <v>43116</v>
      </c>
      <c r="O171" s="111"/>
      <c r="P171" s="108" t="s">
        <v>261</v>
      </c>
      <c r="Q171" s="210" t="s">
        <v>4100</v>
      </c>
      <c r="R171" s="108" t="s">
        <v>259</v>
      </c>
      <c r="S171" s="108" t="s">
        <v>262</v>
      </c>
      <c r="T171" s="108" t="s">
        <v>89</v>
      </c>
      <c r="U171" s="108" t="s">
        <v>199</v>
      </c>
      <c r="V171" s="108" t="s">
        <v>180</v>
      </c>
      <c r="W171" s="108" t="s">
        <v>263</v>
      </c>
      <c r="X171" s="108"/>
      <c r="Y171" s="108" t="s">
        <v>59</v>
      </c>
      <c r="Z171" s="108" t="s">
        <v>264</v>
      </c>
      <c r="AA171" s="111">
        <v>33818</v>
      </c>
      <c r="AB171" s="113">
        <f ca="1">DATEDIF(AA171,$C$3,"y")</f>
        <v>31</v>
      </c>
      <c r="AC171" s="108" t="s">
        <v>265</v>
      </c>
      <c r="AD171" s="129" t="s">
        <v>266</v>
      </c>
      <c r="AE171" s="108" t="s">
        <v>267</v>
      </c>
      <c r="AF171" s="108"/>
      <c r="AG171" s="130" t="s">
        <v>268</v>
      </c>
      <c r="AH171" s="114" t="s">
        <v>269</v>
      </c>
      <c r="AI171" s="115">
        <v>16006272369</v>
      </c>
      <c r="AJ171" s="108" t="s">
        <v>189</v>
      </c>
      <c r="AK171" s="108"/>
      <c r="AL171" s="108"/>
      <c r="AM171" s="108"/>
      <c r="AN171" s="108"/>
      <c r="AO171" s="108"/>
      <c r="AP171" s="108"/>
      <c r="AQ171" s="108"/>
      <c r="AR171" s="108"/>
      <c r="AS171" s="108"/>
      <c r="AT171" s="108">
        <f>COUNTA(AL171:AO171)</f>
        <v>0</v>
      </c>
      <c r="AU171" s="108" t="str">
        <f>IF(AJ171="Menikah","K","TK")&amp;"/"&amp;AT171</f>
        <v>K/0</v>
      </c>
      <c r="AV171" s="131" t="s">
        <v>270</v>
      </c>
      <c r="AW171" s="113" t="s">
        <v>74</v>
      </c>
      <c r="AX171" s="108" t="s">
        <v>12</v>
      </c>
      <c r="AY171" s="108" t="s">
        <v>226</v>
      </c>
      <c r="AZ171" s="108" t="s">
        <v>271</v>
      </c>
      <c r="BA171" s="108">
        <v>2017</v>
      </c>
      <c r="BB171" s="108" t="s">
        <v>12</v>
      </c>
      <c r="BC171" s="108" t="s">
        <v>226</v>
      </c>
      <c r="BD171" s="108" t="s">
        <v>271</v>
      </c>
      <c r="BE171" s="108">
        <v>2017</v>
      </c>
      <c r="BF171" s="116">
        <v>54073</v>
      </c>
      <c r="BG171" s="116">
        <v>54438</v>
      </c>
      <c r="BH171" s="132"/>
      <c r="BI171" s="108"/>
      <c r="BJ171" s="108">
        <v>40</v>
      </c>
      <c r="BK171" s="111"/>
      <c r="BL171" s="111"/>
      <c r="BM171" s="111">
        <v>44757</v>
      </c>
      <c r="BN171" s="111"/>
      <c r="BO171" s="108"/>
      <c r="BP171" s="108"/>
      <c r="BQ171" s="108"/>
      <c r="BR171" s="108"/>
      <c r="BS171" s="108"/>
      <c r="BT171" s="108"/>
      <c r="BU171" s="108"/>
      <c r="BV171" s="108"/>
      <c r="BW171" s="108"/>
      <c r="BX171" s="108"/>
      <c r="BY171" s="108"/>
      <c r="BZ171" s="108" t="e">
        <f>VLOOKUP(C171,[1]Sertifikasi!$B$4:$I$19,8,0)</f>
        <v>#N/A</v>
      </c>
    </row>
    <row r="172" spans="1:78" ht="11.25" customHeight="1">
      <c r="A172" s="108"/>
      <c r="B172" s="108">
        <v>285</v>
      </c>
      <c r="C172" s="108" t="s">
        <v>1413</v>
      </c>
      <c r="D172" s="109">
        <v>641808171</v>
      </c>
      <c r="E172" s="131">
        <v>1710004607035</v>
      </c>
      <c r="F172" s="131"/>
      <c r="G172" s="108" t="s">
        <v>575</v>
      </c>
      <c r="H172" s="108" t="s">
        <v>575</v>
      </c>
      <c r="I172" s="111">
        <v>43325</v>
      </c>
      <c r="J172" s="108">
        <v>5</v>
      </c>
      <c r="K172" s="108">
        <v>1</v>
      </c>
      <c r="L172" s="108" t="str">
        <f t="shared" si="5"/>
        <v>PKWT</v>
      </c>
      <c r="M172" s="108"/>
      <c r="N172" s="112">
        <v>45515</v>
      </c>
      <c r="O172" s="108"/>
      <c r="P172" s="108" t="s">
        <v>213</v>
      </c>
      <c r="Q172" s="210" t="s">
        <v>4102</v>
      </c>
      <c r="R172" s="108" t="s">
        <v>575</v>
      </c>
      <c r="S172" s="108" t="s">
        <v>262</v>
      </c>
      <c r="T172" s="108" t="s">
        <v>92</v>
      </c>
      <c r="U172" s="108" t="s">
        <v>276</v>
      </c>
      <c r="V172" s="108" t="s">
        <v>180</v>
      </c>
      <c r="W172" s="108"/>
      <c r="X172" s="108" t="s">
        <v>215</v>
      </c>
      <c r="Y172" s="108" t="s">
        <v>216</v>
      </c>
      <c r="Z172" s="108" t="s">
        <v>575</v>
      </c>
      <c r="AA172" s="111">
        <v>35618</v>
      </c>
      <c r="AB172" s="113">
        <v>26</v>
      </c>
      <c r="AC172" s="108" t="s">
        <v>1414</v>
      </c>
      <c r="AD172" s="129" t="s">
        <v>1415</v>
      </c>
      <c r="AE172" s="108" t="s">
        <v>1416</v>
      </c>
      <c r="AF172" s="108"/>
      <c r="AG172" s="108" t="s">
        <v>1417</v>
      </c>
      <c r="AH172" s="114" t="s">
        <v>1418</v>
      </c>
      <c r="AI172" s="115">
        <v>1807554011</v>
      </c>
      <c r="AJ172" s="108" t="s">
        <v>255</v>
      </c>
      <c r="AK172" s="108"/>
      <c r="AL172" s="108"/>
      <c r="AM172" s="108"/>
      <c r="AN172" s="108"/>
      <c r="AO172" s="108"/>
      <c r="AP172" s="108"/>
      <c r="AQ172" s="108"/>
      <c r="AR172" s="108"/>
      <c r="AS172" s="108"/>
      <c r="AT172" s="108">
        <v>0</v>
      </c>
      <c r="AU172" s="108" t="s">
        <v>304</v>
      </c>
      <c r="AV172" s="115">
        <v>0</v>
      </c>
      <c r="AW172" s="108" t="s">
        <v>74</v>
      </c>
      <c r="AX172" s="108" t="s">
        <v>16</v>
      </c>
      <c r="AY172" s="108" t="s">
        <v>331</v>
      </c>
      <c r="AZ172" s="108" t="s">
        <v>1419</v>
      </c>
      <c r="BA172" s="108">
        <v>2015</v>
      </c>
      <c r="BB172" s="108" t="s">
        <v>287</v>
      </c>
      <c r="BC172" s="108" t="s">
        <v>331</v>
      </c>
      <c r="BD172" s="108" t="s">
        <v>1419</v>
      </c>
      <c r="BE172" s="108">
        <v>2015</v>
      </c>
      <c r="BF172" s="116"/>
      <c r="BG172" s="116"/>
      <c r="BH172" s="108" t="s">
        <v>228</v>
      </c>
      <c r="BI172" s="108">
        <v>32</v>
      </c>
      <c r="BJ172" s="108">
        <v>41</v>
      </c>
      <c r="BK172" s="111"/>
      <c r="BL172" s="111"/>
      <c r="BM172" s="111"/>
      <c r="BN172" s="111"/>
      <c r="BO172" s="108"/>
      <c r="BP172" s="108"/>
      <c r="BQ172" s="108"/>
      <c r="BR172" s="108"/>
      <c r="BS172" s="108"/>
      <c r="BT172" s="108"/>
      <c r="BU172" s="108"/>
      <c r="BV172" s="108"/>
      <c r="BW172" s="108"/>
      <c r="BX172" s="108"/>
      <c r="BY172" s="108"/>
      <c r="BZ172" s="108" t="e">
        <f>VLOOKUP(C172,[1]Sertifikasi!$B$4:$I$19,8,0)</f>
        <v>#N/A</v>
      </c>
    </row>
    <row r="173" spans="1:78" ht="11.25" customHeight="1">
      <c r="A173" s="108"/>
      <c r="B173" s="108">
        <v>79</v>
      </c>
      <c r="C173" s="128" t="s">
        <v>805</v>
      </c>
      <c r="D173" s="109">
        <v>971800016</v>
      </c>
      <c r="E173" s="131">
        <v>1710003626655</v>
      </c>
      <c r="F173" s="131"/>
      <c r="G173" s="113" t="s">
        <v>71</v>
      </c>
      <c r="H173" s="108" t="s">
        <v>71</v>
      </c>
      <c r="I173" s="111">
        <v>42648</v>
      </c>
      <c r="J173" s="108">
        <f ca="1">DATEDIF(I173,$C$3,"y")</f>
        <v>7</v>
      </c>
      <c r="K173" s="108">
        <f ca="1">DATEDIF(I173,$C$3,"ym")</f>
        <v>1</v>
      </c>
      <c r="L173" s="108" t="str">
        <f t="shared" si="5"/>
        <v>Tetap</v>
      </c>
      <c r="M173" s="108" t="s">
        <v>260</v>
      </c>
      <c r="N173" s="112">
        <v>43116</v>
      </c>
      <c r="O173" s="111"/>
      <c r="P173" s="108" t="s">
        <v>261</v>
      </c>
      <c r="Q173" s="210" t="s">
        <v>4100</v>
      </c>
      <c r="R173" s="108" t="s">
        <v>2085</v>
      </c>
      <c r="S173" s="108" t="s">
        <v>179</v>
      </c>
      <c r="T173" s="108" t="s">
        <v>179</v>
      </c>
      <c r="U173" s="108"/>
      <c r="V173" s="108" t="s">
        <v>180</v>
      </c>
      <c r="W173" s="108"/>
      <c r="X173" s="108"/>
      <c r="Y173" s="108" t="s">
        <v>59</v>
      </c>
      <c r="Z173" s="108" t="s">
        <v>71</v>
      </c>
      <c r="AA173" s="111">
        <v>33106</v>
      </c>
      <c r="AB173" s="113">
        <f ca="1">DATEDIF(AA173,$C$3,"y")</f>
        <v>33</v>
      </c>
      <c r="AC173" s="108" t="s">
        <v>806</v>
      </c>
      <c r="AD173" s="129" t="s">
        <v>807</v>
      </c>
      <c r="AE173" s="108" t="s">
        <v>808</v>
      </c>
      <c r="AF173" s="108"/>
      <c r="AG173" s="130" t="s">
        <v>809</v>
      </c>
      <c r="AH173" s="114" t="s">
        <v>810</v>
      </c>
      <c r="AI173" s="115" t="s">
        <v>811</v>
      </c>
      <c r="AJ173" s="108" t="s">
        <v>189</v>
      </c>
      <c r="AK173" s="108" t="s">
        <v>812</v>
      </c>
      <c r="AL173" s="108"/>
      <c r="AM173" s="108"/>
      <c r="AN173" s="108"/>
      <c r="AO173" s="108"/>
      <c r="AP173" s="108"/>
      <c r="AQ173" s="108"/>
      <c r="AR173" s="108"/>
      <c r="AS173" s="108"/>
      <c r="AT173" s="108">
        <f>COUNTA(AL173:AO173)</f>
        <v>0</v>
      </c>
      <c r="AU173" s="108" t="str">
        <f>IF(AJ173="Menikah","K","TK")&amp;"/"&amp;AT173</f>
        <v>K/0</v>
      </c>
      <c r="AV173" s="131" t="s">
        <v>813</v>
      </c>
      <c r="AW173" s="113" t="s">
        <v>74</v>
      </c>
      <c r="AX173" s="108" t="s">
        <v>391</v>
      </c>
      <c r="AY173" s="108" t="s">
        <v>450</v>
      </c>
      <c r="AZ173" s="108" t="s">
        <v>814</v>
      </c>
      <c r="BA173" s="108">
        <v>2008</v>
      </c>
      <c r="BB173" s="108" t="s">
        <v>391</v>
      </c>
      <c r="BC173" s="108" t="s">
        <v>450</v>
      </c>
      <c r="BD173" s="108" t="s">
        <v>814</v>
      </c>
      <c r="BE173" s="108">
        <v>2008</v>
      </c>
      <c r="BF173" s="116">
        <v>53343</v>
      </c>
      <c r="BG173" s="116">
        <v>53708</v>
      </c>
      <c r="BH173" s="132"/>
      <c r="BI173" s="108"/>
      <c r="BJ173" s="108">
        <v>40</v>
      </c>
      <c r="BK173" s="111">
        <v>44294</v>
      </c>
      <c r="BL173" s="111">
        <v>44322</v>
      </c>
      <c r="BM173" s="111">
        <v>44585</v>
      </c>
      <c r="BN173" s="111"/>
      <c r="BO173" s="108"/>
      <c r="BP173" s="108"/>
      <c r="BQ173" s="108"/>
      <c r="BR173" s="108"/>
      <c r="BS173" s="108"/>
      <c r="BT173" s="108"/>
      <c r="BU173" s="108"/>
      <c r="BV173" s="108"/>
      <c r="BW173" s="108"/>
      <c r="BX173" s="108"/>
      <c r="BY173" s="108"/>
      <c r="BZ173" s="108" t="e">
        <f>VLOOKUP(C173,[1]Sertifikasi!$B$4:$I$19,8,0)</f>
        <v>#N/A</v>
      </c>
    </row>
    <row r="174" spans="1:78" ht="11.25" customHeight="1">
      <c r="A174" s="108"/>
      <c r="B174" s="108">
        <v>300</v>
      </c>
      <c r="C174" s="108" t="s">
        <v>2507</v>
      </c>
      <c r="D174" s="109">
        <v>999699956</v>
      </c>
      <c r="E174" s="131"/>
      <c r="F174" s="131"/>
      <c r="G174" s="113" t="s">
        <v>33</v>
      </c>
      <c r="H174" s="108" t="s">
        <v>71</v>
      </c>
      <c r="I174" s="111">
        <v>44575</v>
      </c>
      <c r="J174" s="108">
        <f ca="1">DATEDIF(logut!I43,$C$3,"y")</f>
        <v>2</v>
      </c>
      <c r="K174" s="108">
        <f ca="1">DATEDIF(logut!I43,$C$3,"ym")</f>
        <v>9</v>
      </c>
      <c r="L174" s="108" t="str">
        <f t="shared" si="5"/>
        <v>Organik</v>
      </c>
      <c r="M174" s="108" t="s">
        <v>2496</v>
      </c>
      <c r="N174" s="112">
        <v>35125</v>
      </c>
      <c r="O174" s="108" t="s">
        <v>2112</v>
      </c>
      <c r="P174" s="108" t="s">
        <v>261</v>
      </c>
      <c r="Q174" s="210" t="s">
        <v>4100</v>
      </c>
      <c r="R174" s="108" t="s">
        <v>35</v>
      </c>
      <c r="S174" s="108" t="s">
        <v>35</v>
      </c>
      <c r="T174" s="108" t="s">
        <v>35</v>
      </c>
      <c r="U174" s="108" t="s">
        <v>35</v>
      </c>
      <c r="V174" s="108" t="s">
        <v>247</v>
      </c>
      <c r="W174" s="108"/>
      <c r="X174" s="108"/>
      <c r="Y174" s="108" t="s">
        <v>60</v>
      </c>
      <c r="Z174" s="108" t="s">
        <v>71</v>
      </c>
      <c r="AA174" s="111">
        <v>25628</v>
      </c>
      <c r="AB174" s="113">
        <f ca="1">DATEDIF(AA174,$C$3,"y")</f>
        <v>53</v>
      </c>
      <c r="AC174" s="108" t="s">
        <v>2508</v>
      </c>
      <c r="AD174" s="129" t="s">
        <v>2185</v>
      </c>
      <c r="AE174" s="108"/>
      <c r="AF174" s="108"/>
      <c r="AG174" s="108"/>
      <c r="AH174" s="114" t="s">
        <v>2509</v>
      </c>
      <c r="AI174" s="115"/>
      <c r="AJ174" s="108" t="s">
        <v>189</v>
      </c>
      <c r="AK174" s="108" t="s">
        <v>2510</v>
      </c>
      <c r="AL174" s="108" t="s">
        <v>2511</v>
      </c>
      <c r="AM174" s="108" t="s">
        <v>2512</v>
      </c>
      <c r="AN174" s="108"/>
      <c r="AO174" s="108"/>
      <c r="AP174" s="108"/>
      <c r="AQ174" s="108"/>
      <c r="AR174" s="108"/>
      <c r="AS174" s="108"/>
      <c r="AT174" s="108">
        <f>COUNTA(AL174:AO174)</f>
        <v>2</v>
      </c>
      <c r="AU174" s="108" t="str">
        <f>IF(AJ174="Menikah","K","TK")&amp;"/"&amp;AT174</f>
        <v>K/2</v>
      </c>
      <c r="AV174" s="131"/>
      <c r="AW174" s="108" t="s">
        <v>74</v>
      </c>
      <c r="AX174" s="108" t="s">
        <v>16</v>
      </c>
      <c r="AY174" s="108"/>
      <c r="AZ174" s="108"/>
      <c r="BA174" s="108"/>
      <c r="BB174" s="108" t="s">
        <v>16</v>
      </c>
      <c r="BC174" s="108"/>
      <c r="BD174" s="108"/>
      <c r="BE174" s="108"/>
      <c r="BF174" s="116"/>
      <c r="BG174" s="116"/>
      <c r="BH174" s="108"/>
      <c r="BI174" s="108"/>
      <c r="BJ174" s="194"/>
      <c r="BK174" s="111"/>
      <c r="BL174" s="111"/>
      <c r="BM174" s="208"/>
      <c r="BN174" s="111"/>
      <c r="BO174" s="108"/>
      <c r="BP174" s="108"/>
      <c r="BQ174" s="108"/>
      <c r="BR174" s="108"/>
      <c r="BS174" s="108"/>
      <c r="BT174" s="108"/>
      <c r="BU174" s="108"/>
      <c r="BV174" s="108"/>
      <c r="BW174" s="108"/>
      <c r="BX174" s="108"/>
      <c r="BY174" s="108"/>
      <c r="BZ174" s="108" t="e">
        <f>VLOOKUP(C174,[1]Sertifikasi!$B$4:$I$19,8,0)</f>
        <v>#N/A</v>
      </c>
    </row>
    <row r="175" spans="1:78" ht="11.25" customHeight="1">
      <c r="A175" s="108"/>
      <c r="B175" s="108">
        <v>134</v>
      </c>
      <c r="C175" s="108" t="s">
        <v>2842</v>
      </c>
      <c r="D175" s="109">
        <v>642201177</v>
      </c>
      <c r="E175" s="131">
        <v>1710011826701</v>
      </c>
      <c r="F175" s="131"/>
      <c r="G175" s="108" t="s">
        <v>71</v>
      </c>
      <c r="H175" s="108" t="s">
        <v>71</v>
      </c>
      <c r="I175" s="111">
        <v>44743</v>
      </c>
      <c r="J175" s="108">
        <v>1</v>
      </c>
      <c r="K175" s="108">
        <v>3</v>
      </c>
      <c r="L175" s="108" t="str">
        <f t="shared" si="5"/>
        <v>PKWT</v>
      </c>
      <c r="M175" s="108"/>
      <c r="N175" s="112">
        <v>45473</v>
      </c>
      <c r="O175" s="108"/>
      <c r="P175" s="108" t="s">
        <v>213</v>
      </c>
      <c r="Q175" s="210" t="s">
        <v>4102</v>
      </c>
      <c r="R175" s="108" t="s">
        <v>409</v>
      </c>
      <c r="S175" s="108" t="s">
        <v>33</v>
      </c>
      <c r="T175" s="108" t="s">
        <v>88</v>
      </c>
      <c r="U175" s="108" t="s">
        <v>199</v>
      </c>
      <c r="V175" s="108" t="s">
        <v>180</v>
      </c>
      <c r="W175" s="108"/>
      <c r="X175" s="108"/>
      <c r="Y175" s="108" t="s">
        <v>216</v>
      </c>
      <c r="Z175" s="108" t="s">
        <v>182</v>
      </c>
      <c r="AA175" s="111">
        <v>36272</v>
      </c>
      <c r="AB175" s="113">
        <v>24</v>
      </c>
      <c r="AC175" s="108" t="s">
        <v>2843</v>
      </c>
      <c r="AD175" s="129" t="s">
        <v>2844</v>
      </c>
      <c r="AE175" s="108"/>
      <c r="AF175" s="108"/>
      <c r="AG175" s="108" t="s">
        <v>2845</v>
      </c>
      <c r="AH175" s="114" t="s">
        <v>2846</v>
      </c>
      <c r="AI175" s="115">
        <v>22090773635</v>
      </c>
      <c r="AJ175" s="108" t="s">
        <v>255</v>
      </c>
      <c r="AK175" s="108"/>
      <c r="AL175" s="108"/>
      <c r="AM175" s="108"/>
      <c r="AN175" s="108"/>
      <c r="AO175" s="108"/>
      <c r="AP175" s="108"/>
      <c r="AQ175" s="108"/>
      <c r="AR175" s="108"/>
      <c r="AS175" s="108"/>
      <c r="AT175" s="108">
        <v>0</v>
      </c>
      <c r="AU175" s="108" t="s">
        <v>304</v>
      </c>
      <c r="AV175" s="115"/>
      <c r="AW175" s="108" t="s">
        <v>74</v>
      </c>
      <c r="AX175" s="108" t="s">
        <v>16</v>
      </c>
      <c r="AY175" s="108"/>
      <c r="AZ175" s="108"/>
      <c r="BA175" s="108"/>
      <c r="BB175" s="108" t="s">
        <v>16</v>
      </c>
      <c r="BC175" s="108"/>
      <c r="BD175" s="108"/>
      <c r="BE175" s="108"/>
      <c r="BF175" s="116"/>
      <c r="BG175" s="116"/>
      <c r="BH175" s="108"/>
      <c r="BI175" s="108"/>
      <c r="BJ175" s="108">
        <v>41</v>
      </c>
      <c r="BK175" s="111"/>
      <c r="BL175" s="111"/>
      <c r="BM175" s="111"/>
      <c r="BN175" s="111"/>
      <c r="BO175" s="108"/>
      <c r="BP175" s="108"/>
      <c r="BQ175" s="108"/>
      <c r="BR175" s="108" t="s">
        <v>2847</v>
      </c>
      <c r="BS175" s="108"/>
      <c r="BT175" s="108"/>
      <c r="BU175" s="108"/>
      <c r="BV175" s="108"/>
      <c r="BW175" s="108"/>
      <c r="BX175" s="108"/>
      <c r="BY175" s="108"/>
      <c r="BZ175" s="108" t="e">
        <f>VLOOKUP(C175,[1]Sertifikasi!$B$4:$I$19,8,0)</f>
        <v>#N/A</v>
      </c>
    </row>
    <row r="176" spans="1:78" ht="11.25" customHeight="1">
      <c r="A176" s="108"/>
      <c r="B176" s="108">
        <v>15</v>
      </c>
      <c r="C176" s="108" t="s">
        <v>2279</v>
      </c>
      <c r="D176" s="109">
        <v>642007092</v>
      </c>
      <c r="E176" s="131">
        <v>1710002914334</v>
      </c>
      <c r="F176" s="131"/>
      <c r="G176" s="113" t="s">
        <v>71</v>
      </c>
      <c r="H176" s="132" t="s">
        <v>71</v>
      </c>
      <c r="I176" s="111">
        <v>44044</v>
      </c>
      <c r="J176" s="108">
        <f ca="1">DATEDIF(I176,$C$3,"y")</f>
        <v>3</v>
      </c>
      <c r="K176" s="108">
        <f ca="1">DATEDIF(I176,$C$3,"ym")</f>
        <v>3</v>
      </c>
      <c r="L176" s="108" t="str">
        <f t="shared" si="5"/>
        <v>PKWT</v>
      </c>
      <c r="M176" s="108" t="s">
        <v>2280</v>
      </c>
      <c r="N176" s="132">
        <v>45504</v>
      </c>
      <c r="O176" s="108"/>
      <c r="P176" s="132" t="s">
        <v>261</v>
      </c>
      <c r="Q176" s="210" t="s">
        <v>4100</v>
      </c>
      <c r="R176" s="108" t="s">
        <v>4099</v>
      </c>
      <c r="S176" s="108" t="s">
        <v>2281</v>
      </c>
      <c r="T176" s="108" t="s">
        <v>361</v>
      </c>
      <c r="U176" s="108" t="s">
        <v>362</v>
      </c>
      <c r="V176" s="108" t="s">
        <v>180</v>
      </c>
      <c r="W176" s="108"/>
      <c r="X176" s="108"/>
      <c r="Y176" s="108" t="s">
        <v>60</v>
      </c>
      <c r="Z176" s="108" t="s">
        <v>71</v>
      </c>
      <c r="AA176" s="111">
        <v>33950</v>
      </c>
      <c r="AB176" s="113">
        <f ca="1">DATEDIF(AA176,$C$3,"y")</f>
        <v>30</v>
      </c>
      <c r="AC176" s="141" t="s">
        <v>2282</v>
      </c>
      <c r="AD176" s="129" t="s">
        <v>2283</v>
      </c>
      <c r="AE176" s="108" t="s">
        <v>2284</v>
      </c>
      <c r="AF176" s="108"/>
      <c r="AG176" s="108" t="s">
        <v>2285</v>
      </c>
      <c r="AH176" s="114" t="s">
        <v>2286</v>
      </c>
      <c r="AI176" s="115">
        <v>17023994910</v>
      </c>
      <c r="AJ176" s="108" t="s">
        <v>189</v>
      </c>
      <c r="AK176" s="108"/>
      <c r="AL176" s="108"/>
      <c r="AM176" s="108"/>
      <c r="AN176" s="108"/>
      <c r="AO176" s="108"/>
      <c r="AP176" s="108"/>
      <c r="AQ176" s="108"/>
      <c r="AR176" s="108"/>
      <c r="AS176" s="108"/>
      <c r="AT176" s="108">
        <f>COUNTA(AL176:AO176)</f>
        <v>0</v>
      </c>
      <c r="AU176" s="108" t="str">
        <f>IF(AJ176="Menikah","K","TK")&amp;"/"&amp;AT176</f>
        <v>K/0</v>
      </c>
      <c r="AV176" s="131"/>
      <c r="AW176" s="113" t="s">
        <v>74</v>
      </c>
      <c r="AX176" s="108" t="s">
        <v>16</v>
      </c>
      <c r="AY176" s="108" t="s">
        <v>793</v>
      </c>
      <c r="AZ176" s="108" t="s">
        <v>540</v>
      </c>
      <c r="BA176" s="108"/>
      <c r="BB176" s="108" t="s">
        <v>16</v>
      </c>
      <c r="BC176" s="108" t="s">
        <v>793</v>
      </c>
      <c r="BD176" s="108" t="s">
        <v>540</v>
      </c>
      <c r="BE176" s="108"/>
      <c r="BF176" s="116"/>
      <c r="BG176" s="116"/>
      <c r="BH176" s="108"/>
      <c r="BI176" s="108"/>
      <c r="BJ176" s="194"/>
      <c r="BK176" s="111">
        <v>44294</v>
      </c>
      <c r="BL176" s="111">
        <v>44322</v>
      </c>
      <c r="BM176" s="111">
        <v>44585</v>
      </c>
      <c r="BN176" s="111"/>
      <c r="BO176" s="108"/>
      <c r="BP176" s="108"/>
      <c r="BQ176" s="108"/>
      <c r="BR176" s="108"/>
      <c r="BS176" s="108"/>
      <c r="BT176" s="108"/>
      <c r="BU176" s="108"/>
      <c r="BV176" s="108"/>
      <c r="BW176" s="108"/>
      <c r="BX176" s="108"/>
      <c r="BY176" s="108"/>
      <c r="BZ176" s="108" t="e">
        <f>VLOOKUP(C176,[1]Sertifikasi!$B$4:$I$19,8,0)</f>
        <v>#N/A</v>
      </c>
    </row>
    <row r="177" spans="1:78" ht="11.25" customHeight="1">
      <c r="A177" s="108"/>
      <c r="B177" s="108">
        <v>69</v>
      </c>
      <c r="C177" s="108" t="s">
        <v>212</v>
      </c>
      <c r="D177" s="109">
        <v>642001016</v>
      </c>
      <c r="E177" s="131">
        <v>1710003988097</v>
      </c>
      <c r="F177" s="131"/>
      <c r="G177" s="108" t="s">
        <v>71</v>
      </c>
      <c r="H177" s="108" t="s">
        <v>71</v>
      </c>
      <c r="I177" s="111">
        <v>42005</v>
      </c>
      <c r="J177" s="108">
        <v>8</v>
      </c>
      <c r="K177" s="108">
        <v>9</v>
      </c>
      <c r="L177" s="108" t="str">
        <f t="shared" si="5"/>
        <v>PKWT</v>
      </c>
      <c r="M177" s="108"/>
      <c r="N177" s="112">
        <v>45291</v>
      </c>
      <c r="O177" s="108"/>
      <c r="P177" s="108" t="s">
        <v>213</v>
      </c>
      <c r="Q177" s="210" t="s">
        <v>4102</v>
      </c>
      <c r="R177" s="108" t="s">
        <v>2085</v>
      </c>
      <c r="S177" s="108" t="s">
        <v>33</v>
      </c>
      <c r="T177" s="108" t="s">
        <v>81</v>
      </c>
      <c r="U177" s="108" t="s">
        <v>214</v>
      </c>
      <c r="V177" s="108" t="s">
        <v>180</v>
      </c>
      <c r="W177" s="108"/>
      <c r="X177" s="108" t="s">
        <v>215</v>
      </c>
      <c r="Y177" s="108" t="s">
        <v>216</v>
      </c>
      <c r="Z177" s="108" t="s">
        <v>71</v>
      </c>
      <c r="AA177" s="111">
        <v>33093</v>
      </c>
      <c r="AB177" s="113">
        <v>33</v>
      </c>
      <c r="AC177" s="108" t="s">
        <v>217</v>
      </c>
      <c r="AD177" s="129" t="s">
        <v>218</v>
      </c>
      <c r="AE177" s="108" t="s">
        <v>219</v>
      </c>
      <c r="AF177" s="108"/>
      <c r="AG177" s="108" t="s">
        <v>220</v>
      </c>
      <c r="AH177" s="114" t="s">
        <v>221</v>
      </c>
      <c r="AI177" s="115">
        <v>16013068701</v>
      </c>
      <c r="AJ177" s="108" t="s">
        <v>189</v>
      </c>
      <c r="AK177" s="108" t="s">
        <v>222</v>
      </c>
      <c r="AL177" s="108" t="s">
        <v>223</v>
      </c>
      <c r="AM177" s="108"/>
      <c r="AN177" s="108"/>
      <c r="AO177" s="108"/>
      <c r="AP177" s="108" t="s">
        <v>224</v>
      </c>
      <c r="AQ177" s="108"/>
      <c r="AR177" s="108"/>
      <c r="AS177" s="108"/>
      <c r="AT177" s="108">
        <v>1</v>
      </c>
      <c r="AU177" s="108" t="s">
        <v>225</v>
      </c>
      <c r="AV177" s="115">
        <v>0</v>
      </c>
      <c r="AW177" s="108" t="s">
        <v>74</v>
      </c>
      <c r="AX177" s="108" t="s">
        <v>16</v>
      </c>
      <c r="AY177" s="108" t="s">
        <v>226</v>
      </c>
      <c r="AZ177" s="108" t="s">
        <v>227</v>
      </c>
      <c r="BA177" s="108">
        <v>2007</v>
      </c>
      <c r="BB177" s="108" t="s">
        <v>17</v>
      </c>
      <c r="BC177" s="108" t="s">
        <v>226</v>
      </c>
      <c r="BD177" s="108" t="s">
        <v>227</v>
      </c>
      <c r="BE177" s="108">
        <v>2007</v>
      </c>
      <c r="BF177" s="116"/>
      <c r="BG177" s="116"/>
      <c r="BH177" s="108" t="s">
        <v>228</v>
      </c>
      <c r="BI177" s="108">
        <v>34</v>
      </c>
      <c r="BJ177" s="108">
        <v>42</v>
      </c>
      <c r="BK177" s="111">
        <v>44308</v>
      </c>
      <c r="BL177" s="111">
        <v>44336</v>
      </c>
      <c r="BM177" s="111"/>
      <c r="BN177" s="111"/>
      <c r="BO177" s="108">
        <v>43467</v>
      </c>
      <c r="BP177" s="108">
        <v>43830</v>
      </c>
      <c r="BQ177" s="108" t="s">
        <v>229</v>
      </c>
      <c r="BR177" s="108" t="s">
        <v>230</v>
      </c>
      <c r="BS177" s="108"/>
      <c r="BT177" s="108"/>
      <c r="BU177" s="108"/>
      <c r="BV177" s="108"/>
      <c r="BW177" s="108"/>
      <c r="BX177" s="108"/>
      <c r="BY177" s="108"/>
      <c r="BZ177" s="108" t="e">
        <f>VLOOKUP(C177,[1]Sertifikasi!$B$4:$I$19,8,0)</f>
        <v>#N/A</v>
      </c>
    </row>
    <row r="178" spans="1:78" ht="11.25" customHeight="1">
      <c r="A178" s="108"/>
      <c r="B178" s="108">
        <v>180</v>
      </c>
      <c r="C178" s="210" t="s">
        <v>1874</v>
      </c>
      <c r="D178" s="109">
        <v>641907267</v>
      </c>
      <c r="E178" s="131">
        <v>1710005657674</v>
      </c>
      <c r="F178" s="131"/>
      <c r="G178" s="108" t="s">
        <v>259</v>
      </c>
      <c r="H178" s="108" t="s">
        <v>71</v>
      </c>
      <c r="I178" s="111">
        <v>43647</v>
      </c>
      <c r="J178" s="108">
        <v>4</v>
      </c>
      <c r="K178" s="108">
        <v>3</v>
      </c>
      <c r="L178" s="108" t="str">
        <f t="shared" si="5"/>
        <v>PKWT</v>
      </c>
      <c r="M178" s="108"/>
      <c r="N178" s="112">
        <v>45291</v>
      </c>
      <c r="O178" s="108"/>
      <c r="P178" s="108" t="s">
        <v>213</v>
      </c>
      <c r="Q178" s="210" t="s">
        <v>4102</v>
      </c>
      <c r="R178" s="108" t="s">
        <v>259</v>
      </c>
      <c r="S178" s="108" t="s">
        <v>262</v>
      </c>
      <c r="T178" s="108" t="s">
        <v>89</v>
      </c>
      <c r="U178" s="108" t="s">
        <v>199</v>
      </c>
      <c r="V178" s="108" t="s">
        <v>180</v>
      </c>
      <c r="W178" s="108"/>
      <c r="X178" s="108" t="s">
        <v>215</v>
      </c>
      <c r="Y178" s="108" t="s">
        <v>216</v>
      </c>
      <c r="Z178" s="108" t="s">
        <v>1178</v>
      </c>
      <c r="AA178" s="111">
        <v>34265</v>
      </c>
      <c r="AB178" s="113">
        <v>29</v>
      </c>
      <c r="AC178" s="108" t="s">
        <v>1875</v>
      </c>
      <c r="AD178" s="129" t="s">
        <v>1876</v>
      </c>
      <c r="AE178" s="108" t="s">
        <v>1877</v>
      </c>
      <c r="AF178" s="108" t="s">
        <v>1878</v>
      </c>
      <c r="AG178" s="108" t="s">
        <v>1879</v>
      </c>
      <c r="AH178" s="114" t="s">
        <v>1880</v>
      </c>
      <c r="AI178" s="115">
        <v>19047644133</v>
      </c>
      <c r="AJ178" s="108" t="s">
        <v>189</v>
      </c>
      <c r="AK178" s="108" t="s">
        <v>1881</v>
      </c>
      <c r="AL178" s="108" t="s">
        <v>1882</v>
      </c>
      <c r="AM178" s="108"/>
      <c r="AN178" s="108"/>
      <c r="AO178" s="108"/>
      <c r="AP178" s="108"/>
      <c r="AQ178" s="108"/>
      <c r="AR178" s="108"/>
      <c r="AS178" s="108"/>
      <c r="AT178" s="108">
        <v>1</v>
      </c>
      <c r="AU178" s="108" t="s">
        <v>225</v>
      </c>
      <c r="AV178" s="115">
        <v>0</v>
      </c>
      <c r="AW178" s="108" t="s">
        <v>74</v>
      </c>
      <c r="AX178" s="108" t="s">
        <v>16</v>
      </c>
      <c r="AY178" s="108" t="s">
        <v>331</v>
      </c>
      <c r="AZ178" s="108" t="s">
        <v>1184</v>
      </c>
      <c r="BA178" s="108">
        <v>2012</v>
      </c>
      <c r="BB178" s="108" t="s">
        <v>16</v>
      </c>
      <c r="BC178" s="108" t="s">
        <v>331</v>
      </c>
      <c r="BD178" s="108" t="s">
        <v>1184</v>
      </c>
      <c r="BE178" s="108">
        <v>2012</v>
      </c>
      <c r="BF178" s="116"/>
      <c r="BG178" s="116"/>
      <c r="BH178" s="108" t="s">
        <v>345</v>
      </c>
      <c r="BI178" s="108">
        <v>30</v>
      </c>
      <c r="BJ178" s="108">
        <v>41</v>
      </c>
      <c r="BK178" s="111"/>
      <c r="BL178" s="111"/>
      <c r="BM178" s="111">
        <v>44887</v>
      </c>
      <c r="BN178" s="111"/>
      <c r="BO178" s="108"/>
      <c r="BP178" s="108"/>
      <c r="BQ178" s="108"/>
      <c r="BR178" s="108"/>
      <c r="BS178" s="108"/>
      <c r="BT178" s="108"/>
      <c r="BU178" s="108"/>
      <c r="BV178" s="108"/>
      <c r="BW178" s="108"/>
      <c r="BX178" s="108"/>
      <c r="BY178" s="108"/>
      <c r="BZ178" s="108" t="e">
        <f>VLOOKUP(C178,[1]Sertifikasi!$B$4:$I$19,8,0)</f>
        <v>#N/A</v>
      </c>
    </row>
    <row r="179" spans="1:78" ht="11.25" customHeight="1">
      <c r="A179" s="108"/>
      <c r="B179" s="108">
        <v>61</v>
      </c>
      <c r="C179" s="108" t="s">
        <v>2136</v>
      </c>
      <c r="D179" s="109">
        <v>999700007</v>
      </c>
      <c r="E179" s="131">
        <v>1440001095410</v>
      </c>
      <c r="F179" s="131"/>
      <c r="G179" s="113" t="s">
        <v>33</v>
      </c>
      <c r="H179" s="108" t="s">
        <v>71</v>
      </c>
      <c r="I179" s="111">
        <v>43987</v>
      </c>
      <c r="J179" s="108">
        <f ca="1">DATEDIF(I179,$C$3,"y")</f>
        <v>3</v>
      </c>
      <c r="K179" s="108">
        <f ca="1">DATEDIF(I179,$C$3,"ym")</f>
        <v>5</v>
      </c>
      <c r="L179" s="108" t="str">
        <f t="shared" si="5"/>
        <v>Organik</v>
      </c>
      <c r="M179" s="108" t="s">
        <v>2120</v>
      </c>
      <c r="N179" s="112">
        <v>35856</v>
      </c>
      <c r="O179" s="108" t="s">
        <v>2121</v>
      </c>
      <c r="P179" s="108" t="s">
        <v>4</v>
      </c>
      <c r="Q179" s="210" t="s">
        <v>4100</v>
      </c>
      <c r="R179" s="108" t="s">
        <v>4099</v>
      </c>
      <c r="S179" s="108"/>
      <c r="T179" s="108" t="s">
        <v>785</v>
      </c>
      <c r="U179" s="108" t="s">
        <v>785</v>
      </c>
      <c r="V179" s="108" t="s">
        <v>662</v>
      </c>
      <c r="W179" s="108"/>
      <c r="X179" s="108"/>
      <c r="Y179" s="108" t="s">
        <v>59</v>
      </c>
      <c r="Z179" s="108" t="s">
        <v>71</v>
      </c>
      <c r="AA179" s="111">
        <v>25312</v>
      </c>
      <c r="AB179" s="113">
        <f ca="1">DATEDIF(AA179,$C$3,"y")</f>
        <v>54</v>
      </c>
      <c r="AC179" s="108" t="s">
        <v>2137</v>
      </c>
      <c r="AD179" s="129" t="s">
        <v>2138</v>
      </c>
      <c r="AE179" s="108" t="s">
        <v>2139</v>
      </c>
      <c r="AF179" s="108"/>
      <c r="AG179" s="108" t="s">
        <v>2140</v>
      </c>
      <c r="AH179" s="114" t="s">
        <v>2141</v>
      </c>
      <c r="AI179" s="115" t="s">
        <v>2142</v>
      </c>
      <c r="AJ179" s="108" t="s">
        <v>189</v>
      </c>
      <c r="AK179" s="108" t="s">
        <v>2143</v>
      </c>
      <c r="AL179" s="108" t="s">
        <v>2144</v>
      </c>
      <c r="AM179" s="108" t="s">
        <v>2145</v>
      </c>
      <c r="AN179" s="108" t="s">
        <v>2145</v>
      </c>
      <c r="AO179" s="108"/>
      <c r="AP179" s="108"/>
      <c r="AQ179" s="108"/>
      <c r="AR179" s="108"/>
      <c r="AS179" s="108"/>
      <c r="AT179" s="108">
        <f>COUNTA(AL179:AO179)</f>
        <v>3</v>
      </c>
      <c r="AU179" s="108" t="str">
        <f>IF(AJ179="Menikah","K","TK")&amp;"/"&amp;AT179</f>
        <v>K/3</v>
      </c>
      <c r="AV179" s="131" t="s">
        <v>813</v>
      </c>
      <c r="AW179" s="113" t="s">
        <v>74</v>
      </c>
      <c r="AX179" s="108" t="s">
        <v>11</v>
      </c>
      <c r="AY179" s="108" t="s">
        <v>2146</v>
      </c>
      <c r="AZ179" s="108" t="s">
        <v>2147</v>
      </c>
      <c r="BA179" s="108"/>
      <c r="BB179" s="108" t="s">
        <v>11</v>
      </c>
      <c r="BC179" s="108" t="s">
        <v>2146</v>
      </c>
      <c r="BD179" s="108" t="s">
        <v>2147</v>
      </c>
      <c r="BE179" s="108"/>
      <c r="BF179" s="116">
        <v>45413</v>
      </c>
      <c r="BG179" s="116" t="s">
        <v>2148</v>
      </c>
      <c r="BH179" s="108"/>
      <c r="BI179" s="108"/>
      <c r="BJ179" s="207"/>
      <c r="BK179" s="111">
        <v>44294</v>
      </c>
      <c r="BL179" s="111">
        <v>44322</v>
      </c>
      <c r="BM179" s="111">
        <v>44585</v>
      </c>
      <c r="BN179" s="111"/>
      <c r="BO179" s="108"/>
      <c r="BP179" s="108"/>
      <c r="BQ179" s="108"/>
      <c r="BR179" s="108"/>
      <c r="BS179" s="108"/>
      <c r="BT179" s="108"/>
      <c r="BU179" s="108"/>
      <c r="BV179" s="108"/>
      <c r="BW179" s="108"/>
      <c r="BX179" s="108"/>
      <c r="BY179" s="108"/>
      <c r="BZ179" s="108" t="e">
        <f>VLOOKUP(C179,[1]Sertifikasi!$B$4:$I$19,8,0)</f>
        <v>#N/A</v>
      </c>
    </row>
    <row r="180" spans="1:78" ht="11.25" customHeight="1">
      <c r="A180" s="108"/>
      <c r="B180" s="108">
        <v>286</v>
      </c>
      <c r="C180" s="108" t="s">
        <v>2073</v>
      </c>
      <c r="D180" s="109">
        <v>642002081</v>
      </c>
      <c r="E180" s="131">
        <v>1710006361219</v>
      </c>
      <c r="F180" s="131"/>
      <c r="G180" s="108" t="s">
        <v>37</v>
      </c>
      <c r="H180" s="108" t="s">
        <v>37</v>
      </c>
      <c r="I180" s="111">
        <v>43891</v>
      </c>
      <c r="J180" s="108">
        <v>3</v>
      </c>
      <c r="K180" s="108">
        <v>7</v>
      </c>
      <c r="L180" s="108" t="str">
        <f t="shared" si="5"/>
        <v>PKWT</v>
      </c>
      <c r="M180" s="108"/>
      <c r="N180" s="112">
        <v>45291</v>
      </c>
      <c r="O180" s="108"/>
      <c r="P180" s="108" t="s">
        <v>213</v>
      </c>
      <c r="Q180" s="210" t="s">
        <v>4102</v>
      </c>
      <c r="R180" s="108" t="s">
        <v>575</v>
      </c>
      <c r="S180" s="108" t="s">
        <v>262</v>
      </c>
      <c r="T180" s="108" t="s">
        <v>92</v>
      </c>
      <c r="U180" s="108" t="s">
        <v>276</v>
      </c>
      <c r="V180" s="108" t="s">
        <v>180</v>
      </c>
      <c r="W180" s="108"/>
      <c r="X180" s="108"/>
      <c r="Y180" s="108" t="s">
        <v>216</v>
      </c>
      <c r="Z180" s="108" t="s">
        <v>2074</v>
      </c>
      <c r="AA180" s="111">
        <v>34138</v>
      </c>
      <c r="AB180" s="113">
        <v>30</v>
      </c>
      <c r="AC180" s="108" t="s">
        <v>2075</v>
      </c>
      <c r="AD180" s="129" t="s">
        <v>2076</v>
      </c>
      <c r="AE180" s="108" t="s">
        <v>2077</v>
      </c>
      <c r="AF180" s="108"/>
      <c r="AG180" s="108" t="s">
        <v>2078</v>
      </c>
      <c r="AH180" s="114" t="s">
        <v>2079</v>
      </c>
      <c r="AI180" s="115">
        <v>20024319830</v>
      </c>
      <c r="AJ180" s="108" t="s">
        <v>189</v>
      </c>
      <c r="AK180" s="108" t="s">
        <v>2080</v>
      </c>
      <c r="AL180" s="108" t="s">
        <v>2081</v>
      </c>
      <c r="AM180" s="108"/>
      <c r="AN180" s="108"/>
      <c r="AO180" s="108"/>
      <c r="AP180" s="108"/>
      <c r="AQ180" s="108"/>
      <c r="AR180" s="108" t="s">
        <v>2082</v>
      </c>
      <c r="AS180" s="108" t="s">
        <v>2083</v>
      </c>
      <c r="AT180" s="108">
        <v>1</v>
      </c>
      <c r="AU180" s="108" t="s">
        <v>225</v>
      </c>
      <c r="AV180" s="115"/>
      <c r="AW180" s="108" t="s">
        <v>74</v>
      </c>
      <c r="AX180" s="108" t="s">
        <v>16</v>
      </c>
      <c r="AY180" s="108" t="s">
        <v>331</v>
      </c>
      <c r="AZ180" s="108" t="s">
        <v>2072</v>
      </c>
      <c r="BA180" s="108">
        <v>2012</v>
      </c>
      <c r="BB180" s="108" t="s">
        <v>16</v>
      </c>
      <c r="BC180" s="108" t="s">
        <v>331</v>
      </c>
      <c r="BD180" s="108" t="s">
        <v>2072</v>
      </c>
      <c r="BE180" s="108">
        <v>2012</v>
      </c>
      <c r="BF180" s="116"/>
      <c r="BG180" s="116"/>
      <c r="BH180" s="108" t="s">
        <v>345</v>
      </c>
      <c r="BI180" s="108" t="s">
        <v>345</v>
      </c>
      <c r="BJ180" s="108">
        <v>42</v>
      </c>
      <c r="BK180" s="111"/>
      <c r="BL180" s="111"/>
      <c r="BM180" s="111"/>
      <c r="BN180" s="111"/>
      <c r="BO180" s="108"/>
      <c r="BP180" s="108"/>
      <c r="BQ180" s="108"/>
      <c r="BR180" s="108"/>
      <c r="BS180" s="108"/>
      <c r="BT180" s="108"/>
      <c r="BU180" s="108"/>
      <c r="BV180" s="108"/>
      <c r="BW180" s="108"/>
      <c r="BX180" s="108"/>
      <c r="BY180" s="108"/>
      <c r="BZ180" s="108" t="e">
        <f>VLOOKUP(C180,[1]Sertifikasi!$B$4:$I$19,8,0)</f>
        <v>#N/A</v>
      </c>
    </row>
    <row r="181" spans="1:78" ht="11.25" customHeight="1">
      <c r="A181" s="108"/>
      <c r="B181" s="108">
        <v>302</v>
      </c>
      <c r="C181" s="108" t="s">
        <v>2057</v>
      </c>
      <c r="D181" s="109">
        <v>642002075</v>
      </c>
      <c r="E181" s="131">
        <v>1710006361243</v>
      </c>
      <c r="F181" s="131"/>
      <c r="G181" s="108" t="s">
        <v>1276</v>
      </c>
      <c r="H181" s="108" t="s">
        <v>1276</v>
      </c>
      <c r="I181" s="111">
        <v>43886</v>
      </c>
      <c r="J181" s="108">
        <v>3</v>
      </c>
      <c r="K181" s="108">
        <v>7</v>
      </c>
      <c r="L181" s="108" t="str">
        <f t="shared" si="5"/>
        <v>PKWT</v>
      </c>
      <c r="M181" s="108"/>
      <c r="N181" s="112">
        <v>45291</v>
      </c>
      <c r="O181" s="108"/>
      <c r="P181" s="108" t="s">
        <v>213</v>
      </c>
      <c r="Q181" s="210" t="s">
        <v>4102</v>
      </c>
      <c r="R181" s="108" t="s">
        <v>1276</v>
      </c>
      <c r="S181" s="108" t="s">
        <v>275</v>
      </c>
      <c r="T181" s="108" t="s">
        <v>94</v>
      </c>
      <c r="U181" s="108" t="s">
        <v>276</v>
      </c>
      <c r="V181" s="108" t="s">
        <v>180</v>
      </c>
      <c r="W181" s="108"/>
      <c r="X181" s="108"/>
      <c r="Y181" s="108" t="s">
        <v>216</v>
      </c>
      <c r="Z181" s="108" t="s">
        <v>2058</v>
      </c>
      <c r="AA181" s="111">
        <v>36531</v>
      </c>
      <c r="AB181" s="113">
        <v>23</v>
      </c>
      <c r="AC181" s="108" t="s">
        <v>2059</v>
      </c>
      <c r="AD181" s="129" t="s">
        <v>2060</v>
      </c>
      <c r="AE181" s="108" t="s">
        <v>2061</v>
      </c>
      <c r="AF181" s="108" t="s">
        <v>2062</v>
      </c>
      <c r="AG181" s="108" t="s">
        <v>2063</v>
      </c>
      <c r="AH181" s="114" t="s">
        <v>2064</v>
      </c>
      <c r="AI181" s="115">
        <v>20024319798</v>
      </c>
      <c r="AJ181" s="108" t="s">
        <v>255</v>
      </c>
      <c r="AK181" s="108"/>
      <c r="AL181" s="108"/>
      <c r="AM181" s="108"/>
      <c r="AN181" s="108"/>
      <c r="AO181" s="108"/>
      <c r="AP181" s="108"/>
      <c r="AQ181" s="108"/>
      <c r="AR181" s="108"/>
      <c r="AS181" s="108"/>
      <c r="AT181" s="108">
        <v>0</v>
      </c>
      <c r="AU181" s="108" t="s">
        <v>304</v>
      </c>
      <c r="AV181" s="115"/>
      <c r="AW181" s="108" t="s">
        <v>74</v>
      </c>
      <c r="AX181" s="108" t="s">
        <v>16</v>
      </c>
      <c r="AY181" s="108" t="s">
        <v>926</v>
      </c>
      <c r="AZ181" s="108" t="s">
        <v>1697</v>
      </c>
      <c r="BA181" s="108">
        <v>2018</v>
      </c>
      <c r="BB181" s="108" t="s">
        <v>16</v>
      </c>
      <c r="BC181" s="108" t="s">
        <v>926</v>
      </c>
      <c r="BD181" s="108" t="s">
        <v>1697</v>
      </c>
      <c r="BE181" s="108">
        <v>2018</v>
      </c>
      <c r="BF181" s="116"/>
      <c r="BG181" s="116"/>
      <c r="BH181" s="108" t="s">
        <v>241</v>
      </c>
      <c r="BI181" s="108" t="s">
        <v>241</v>
      </c>
      <c r="BJ181" s="108">
        <v>42</v>
      </c>
      <c r="BK181" s="111">
        <v>44365</v>
      </c>
      <c r="BL181" s="111"/>
      <c r="BM181" s="111"/>
      <c r="BN181" s="111"/>
      <c r="BO181" s="108"/>
      <c r="BP181" s="108"/>
      <c r="BQ181" s="108"/>
      <c r="BR181" s="108"/>
      <c r="BS181" s="108"/>
      <c r="BT181" s="108"/>
      <c r="BU181" s="108"/>
      <c r="BV181" s="108"/>
      <c r="BW181" s="108"/>
      <c r="BX181" s="108"/>
      <c r="BY181" s="108"/>
      <c r="BZ181" s="108" t="e">
        <f>VLOOKUP(C181,[1]Sertifikasi!$B$4:$I$19,8,0)</f>
        <v>#N/A</v>
      </c>
    </row>
    <row r="182" spans="1:78" ht="11.25" customHeight="1">
      <c r="A182" s="108"/>
      <c r="B182" s="108">
        <v>303</v>
      </c>
      <c r="C182" s="108" t="s">
        <v>2616</v>
      </c>
      <c r="D182" s="109">
        <v>642201148</v>
      </c>
      <c r="E182" s="131">
        <v>1080017200842</v>
      </c>
      <c r="F182" s="131"/>
      <c r="G182" s="108" t="s">
        <v>1276</v>
      </c>
      <c r="H182" s="108" t="s">
        <v>1276</v>
      </c>
      <c r="I182" s="111">
        <v>44578</v>
      </c>
      <c r="J182" s="108">
        <v>1</v>
      </c>
      <c r="K182" s="108">
        <v>8</v>
      </c>
      <c r="L182" s="108" t="str">
        <f t="shared" si="5"/>
        <v>PKWT</v>
      </c>
      <c r="M182" s="108"/>
      <c r="N182" s="112">
        <v>45291</v>
      </c>
      <c r="O182" s="108"/>
      <c r="P182" s="108" t="s">
        <v>213</v>
      </c>
      <c r="Q182" s="210" t="s">
        <v>4102</v>
      </c>
      <c r="R182" s="108" t="s">
        <v>1276</v>
      </c>
      <c r="S182" s="108" t="s">
        <v>275</v>
      </c>
      <c r="T182" s="108" t="s">
        <v>94</v>
      </c>
      <c r="U182" s="108" t="s">
        <v>276</v>
      </c>
      <c r="V182" s="108" t="s">
        <v>180</v>
      </c>
      <c r="W182" s="108"/>
      <c r="X182" s="108"/>
      <c r="Y182" s="108" t="s">
        <v>216</v>
      </c>
      <c r="Z182" s="108" t="s">
        <v>1691</v>
      </c>
      <c r="AA182" s="111">
        <v>35888</v>
      </c>
      <c r="AB182" s="113">
        <v>25</v>
      </c>
      <c r="AC182" s="108" t="s">
        <v>2617</v>
      </c>
      <c r="AD182" s="129" t="s">
        <v>2618</v>
      </c>
      <c r="AE182" s="108" t="s">
        <v>2619</v>
      </c>
      <c r="AF182" s="108"/>
      <c r="AG182" s="108" t="s">
        <v>2620</v>
      </c>
      <c r="AH182" s="114" t="s">
        <v>2621</v>
      </c>
      <c r="AI182" s="115">
        <v>22017333604</v>
      </c>
      <c r="AJ182" s="108" t="s">
        <v>255</v>
      </c>
      <c r="AK182" s="108"/>
      <c r="AL182" s="108"/>
      <c r="AM182" s="108"/>
      <c r="AN182" s="108"/>
      <c r="AO182" s="108"/>
      <c r="AP182" s="108"/>
      <c r="AQ182" s="108"/>
      <c r="AR182" s="108"/>
      <c r="AS182" s="108"/>
      <c r="AT182" s="108">
        <v>0</v>
      </c>
      <c r="AU182" s="108" t="s">
        <v>304</v>
      </c>
      <c r="AV182" s="115"/>
      <c r="AW182" s="108" t="s">
        <v>74</v>
      </c>
      <c r="AX182" s="108" t="s">
        <v>16</v>
      </c>
      <c r="AY182" s="108" t="s">
        <v>226</v>
      </c>
      <c r="AZ182" s="108" t="s">
        <v>1697</v>
      </c>
      <c r="BA182" s="108">
        <v>2016</v>
      </c>
      <c r="BB182" s="108" t="s">
        <v>16</v>
      </c>
      <c r="BC182" s="108" t="s">
        <v>226</v>
      </c>
      <c r="BD182" s="108" t="s">
        <v>1697</v>
      </c>
      <c r="BE182" s="108">
        <v>2016</v>
      </c>
      <c r="BF182" s="116"/>
      <c r="BG182" s="116"/>
      <c r="BH182" s="108"/>
      <c r="BI182" s="108"/>
      <c r="BJ182" s="108">
        <v>42</v>
      </c>
      <c r="BK182" s="111"/>
      <c r="BL182" s="111">
        <v>44560</v>
      </c>
      <c r="BM182" s="111"/>
      <c r="BN182" s="111"/>
      <c r="BO182" s="108"/>
      <c r="BP182" s="108"/>
      <c r="BQ182" s="108"/>
      <c r="BR182" s="108" t="s">
        <v>2622</v>
      </c>
      <c r="BS182" s="108"/>
      <c r="BT182" s="108"/>
      <c r="BU182" s="108"/>
      <c r="BV182" s="108"/>
      <c r="BW182" s="108"/>
      <c r="BX182" s="108"/>
      <c r="BY182" s="108"/>
      <c r="BZ182" s="108" t="e">
        <f>VLOOKUP(C182,[1]Sertifikasi!$B$4:$I$19,8,0)</f>
        <v>#N/A</v>
      </c>
    </row>
    <row r="183" spans="1:78" ht="11.25" customHeight="1">
      <c r="A183" s="108"/>
      <c r="B183" s="108">
        <v>238</v>
      </c>
      <c r="C183" s="108" t="s">
        <v>1606</v>
      </c>
      <c r="D183" s="109">
        <v>641810188</v>
      </c>
      <c r="E183" s="131">
        <v>1710004810654</v>
      </c>
      <c r="F183" s="131"/>
      <c r="G183" s="108" t="s">
        <v>259</v>
      </c>
      <c r="H183" s="108" t="s">
        <v>259</v>
      </c>
      <c r="I183" s="111">
        <v>43395</v>
      </c>
      <c r="J183" s="108">
        <v>4</v>
      </c>
      <c r="K183" s="108">
        <v>11</v>
      </c>
      <c r="L183" s="108" t="str">
        <f t="shared" si="5"/>
        <v>PKWT</v>
      </c>
      <c r="M183" s="108"/>
      <c r="N183" s="112">
        <v>45291</v>
      </c>
      <c r="O183" s="108"/>
      <c r="P183" s="108" t="s">
        <v>213</v>
      </c>
      <c r="Q183" s="210" t="s">
        <v>4102</v>
      </c>
      <c r="R183" s="108" t="s">
        <v>259</v>
      </c>
      <c r="S183" s="108" t="s">
        <v>33</v>
      </c>
      <c r="T183" s="108" t="s">
        <v>432</v>
      </c>
      <c r="U183" s="108" t="s">
        <v>199</v>
      </c>
      <c r="V183" s="108" t="s">
        <v>180</v>
      </c>
      <c r="W183" s="108"/>
      <c r="X183" s="108" t="s">
        <v>215</v>
      </c>
      <c r="Y183" s="108" t="s">
        <v>216</v>
      </c>
      <c r="Z183" s="108" t="s">
        <v>1607</v>
      </c>
      <c r="AA183" s="111">
        <v>32956</v>
      </c>
      <c r="AB183" s="113">
        <v>33</v>
      </c>
      <c r="AC183" s="108" t="s">
        <v>1608</v>
      </c>
      <c r="AD183" s="129" t="s">
        <v>1609</v>
      </c>
      <c r="AE183" s="108" t="s">
        <v>1610</v>
      </c>
      <c r="AF183" s="108"/>
      <c r="AG183" s="108" t="s">
        <v>1611</v>
      </c>
      <c r="AH183" s="114" t="s">
        <v>1612</v>
      </c>
      <c r="AI183" s="115">
        <v>1809947527</v>
      </c>
      <c r="AJ183" s="108" t="s">
        <v>255</v>
      </c>
      <c r="AK183" s="108"/>
      <c r="AL183" s="108"/>
      <c r="AM183" s="108"/>
      <c r="AN183" s="108"/>
      <c r="AO183" s="108"/>
      <c r="AP183" s="108"/>
      <c r="AQ183" s="108"/>
      <c r="AR183" s="108"/>
      <c r="AS183" s="108"/>
      <c r="AT183" s="108">
        <v>0</v>
      </c>
      <c r="AU183" s="108" t="s">
        <v>304</v>
      </c>
      <c r="AV183" s="115">
        <v>0</v>
      </c>
      <c r="AW183" s="108" t="s">
        <v>74</v>
      </c>
      <c r="AX183" s="108" t="s">
        <v>12</v>
      </c>
      <c r="AY183" s="108" t="s">
        <v>226</v>
      </c>
      <c r="AZ183" s="108" t="s">
        <v>1199</v>
      </c>
      <c r="BA183" s="108">
        <v>2016</v>
      </c>
      <c r="BB183" s="108" t="s">
        <v>12</v>
      </c>
      <c r="BC183" s="108" t="s">
        <v>226</v>
      </c>
      <c r="BD183" s="108" t="s">
        <v>1199</v>
      </c>
      <c r="BE183" s="108">
        <v>2016</v>
      </c>
      <c r="BF183" s="116"/>
      <c r="BG183" s="116"/>
      <c r="BH183" s="108" t="s">
        <v>345</v>
      </c>
      <c r="BI183" s="108">
        <v>30</v>
      </c>
      <c r="BJ183" s="108">
        <v>40</v>
      </c>
      <c r="BK183" s="111"/>
      <c r="BL183" s="111"/>
      <c r="BM183" s="111"/>
      <c r="BN183" s="111"/>
      <c r="BO183" s="108"/>
      <c r="BP183" s="108"/>
      <c r="BQ183" s="108"/>
      <c r="BR183" s="108"/>
      <c r="BS183" s="108"/>
      <c r="BT183" s="108"/>
      <c r="BU183" s="108"/>
      <c r="BV183" s="108"/>
      <c r="BW183" s="108"/>
      <c r="BX183" s="108"/>
      <c r="BY183" s="108"/>
      <c r="BZ183" s="108" t="e">
        <f>VLOOKUP(C183,[1]Sertifikasi!$B$4:$I$19,8,0)</f>
        <v>#N/A</v>
      </c>
    </row>
    <row r="184" spans="1:78" ht="11.25" customHeight="1">
      <c r="A184" s="108"/>
      <c r="B184" s="108">
        <v>70</v>
      </c>
      <c r="C184" s="134" t="s">
        <v>374</v>
      </c>
      <c r="D184" s="109">
        <v>971700010</v>
      </c>
      <c r="E184" s="131">
        <v>1710003988329</v>
      </c>
      <c r="F184" s="131"/>
      <c r="G184" s="108" t="s">
        <v>71</v>
      </c>
      <c r="H184" s="108" t="s">
        <v>71</v>
      </c>
      <c r="I184" s="111">
        <v>42125</v>
      </c>
      <c r="J184" s="108">
        <v>8</v>
      </c>
      <c r="K184" s="108">
        <v>5</v>
      </c>
      <c r="L184" s="108" t="str">
        <f t="shared" si="5"/>
        <v>Tetap</v>
      </c>
      <c r="M184" s="108" t="s">
        <v>375</v>
      </c>
      <c r="N184" s="112">
        <v>42767</v>
      </c>
      <c r="O184" s="108"/>
      <c r="P184" s="108" t="s">
        <v>311</v>
      </c>
      <c r="Q184" s="210" t="s">
        <v>4102</v>
      </c>
      <c r="R184" s="108" t="s">
        <v>2085</v>
      </c>
      <c r="S184" s="108" t="s">
        <v>33</v>
      </c>
      <c r="T184" s="108" t="s">
        <v>81</v>
      </c>
      <c r="U184" s="108" t="s">
        <v>214</v>
      </c>
      <c r="V184" s="108" t="s">
        <v>180</v>
      </c>
      <c r="W184" s="108"/>
      <c r="X184" s="108" t="s">
        <v>215</v>
      </c>
      <c r="Y184" s="108" t="s">
        <v>216</v>
      </c>
      <c r="Z184" s="108" t="s">
        <v>71</v>
      </c>
      <c r="AA184" s="111">
        <v>27211</v>
      </c>
      <c r="AB184" s="113">
        <v>49</v>
      </c>
      <c r="AC184" s="108" t="s">
        <v>376</v>
      </c>
      <c r="AD184" s="129" t="s">
        <v>377</v>
      </c>
      <c r="AE184" s="108" t="s">
        <v>378</v>
      </c>
      <c r="AF184" s="108"/>
      <c r="AG184" s="108" t="s">
        <v>379</v>
      </c>
      <c r="AH184" s="114" t="s">
        <v>380</v>
      </c>
      <c r="AI184" s="115">
        <v>13008389671</v>
      </c>
      <c r="AJ184" s="108" t="s">
        <v>189</v>
      </c>
      <c r="AK184" s="108" t="s">
        <v>381</v>
      </c>
      <c r="AL184" s="108" t="s">
        <v>382</v>
      </c>
      <c r="AM184" s="108"/>
      <c r="AN184" s="108"/>
      <c r="AO184" s="108"/>
      <c r="AP184" s="108"/>
      <c r="AQ184" s="108"/>
      <c r="AR184" s="108"/>
      <c r="AS184" s="108"/>
      <c r="AT184" s="108">
        <v>1</v>
      </c>
      <c r="AU184" s="108" t="s">
        <v>225</v>
      </c>
      <c r="AV184" s="115">
        <v>0</v>
      </c>
      <c r="AW184" s="108" t="s">
        <v>74</v>
      </c>
      <c r="AX184" s="108" t="s">
        <v>16</v>
      </c>
      <c r="AY184" s="108" t="s">
        <v>285</v>
      </c>
      <c r="AZ184" s="108" t="s">
        <v>306</v>
      </c>
      <c r="BA184" s="108"/>
      <c r="BB184" s="108" t="s">
        <v>287</v>
      </c>
      <c r="BC184" s="108" t="s">
        <v>285</v>
      </c>
      <c r="BD184" s="108" t="s">
        <v>306</v>
      </c>
      <c r="BE184" s="108"/>
      <c r="BF184" s="116">
        <v>47515</v>
      </c>
      <c r="BG184" s="116">
        <v>47880</v>
      </c>
      <c r="BH184" s="108" t="s">
        <v>228</v>
      </c>
      <c r="BI184" s="108">
        <v>35</v>
      </c>
      <c r="BJ184" s="108">
        <v>42</v>
      </c>
      <c r="BK184" s="111">
        <v>44294</v>
      </c>
      <c r="BL184" s="111">
        <v>44322</v>
      </c>
      <c r="BM184" s="111">
        <v>44585</v>
      </c>
      <c r="BN184" s="111"/>
      <c r="BO184" s="108"/>
      <c r="BP184" s="108"/>
      <c r="BQ184" s="108"/>
      <c r="BR184" s="108"/>
      <c r="BS184" s="108"/>
      <c r="BT184" s="108"/>
      <c r="BU184" s="108"/>
      <c r="BV184" s="108"/>
      <c r="BW184" s="108"/>
      <c r="BX184" s="108"/>
      <c r="BY184" s="108"/>
      <c r="BZ184" s="108" t="e">
        <f>VLOOKUP(C184,[1]Sertifikasi!$B$4:$I$19,8,0)</f>
        <v>#N/A</v>
      </c>
    </row>
    <row r="185" spans="1:78" ht="11.25" customHeight="1">
      <c r="A185" s="108"/>
      <c r="B185" s="108">
        <v>101</v>
      </c>
      <c r="C185" s="108" t="s">
        <v>320</v>
      </c>
      <c r="D185" s="109">
        <v>971700005</v>
      </c>
      <c r="E185" s="131">
        <v>1710003987289</v>
      </c>
      <c r="F185" s="131"/>
      <c r="G185" s="108" t="s">
        <v>71</v>
      </c>
      <c r="H185" s="108" t="s">
        <v>71</v>
      </c>
      <c r="I185" s="111">
        <v>42095</v>
      </c>
      <c r="J185" s="108">
        <v>8</v>
      </c>
      <c r="K185" s="108">
        <v>6</v>
      </c>
      <c r="L185" s="108" t="str">
        <f t="shared" si="5"/>
        <v>Tetap</v>
      </c>
      <c r="M185" s="108" t="s">
        <v>321</v>
      </c>
      <c r="N185" s="112">
        <v>42767</v>
      </c>
      <c r="O185" s="108"/>
      <c r="P185" s="108" t="s">
        <v>311</v>
      </c>
      <c r="Q185" s="210" t="s">
        <v>4102</v>
      </c>
      <c r="R185" s="108" t="s">
        <v>33</v>
      </c>
      <c r="S185" s="108" t="s">
        <v>232</v>
      </c>
      <c r="T185" s="108" t="s">
        <v>199</v>
      </c>
      <c r="U185" s="108" t="s">
        <v>199</v>
      </c>
      <c r="V185" s="108" t="s">
        <v>180</v>
      </c>
      <c r="W185" s="108" t="s">
        <v>277</v>
      </c>
      <c r="X185" s="108" t="s">
        <v>215</v>
      </c>
      <c r="Y185" s="108" t="s">
        <v>216</v>
      </c>
      <c r="Z185" s="108" t="s">
        <v>71</v>
      </c>
      <c r="AA185" s="111">
        <v>29051</v>
      </c>
      <c r="AB185" s="113">
        <v>44</v>
      </c>
      <c r="AC185" s="108" t="s">
        <v>322</v>
      </c>
      <c r="AD185" s="129" t="s">
        <v>323</v>
      </c>
      <c r="AE185" s="108" t="s">
        <v>324</v>
      </c>
      <c r="AF185" s="108"/>
      <c r="AG185" s="108" t="s">
        <v>325</v>
      </c>
      <c r="AH185" s="114" t="s">
        <v>326</v>
      </c>
      <c r="AI185" s="115">
        <v>16006272252</v>
      </c>
      <c r="AJ185" s="108" t="s">
        <v>189</v>
      </c>
      <c r="AK185" s="108" t="s">
        <v>327</v>
      </c>
      <c r="AL185" s="108" t="s">
        <v>328</v>
      </c>
      <c r="AM185" s="108" t="s">
        <v>329</v>
      </c>
      <c r="AN185" s="108"/>
      <c r="AO185" s="108"/>
      <c r="AP185" s="108"/>
      <c r="AQ185" s="108"/>
      <c r="AR185" s="108"/>
      <c r="AS185" s="108"/>
      <c r="AT185" s="108">
        <v>2</v>
      </c>
      <c r="AU185" s="108" t="s">
        <v>330</v>
      </c>
      <c r="AV185" s="115">
        <v>903768364621000</v>
      </c>
      <c r="AW185" s="108" t="s">
        <v>74</v>
      </c>
      <c r="AX185" s="108" t="s">
        <v>16</v>
      </c>
      <c r="AY185" s="108" t="s">
        <v>331</v>
      </c>
      <c r="AZ185" s="108" t="s">
        <v>306</v>
      </c>
      <c r="BA185" s="108">
        <v>1998</v>
      </c>
      <c r="BB185" s="108" t="s">
        <v>287</v>
      </c>
      <c r="BC185" s="108" t="s">
        <v>331</v>
      </c>
      <c r="BD185" s="108" t="s">
        <v>306</v>
      </c>
      <c r="BE185" s="108">
        <v>1998</v>
      </c>
      <c r="BF185" s="116">
        <v>49341</v>
      </c>
      <c r="BG185" s="116">
        <v>49706</v>
      </c>
      <c r="BH185" s="108" t="s">
        <v>228</v>
      </c>
      <c r="BI185" s="108">
        <v>37</v>
      </c>
      <c r="BJ185" s="108">
        <v>41</v>
      </c>
      <c r="BK185" s="111">
        <v>44293</v>
      </c>
      <c r="BL185" s="111">
        <v>44322</v>
      </c>
      <c r="BM185" s="111">
        <v>44673</v>
      </c>
      <c r="BN185" s="111"/>
      <c r="BO185" s="108"/>
      <c r="BP185" s="108"/>
      <c r="BQ185" s="108"/>
      <c r="BR185" s="108"/>
      <c r="BS185" s="108"/>
      <c r="BT185" s="108"/>
      <c r="BU185" s="108"/>
      <c r="BV185" s="108"/>
      <c r="BW185" s="108"/>
      <c r="BX185" s="108"/>
      <c r="BY185" s="108"/>
      <c r="BZ185" s="108" t="e">
        <f>VLOOKUP(C185,[1]Sertifikasi!$B$4:$I$19,8,0)</f>
        <v>#N/A</v>
      </c>
    </row>
    <row r="186" spans="1:78" ht="11.25" customHeight="1">
      <c r="A186" s="108"/>
      <c r="B186" s="108">
        <v>135</v>
      </c>
      <c r="C186" s="128" t="s">
        <v>770</v>
      </c>
      <c r="D186" s="109">
        <v>971800014</v>
      </c>
      <c r="E186" s="131">
        <v>1710003919852</v>
      </c>
      <c r="F186" s="131"/>
      <c r="G186" s="113" t="s">
        <v>71</v>
      </c>
      <c r="H186" s="108" t="s">
        <v>771</v>
      </c>
      <c r="I186" s="111">
        <v>42559</v>
      </c>
      <c r="J186" s="108">
        <f ca="1">DATEDIF(I186,$C$3,"y")</f>
        <v>7</v>
      </c>
      <c r="K186" s="108">
        <f ca="1">DATEDIF(I186,$C$3,"ym")</f>
        <v>4</v>
      </c>
      <c r="L186" s="108" t="str">
        <f t="shared" si="5"/>
        <v>Tetap</v>
      </c>
      <c r="M186" s="108" t="s">
        <v>772</v>
      </c>
      <c r="N186" s="112">
        <v>43116</v>
      </c>
      <c r="O186" s="111"/>
      <c r="P186" s="108" t="s">
        <v>261</v>
      </c>
      <c r="Q186" s="210" t="s">
        <v>4102</v>
      </c>
      <c r="R186" s="108" t="s">
        <v>409</v>
      </c>
      <c r="S186" s="108" t="s">
        <v>33</v>
      </c>
      <c r="T186" s="108" t="s">
        <v>88</v>
      </c>
      <c r="U186" s="108" t="s">
        <v>199</v>
      </c>
      <c r="V186" s="108" t="s">
        <v>180</v>
      </c>
      <c r="W186" s="108" t="s">
        <v>773</v>
      </c>
      <c r="X186" s="108"/>
      <c r="Y186" s="108" t="s">
        <v>59</v>
      </c>
      <c r="Z186" s="108" t="s">
        <v>409</v>
      </c>
      <c r="AA186" s="111">
        <v>33813</v>
      </c>
      <c r="AB186" s="113">
        <f ca="1">DATEDIF(AA186,$C$3,"y")</f>
        <v>31</v>
      </c>
      <c r="AC186" s="108" t="s">
        <v>774</v>
      </c>
      <c r="AD186" s="129" t="s">
        <v>775</v>
      </c>
      <c r="AE186" s="108" t="s">
        <v>776</v>
      </c>
      <c r="AF186" s="108"/>
      <c r="AG186" s="108" t="s">
        <v>777</v>
      </c>
      <c r="AH186" s="114" t="s">
        <v>778</v>
      </c>
      <c r="AI186" s="115" t="s">
        <v>779</v>
      </c>
      <c r="AJ186" s="108" t="s">
        <v>189</v>
      </c>
      <c r="AK186" s="108" t="s">
        <v>780</v>
      </c>
      <c r="AL186" s="108" t="s">
        <v>781</v>
      </c>
      <c r="AM186" s="108"/>
      <c r="AN186" s="108"/>
      <c r="AO186" s="108"/>
      <c r="AP186" s="108"/>
      <c r="AQ186" s="108"/>
      <c r="AR186" s="108"/>
      <c r="AS186" s="108"/>
      <c r="AT186" s="108">
        <f>COUNTA(AL186:AO186)</f>
        <v>1</v>
      </c>
      <c r="AU186" s="108" t="str">
        <f>IF(AJ186="Menikah","K","TK")&amp;"/"&amp;AT186</f>
        <v>K/1</v>
      </c>
      <c r="AV186" s="131">
        <v>733593123525000</v>
      </c>
      <c r="AW186" s="113" t="s">
        <v>76</v>
      </c>
      <c r="AX186" s="108" t="s">
        <v>12</v>
      </c>
      <c r="AY186" s="108" t="s">
        <v>226</v>
      </c>
      <c r="AZ186" s="108" t="s">
        <v>782</v>
      </c>
      <c r="BA186" s="108">
        <v>2015</v>
      </c>
      <c r="BB186" s="108" t="s">
        <v>12</v>
      </c>
      <c r="BC186" s="108" t="s">
        <v>226</v>
      </c>
      <c r="BD186" s="108" t="s">
        <v>782</v>
      </c>
      <c r="BE186" s="108">
        <v>2015</v>
      </c>
      <c r="BF186" s="116">
        <v>54073</v>
      </c>
      <c r="BG186" s="116">
        <v>54438</v>
      </c>
      <c r="BH186" s="132"/>
      <c r="BI186" s="108"/>
      <c r="BJ186" s="108">
        <v>40</v>
      </c>
      <c r="BK186" s="111">
        <v>44294</v>
      </c>
      <c r="BL186" s="111">
        <v>44322</v>
      </c>
      <c r="BM186" s="111">
        <v>44659</v>
      </c>
      <c r="BN186" s="111"/>
      <c r="BO186" s="108"/>
      <c r="BP186" s="108"/>
      <c r="BQ186" s="108"/>
      <c r="BR186" s="108"/>
      <c r="BS186" s="108"/>
      <c r="BT186" s="108"/>
      <c r="BU186" s="108"/>
      <c r="BV186" s="108"/>
      <c r="BW186" s="108"/>
      <c r="BX186" s="108"/>
      <c r="BY186" s="108"/>
      <c r="BZ186" s="108" t="e">
        <f>VLOOKUP(C186,[1]Sertifikasi!$B$4:$I$19,8,0)</f>
        <v>#N/A</v>
      </c>
    </row>
    <row r="187" spans="1:78" ht="11.25" customHeight="1">
      <c r="A187" s="108"/>
      <c r="B187" s="108">
        <v>325</v>
      </c>
      <c r="C187" s="108" t="s">
        <v>2495</v>
      </c>
      <c r="D187" s="109">
        <v>999300024</v>
      </c>
      <c r="E187" s="131">
        <v>1440001092979</v>
      </c>
      <c r="F187" s="131"/>
      <c r="G187" s="108" t="s">
        <v>33</v>
      </c>
      <c r="H187" s="108" t="s">
        <v>71</v>
      </c>
      <c r="I187" s="111">
        <v>44575</v>
      </c>
      <c r="J187" s="108">
        <f ca="1">DATEDIF(I187,$C$3,"y")</f>
        <v>1</v>
      </c>
      <c r="K187" s="108">
        <f ca="1">DATEDIF(I187,$C$3,"ym")</f>
        <v>10</v>
      </c>
      <c r="L187" s="108" t="s">
        <v>3</v>
      </c>
      <c r="M187" s="108" t="s">
        <v>2496</v>
      </c>
      <c r="N187" s="112">
        <v>34213</v>
      </c>
      <c r="O187" s="108" t="s">
        <v>2497</v>
      </c>
      <c r="P187" s="108" t="s">
        <v>3</v>
      </c>
      <c r="Q187" s="210" t="s">
        <v>4100</v>
      </c>
      <c r="R187" s="108" t="s">
        <v>4099</v>
      </c>
      <c r="S187" s="108" t="s">
        <v>247</v>
      </c>
      <c r="T187" s="210" t="s">
        <v>4126</v>
      </c>
      <c r="U187" s="108" t="s">
        <v>247</v>
      </c>
      <c r="V187" s="108" t="s">
        <v>247</v>
      </c>
      <c r="W187" s="108"/>
      <c r="X187" s="108"/>
      <c r="Y187" s="108" t="s">
        <v>59</v>
      </c>
      <c r="Z187" s="108" t="s">
        <v>1169</v>
      </c>
      <c r="AA187" s="111">
        <v>25143</v>
      </c>
      <c r="AB187" s="113">
        <f ca="1">DATEDIF(AA187,$C$3,"y")</f>
        <v>55</v>
      </c>
      <c r="AC187" s="108" t="s">
        <v>2498</v>
      </c>
      <c r="AD187" s="129" t="s">
        <v>2499</v>
      </c>
      <c r="AE187" s="108" t="s">
        <v>2500</v>
      </c>
      <c r="AF187" s="108"/>
      <c r="AG187" s="108" t="s">
        <v>2501</v>
      </c>
      <c r="AH187" s="136" t="s">
        <v>2502</v>
      </c>
      <c r="AI187" s="115" t="s">
        <v>2503</v>
      </c>
      <c r="AJ187" s="108" t="s">
        <v>189</v>
      </c>
      <c r="AK187" s="108" t="s">
        <v>2504</v>
      </c>
      <c r="AL187" s="108" t="s">
        <v>2505</v>
      </c>
      <c r="AM187" s="108"/>
      <c r="AN187" s="108"/>
      <c r="AO187" s="108"/>
      <c r="AP187" s="108"/>
      <c r="AQ187" s="108"/>
      <c r="AR187" s="108"/>
      <c r="AS187" s="108"/>
      <c r="AT187" s="108">
        <f>COUNTA(AL187:AO187)</f>
        <v>1</v>
      </c>
      <c r="AU187" s="108" t="str">
        <f>IF(AJ187="Menikah","K","TK")&amp;"/"&amp;AT187</f>
        <v>K/1</v>
      </c>
      <c r="AV187" s="131">
        <v>86818572621000</v>
      </c>
      <c r="AW187" s="108" t="s">
        <v>74</v>
      </c>
      <c r="AX187" s="108" t="s">
        <v>11</v>
      </c>
      <c r="AY187" s="108" t="s">
        <v>226</v>
      </c>
      <c r="AZ187" s="108" t="s">
        <v>193</v>
      </c>
      <c r="BA187" s="108">
        <v>2017</v>
      </c>
      <c r="BB187" s="108" t="s">
        <v>11</v>
      </c>
      <c r="BC187" s="108" t="s">
        <v>226</v>
      </c>
      <c r="BD187" s="108" t="s">
        <v>2506</v>
      </c>
      <c r="BE187" s="108">
        <v>2017</v>
      </c>
      <c r="BF187" s="116">
        <v>45261</v>
      </c>
      <c r="BG187" s="116">
        <v>45627</v>
      </c>
      <c r="BH187" s="108"/>
      <c r="BI187" s="108"/>
      <c r="BJ187" s="207"/>
      <c r="BK187" s="111"/>
      <c r="BL187" s="111"/>
      <c r="BM187" s="208"/>
      <c r="BN187" s="111"/>
      <c r="BO187" s="108"/>
      <c r="BP187" s="108"/>
      <c r="BQ187" s="108"/>
      <c r="BR187" s="108"/>
      <c r="BS187" s="108"/>
      <c r="BT187" s="108"/>
      <c r="BU187" s="108"/>
      <c r="BV187" s="108"/>
      <c r="BW187" s="108"/>
      <c r="BX187" s="108"/>
      <c r="BY187" s="108"/>
      <c r="BZ187" s="108" t="e">
        <f>VLOOKUP(C187,[1]Sertifikasi!$B$4:$I$19,8,0)</f>
        <v>#N/A</v>
      </c>
    </row>
    <row r="188" spans="1:78" ht="11.25" customHeight="1">
      <c r="A188" s="108"/>
      <c r="B188" s="108">
        <v>239</v>
      </c>
      <c r="C188" s="108" t="s">
        <v>3048</v>
      </c>
      <c r="D188" s="109">
        <v>642307128</v>
      </c>
      <c r="E188" s="131">
        <v>1560021516259</v>
      </c>
      <c r="F188" s="131"/>
      <c r="G188" s="108" t="s">
        <v>71</v>
      </c>
      <c r="H188" s="108" t="s">
        <v>3049</v>
      </c>
      <c r="I188" s="111">
        <v>45204</v>
      </c>
      <c r="J188" s="108">
        <v>0</v>
      </c>
      <c r="K188" s="108">
        <v>0</v>
      </c>
      <c r="L188" s="108" t="str">
        <f t="shared" ref="L188:L219" si="6">IF(LEFT(D188,2)="99","Organik",IF(LEFT(D188,2)="97","Tetap",IF(LEFT(D188,2)="75","Capeg",IF(LEFT(D188,2)="64","PKWT","Resign"))))</f>
        <v>PKWT</v>
      </c>
      <c r="M188" s="108"/>
      <c r="N188" s="112">
        <v>45291</v>
      </c>
      <c r="O188" s="108"/>
      <c r="P188" s="108" t="s">
        <v>213</v>
      </c>
      <c r="Q188" s="210" t="s">
        <v>4102</v>
      </c>
      <c r="R188" s="108" t="s">
        <v>259</v>
      </c>
      <c r="S188" s="108" t="s">
        <v>33</v>
      </c>
      <c r="T188" s="108" t="s">
        <v>432</v>
      </c>
      <c r="U188" s="108" t="s">
        <v>199</v>
      </c>
      <c r="V188" s="108" t="s">
        <v>180</v>
      </c>
      <c r="W188" s="108" t="s">
        <v>277</v>
      </c>
      <c r="X188" s="108"/>
      <c r="Y188" s="108" t="s">
        <v>216</v>
      </c>
      <c r="Z188" s="108" t="s">
        <v>3049</v>
      </c>
      <c r="AA188" s="111">
        <v>37438</v>
      </c>
      <c r="AB188" s="113">
        <v>21</v>
      </c>
      <c r="AC188" s="108" t="s">
        <v>3050</v>
      </c>
      <c r="AD188" s="129" t="s">
        <v>3051</v>
      </c>
      <c r="AE188" s="108" t="s">
        <v>3052</v>
      </c>
      <c r="AF188" s="108"/>
      <c r="AG188" s="108" t="s">
        <v>3053</v>
      </c>
      <c r="AH188" s="114" t="s">
        <v>3054</v>
      </c>
      <c r="AI188" s="115">
        <v>23156731269</v>
      </c>
      <c r="AJ188" s="108" t="s">
        <v>255</v>
      </c>
      <c r="AK188" s="108"/>
      <c r="AL188" s="108"/>
      <c r="AM188" s="108"/>
      <c r="AN188" s="108"/>
      <c r="AO188" s="108"/>
      <c r="AP188" s="108"/>
      <c r="AQ188" s="108"/>
      <c r="AR188" s="108"/>
      <c r="AS188" s="108"/>
      <c r="AT188" s="108">
        <v>0</v>
      </c>
      <c r="AU188" s="108" t="s">
        <v>304</v>
      </c>
      <c r="AV188" s="115"/>
      <c r="AW188" s="108" t="s">
        <v>74</v>
      </c>
      <c r="AX188" s="108" t="s">
        <v>13</v>
      </c>
      <c r="AY188" s="108" t="s">
        <v>2789</v>
      </c>
      <c r="AZ188" s="108" t="s">
        <v>2472</v>
      </c>
      <c r="BA188" s="108">
        <v>2023</v>
      </c>
      <c r="BB188" s="108" t="s">
        <v>13</v>
      </c>
      <c r="BC188" s="108" t="s">
        <v>2789</v>
      </c>
      <c r="BD188" s="108" t="s">
        <v>2472</v>
      </c>
      <c r="BE188" s="108">
        <v>2023</v>
      </c>
      <c r="BF188" s="116"/>
      <c r="BG188" s="116"/>
      <c r="BH188" s="108"/>
      <c r="BI188" s="108"/>
      <c r="BJ188" s="108"/>
      <c r="BK188" s="111"/>
      <c r="BL188" s="111"/>
      <c r="BM188" s="111"/>
      <c r="BN188" s="111"/>
      <c r="BO188" s="108"/>
      <c r="BP188" s="108"/>
      <c r="BQ188" s="108"/>
      <c r="BR188" s="108"/>
      <c r="BS188" s="108"/>
      <c r="BT188" s="108"/>
      <c r="BU188" s="108"/>
      <c r="BV188" s="108"/>
      <c r="BW188" s="108"/>
      <c r="BX188" s="108"/>
      <c r="BY188" s="108"/>
      <c r="BZ188" s="108" t="e">
        <f>VLOOKUP(C188,[1]Sertifikasi!$B$4:$I$19,8,0)</f>
        <v>#N/A</v>
      </c>
    </row>
    <row r="189" spans="1:78" ht="11.25" customHeight="1">
      <c r="A189" s="108"/>
      <c r="B189" s="108">
        <v>240</v>
      </c>
      <c r="C189" s="108" t="s">
        <v>1251</v>
      </c>
      <c r="D189" s="109">
        <v>641805146</v>
      </c>
      <c r="E189" s="131">
        <v>1710004252014</v>
      </c>
      <c r="F189" s="131"/>
      <c r="G189" s="108" t="s">
        <v>71</v>
      </c>
      <c r="H189" s="108" t="s">
        <v>71</v>
      </c>
      <c r="I189" s="111">
        <v>43227</v>
      </c>
      <c r="J189" s="108">
        <v>5</v>
      </c>
      <c r="K189" s="108">
        <v>5</v>
      </c>
      <c r="L189" s="108" t="str">
        <f t="shared" si="6"/>
        <v>PKWT</v>
      </c>
      <c r="M189" s="108"/>
      <c r="N189" s="112">
        <v>45417</v>
      </c>
      <c r="O189" s="108"/>
      <c r="P189" s="108" t="s">
        <v>213</v>
      </c>
      <c r="Q189" s="210" t="s">
        <v>4102</v>
      </c>
      <c r="R189" s="108" t="s">
        <v>259</v>
      </c>
      <c r="S189" s="108" t="s">
        <v>33</v>
      </c>
      <c r="T189" s="108" t="s">
        <v>432</v>
      </c>
      <c r="U189" s="108" t="s">
        <v>199</v>
      </c>
      <c r="V189" s="108" t="s">
        <v>180</v>
      </c>
      <c r="W189" s="108"/>
      <c r="X189" s="108" t="s">
        <v>215</v>
      </c>
      <c r="Y189" s="108" t="s">
        <v>216</v>
      </c>
      <c r="Z189" s="108" t="s">
        <v>71</v>
      </c>
      <c r="AA189" s="111">
        <v>34917</v>
      </c>
      <c r="AB189" s="113">
        <v>28</v>
      </c>
      <c r="AC189" s="108" t="s">
        <v>1252</v>
      </c>
      <c r="AD189" s="129" t="s">
        <v>1253</v>
      </c>
      <c r="AE189" s="108" t="s">
        <v>1254</v>
      </c>
      <c r="AF189" s="108"/>
      <c r="AG189" s="108" t="s">
        <v>1255</v>
      </c>
      <c r="AH189" s="114" t="s">
        <v>1256</v>
      </c>
      <c r="AI189" s="115">
        <v>18035613373</v>
      </c>
      <c r="AJ189" s="108" t="s">
        <v>189</v>
      </c>
      <c r="AK189" s="108" t="s">
        <v>1257</v>
      </c>
      <c r="AL189" s="108" t="s">
        <v>1258</v>
      </c>
      <c r="AM189" s="108"/>
      <c r="AN189" s="108"/>
      <c r="AO189" s="108"/>
      <c r="AP189" s="108"/>
      <c r="AQ189" s="108"/>
      <c r="AR189" s="108"/>
      <c r="AS189" s="108"/>
      <c r="AT189" s="108">
        <v>1</v>
      </c>
      <c r="AU189" s="108" t="s">
        <v>225</v>
      </c>
      <c r="AV189" s="115">
        <v>0</v>
      </c>
      <c r="AW189" s="108" t="s">
        <v>74</v>
      </c>
      <c r="AX189" s="108" t="s">
        <v>16</v>
      </c>
      <c r="AY189" s="108" t="s">
        <v>226</v>
      </c>
      <c r="AZ189" s="108" t="s">
        <v>404</v>
      </c>
      <c r="BA189" s="108">
        <v>2013</v>
      </c>
      <c r="BB189" s="108" t="s">
        <v>287</v>
      </c>
      <c r="BC189" s="108" t="s">
        <v>226</v>
      </c>
      <c r="BD189" s="108" t="s">
        <v>404</v>
      </c>
      <c r="BE189" s="108">
        <v>2013</v>
      </c>
      <c r="BF189" s="116"/>
      <c r="BG189" s="116"/>
      <c r="BH189" s="108" t="s">
        <v>345</v>
      </c>
      <c r="BI189" s="108">
        <v>32</v>
      </c>
      <c r="BJ189" s="108">
        <v>42</v>
      </c>
      <c r="BK189" s="111"/>
      <c r="BL189" s="111"/>
      <c r="BM189" s="111"/>
      <c r="BN189" s="111"/>
      <c r="BO189" s="108"/>
      <c r="BP189" s="108"/>
      <c r="BQ189" s="108"/>
      <c r="BR189" s="108"/>
      <c r="BS189" s="108"/>
      <c r="BT189" s="108"/>
      <c r="BU189" s="108"/>
      <c r="BV189" s="108"/>
      <c r="BW189" s="108"/>
      <c r="BX189" s="108"/>
      <c r="BY189" s="108"/>
      <c r="BZ189" s="108" t="e">
        <f>VLOOKUP(C189,[1]Sertifikasi!$B$4:$I$19,8,0)</f>
        <v>#N/A</v>
      </c>
    </row>
    <row r="190" spans="1:78" ht="11.25" customHeight="1">
      <c r="A190" s="108"/>
      <c r="B190" s="108">
        <v>102</v>
      </c>
      <c r="C190" s="108" t="s">
        <v>606</v>
      </c>
      <c r="D190" s="109">
        <v>642001014</v>
      </c>
      <c r="E190" s="131">
        <v>1710003987925</v>
      </c>
      <c r="F190" s="131"/>
      <c r="G190" s="108" t="s">
        <v>71</v>
      </c>
      <c r="H190" s="108" t="s">
        <v>71</v>
      </c>
      <c r="I190" s="111">
        <v>42401</v>
      </c>
      <c r="J190" s="108">
        <v>7</v>
      </c>
      <c r="K190" s="108">
        <v>8</v>
      </c>
      <c r="L190" s="108" t="str">
        <f t="shared" si="6"/>
        <v>PKWT</v>
      </c>
      <c r="M190" s="108"/>
      <c r="N190" s="112">
        <v>45291</v>
      </c>
      <c r="O190" s="108"/>
      <c r="P190" s="108" t="s">
        <v>213</v>
      </c>
      <c r="Q190" s="210" t="s">
        <v>4102</v>
      </c>
      <c r="R190" s="108" t="s">
        <v>33</v>
      </c>
      <c r="S190" s="108" t="s">
        <v>232</v>
      </c>
      <c r="T190" s="108" t="s">
        <v>199</v>
      </c>
      <c r="U190" s="108" t="s">
        <v>199</v>
      </c>
      <c r="V190" s="108" t="s">
        <v>180</v>
      </c>
      <c r="W190" s="108" t="s">
        <v>83</v>
      </c>
      <c r="X190" s="108" t="s">
        <v>215</v>
      </c>
      <c r="Y190" s="108" t="s">
        <v>216</v>
      </c>
      <c r="Z190" s="108" t="s">
        <v>433</v>
      </c>
      <c r="AA190" s="111">
        <v>34890</v>
      </c>
      <c r="AB190" s="113">
        <v>28</v>
      </c>
      <c r="AC190" s="108" t="s">
        <v>607</v>
      </c>
      <c r="AD190" s="129" t="s">
        <v>608</v>
      </c>
      <c r="AE190" s="108" t="s">
        <v>609</v>
      </c>
      <c r="AF190" s="108"/>
      <c r="AG190" s="108" t="s">
        <v>610</v>
      </c>
      <c r="AH190" s="114" t="s">
        <v>611</v>
      </c>
      <c r="AI190" s="115">
        <v>16006271973</v>
      </c>
      <c r="AJ190" s="108" t="s">
        <v>255</v>
      </c>
      <c r="AK190" s="108"/>
      <c r="AL190" s="108"/>
      <c r="AM190" s="108"/>
      <c r="AN190" s="108"/>
      <c r="AO190" s="108"/>
      <c r="AP190" s="108" t="s">
        <v>407</v>
      </c>
      <c r="AQ190" s="108"/>
      <c r="AR190" s="108"/>
      <c r="AS190" s="108"/>
      <c r="AT190" s="108">
        <v>0</v>
      </c>
      <c r="AU190" s="108" t="s">
        <v>304</v>
      </c>
      <c r="AV190" s="115">
        <v>0</v>
      </c>
      <c r="AW190" s="108" t="s">
        <v>74</v>
      </c>
      <c r="AX190" s="108" t="s">
        <v>16</v>
      </c>
      <c r="AY190" s="108" t="s">
        <v>612</v>
      </c>
      <c r="AZ190" s="108" t="s">
        <v>613</v>
      </c>
      <c r="BA190" s="108">
        <v>2014</v>
      </c>
      <c r="BB190" s="108" t="s">
        <v>287</v>
      </c>
      <c r="BC190" s="108" t="s">
        <v>612</v>
      </c>
      <c r="BD190" s="108" t="s">
        <v>613</v>
      </c>
      <c r="BE190" s="108">
        <v>2014</v>
      </c>
      <c r="BF190" s="116"/>
      <c r="BG190" s="116"/>
      <c r="BH190" s="108" t="s">
        <v>228</v>
      </c>
      <c r="BI190" s="108">
        <v>32</v>
      </c>
      <c r="BJ190" s="195">
        <v>40</v>
      </c>
      <c r="BK190" s="111">
        <v>44293</v>
      </c>
      <c r="BL190" s="111">
        <v>44322</v>
      </c>
      <c r="BM190" s="111"/>
      <c r="BN190" s="111"/>
      <c r="BO190" s="108">
        <v>43467</v>
      </c>
      <c r="BP190" s="108">
        <v>43830</v>
      </c>
      <c r="BQ190" s="108" t="s">
        <v>614</v>
      </c>
      <c r="BR190" s="108" t="s">
        <v>615</v>
      </c>
      <c r="BS190" s="108"/>
      <c r="BT190" s="108"/>
      <c r="BU190" s="108"/>
      <c r="BV190" s="108"/>
      <c r="BW190" s="108"/>
      <c r="BX190" s="108"/>
      <c r="BY190" s="108"/>
      <c r="BZ190" s="108" t="e">
        <f>VLOOKUP(C190,[1]Sertifikasi!$B$4:$I$19,8,0)</f>
        <v>#N/A</v>
      </c>
    </row>
    <row r="191" spans="1:78" ht="11.25" customHeight="1">
      <c r="A191" s="108"/>
      <c r="B191" s="108">
        <v>287</v>
      </c>
      <c r="C191" s="212" t="s">
        <v>4149</v>
      </c>
      <c r="D191" s="109">
        <v>641810181</v>
      </c>
      <c r="E191" s="131">
        <v>1710004811058</v>
      </c>
      <c r="F191" s="131"/>
      <c r="G191" s="108" t="s">
        <v>575</v>
      </c>
      <c r="H191" s="108" t="s">
        <v>575</v>
      </c>
      <c r="I191" s="111">
        <v>43374</v>
      </c>
      <c r="J191" s="108">
        <v>5</v>
      </c>
      <c r="K191" s="108">
        <v>0</v>
      </c>
      <c r="L191" s="108" t="str">
        <f t="shared" si="6"/>
        <v>PKWT</v>
      </c>
      <c r="M191" s="108"/>
      <c r="N191" s="112">
        <v>45565</v>
      </c>
      <c r="O191" s="108"/>
      <c r="P191" s="108" t="s">
        <v>213</v>
      </c>
      <c r="Q191" s="210" t="s">
        <v>4102</v>
      </c>
      <c r="R191" s="108" t="s">
        <v>575</v>
      </c>
      <c r="S191" s="108" t="s">
        <v>262</v>
      </c>
      <c r="T191" s="108" t="s">
        <v>92</v>
      </c>
      <c r="U191" s="108" t="s">
        <v>276</v>
      </c>
      <c r="V191" s="108" t="s">
        <v>180</v>
      </c>
      <c r="W191" s="108"/>
      <c r="X191" s="108" t="s">
        <v>215</v>
      </c>
      <c r="Y191" s="108" t="s">
        <v>216</v>
      </c>
      <c r="Z191" s="108" t="s">
        <v>575</v>
      </c>
      <c r="AA191" s="111">
        <v>35490</v>
      </c>
      <c r="AB191" s="113">
        <v>26</v>
      </c>
      <c r="AC191" s="108" t="s">
        <v>1554</v>
      </c>
      <c r="AD191" s="129" t="s">
        <v>1555</v>
      </c>
      <c r="AE191" s="108" t="s">
        <v>1556</v>
      </c>
      <c r="AF191" s="108"/>
      <c r="AG191" s="108" t="s">
        <v>1557</v>
      </c>
      <c r="AH191" s="114" t="s">
        <v>1558</v>
      </c>
      <c r="AI191" s="115">
        <v>18099947659</v>
      </c>
      <c r="AJ191" s="108" t="s">
        <v>255</v>
      </c>
      <c r="AK191" s="108"/>
      <c r="AL191" s="108"/>
      <c r="AM191" s="108"/>
      <c r="AN191" s="108"/>
      <c r="AO191" s="108"/>
      <c r="AP191" s="108"/>
      <c r="AQ191" s="108"/>
      <c r="AR191" s="108"/>
      <c r="AS191" s="108"/>
      <c r="AT191" s="108">
        <v>0</v>
      </c>
      <c r="AU191" s="108" t="s">
        <v>304</v>
      </c>
      <c r="AV191" s="115">
        <v>0</v>
      </c>
      <c r="AW191" s="108" t="s">
        <v>74</v>
      </c>
      <c r="AX191" s="108" t="s">
        <v>16</v>
      </c>
      <c r="AY191" s="108" t="s">
        <v>331</v>
      </c>
      <c r="AZ191" s="108" t="s">
        <v>1559</v>
      </c>
      <c r="BA191" s="108">
        <v>2014</v>
      </c>
      <c r="BB191" s="108" t="s">
        <v>287</v>
      </c>
      <c r="BC191" s="108" t="s">
        <v>331</v>
      </c>
      <c r="BD191" s="108" t="s">
        <v>1559</v>
      </c>
      <c r="BE191" s="108">
        <v>2014</v>
      </c>
      <c r="BF191" s="116"/>
      <c r="BG191" s="116"/>
      <c r="BH191" s="108" t="s">
        <v>241</v>
      </c>
      <c r="BI191" s="108">
        <v>27</v>
      </c>
      <c r="BJ191" s="108">
        <v>38</v>
      </c>
      <c r="BK191" s="111"/>
      <c r="BL191" s="111"/>
      <c r="BM191" s="111"/>
      <c r="BN191" s="111"/>
      <c r="BO191" s="108"/>
      <c r="BP191" s="108"/>
      <c r="BQ191" s="108"/>
      <c r="BR191" s="108"/>
      <c r="BS191" s="108"/>
      <c r="BT191" s="108"/>
      <c r="BU191" s="108"/>
      <c r="BV191" s="108"/>
      <c r="BW191" s="108"/>
      <c r="BX191" s="108"/>
      <c r="BY191" s="108"/>
      <c r="BZ191" s="108" t="e">
        <f>VLOOKUP(C191,[1]Sertifikasi!$B$4:$I$19,8,0)</f>
        <v>#N/A</v>
      </c>
    </row>
    <row r="192" spans="1:78" ht="11.25" customHeight="1">
      <c r="A192" s="108"/>
      <c r="B192" s="108">
        <v>93</v>
      </c>
      <c r="C192" s="108" t="s">
        <v>890</v>
      </c>
      <c r="D192" s="109">
        <v>642001047</v>
      </c>
      <c r="E192" s="131">
        <v>1710003988394</v>
      </c>
      <c r="F192" s="131"/>
      <c r="G192" s="108" t="s">
        <v>71</v>
      </c>
      <c r="H192" s="108" t="s">
        <v>71</v>
      </c>
      <c r="I192" s="111">
        <v>42767</v>
      </c>
      <c r="J192" s="108">
        <v>6</v>
      </c>
      <c r="K192" s="108">
        <v>8</v>
      </c>
      <c r="L192" s="108" t="str">
        <f t="shared" si="6"/>
        <v>PKWT</v>
      </c>
      <c r="M192" s="108"/>
      <c r="N192" s="112">
        <v>45291</v>
      </c>
      <c r="O192" s="108"/>
      <c r="P192" s="108" t="s">
        <v>213</v>
      </c>
      <c r="Q192" s="210" t="s">
        <v>4102</v>
      </c>
      <c r="R192" s="108" t="s">
        <v>2085</v>
      </c>
      <c r="S192" s="108" t="s">
        <v>33</v>
      </c>
      <c r="T192" s="108" t="s">
        <v>95</v>
      </c>
      <c r="U192" s="108" t="s">
        <v>214</v>
      </c>
      <c r="V192" s="108" t="s">
        <v>180</v>
      </c>
      <c r="W192" s="108" t="s">
        <v>83</v>
      </c>
      <c r="X192" s="108" t="s">
        <v>215</v>
      </c>
      <c r="Y192" s="108" t="s">
        <v>216</v>
      </c>
      <c r="Z192" s="108" t="s">
        <v>71</v>
      </c>
      <c r="AA192" s="111">
        <v>35284</v>
      </c>
      <c r="AB192" s="113">
        <v>27</v>
      </c>
      <c r="AC192" s="108" t="s">
        <v>891</v>
      </c>
      <c r="AD192" s="129" t="s">
        <v>892</v>
      </c>
      <c r="AE192" s="108" t="s">
        <v>893</v>
      </c>
      <c r="AF192" s="108"/>
      <c r="AG192" s="108" t="s">
        <v>894</v>
      </c>
      <c r="AH192" s="114" t="s">
        <v>895</v>
      </c>
      <c r="AI192" s="115">
        <v>17028637779</v>
      </c>
      <c r="AJ192" s="108" t="s">
        <v>255</v>
      </c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>
        <v>0</v>
      </c>
      <c r="AU192" s="108" t="s">
        <v>304</v>
      </c>
      <c r="AV192" s="115">
        <v>0</v>
      </c>
      <c r="AW192" s="108" t="s">
        <v>74</v>
      </c>
      <c r="AX192" s="108" t="s">
        <v>16</v>
      </c>
      <c r="AY192" s="108" t="s">
        <v>285</v>
      </c>
      <c r="AZ192" s="108" t="s">
        <v>404</v>
      </c>
      <c r="BA192" s="108">
        <v>2016</v>
      </c>
      <c r="BB192" s="108" t="s">
        <v>287</v>
      </c>
      <c r="BC192" s="108" t="s">
        <v>285</v>
      </c>
      <c r="BD192" s="108" t="s">
        <v>404</v>
      </c>
      <c r="BE192" s="108">
        <v>2016</v>
      </c>
      <c r="BF192" s="116"/>
      <c r="BG192" s="116"/>
      <c r="BH192" s="108" t="s">
        <v>394</v>
      </c>
      <c r="BI192" s="108">
        <v>42</v>
      </c>
      <c r="BJ192" s="108">
        <v>43</v>
      </c>
      <c r="BK192" s="111">
        <v>44294</v>
      </c>
      <c r="BL192" s="111">
        <v>44322</v>
      </c>
      <c r="BM192" s="111"/>
      <c r="BN192" s="111"/>
      <c r="BO192" s="108">
        <v>43467</v>
      </c>
      <c r="BP192" s="108">
        <v>43830</v>
      </c>
      <c r="BQ192" s="108" t="s">
        <v>896</v>
      </c>
      <c r="BR192" s="108" t="s">
        <v>897</v>
      </c>
      <c r="BS192" s="108"/>
      <c r="BT192" s="108"/>
      <c r="BU192" s="108"/>
      <c r="BV192" s="108"/>
      <c r="BW192" s="108"/>
      <c r="BX192" s="108"/>
      <c r="BY192" s="108"/>
      <c r="BZ192" s="108" t="e">
        <f>VLOOKUP(C192,[1]Sertifikasi!$B$4:$I$19,8,0)</f>
        <v>#N/A</v>
      </c>
    </row>
    <row r="193" spans="1:78" ht="11.25" customHeight="1">
      <c r="A193" s="108"/>
      <c r="B193" s="108">
        <v>16</v>
      </c>
      <c r="C193" s="108" t="s">
        <v>1019</v>
      </c>
      <c r="D193" s="109">
        <v>972000051</v>
      </c>
      <c r="E193" s="131">
        <v>1710003919787</v>
      </c>
      <c r="F193" s="131">
        <v>7178373638</v>
      </c>
      <c r="G193" s="113" t="s">
        <v>71</v>
      </c>
      <c r="H193" s="108" t="s">
        <v>71</v>
      </c>
      <c r="I193" s="111">
        <v>42863</v>
      </c>
      <c r="J193" s="108">
        <f ca="1">DATEDIF(I193,$C$3,"y")</f>
        <v>6</v>
      </c>
      <c r="K193" s="108">
        <f ca="1">DATEDIF(I193,$C$3,"ym")</f>
        <v>6</v>
      </c>
      <c r="L193" s="108" t="str">
        <f t="shared" si="6"/>
        <v>Tetap</v>
      </c>
      <c r="M193" s="108" t="s">
        <v>587</v>
      </c>
      <c r="N193" s="112">
        <v>43899</v>
      </c>
      <c r="O193" s="111"/>
      <c r="P193" s="108" t="s">
        <v>261</v>
      </c>
      <c r="Q193" s="210" t="s">
        <v>4100</v>
      </c>
      <c r="R193" s="108" t="s">
        <v>4099</v>
      </c>
      <c r="S193" s="108" t="s">
        <v>360</v>
      </c>
      <c r="T193" s="108" t="s">
        <v>361</v>
      </c>
      <c r="U193" s="108" t="s">
        <v>362</v>
      </c>
      <c r="V193" s="108" t="s">
        <v>180</v>
      </c>
      <c r="W193" s="108"/>
      <c r="X193" s="108"/>
      <c r="Y193" s="108" t="s">
        <v>60</v>
      </c>
      <c r="Z193" s="108" t="s">
        <v>71</v>
      </c>
      <c r="AA193" s="111">
        <v>34020</v>
      </c>
      <c r="AB193" s="113">
        <f ca="1">DATEDIF(AA193,$C$3,"y")</f>
        <v>30</v>
      </c>
      <c r="AC193" s="108" t="s">
        <v>1020</v>
      </c>
      <c r="AD193" s="129" t="s">
        <v>1021</v>
      </c>
      <c r="AE193" s="108" t="s">
        <v>1022</v>
      </c>
      <c r="AF193" s="108"/>
      <c r="AG193" s="130" t="s">
        <v>1023</v>
      </c>
      <c r="AH193" s="114" t="s">
        <v>1024</v>
      </c>
      <c r="AI193" s="115" t="s">
        <v>1025</v>
      </c>
      <c r="AJ193" s="108" t="s">
        <v>189</v>
      </c>
      <c r="AK193" s="108" t="s">
        <v>1026</v>
      </c>
      <c r="AL193" s="108" t="s">
        <v>1027</v>
      </c>
      <c r="AM193" s="108"/>
      <c r="AN193" s="108"/>
      <c r="AO193" s="108"/>
      <c r="AP193" s="108"/>
      <c r="AQ193" s="108"/>
      <c r="AR193" s="108"/>
      <c r="AS193" s="108"/>
      <c r="AT193" s="108">
        <f>COUNTA(AL193:AO193)</f>
        <v>1</v>
      </c>
      <c r="AU193" s="108" t="str">
        <f>IF(AJ193="Menikah","K","TK")&amp;"/"&amp;AT193</f>
        <v>K/1</v>
      </c>
      <c r="AV193" s="131">
        <v>839446358621000</v>
      </c>
      <c r="AW193" s="113" t="s">
        <v>76</v>
      </c>
      <c r="AX193" s="108" t="s">
        <v>12</v>
      </c>
      <c r="AY193" s="108" t="s">
        <v>1028</v>
      </c>
      <c r="AZ193" s="108" t="s">
        <v>1029</v>
      </c>
      <c r="BA193" s="108">
        <v>2016</v>
      </c>
      <c r="BB193" s="108" t="s">
        <v>12</v>
      </c>
      <c r="BC193" s="108" t="s">
        <v>1028</v>
      </c>
      <c r="BD193" s="108" t="s">
        <v>1029</v>
      </c>
      <c r="BE193" s="108">
        <v>2016</v>
      </c>
      <c r="BF193" s="116">
        <v>54126</v>
      </c>
      <c r="BG193" s="116">
        <v>54491</v>
      </c>
      <c r="BH193" s="132"/>
      <c r="BI193" s="108"/>
      <c r="BJ193" s="194"/>
      <c r="BK193" s="111">
        <v>44294</v>
      </c>
      <c r="BL193" s="111">
        <v>44322</v>
      </c>
      <c r="BM193" s="111">
        <v>44585</v>
      </c>
      <c r="BN193" s="111"/>
      <c r="BO193" s="108"/>
      <c r="BP193" s="108"/>
      <c r="BQ193" s="108"/>
      <c r="BR193" s="108"/>
      <c r="BS193" s="108"/>
      <c r="BT193" s="108"/>
      <c r="BU193" s="108"/>
      <c r="BV193" s="108"/>
      <c r="BW193" s="108"/>
      <c r="BX193" s="108"/>
      <c r="BY193" s="108"/>
      <c r="BZ193" s="108" t="e">
        <f>VLOOKUP(C193,[1]Sertifikasi!$B$4:$I$19,8,0)</f>
        <v>#N/A</v>
      </c>
    </row>
    <row r="194" spans="1:78" ht="11.25" customHeight="1">
      <c r="A194" s="108"/>
      <c r="B194" s="108">
        <v>181</v>
      </c>
      <c r="C194" s="108" t="s">
        <v>1587</v>
      </c>
      <c r="D194" s="109">
        <v>641810186</v>
      </c>
      <c r="E194" s="131">
        <v>1710004810688</v>
      </c>
      <c r="F194" s="131"/>
      <c r="G194" s="108" t="s">
        <v>259</v>
      </c>
      <c r="H194" s="108" t="s">
        <v>259</v>
      </c>
      <c r="I194" s="111">
        <v>43395</v>
      </c>
      <c r="J194" s="108">
        <v>4</v>
      </c>
      <c r="K194" s="108">
        <v>11</v>
      </c>
      <c r="L194" s="108" t="str">
        <f t="shared" si="6"/>
        <v>PKWT</v>
      </c>
      <c r="M194" s="108"/>
      <c r="N194" s="112">
        <v>45291</v>
      </c>
      <c r="O194" s="108"/>
      <c r="P194" s="108" t="s">
        <v>213</v>
      </c>
      <c r="Q194" s="210" t="s">
        <v>4102</v>
      </c>
      <c r="R194" s="108" t="s">
        <v>259</v>
      </c>
      <c r="S194" s="108" t="s">
        <v>262</v>
      </c>
      <c r="T194" s="108" t="s">
        <v>89</v>
      </c>
      <c r="U194" s="108" t="s">
        <v>199</v>
      </c>
      <c r="V194" s="108" t="s">
        <v>180</v>
      </c>
      <c r="W194" s="108" t="s">
        <v>277</v>
      </c>
      <c r="X194" s="108" t="s">
        <v>215</v>
      </c>
      <c r="Y194" s="108" t="s">
        <v>216</v>
      </c>
      <c r="Z194" s="108" t="s">
        <v>259</v>
      </c>
      <c r="AA194" s="111">
        <v>36748</v>
      </c>
      <c r="AB194" s="113">
        <v>23</v>
      </c>
      <c r="AC194" s="108" t="s">
        <v>1588</v>
      </c>
      <c r="AD194" s="129" t="s">
        <v>1589</v>
      </c>
      <c r="AE194" s="108" t="s">
        <v>1590</v>
      </c>
      <c r="AF194" s="108" t="s">
        <v>1591</v>
      </c>
      <c r="AG194" s="108" t="s">
        <v>1592</v>
      </c>
      <c r="AH194" s="114" t="s">
        <v>1593</v>
      </c>
      <c r="AI194" s="115">
        <v>18099947436</v>
      </c>
      <c r="AJ194" s="108" t="s">
        <v>189</v>
      </c>
      <c r="AK194" s="108" t="s">
        <v>1594</v>
      </c>
      <c r="AL194" s="108" t="s">
        <v>1595</v>
      </c>
      <c r="AM194" s="108"/>
      <c r="AN194" s="108"/>
      <c r="AO194" s="108"/>
      <c r="AP194" s="108"/>
      <c r="AQ194" s="108"/>
      <c r="AR194" s="108"/>
      <c r="AS194" s="108"/>
      <c r="AT194" s="108">
        <v>1</v>
      </c>
      <c r="AU194" s="108" t="s">
        <v>225</v>
      </c>
      <c r="AV194" s="115">
        <v>0</v>
      </c>
      <c r="AW194" s="108" t="s">
        <v>74</v>
      </c>
      <c r="AX194" s="108" t="s">
        <v>16</v>
      </c>
      <c r="AY194" s="108" t="s">
        <v>331</v>
      </c>
      <c r="AZ194" s="108" t="s">
        <v>1596</v>
      </c>
      <c r="BA194" s="108">
        <v>2016</v>
      </c>
      <c r="BB194" s="108" t="s">
        <v>287</v>
      </c>
      <c r="BC194" s="108" t="s">
        <v>331</v>
      </c>
      <c r="BD194" s="108" t="s">
        <v>1596</v>
      </c>
      <c r="BE194" s="108">
        <v>2016</v>
      </c>
      <c r="BF194" s="116"/>
      <c r="BG194" s="116"/>
      <c r="BH194" s="108" t="s">
        <v>345</v>
      </c>
      <c r="BI194" s="108">
        <v>30</v>
      </c>
      <c r="BJ194" s="108">
        <v>41</v>
      </c>
      <c r="BK194" s="111"/>
      <c r="BL194" s="111"/>
      <c r="BM194" s="111"/>
      <c r="BN194" s="111"/>
      <c r="BO194" s="108"/>
      <c r="BP194" s="108"/>
      <c r="BQ194" s="108"/>
      <c r="BR194" s="108"/>
      <c r="BS194" s="108"/>
      <c r="BT194" s="108"/>
      <c r="BU194" s="108"/>
      <c r="BV194" s="108"/>
      <c r="BW194" s="108"/>
      <c r="BX194" s="108"/>
      <c r="BY194" s="108"/>
      <c r="BZ194" s="108" t="e">
        <f>VLOOKUP(C194,[1]Sertifikasi!$B$4:$I$19,8,0)</f>
        <v>#N/A</v>
      </c>
    </row>
    <row r="195" spans="1:78" ht="11.25" customHeight="1">
      <c r="A195" s="108"/>
      <c r="B195" s="108">
        <v>94</v>
      </c>
      <c r="C195" s="108" t="s">
        <v>680</v>
      </c>
      <c r="D195" s="109">
        <v>642001062</v>
      </c>
      <c r="E195" s="131">
        <v>1710003988071</v>
      </c>
      <c r="F195" s="131"/>
      <c r="G195" s="108" t="s">
        <v>71</v>
      </c>
      <c r="H195" s="108" t="s">
        <v>71</v>
      </c>
      <c r="I195" s="111">
        <v>42491</v>
      </c>
      <c r="J195" s="108">
        <v>7</v>
      </c>
      <c r="K195" s="108">
        <v>5</v>
      </c>
      <c r="L195" s="108" t="str">
        <f t="shared" si="6"/>
        <v>PKWT</v>
      </c>
      <c r="M195" s="108"/>
      <c r="N195" s="112">
        <v>45291</v>
      </c>
      <c r="O195" s="108"/>
      <c r="P195" s="108" t="s">
        <v>213</v>
      </c>
      <c r="Q195" s="210" t="s">
        <v>4102</v>
      </c>
      <c r="R195" s="108" t="s">
        <v>2085</v>
      </c>
      <c r="S195" s="108" t="s">
        <v>33</v>
      </c>
      <c r="T195" s="108" t="s">
        <v>95</v>
      </c>
      <c r="U195" s="108" t="s">
        <v>214</v>
      </c>
      <c r="V195" s="108" t="s">
        <v>180</v>
      </c>
      <c r="W195" s="108" t="s">
        <v>83</v>
      </c>
      <c r="X195" s="108" t="s">
        <v>215</v>
      </c>
      <c r="Y195" s="108" t="s">
        <v>216</v>
      </c>
      <c r="Z195" s="108" t="s">
        <v>71</v>
      </c>
      <c r="AA195" s="111">
        <v>35470</v>
      </c>
      <c r="AB195" s="113">
        <v>26</v>
      </c>
      <c r="AC195" s="108" t="s">
        <v>681</v>
      </c>
      <c r="AD195" s="129" t="s">
        <v>682</v>
      </c>
      <c r="AE195" s="108" t="s">
        <v>683</v>
      </c>
      <c r="AF195" s="108"/>
      <c r="AG195" s="108" t="s">
        <v>684</v>
      </c>
      <c r="AH195" s="114" t="s">
        <v>685</v>
      </c>
      <c r="AI195" s="115">
        <v>16030084350</v>
      </c>
      <c r="AJ195" s="108" t="s">
        <v>255</v>
      </c>
      <c r="AK195" s="108"/>
      <c r="AL195" s="108"/>
      <c r="AM195" s="108"/>
      <c r="AN195" s="108"/>
      <c r="AO195" s="108"/>
      <c r="AP195" s="108"/>
      <c r="AQ195" s="108"/>
      <c r="AR195" s="108"/>
      <c r="AS195" s="108"/>
      <c r="AT195" s="108">
        <v>0</v>
      </c>
      <c r="AU195" s="108" t="s">
        <v>304</v>
      </c>
      <c r="AV195" s="115">
        <v>0</v>
      </c>
      <c r="AW195" s="108" t="s">
        <v>74</v>
      </c>
      <c r="AX195" s="108" t="s">
        <v>16</v>
      </c>
      <c r="AY195" s="108" t="s">
        <v>226</v>
      </c>
      <c r="AZ195" s="108" t="s">
        <v>319</v>
      </c>
      <c r="BA195" s="108">
        <v>2016</v>
      </c>
      <c r="BB195" s="108" t="s">
        <v>287</v>
      </c>
      <c r="BC195" s="108" t="s">
        <v>226</v>
      </c>
      <c r="BD195" s="108" t="s">
        <v>319</v>
      </c>
      <c r="BE195" s="108">
        <v>2016</v>
      </c>
      <c r="BF195" s="116"/>
      <c r="BG195" s="116"/>
      <c r="BH195" s="108" t="s">
        <v>345</v>
      </c>
      <c r="BI195" s="108">
        <v>33</v>
      </c>
      <c r="BJ195" s="108">
        <v>42</v>
      </c>
      <c r="BK195" s="111">
        <v>44293</v>
      </c>
      <c r="BL195" s="111">
        <v>44322</v>
      </c>
      <c r="BM195" s="111"/>
      <c r="BN195" s="111"/>
      <c r="BO195" s="108">
        <v>43467</v>
      </c>
      <c r="BP195" s="108">
        <v>43830</v>
      </c>
      <c r="BQ195" s="108" t="s">
        <v>686</v>
      </c>
      <c r="BR195" s="108" t="e">
        <v>#REF!</v>
      </c>
      <c r="BS195" s="108"/>
      <c r="BT195" s="108"/>
      <c r="BU195" s="108"/>
      <c r="BV195" s="108"/>
      <c r="BW195" s="108"/>
      <c r="BX195" s="108"/>
      <c r="BY195" s="108"/>
      <c r="BZ195" s="108" t="e">
        <f>VLOOKUP(C195,[1]Sertifikasi!$B$4:$I$19,8,0)</f>
        <v>#N/A</v>
      </c>
    </row>
    <row r="196" spans="1:78" ht="11.25" customHeight="1">
      <c r="A196" s="108"/>
      <c r="B196" s="108">
        <v>71</v>
      </c>
      <c r="C196" s="134" t="s">
        <v>383</v>
      </c>
      <c r="D196" s="109">
        <v>642001020</v>
      </c>
      <c r="E196" s="131">
        <v>1710004040864</v>
      </c>
      <c r="F196" s="131"/>
      <c r="G196" s="108" t="s">
        <v>71</v>
      </c>
      <c r="H196" s="108" t="s">
        <v>71</v>
      </c>
      <c r="I196" s="111">
        <v>42125</v>
      </c>
      <c r="J196" s="108">
        <v>8</v>
      </c>
      <c r="K196" s="108">
        <v>5</v>
      </c>
      <c r="L196" s="108" t="str">
        <f t="shared" si="6"/>
        <v>PKWT</v>
      </c>
      <c r="M196" s="108"/>
      <c r="N196" s="112">
        <v>45291</v>
      </c>
      <c r="O196" s="108"/>
      <c r="P196" s="108" t="s">
        <v>213</v>
      </c>
      <c r="Q196" s="210" t="s">
        <v>4102</v>
      </c>
      <c r="R196" s="108" t="s">
        <v>2085</v>
      </c>
      <c r="S196" s="108" t="s">
        <v>33</v>
      </c>
      <c r="T196" s="108" t="s">
        <v>81</v>
      </c>
      <c r="U196" s="108" t="s">
        <v>214</v>
      </c>
      <c r="V196" s="108" t="s">
        <v>180</v>
      </c>
      <c r="W196" s="108"/>
      <c r="X196" s="108" t="s">
        <v>215</v>
      </c>
      <c r="Y196" s="108" t="s">
        <v>216</v>
      </c>
      <c r="Z196" s="108" t="s">
        <v>71</v>
      </c>
      <c r="AA196" s="111">
        <v>33417</v>
      </c>
      <c r="AB196" s="113">
        <v>32</v>
      </c>
      <c r="AC196" s="108" t="s">
        <v>384</v>
      </c>
      <c r="AD196" s="129" t="s">
        <v>385</v>
      </c>
      <c r="AE196" s="108" t="s">
        <v>386</v>
      </c>
      <c r="AF196" s="108"/>
      <c r="AG196" s="108" t="s">
        <v>387</v>
      </c>
      <c r="AH196" s="114" t="s">
        <v>388</v>
      </c>
      <c r="AI196" s="115">
        <v>12008406162</v>
      </c>
      <c r="AJ196" s="108" t="s">
        <v>189</v>
      </c>
      <c r="AK196" s="108" t="s">
        <v>389</v>
      </c>
      <c r="AL196" s="108"/>
      <c r="AM196" s="108"/>
      <c r="AN196" s="108"/>
      <c r="AO196" s="108"/>
      <c r="AP196" s="108"/>
      <c r="AQ196" s="108"/>
      <c r="AR196" s="108"/>
      <c r="AS196" s="108"/>
      <c r="AT196" s="108">
        <v>0</v>
      </c>
      <c r="AU196" s="108" t="s">
        <v>390</v>
      </c>
      <c r="AV196" s="115">
        <v>0</v>
      </c>
      <c r="AW196" s="108" t="s">
        <v>74</v>
      </c>
      <c r="AX196" s="108" t="s">
        <v>391</v>
      </c>
      <c r="AY196" s="108" t="s">
        <v>392</v>
      </c>
      <c r="AZ196" s="108" t="s">
        <v>393</v>
      </c>
      <c r="BA196" s="108"/>
      <c r="BB196" s="108" t="s">
        <v>391</v>
      </c>
      <c r="BC196" s="108" t="s">
        <v>392</v>
      </c>
      <c r="BD196" s="108" t="s">
        <v>393</v>
      </c>
      <c r="BE196" s="108"/>
      <c r="BF196" s="116"/>
      <c r="BG196" s="116"/>
      <c r="BH196" s="108" t="s">
        <v>394</v>
      </c>
      <c r="BI196" s="108">
        <v>38</v>
      </c>
      <c r="BJ196" s="108">
        <v>43</v>
      </c>
      <c r="BK196" s="111">
        <v>44294</v>
      </c>
      <c r="BL196" s="111">
        <v>44322</v>
      </c>
      <c r="BM196" s="111">
        <v>44601</v>
      </c>
      <c r="BN196" s="111"/>
      <c r="BO196" s="108">
        <v>43467</v>
      </c>
      <c r="BP196" s="108">
        <v>43830</v>
      </c>
      <c r="BQ196" s="108" t="s">
        <v>395</v>
      </c>
      <c r="BR196" s="108" t="s">
        <v>396</v>
      </c>
      <c r="BS196" s="108"/>
      <c r="BT196" s="108"/>
      <c r="BU196" s="108"/>
      <c r="BV196" s="108"/>
      <c r="BW196" s="108"/>
      <c r="BX196" s="108"/>
      <c r="BY196" s="108"/>
      <c r="BZ196" s="108" t="e">
        <f>VLOOKUP(C196,[1]Sertifikasi!$B$4:$I$19,8,0)</f>
        <v>#N/A</v>
      </c>
    </row>
    <row r="197" spans="1:78" ht="11.25" customHeight="1">
      <c r="A197" s="108"/>
      <c r="B197" s="108">
        <v>288</v>
      </c>
      <c r="C197" s="210" t="s">
        <v>4103</v>
      </c>
      <c r="D197" s="109">
        <v>641907239</v>
      </c>
      <c r="E197" s="131">
        <v>1710005657666</v>
      </c>
      <c r="F197" s="131"/>
      <c r="G197" s="108" t="s">
        <v>71</v>
      </c>
      <c r="H197" s="108" t="s">
        <v>575</v>
      </c>
      <c r="I197" s="111">
        <v>43647</v>
      </c>
      <c r="J197" s="108">
        <v>4</v>
      </c>
      <c r="K197" s="108">
        <v>3</v>
      </c>
      <c r="L197" s="108" t="str">
        <f t="shared" si="6"/>
        <v>PKWT</v>
      </c>
      <c r="M197" s="108"/>
      <c r="N197" s="112">
        <v>45473</v>
      </c>
      <c r="O197" s="108"/>
      <c r="P197" s="108" t="s">
        <v>213</v>
      </c>
      <c r="Q197" s="210" t="s">
        <v>4102</v>
      </c>
      <c r="R197" s="108" t="s">
        <v>575</v>
      </c>
      <c r="S197" s="108" t="s">
        <v>262</v>
      </c>
      <c r="T197" s="108" t="s">
        <v>92</v>
      </c>
      <c r="U197" s="108" t="s">
        <v>276</v>
      </c>
      <c r="V197" s="108" t="s">
        <v>180</v>
      </c>
      <c r="W197" s="108" t="s">
        <v>263</v>
      </c>
      <c r="X197" s="108" t="s">
        <v>215</v>
      </c>
      <c r="Y197" s="108" t="s">
        <v>216</v>
      </c>
      <c r="Z197" s="108" t="s">
        <v>575</v>
      </c>
      <c r="AA197" s="111">
        <v>35823</v>
      </c>
      <c r="AB197" s="113">
        <v>25</v>
      </c>
      <c r="AC197" s="108" t="s">
        <v>1940</v>
      </c>
      <c r="AD197" s="129" t="s">
        <v>1941</v>
      </c>
      <c r="AE197" s="108" t="s">
        <v>1942</v>
      </c>
      <c r="AF197" s="108"/>
      <c r="AG197" s="108" t="s">
        <v>1943</v>
      </c>
      <c r="AH197" s="114" t="s">
        <v>1944</v>
      </c>
      <c r="AI197" s="115">
        <v>19047643952</v>
      </c>
      <c r="AJ197" s="108" t="s">
        <v>189</v>
      </c>
      <c r="AK197" s="108"/>
      <c r="AL197" s="108"/>
      <c r="AM197" s="108"/>
      <c r="AN197" s="108"/>
      <c r="AO197" s="108" t="s">
        <v>1945</v>
      </c>
      <c r="AP197" s="108" t="s">
        <v>1946</v>
      </c>
      <c r="AQ197" s="108" t="s">
        <v>1947</v>
      </c>
      <c r="AR197" s="108"/>
      <c r="AS197" s="108"/>
      <c r="AT197" s="108">
        <v>1</v>
      </c>
      <c r="AU197" s="108" t="s">
        <v>225</v>
      </c>
      <c r="AV197" s="115">
        <v>0</v>
      </c>
      <c r="AW197" s="108" t="s">
        <v>74</v>
      </c>
      <c r="AX197" s="108" t="s">
        <v>13</v>
      </c>
      <c r="AY197" s="108" t="s">
        <v>210</v>
      </c>
      <c r="AZ197" s="108" t="s">
        <v>1913</v>
      </c>
      <c r="BA197" s="108">
        <v>2018</v>
      </c>
      <c r="BB197" s="108" t="s">
        <v>13</v>
      </c>
      <c r="BC197" s="108" t="s">
        <v>210</v>
      </c>
      <c r="BD197" s="108" t="s">
        <v>1913</v>
      </c>
      <c r="BE197" s="108">
        <v>2018</v>
      </c>
      <c r="BF197" s="116"/>
      <c r="BG197" s="116"/>
      <c r="BH197" s="108" t="s">
        <v>228</v>
      </c>
      <c r="BI197" s="108">
        <v>33</v>
      </c>
      <c r="BJ197" s="108">
        <v>43</v>
      </c>
      <c r="BK197" s="111"/>
      <c r="BL197" s="111"/>
      <c r="BM197" s="111">
        <v>44671</v>
      </c>
      <c r="BN197" s="111"/>
      <c r="BO197" s="108"/>
      <c r="BP197" s="108"/>
      <c r="BQ197" s="108"/>
      <c r="BR197" s="108"/>
      <c r="BS197" s="108"/>
      <c r="BT197" s="108"/>
      <c r="BU197" s="108"/>
      <c r="BV197" s="108"/>
      <c r="BW197" s="108"/>
      <c r="BX197" s="108"/>
      <c r="BY197" s="108"/>
      <c r="BZ197" s="108" t="e">
        <f>VLOOKUP(C197,[1]Sertifikasi!$B$4:$I$19,8,0)</f>
        <v>#N/A</v>
      </c>
    </row>
    <row r="198" spans="1:78" ht="11.25" customHeight="1">
      <c r="A198" s="108"/>
      <c r="B198" s="108">
        <v>111</v>
      </c>
      <c r="C198" s="212" t="s">
        <v>863</v>
      </c>
      <c r="D198" s="109">
        <v>641702080</v>
      </c>
      <c r="E198" s="131">
        <v>1710004040377</v>
      </c>
      <c r="F198" s="131"/>
      <c r="G198" s="108" t="s">
        <v>36</v>
      </c>
      <c r="H198" s="108" t="s">
        <v>36</v>
      </c>
      <c r="I198" s="111">
        <v>42767</v>
      </c>
      <c r="J198" s="108">
        <v>6</v>
      </c>
      <c r="K198" s="108">
        <v>8</v>
      </c>
      <c r="L198" s="108" t="str">
        <f t="shared" si="6"/>
        <v>PKWT</v>
      </c>
      <c r="M198" s="108"/>
      <c r="N198" s="112">
        <v>45291</v>
      </c>
      <c r="O198" s="108"/>
      <c r="P198" s="108" t="s">
        <v>213</v>
      </c>
      <c r="Q198" s="210" t="s">
        <v>4102</v>
      </c>
      <c r="R198" s="108" t="s">
        <v>36</v>
      </c>
      <c r="S198" s="108" t="s">
        <v>275</v>
      </c>
      <c r="T198" s="108" t="s">
        <v>87</v>
      </c>
      <c r="U198" s="108" t="s">
        <v>276</v>
      </c>
      <c r="V198" s="108" t="s">
        <v>180</v>
      </c>
      <c r="W198" s="108"/>
      <c r="X198" s="108" t="s">
        <v>215</v>
      </c>
      <c r="Y198" s="108" t="s">
        <v>216</v>
      </c>
      <c r="Z198" s="108" t="s">
        <v>864</v>
      </c>
      <c r="AA198" s="111">
        <v>34249</v>
      </c>
      <c r="AB198" s="113">
        <v>30</v>
      </c>
      <c r="AC198" s="108" t="s">
        <v>865</v>
      </c>
      <c r="AD198" s="129" t="s">
        <v>866</v>
      </c>
      <c r="AE198" s="108" t="s">
        <v>867</v>
      </c>
      <c r="AF198" s="108"/>
      <c r="AG198" s="108" t="s">
        <v>868</v>
      </c>
      <c r="AH198" s="114" t="s">
        <v>869</v>
      </c>
      <c r="AI198" s="115">
        <v>16059487997</v>
      </c>
      <c r="AJ198" s="108" t="s">
        <v>255</v>
      </c>
      <c r="AK198" s="108"/>
      <c r="AL198" s="108"/>
      <c r="AM198" s="108"/>
      <c r="AN198" s="108"/>
      <c r="AO198" s="108"/>
      <c r="AP198" s="108"/>
      <c r="AQ198" s="108"/>
      <c r="AR198" s="108"/>
      <c r="AS198" s="108"/>
      <c r="AT198" s="108">
        <v>0</v>
      </c>
      <c r="AU198" s="108" t="s">
        <v>304</v>
      </c>
      <c r="AV198" s="115">
        <v>0</v>
      </c>
      <c r="AW198" s="108" t="s">
        <v>74</v>
      </c>
      <c r="AX198" s="108" t="s">
        <v>391</v>
      </c>
      <c r="AY198" s="108" t="s">
        <v>450</v>
      </c>
      <c r="AZ198" s="108" t="s">
        <v>870</v>
      </c>
      <c r="BA198" s="108"/>
      <c r="BB198" s="108" t="s">
        <v>391</v>
      </c>
      <c r="BC198" s="108" t="s">
        <v>450</v>
      </c>
      <c r="BD198" s="108" t="s">
        <v>870</v>
      </c>
      <c r="BE198" s="108"/>
      <c r="BF198" s="116"/>
      <c r="BG198" s="116"/>
      <c r="BH198" s="108" t="s">
        <v>345</v>
      </c>
      <c r="BI198" s="108">
        <v>32</v>
      </c>
      <c r="BJ198" s="108">
        <v>40</v>
      </c>
      <c r="BK198" s="111"/>
      <c r="BL198" s="111"/>
      <c r="BM198" s="111"/>
      <c r="BN198" s="111"/>
      <c r="BO198" s="108"/>
      <c r="BP198" s="108"/>
      <c r="BQ198" s="108"/>
      <c r="BR198" s="108"/>
      <c r="BS198" s="108"/>
      <c r="BT198" s="108"/>
      <c r="BU198" s="108"/>
      <c r="BV198" s="108"/>
      <c r="BW198" s="108"/>
      <c r="BX198" s="108"/>
      <c r="BY198" s="108"/>
      <c r="BZ198" s="108" t="e">
        <f>VLOOKUP(C198,[1]Sertifikasi!$B$4:$I$19,8,0)</f>
        <v>#N/A</v>
      </c>
    </row>
    <row r="199" spans="1:78" ht="11.25" customHeight="1">
      <c r="A199" s="108"/>
      <c r="B199" s="108">
        <v>289</v>
      </c>
      <c r="C199" s="212" t="s">
        <v>1670</v>
      </c>
      <c r="D199" s="109">
        <v>641810202</v>
      </c>
      <c r="E199" s="131">
        <v>1710004810803</v>
      </c>
      <c r="F199" s="131"/>
      <c r="G199" s="108" t="s">
        <v>575</v>
      </c>
      <c r="H199" s="108" t="s">
        <v>575</v>
      </c>
      <c r="I199" s="111">
        <v>43395</v>
      </c>
      <c r="J199" s="108">
        <v>4</v>
      </c>
      <c r="K199" s="108">
        <v>11</v>
      </c>
      <c r="L199" s="108" t="str">
        <f t="shared" si="6"/>
        <v>PKWT</v>
      </c>
      <c r="M199" s="108"/>
      <c r="N199" s="112">
        <v>45586</v>
      </c>
      <c r="O199" s="108"/>
      <c r="P199" s="108" t="s">
        <v>213</v>
      </c>
      <c r="Q199" s="210" t="s">
        <v>4102</v>
      </c>
      <c r="R199" s="108" t="s">
        <v>575</v>
      </c>
      <c r="S199" s="108" t="s">
        <v>262</v>
      </c>
      <c r="T199" s="108" t="s">
        <v>92</v>
      </c>
      <c r="U199" s="108" t="s">
        <v>276</v>
      </c>
      <c r="V199" s="108" t="s">
        <v>180</v>
      </c>
      <c r="W199" s="108"/>
      <c r="X199" s="108" t="s">
        <v>215</v>
      </c>
      <c r="Y199" s="108" t="s">
        <v>216</v>
      </c>
      <c r="Z199" s="108" t="s">
        <v>575</v>
      </c>
      <c r="AA199" s="111">
        <v>35190</v>
      </c>
      <c r="AB199" s="113">
        <v>27</v>
      </c>
      <c r="AC199" s="108" t="s">
        <v>1671</v>
      </c>
      <c r="AD199" s="129" t="s">
        <v>1672</v>
      </c>
      <c r="AE199" s="108" t="s">
        <v>1673</v>
      </c>
      <c r="AF199" s="108"/>
      <c r="AG199" s="108" t="s">
        <v>1674</v>
      </c>
      <c r="AH199" s="114" t="s">
        <v>1675</v>
      </c>
      <c r="AI199" s="115">
        <v>18099947584</v>
      </c>
      <c r="AJ199" s="108" t="s">
        <v>255</v>
      </c>
      <c r="AK199" s="108"/>
      <c r="AL199" s="108"/>
      <c r="AM199" s="108"/>
      <c r="AN199" s="108"/>
      <c r="AO199" s="108"/>
      <c r="AP199" s="108"/>
      <c r="AQ199" s="108"/>
      <c r="AR199" s="108"/>
      <c r="AS199" s="108"/>
      <c r="AT199" s="108">
        <v>0</v>
      </c>
      <c r="AU199" s="108" t="s">
        <v>304</v>
      </c>
      <c r="AV199" s="115">
        <v>0</v>
      </c>
      <c r="AW199" s="108" t="s">
        <v>74</v>
      </c>
      <c r="AX199" s="108" t="s">
        <v>16</v>
      </c>
      <c r="AY199" s="108" t="s">
        <v>285</v>
      </c>
      <c r="AZ199" s="108" t="s">
        <v>1676</v>
      </c>
      <c r="BA199" s="108">
        <v>2014</v>
      </c>
      <c r="BB199" s="108" t="s">
        <v>287</v>
      </c>
      <c r="BC199" s="108" t="s">
        <v>285</v>
      </c>
      <c r="BD199" s="108" t="s">
        <v>1676</v>
      </c>
      <c r="BE199" s="108">
        <v>2014</v>
      </c>
      <c r="BF199" s="116"/>
      <c r="BG199" s="116"/>
      <c r="BH199" s="108" t="s">
        <v>241</v>
      </c>
      <c r="BI199" s="108">
        <v>30</v>
      </c>
      <c r="BJ199" s="108">
        <v>40</v>
      </c>
      <c r="BK199" s="111"/>
      <c r="BL199" s="111"/>
      <c r="BM199" s="111"/>
      <c r="BN199" s="111"/>
      <c r="BO199" s="108"/>
      <c r="BP199" s="108"/>
      <c r="BQ199" s="108"/>
      <c r="BR199" s="108"/>
      <c r="BS199" s="108"/>
      <c r="BT199" s="108"/>
      <c r="BU199" s="108"/>
      <c r="BV199" s="108"/>
      <c r="BW199" s="108"/>
      <c r="BX199" s="108"/>
      <c r="BY199" s="108"/>
      <c r="BZ199" s="108" t="e">
        <f>VLOOKUP(C199,[1]Sertifikasi!$B$4:$I$19,8,0)</f>
        <v>#N/A</v>
      </c>
    </row>
    <row r="200" spans="1:78" ht="11.25" customHeight="1">
      <c r="A200" s="108"/>
      <c r="B200" s="108">
        <v>291</v>
      </c>
      <c r="C200" s="212" t="s">
        <v>1420</v>
      </c>
      <c r="D200" s="109">
        <v>641808173</v>
      </c>
      <c r="E200" s="131">
        <v>1120014004605</v>
      </c>
      <c r="F200" s="131"/>
      <c r="G200" s="108" t="s">
        <v>575</v>
      </c>
      <c r="H200" s="108" t="s">
        <v>575</v>
      </c>
      <c r="I200" s="111">
        <v>43325</v>
      </c>
      <c r="J200" s="108">
        <v>5</v>
      </c>
      <c r="K200" s="108">
        <v>1</v>
      </c>
      <c r="L200" s="108" t="str">
        <f t="shared" si="6"/>
        <v>PKWT</v>
      </c>
      <c r="M200" s="108"/>
      <c r="N200" s="112">
        <v>45515</v>
      </c>
      <c r="O200" s="108"/>
      <c r="P200" s="108" t="s">
        <v>213</v>
      </c>
      <c r="Q200" s="210" t="s">
        <v>4102</v>
      </c>
      <c r="R200" s="108" t="s">
        <v>575</v>
      </c>
      <c r="S200" s="108" t="s">
        <v>262</v>
      </c>
      <c r="T200" s="108" t="s">
        <v>92</v>
      </c>
      <c r="U200" s="108" t="s">
        <v>276</v>
      </c>
      <c r="V200" s="108" t="s">
        <v>180</v>
      </c>
      <c r="W200" s="108"/>
      <c r="X200" s="108" t="s">
        <v>215</v>
      </c>
      <c r="Y200" s="108" t="s">
        <v>216</v>
      </c>
      <c r="Z200" s="108" t="s">
        <v>1421</v>
      </c>
      <c r="AA200" s="111">
        <v>35747</v>
      </c>
      <c r="AB200" s="113">
        <v>25</v>
      </c>
      <c r="AC200" s="108" t="s">
        <v>1422</v>
      </c>
      <c r="AD200" s="129" t="s">
        <v>1423</v>
      </c>
      <c r="AE200" s="108" t="s">
        <v>1424</v>
      </c>
      <c r="AF200" s="108"/>
      <c r="AG200" s="108" t="s">
        <v>1425</v>
      </c>
      <c r="AH200" s="114" t="s">
        <v>1426</v>
      </c>
      <c r="AI200" s="115">
        <v>18070554037</v>
      </c>
      <c r="AJ200" s="108" t="s">
        <v>255</v>
      </c>
      <c r="AK200" s="108"/>
      <c r="AL200" s="108"/>
      <c r="AM200" s="108"/>
      <c r="AN200" s="108"/>
      <c r="AO200" s="108"/>
      <c r="AP200" s="108"/>
      <c r="AQ200" s="108"/>
      <c r="AR200" s="108"/>
      <c r="AS200" s="108"/>
      <c r="AT200" s="108">
        <v>0</v>
      </c>
      <c r="AU200" s="108" t="s">
        <v>304</v>
      </c>
      <c r="AV200" s="115">
        <v>0</v>
      </c>
      <c r="AW200" s="108" t="s">
        <v>74</v>
      </c>
      <c r="AX200" s="108" t="s">
        <v>16</v>
      </c>
      <c r="AY200" s="108" t="s">
        <v>331</v>
      </c>
      <c r="AZ200" s="108" t="s">
        <v>1419</v>
      </c>
      <c r="BA200" s="108">
        <v>2015</v>
      </c>
      <c r="BB200" s="108" t="s">
        <v>287</v>
      </c>
      <c r="BC200" s="108" t="s">
        <v>331</v>
      </c>
      <c r="BD200" s="108" t="s">
        <v>1419</v>
      </c>
      <c r="BE200" s="108">
        <v>2015</v>
      </c>
      <c r="BF200" s="116"/>
      <c r="BG200" s="116"/>
      <c r="BH200" s="108" t="s">
        <v>394</v>
      </c>
      <c r="BI200" s="108">
        <v>41</v>
      </c>
      <c r="BJ200" s="108">
        <v>43</v>
      </c>
      <c r="BK200" s="111"/>
      <c r="BL200" s="111"/>
      <c r="BM200" s="111"/>
      <c r="BN200" s="111"/>
      <c r="BO200" s="108"/>
      <c r="BP200" s="108"/>
      <c r="BQ200" s="108"/>
      <c r="BR200" s="108"/>
      <c r="BS200" s="108"/>
      <c r="BT200" s="108"/>
      <c r="BU200" s="108"/>
      <c r="BV200" s="108"/>
      <c r="BW200" s="108"/>
      <c r="BX200" s="108"/>
      <c r="BY200" s="108"/>
      <c r="BZ200" s="108" t="e">
        <f>VLOOKUP(C200,[1]Sertifikasi!$B$4:$I$19,8,0)</f>
        <v>#N/A</v>
      </c>
    </row>
    <row r="201" spans="1:78" ht="11.25" customHeight="1">
      <c r="A201" s="108"/>
      <c r="B201" s="108">
        <v>137</v>
      </c>
      <c r="C201" s="212" t="s">
        <v>4111</v>
      </c>
      <c r="D201" s="109">
        <v>642201163</v>
      </c>
      <c r="E201" s="131">
        <v>1710001954513</v>
      </c>
      <c r="F201" s="131"/>
      <c r="G201" s="108" t="s">
        <v>71</v>
      </c>
      <c r="H201" s="108" t="s">
        <v>71</v>
      </c>
      <c r="I201" s="111">
        <v>44699</v>
      </c>
      <c r="J201" s="108">
        <v>1</v>
      </c>
      <c r="K201" s="108">
        <v>4</v>
      </c>
      <c r="L201" s="108" t="str">
        <f t="shared" si="6"/>
        <v>PKWT</v>
      </c>
      <c r="M201" s="108"/>
      <c r="N201" s="112">
        <v>45429</v>
      </c>
      <c r="O201" s="108"/>
      <c r="P201" s="108" t="s">
        <v>213</v>
      </c>
      <c r="Q201" s="210" t="s">
        <v>4102</v>
      </c>
      <c r="R201" s="108" t="s">
        <v>409</v>
      </c>
      <c r="S201" s="108" t="s">
        <v>33</v>
      </c>
      <c r="T201" s="108" t="s">
        <v>88</v>
      </c>
      <c r="U201" s="108" t="s">
        <v>199</v>
      </c>
      <c r="V201" s="108" t="s">
        <v>180</v>
      </c>
      <c r="W201" s="108"/>
      <c r="X201" s="108"/>
      <c r="Y201" s="108" t="s">
        <v>216</v>
      </c>
      <c r="Z201" s="108" t="s">
        <v>182</v>
      </c>
      <c r="AA201" s="111">
        <v>35687</v>
      </c>
      <c r="AB201" s="113">
        <v>26</v>
      </c>
      <c r="AC201" s="108" t="s">
        <v>2748</v>
      </c>
      <c r="AD201" s="129" t="s">
        <v>2749</v>
      </c>
      <c r="AE201" s="108" t="s">
        <v>2750</v>
      </c>
      <c r="AF201" s="108"/>
      <c r="AG201" s="108" t="s">
        <v>2751</v>
      </c>
      <c r="AH201" s="114" t="s">
        <v>2752</v>
      </c>
      <c r="AI201" s="115">
        <v>22063660710</v>
      </c>
      <c r="AJ201" s="108" t="s">
        <v>255</v>
      </c>
      <c r="AK201" s="108"/>
      <c r="AL201" s="108"/>
      <c r="AM201" s="108"/>
      <c r="AN201" s="108"/>
      <c r="AO201" s="108"/>
      <c r="AP201" s="108"/>
      <c r="AQ201" s="108"/>
      <c r="AR201" s="108"/>
      <c r="AS201" s="108"/>
      <c r="AT201" s="108">
        <v>0</v>
      </c>
      <c r="AU201" s="108" t="s">
        <v>304</v>
      </c>
      <c r="AV201" s="115"/>
      <c r="AW201" s="108" t="s">
        <v>74</v>
      </c>
      <c r="AX201" s="108" t="s">
        <v>16</v>
      </c>
      <c r="AY201" s="108" t="s">
        <v>2577</v>
      </c>
      <c r="AZ201" s="108" t="s">
        <v>2753</v>
      </c>
      <c r="BA201" s="108">
        <v>2016</v>
      </c>
      <c r="BB201" s="108" t="s">
        <v>16</v>
      </c>
      <c r="BC201" s="108" t="s">
        <v>2577</v>
      </c>
      <c r="BD201" s="108" t="s">
        <v>2753</v>
      </c>
      <c r="BE201" s="108">
        <v>2016</v>
      </c>
      <c r="BF201" s="116"/>
      <c r="BG201" s="116"/>
      <c r="BH201" s="108"/>
      <c r="BI201" s="108"/>
      <c r="BJ201" s="108">
        <v>40</v>
      </c>
      <c r="BK201" s="111"/>
      <c r="BL201" s="111"/>
      <c r="BM201" s="111"/>
      <c r="BN201" s="111"/>
      <c r="BO201" s="108"/>
      <c r="BP201" s="108"/>
      <c r="BQ201" s="108"/>
      <c r="BR201" s="108" t="s">
        <v>2754</v>
      </c>
      <c r="BS201" s="108"/>
      <c r="BT201" s="108"/>
      <c r="BU201" s="108"/>
      <c r="BV201" s="108"/>
      <c r="BW201" s="108"/>
      <c r="BX201" s="108"/>
      <c r="BY201" s="108"/>
      <c r="BZ201" s="108" t="e">
        <f>VLOOKUP(C201,[1]Sertifikasi!$B$4:$I$19,8,0)</f>
        <v>#N/A</v>
      </c>
    </row>
    <row r="202" spans="1:78" ht="11.25" customHeight="1">
      <c r="A202" s="108"/>
      <c r="B202" s="108">
        <v>103</v>
      </c>
      <c r="C202" s="108" t="s">
        <v>2931</v>
      </c>
      <c r="D202" s="109">
        <v>642301190</v>
      </c>
      <c r="E202" s="131">
        <v>1840005425002</v>
      </c>
      <c r="F202" s="131"/>
      <c r="G202" s="108" t="s">
        <v>71</v>
      </c>
      <c r="H202" s="108" t="s">
        <v>71</v>
      </c>
      <c r="I202" s="111">
        <v>44931</v>
      </c>
      <c r="J202" s="108">
        <v>0</v>
      </c>
      <c r="K202" s="108">
        <v>9</v>
      </c>
      <c r="L202" s="108" t="str">
        <f t="shared" si="6"/>
        <v>PKWT</v>
      </c>
      <c r="M202" s="108"/>
      <c r="N202" s="112">
        <v>45291</v>
      </c>
      <c r="O202" s="108"/>
      <c r="P202" s="108" t="s">
        <v>213</v>
      </c>
      <c r="Q202" s="210" t="s">
        <v>4102</v>
      </c>
      <c r="R202" s="108" t="s">
        <v>33</v>
      </c>
      <c r="S202" s="108" t="s">
        <v>232</v>
      </c>
      <c r="T202" s="108" t="s">
        <v>199</v>
      </c>
      <c r="U202" s="108" t="s">
        <v>199</v>
      </c>
      <c r="V202" s="108" t="s">
        <v>180</v>
      </c>
      <c r="W202" s="108" t="s">
        <v>277</v>
      </c>
      <c r="X202" s="108"/>
      <c r="Y202" s="108" t="s">
        <v>216</v>
      </c>
      <c r="Z202" s="108" t="s">
        <v>2122</v>
      </c>
      <c r="AA202" s="111">
        <v>37158</v>
      </c>
      <c r="AB202" s="113">
        <v>22</v>
      </c>
      <c r="AC202" s="108" t="s">
        <v>2932</v>
      </c>
      <c r="AD202" s="129" t="s">
        <v>2933</v>
      </c>
      <c r="AE202" s="108" t="s">
        <v>2934</v>
      </c>
      <c r="AF202" s="108"/>
      <c r="AG202" s="108" t="s">
        <v>2935</v>
      </c>
      <c r="AH202" s="114" t="s">
        <v>2936</v>
      </c>
      <c r="AI202" s="115">
        <v>23009096647</v>
      </c>
      <c r="AJ202" s="108" t="s">
        <v>255</v>
      </c>
      <c r="AK202" s="108"/>
      <c r="AL202" s="108"/>
      <c r="AM202" s="108"/>
      <c r="AN202" s="108"/>
      <c r="AO202" s="108"/>
      <c r="AP202" s="108"/>
      <c r="AQ202" s="108"/>
      <c r="AR202" s="108"/>
      <c r="AS202" s="108"/>
      <c r="AT202" s="108">
        <v>0</v>
      </c>
      <c r="AU202" s="108" t="s">
        <v>304</v>
      </c>
      <c r="AV202" s="115"/>
      <c r="AW202" s="108" t="s">
        <v>74</v>
      </c>
      <c r="AX202" s="108" t="s">
        <v>13</v>
      </c>
      <c r="AY202" s="108" t="s">
        <v>2789</v>
      </c>
      <c r="AZ202" s="108" t="s">
        <v>2472</v>
      </c>
      <c r="BA202" s="108">
        <v>2022</v>
      </c>
      <c r="BB202" s="108" t="s">
        <v>13</v>
      </c>
      <c r="BC202" s="108" t="s">
        <v>2789</v>
      </c>
      <c r="BD202" s="108" t="s">
        <v>2472</v>
      </c>
      <c r="BE202" s="108">
        <v>2022</v>
      </c>
      <c r="BF202" s="116"/>
      <c r="BG202" s="116"/>
      <c r="BH202" s="108"/>
      <c r="BI202" s="108"/>
      <c r="BJ202" s="108">
        <v>46</v>
      </c>
      <c r="BK202" s="111"/>
      <c r="BL202" s="111"/>
      <c r="BM202" s="111">
        <v>44670</v>
      </c>
      <c r="BN202" s="111"/>
      <c r="BO202" s="108"/>
      <c r="BP202" s="108"/>
      <c r="BQ202" s="108"/>
      <c r="BR202" s="108"/>
      <c r="BS202" s="108"/>
      <c r="BT202" s="108"/>
      <c r="BU202" s="108"/>
      <c r="BV202" s="108"/>
      <c r="BW202" s="108"/>
      <c r="BX202" s="108"/>
      <c r="BY202" s="108"/>
      <c r="BZ202" s="108" t="e">
        <f>VLOOKUP(C202,[1]Sertifikasi!$B$4:$I$19,8,0)</f>
        <v>#N/A</v>
      </c>
    </row>
    <row r="203" spans="1:78" ht="11.25" customHeight="1">
      <c r="A203" s="108"/>
      <c r="B203" s="108">
        <v>138</v>
      </c>
      <c r="C203" s="212" t="s">
        <v>4112</v>
      </c>
      <c r="D203" s="109">
        <v>642201161</v>
      </c>
      <c r="E203" s="131">
        <v>1380020903931</v>
      </c>
      <c r="F203" s="131"/>
      <c r="G203" s="108" t="s">
        <v>71</v>
      </c>
      <c r="H203" s="108" t="s">
        <v>71</v>
      </c>
      <c r="I203" s="111">
        <v>44699</v>
      </c>
      <c r="J203" s="108">
        <v>1</v>
      </c>
      <c r="K203" s="108">
        <v>4</v>
      </c>
      <c r="L203" s="108" t="str">
        <f t="shared" si="6"/>
        <v>PKWT</v>
      </c>
      <c r="M203" s="108"/>
      <c r="N203" s="112">
        <v>45429</v>
      </c>
      <c r="O203" s="108"/>
      <c r="P203" s="108" t="s">
        <v>213</v>
      </c>
      <c r="Q203" s="210" t="s">
        <v>4102</v>
      </c>
      <c r="R203" s="108" t="s">
        <v>409</v>
      </c>
      <c r="S203" s="108" t="s">
        <v>33</v>
      </c>
      <c r="T203" s="108" t="s">
        <v>88</v>
      </c>
      <c r="U203" s="108" t="s">
        <v>199</v>
      </c>
      <c r="V203" s="108" t="s">
        <v>180</v>
      </c>
      <c r="W203" s="108"/>
      <c r="X203" s="108"/>
      <c r="Y203" s="108" t="s">
        <v>216</v>
      </c>
      <c r="Z203" s="108" t="s">
        <v>71</v>
      </c>
      <c r="AA203" s="111">
        <v>37267</v>
      </c>
      <c r="AB203" s="113">
        <v>21</v>
      </c>
      <c r="AC203" s="108" t="s">
        <v>2755</v>
      </c>
      <c r="AD203" s="129" t="s">
        <v>2756</v>
      </c>
      <c r="AE203" s="108" t="s">
        <v>2757</v>
      </c>
      <c r="AF203" s="108"/>
      <c r="AG203" s="108" t="s">
        <v>2758</v>
      </c>
      <c r="AH203" s="114" t="s">
        <v>2759</v>
      </c>
      <c r="AI203" s="115">
        <v>22063660686</v>
      </c>
      <c r="AJ203" s="108" t="s">
        <v>255</v>
      </c>
      <c r="AK203" s="108"/>
      <c r="AL203" s="108"/>
      <c r="AM203" s="108"/>
      <c r="AN203" s="108"/>
      <c r="AO203" s="108"/>
      <c r="AP203" s="108"/>
      <c r="AQ203" s="108"/>
      <c r="AR203" s="108"/>
      <c r="AS203" s="108"/>
      <c r="AT203" s="108">
        <v>0</v>
      </c>
      <c r="AU203" s="108" t="s">
        <v>304</v>
      </c>
      <c r="AV203" s="115"/>
      <c r="AW203" s="108" t="s">
        <v>74</v>
      </c>
      <c r="AX203" s="108" t="s">
        <v>16</v>
      </c>
      <c r="AY203" s="108" t="s">
        <v>226</v>
      </c>
      <c r="AZ203" s="108" t="s">
        <v>2240</v>
      </c>
      <c r="BA203" s="108"/>
      <c r="BB203" s="108" t="s">
        <v>16</v>
      </c>
      <c r="BC203" s="108" t="s">
        <v>226</v>
      </c>
      <c r="BD203" s="108" t="s">
        <v>2240</v>
      </c>
      <c r="BE203" s="108"/>
      <c r="BF203" s="116"/>
      <c r="BG203" s="116"/>
      <c r="BH203" s="108"/>
      <c r="BI203" s="108"/>
      <c r="BJ203" s="195">
        <v>42</v>
      </c>
      <c r="BK203" s="111"/>
      <c r="BL203" s="111"/>
      <c r="BM203" s="111"/>
      <c r="BN203" s="111"/>
      <c r="BO203" s="108"/>
      <c r="BP203" s="108"/>
      <c r="BQ203" s="108"/>
      <c r="BR203" s="108" t="s">
        <v>2760</v>
      </c>
      <c r="BS203" s="108"/>
      <c r="BT203" s="108"/>
      <c r="BU203" s="108"/>
      <c r="BV203" s="108"/>
      <c r="BW203" s="108"/>
      <c r="BX203" s="108"/>
      <c r="BY203" s="108"/>
      <c r="BZ203" s="108" t="e">
        <f>VLOOKUP(C203,[1]Sertifikasi!$B$4:$I$19,8,0)</f>
        <v>#N/A</v>
      </c>
    </row>
    <row r="204" spans="1:78" ht="11.25" customHeight="1">
      <c r="A204" s="108"/>
      <c r="B204" s="108">
        <v>246</v>
      </c>
      <c r="C204" s="212" t="s">
        <v>1259</v>
      </c>
      <c r="D204" s="109">
        <v>641805148</v>
      </c>
      <c r="E204" s="131">
        <v>1710004257716</v>
      </c>
      <c r="F204" s="131"/>
      <c r="G204" s="108" t="s">
        <v>71</v>
      </c>
      <c r="H204" s="108" t="s">
        <v>71</v>
      </c>
      <c r="I204" s="111">
        <v>43227</v>
      </c>
      <c r="J204" s="108">
        <v>5</v>
      </c>
      <c r="K204" s="108">
        <v>5</v>
      </c>
      <c r="L204" s="108" t="str">
        <f t="shared" si="6"/>
        <v>PKWT</v>
      </c>
      <c r="M204" s="108"/>
      <c r="N204" s="112">
        <v>45417</v>
      </c>
      <c r="O204" s="108"/>
      <c r="P204" s="108" t="s">
        <v>213</v>
      </c>
      <c r="Q204" s="210" t="s">
        <v>4102</v>
      </c>
      <c r="R204" s="108" t="s">
        <v>259</v>
      </c>
      <c r="S204" s="108" t="s">
        <v>33</v>
      </c>
      <c r="T204" s="108" t="s">
        <v>432</v>
      </c>
      <c r="U204" s="108" t="s">
        <v>199</v>
      </c>
      <c r="V204" s="108" t="s">
        <v>180</v>
      </c>
      <c r="W204" s="108"/>
      <c r="X204" s="108" t="s">
        <v>215</v>
      </c>
      <c r="Y204" s="108" t="s">
        <v>216</v>
      </c>
      <c r="Z204" s="108" t="s">
        <v>71</v>
      </c>
      <c r="AA204" s="111">
        <v>35151</v>
      </c>
      <c r="AB204" s="113">
        <v>27</v>
      </c>
      <c r="AC204" s="108" t="s">
        <v>1260</v>
      </c>
      <c r="AD204" s="129" t="s">
        <v>1261</v>
      </c>
      <c r="AE204" s="108" t="s">
        <v>1262</v>
      </c>
      <c r="AF204" s="108"/>
      <c r="AG204" s="108" t="s">
        <v>1263</v>
      </c>
      <c r="AH204" s="114" t="s">
        <v>1264</v>
      </c>
      <c r="AI204" s="115">
        <v>18035613480</v>
      </c>
      <c r="AJ204" s="108" t="s">
        <v>189</v>
      </c>
      <c r="AK204" s="108" t="s">
        <v>1265</v>
      </c>
      <c r="AL204" s="108" t="s">
        <v>1266</v>
      </c>
      <c r="AM204" s="108"/>
      <c r="AN204" s="108"/>
      <c r="AO204" s="108"/>
      <c r="AP204" s="108"/>
      <c r="AQ204" s="108"/>
      <c r="AR204" s="108"/>
      <c r="AS204" s="108"/>
      <c r="AT204" s="108">
        <v>1</v>
      </c>
      <c r="AU204" s="108" t="s">
        <v>225</v>
      </c>
      <c r="AV204" s="115">
        <v>0</v>
      </c>
      <c r="AW204" s="108" t="s">
        <v>74</v>
      </c>
      <c r="AX204" s="108" t="s">
        <v>16</v>
      </c>
      <c r="AY204" s="108" t="s">
        <v>226</v>
      </c>
      <c r="AZ204" s="108" t="s">
        <v>404</v>
      </c>
      <c r="BA204" s="108">
        <v>2014</v>
      </c>
      <c r="BB204" s="108" t="s">
        <v>287</v>
      </c>
      <c r="BC204" s="108" t="s">
        <v>226</v>
      </c>
      <c r="BD204" s="108" t="s">
        <v>404</v>
      </c>
      <c r="BE204" s="108">
        <v>2014</v>
      </c>
      <c r="BF204" s="116"/>
      <c r="BG204" s="116"/>
      <c r="BH204" s="108" t="s">
        <v>345</v>
      </c>
      <c r="BI204" s="108">
        <v>34</v>
      </c>
      <c r="BJ204" s="108">
        <v>42</v>
      </c>
      <c r="BK204" s="111"/>
      <c r="BL204" s="111"/>
      <c r="BM204" s="111">
        <v>44674</v>
      </c>
      <c r="BN204" s="111"/>
      <c r="BO204" s="108"/>
      <c r="BP204" s="108"/>
      <c r="BQ204" s="108"/>
      <c r="BR204" s="108"/>
      <c r="BS204" s="108"/>
      <c r="BT204" s="108"/>
      <c r="BU204" s="108"/>
      <c r="BV204" s="108"/>
      <c r="BW204" s="108"/>
      <c r="BX204" s="108"/>
      <c r="BY204" s="108"/>
      <c r="BZ204" s="108" t="e">
        <f>VLOOKUP(C204,[1]Sertifikasi!$B$4:$I$19,8,0)</f>
        <v>#N/A</v>
      </c>
    </row>
    <row r="205" spans="1:78" ht="11.25" customHeight="1">
      <c r="A205" s="108"/>
      <c r="B205" s="108">
        <v>292</v>
      </c>
      <c r="C205" s="212" t="s">
        <v>1677</v>
      </c>
      <c r="D205" s="109">
        <v>641810196</v>
      </c>
      <c r="E205" s="131">
        <v>1710004811009</v>
      </c>
      <c r="F205" s="131"/>
      <c r="G205" s="108" t="s">
        <v>575</v>
      </c>
      <c r="H205" s="108" t="s">
        <v>575</v>
      </c>
      <c r="I205" s="111">
        <v>43395</v>
      </c>
      <c r="J205" s="108">
        <v>4</v>
      </c>
      <c r="K205" s="108">
        <v>11</v>
      </c>
      <c r="L205" s="108" t="str">
        <f t="shared" si="6"/>
        <v>PKWT</v>
      </c>
      <c r="M205" s="108"/>
      <c r="N205" s="112">
        <v>45586</v>
      </c>
      <c r="O205" s="108"/>
      <c r="P205" s="108" t="s">
        <v>213</v>
      </c>
      <c r="Q205" s="210" t="s">
        <v>4102</v>
      </c>
      <c r="R205" s="108" t="s">
        <v>575</v>
      </c>
      <c r="S205" s="108" t="s">
        <v>262</v>
      </c>
      <c r="T205" s="108" t="s">
        <v>92</v>
      </c>
      <c r="U205" s="108" t="s">
        <v>276</v>
      </c>
      <c r="V205" s="108" t="s">
        <v>180</v>
      </c>
      <c r="W205" s="108"/>
      <c r="X205" s="108" t="s">
        <v>215</v>
      </c>
      <c r="Y205" s="108" t="s">
        <v>216</v>
      </c>
      <c r="Z205" s="108" t="s">
        <v>575</v>
      </c>
      <c r="AA205" s="111">
        <v>34967</v>
      </c>
      <c r="AB205" s="113">
        <v>28</v>
      </c>
      <c r="AC205" s="108" t="s">
        <v>1678</v>
      </c>
      <c r="AD205" s="129" t="s">
        <v>1679</v>
      </c>
      <c r="AE205" s="108" t="s">
        <v>1680</v>
      </c>
      <c r="AF205" s="108"/>
      <c r="AG205" s="108" t="s">
        <v>1681</v>
      </c>
      <c r="AH205" s="114" t="s">
        <v>1682</v>
      </c>
      <c r="AI205" s="115">
        <v>18099947626</v>
      </c>
      <c r="AJ205" s="108" t="s">
        <v>189</v>
      </c>
      <c r="AK205" s="108" t="s">
        <v>1683</v>
      </c>
      <c r="AL205" s="108"/>
      <c r="AM205" s="108"/>
      <c r="AN205" s="108"/>
      <c r="AO205" s="108"/>
      <c r="AP205" s="108"/>
      <c r="AQ205" s="108"/>
      <c r="AR205" s="108"/>
      <c r="AS205" s="108"/>
      <c r="AT205" s="108">
        <v>0</v>
      </c>
      <c r="AU205" s="108" t="s">
        <v>390</v>
      </c>
      <c r="AV205" s="115">
        <v>0</v>
      </c>
      <c r="AW205" s="108" t="s">
        <v>74</v>
      </c>
      <c r="AX205" s="108" t="s">
        <v>12</v>
      </c>
      <c r="AY205" s="108" t="s">
        <v>210</v>
      </c>
      <c r="AZ205" s="108" t="s">
        <v>1684</v>
      </c>
      <c r="BA205" s="108">
        <v>2017</v>
      </c>
      <c r="BB205" s="108" t="s">
        <v>12</v>
      </c>
      <c r="BC205" s="108" t="s">
        <v>210</v>
      </c>
      <c r="BD205" s="108" t="s">
        <v>1684</v>
      </c>
      <c r="BE205" s="108">
        <v>2017</v>
      </c>
      <c r="BF205" s="116"/>
      <c r="BG205" s="116"/>
      <c r="BH205" s="108" t="s">
        <v>241</v>
      </c>
      <c r="BI205" s="108">
        <v>31</v>
      </c>
      <c r="BJ205" s="195">
        <v>39</v>
      </c>
      <c r="BK205" s="111"/>
      <c r="BL205" s="111"/>
      <c r="BM205" s="111"/>
      <c r="BN205" s="111"/>
      <c r="BO205" s="108"/>
      <c r="BP205" s="108"/>
      <c r="BQ205" s="108"/>
      <c r="BR205" s="108"/>
      <c r="BS205" s="108"/>
      <c r="BT205" s="108"/>
      <c r="BU205" s="108"/>
      <c r="BV205" s="108"/>
      <c r="BW205" s="108"/>
      <c r="BX205" s="108"/>
      <c r="BY205" s="108"/>
      <c r="BZ205" s="108" t="e">
        <f>VLOOKUP(C205,[1]Sertifikasi!$B$4:$I$19,8,0)</f>
        <v>#N/A</v>
      </c>
    </row>
    <row r="206" spans="1:78" ht="11.25" customHeight="1">
      <c r="A206" s="108"/>
      <c r="B206" s="108">
        <v>48</v>
      </c>
      <c r="C206" s="212" t="s">
        <v>4147</v>
      </c>
      <c r="D206" s="109">
        <v>642201166</v>
      </c>
      <c r="E206" s="131">
        <v>1710001910713</v>
      </c>
      <c r="F206" s="131"/>
      <c r="G206" s="108" t="s">
        <v>71</v>
      </c>
      <c r="H206" s="108" t="s">
        <v>71</v>
      </c>
      <c r="I206" s="111">
        <v>44700</v>
      </c>
      <c r="J206" s="108">
        <v>1</v>
      </c>
      <c r="K206" s="108">
        <v>4</v>
      </c>
      <c r="L206" s="108" t="str">
        <f t="shared" si="6"/>
        <v>PKWT</v>
      </c>
      <c r="M206" s="108"/>
      <c r="N206" s="112">
        <v>45430</v>
      </c>
      <c r="O206" s="108"/>
      <c r="P206" s="108" t="s">
        <v>213</v>
      </c>
      <c r="Q206" s="210" t="s">
        <v>4100</v>
      </c>
      <c r="R206" s="108" t="s">
        <v>4099</v>
      </c>
      <c r="S206" s="108" t="s">
        <v>899</v>
      </c>
      <c r="T206" s="108" t="s">
        <v>900</v>
      </c>
      <c r="U206" s="108" t="s">
        <v>362</v>
      </c>
      <c r="V206" s="108" t="s">
        <v>180</v>
      </c>
      <c r="W206" s="108"/>
      <c r="X206" s="108"/>
      <c r="Y206" s="108" t="s">
        <v>216</v>
      </c>
      <c r="Z206" s="108" t="s">
        <v>71</v>
      </c>
      <c r="AA206" s="111">
        <v>34566</v>
      </c>
      <c r="AB206" s="113">
        <v>29</v>
      </c>
      <c r="AC206" s="108" t="s">
        <v>2770</v>
      </c>
      <c r="AD206" s="129" t="s">
        <v>2771</v>
      </c>
      <c r="AE206" s="108" t="s">
        <v>2772</v>
      </c>
      <c r="AF206" s="108"/>
      <c r="AG206" s="108" t="s">
        <v>2773</v>
      </c>
      <c r="AH206" s="114" t="s">
        <v>2774</v>
      </c>
      <c r="AI206" s="115">
        <v>22063660678</v>
      </c>
      <c r="AJ206" s="108" t="s">
        <v>189</v>
      </c>
      <c r="AK206" s="108"/>
      <c r="AL206" s="108"/>
      <c r="AM206" s="108"/>
      <c r="AN206" s="108"/>
      <c r="AO206" s="108"/>
      <c r="AP206" s="108"/>
      <c r="AQ206" s="108"/>
      <c r="AR206" s="108"/>
      <c r="AS206" s="108"/>
      <c r="AT206" s="108">
        <v>0</v>
      </c>
      <c r="AU206" s="108" t="s">
        <v>390</v>
      </c>
      <c r="AV206" s="115"/>
      <c r="AW206" s="108" t="s">
        <v>74</v>
      </c>
      <c r="AX206" s="108" t="s">
        <v>16</v>
      </c>
      <c r="AY206" s="108" t="s">
        <v>1988</v>
      </c>
      <c r="AZ206" s="108" t="s">
        <v>306</v>
      </c>
      <c r="BA206" s="108"/>
      <c r="BB206" s="108" t="s">
        <v>16</v>
      </c>
      <c r="BC206" s="108" t="s">
        <v>1988</v>
      </c>
      <c r="BD206" s="108" t="s">
        <v>306</v>
      </c>
      <c r="BE206" s="108"/>
      <c r="BF206" s="116"/>
      <c r="BG206" s="116"/>
      <c r="BH206" s="108"/>
      <c r="BI206" s="108"/>
      <c r="BJ206" s="108">
        <v>40</v>
      </c>
      <c r="BK206" s="111"/>
      <c r="BL206" s="111"/>
      <c r="BM206" s="111"/>
      <c r="BN206" s="111"/>
      <c r="BO206" s="108"/>
      <c r="BP206" s="108"/>
      <c r="BQ206" s="108"/>
      <c r="BR206" s="108" t="s">
        <v>2775</v>
      </c>
      <c r="BS206" s="108"/>
      <c r="BT206" s="108"/>
      <c r="BU206" s="108"/>
      <c r="BV206" s="108"/>
      <c r="BW206" s="108"/>
      <c r="BX206" s="108"/>
      <c r="BY206" s="108"/>
      <c r="BZ206" s="108" t="e">
        <f>VLOOKUP(C206,[1]Sertifikasi!$B$4:$I$19,8,0)</f>
        <v>#N/A</v>
      </c>
    </row>
    <row r="207" spans="1:78" ht="11.25" customHeight="1">
      <c r="A207" s="108"/>
      <c r="B207" s="108">
        <v>185</v>
      </c>
      <c r="C207" s="108" t="s">
        <v>4129</v>
      </c>
      <c r="D207" s="109">
        <v>642201152</v>
      </c>
      <c r="E207" s="131">
        <v>1710002244062</v>
      </c>
      <c r="F207" s="131"/>
      <c r="G207" s="108" t="s">
        <v>71</v>
      </c>
      <c r="H207" s="108" t="s">
        <v>71</v>
      </c>
      <c r="I207" s="111">
        <v>44579</v>
      </c>
      <c r="J207" s="108">
        <v>1</v>
      </c>
      <c r="K207" s="108">
        <v>8</v>
      </c>
      <c r="L207" s="108" t="str">
        <f t="shared" si="6"/>
        <v>PKWT</v>
      </c>
      <c r="M207" s="108"/>
      <c r="N207" s="112">
        <v>45291</v>
      </c>
      <c r="O207" s="108"/>
      <c r="P207" s="108" t="s">
        <v>213</v>
      </c>
      <c r="Q207" s="210" t="s">
        <v>4102</v>
      </c>
      <c r="R207" s="108" t="s">
        <v>259</v>
      </c>
      <c r="S207" s="108" t="s">
        <v>262</v>
      </c>
      <c r="T207" s="108" t="s">
        <v>89</v>
      </c>
      <c r="U207" s="108" t="s">
        <v>199</v>
      </c>
      <c r="V207" s="108" t="s">
        <v>180</v>
      </c>
      <c r="W207" s="108"/>
      <c r="X207" s="108"/>
      <c r="Y207" s="108" t="s">
        <v>216</v>
      </c>
      <c r="Z207" s="108" t="s">
        <v>816</v>
      </c>
      <c r="AA207" s="111">
        <v>35809</v>
      </c>
      <c r="AB207" s="113">
        <v>25</v>
      </c>
      <c r="AC207" s="108" t="s">
        <v>2669</v>
      </c>
      <c r="AD207" s="129" t="s">
        <v>2670</v>
      </c>
      <c r="AE207" s="108" t="s">
        <v>2671</v>
      </c>
      <c r="AF207" s="108"/>
      <c r="AG207" s="108" t="s">
        <v>2672</v>
      </c>
      <c r="AH207" s="114" t="s">
        <v>2673</v>
      </c>
      <c r="AI207" s="115">
        <v>22017333612</v>
      </c>
      <c r="AJ207" s="108" t="s">
        <v>255</v>
      </c>
      <c r="AK207" s="108"/>
      <c r="AL207" s="108"/>
      <c r="AM207" s="108"/>
      <c r="AN207" s="108"/>
      <c r="AO207" s="108"/>
      <c r="AP207" s="108"/>
      <c r="AQ207" s="108"/>
      <c r="AR207" s="108"/>
      <c r="AS207" s="108"/>
      <c r="AT207" s="108">
        <v>0</v>
      </c>
      <c r="AU207" s="108" t="s">
        <v>304</v>
      </c>
      <c r="AV207" s="115"/>
      <c r="AW207" s="108" t="s">
        <v>74</v>
      </c>
      <c r="AX207" s="108" t="s">
        <v>16</v>
      </c>
      <c r="AY207" s="108" t="s">
        <v>1988</v>
      </c>
      <c r="AZ207" s="108" t="s">
        <v>2674</v>
      </c>
      <c r="BA207" s="108">
        <v>2016</v>
      </c>
      <c r="BB207" s="108" t="s">
        <v>16</v>
      </c>
      <c r="BC207" s="108" t="s">
        <v>1988</v>
      </c>
      <c r="BD207" s="108" t="s">
        <v>2674</v>
      </c>
      <c r="BE207" s="108">
        <v>2016</v>
      </c>
      <c r="BF207" s="116"/>
      <c r="BG207" s="116"/>
      <c r="BH207" s="108"/>
      <c r="BI207" s="108"/>
      <c r="BJ207" s="108">
        <v>41</v>
      </c>
      <c r="BK207" s="111"/>
      <c r="BL207" s="111"/>
      <c r="BM207" s="111">
        <v>44648</v>
      </c>
      <c r="BN207" s="111"/>
      <c r="BO207" s="108"/>
      <c r="BP207" s="108"/>
      <c r="BQ207" s="108"/>
      <c r="BR207" s="108" t="s">
        <v>2675</v>
      </c>
      <c r="BS207" s="108"/>
      <c r="BT207" s="108"/>
      <c r="BU207" s="108"/>
      <c r="BV207" s="108"/>
      <c r="BW207" s="108"/>
      <c r="BX207" s="108"/>
      <c r="BY207" s="108"/>
      <c r="BZ207" s="108" t="e">
        <f>VLOOKUP(C207,[1]Sertifikasi!$B$4:$I$19,8,0)</f>
        <v>#N/A</v>
      </c>
    </row>
    <row r="208" spans="1:78" ht="11.25" customHeight="1">
      <c r="A208" s="108"/>
      <c r="B208" s="108">
        <v>186</v>
      </c>
      <c r="C208" s="212" t="s">
        <v>4130</v>
      </c>
      <c r="D208" s="109">
        <v>641801134</v>
      </c>
      <c r="E208" s="131">
        <v>1710004029354</v>
      </c>
      <c r="F208" s="131"/>
      <c r="G208" s="108" t="s">
        <v>259</v>
      </c>
      <c r="H208" s="108" t="s">
        <v>71</v>
      </c>
      <c r="I208" s="111">
        <v>43115</v>
      </c>
      <c r="J208" s="108">
        <v>5</v>
      </c>
      <c r="K208" s="108">
        <v>8</v>
      </c>
      <c r="L208" s="108" t="str">
        <f t="shared" si="6"/>
        <v>PKWT</v>
      </c>
      <c r="M208" s="108"/>
      <c r="N208" s="112">
        <v>45291</v>
      </c>
      <c r="O208" s="108"/>
      <c r="P208" s="108" t="s">
        <v>213</v>
      </c>
      <c r="Q208" s="210" t="s">
        <v>4102</v>
      </c>
      <c r="R208" s="108" t="s">
        <v>259</v>
      </c>
      <c r="S208" s="108" t="s">
        <v>262</v>
      </c>
      <c r="T208" s="108" t="s">
        <v>89</v>
      </c>
      <c r="U208" s="108" t="s">
        <v>199</v>
      </c>
      <c r="V208" s="108" t="s">
        <v>180</v>
      </c>
      <c r="W208" s="108" t="s">
        <v>277</v>
      </c>
      <c r="X208" s="108" t="s">
        <v>215</v>
      </c>
      <c r="Y208" s="108" t="s">
        <v>216</v>
      </c>
      <c r="Z208" s="108" t="s">
        <v>1178</v>
      </c>
      <c r="AA208" s="111">
        <v>35471</v>
      </c>
      <c r="AB208" s="113">
        <v>26</v>
      </c>
      <c r="AC208" s="108" t="s">
        <v>1179</v>
      </c>
      <c r="AD208" s="129" t="s">
        <v>1180</v>
      </c>
      <c r="AE208" s="108" t="s">
        <v>1181</v>
      </c>
      <c r="AF208" s="108"/>
      <c r="AG208" s="108" t="s">
        <v>1182</v>
      </c>
      <c r="AH208" s="114" t="s">
        <v>1183</v>
      </c>
      <c r="AI208" s="115">
        <v>18035613415</v>
      </c>
      <c r="AJ208" s="108" t="s">
        <v>255</v>
      </c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>
        <v>0</v>
      </c>
      <c r="AU208" s="108" t="s">
        <v>304</v>
      </c>
      <c r="AV208" s="115">
        <v>0</v>
      </c>
      <c r="AW208" s="108" t="s">
        <v>74</v>
      </c>
      <c r="AX208" s="108" t="s">
        <v>16</v>
      </c>
      <c r="AY208" s="108" t="s">
        <v>210</v>
      </c>
      <c r="AZ208" s="108" t="s">
        <v>1184</v>
      </c>
      <c r="BA208" s="108">
        <v>2016</v>
      </c>
      <c r="BB208" s="108" t="s">
        <v>287</v>
      </c>
      <c r="BC208" s="108" t="s">
        <v>210</v>
      </c>
      <c r="BD208" s="108" t="s">
        <v>1184</v>
      </c>
      <c r="BE208" s="108">
        <v>2016</v>
      </c>
      <c r="BF208" s="116"/>
      <c r="BG208" s="116"/>
      <c r="BH208" s="108" t="s">
        <v>241</v>
      </c>
      <c r="BI208" s="108">
        <v>30</v>
      </c>
      <c r="BJ208" s="195">
        <v>40</v>
      </c>
      <c r="BK208" s="111"/>
      <c r="BL208" s="111"/>
      <c r="BM208" s="209"/>
      <c r="BN208" s="111"/>
      <c r="BO208" s="108"/>
      <c r="BP208" s="108"/>
      <c r="BQ208" s="108"/>
      <c r="BR208" s="108"/>
      <c r="BS208" s="108"/>
      <c r="BT208" s="108"/>
      <c r="BU208" s="108"/>
      <c r="BV208" s="108"/>
      <c r="BW208" s="108"/>
      <c r="BX208" s="108"/>
      <c r="BY208" s="108"/>
      <c r="BZ208" s="108" t="e">
        <f>VLOOKUP(C208,[1]Sertifikasi!$B$4:$I$19,8,0)</f>
        <v>#N/A</v>
      </c>
    </row>
    <row r="209" spans="1:78" ht="11.25" customHeight="1">
      <c r="A209" s="108"/>
      <c r="B209" s="108">
        <v>74</v>
      </c>
      <c r="C209" s="212" t="s">
        <v>4131</v>
      </c>
      <c r="D209" s="109">
        <v>642001015</v>
      </c>
      <c r="E209" s="131">
        <v>1710003987974</v>
      </c>
      <c r="F209" s="131"/>
      <c r="G209" s="108" t="s">
        <v>71</v>
      </c>
      <c r="H209" s="108" t="s">
        <v>71</v>
      </c>
      <c r="I209" s="111">
        <v>42125</v>
      </c>
      <c r="J209" s="108">
        <v>8</v>
      </c>
      <c r="K209" s="108">
        <v>5</v>
      </c>
      <c r="L209" s="108" t="str">
        <f t="shared" si="6"/>
        <v>PKWT</v>
      </c>
      <c r="M209" s="108"/>
      <c r="N209" s="112">
        <v>45291</v>
      </c>
      <c r="O209" s="108"/>
      <c r="P209" s="108" t="s">
        <v>213</v>
      </c>
      <c r="Q209" s="210" t="s">
        <v>4102</v>
      </c>
      <c r="R209" s="108" t="s">
        <v>2085</v>
      </c>
      <c r="S209" s="108" t="s">
        <v>2085</v>
      </c>
      <c r="T209" s="108" t="s">
        <v>82</v>
      </c>
      <c r="U209" s="108" t="s">
        <v>214</v>
      </c>
      <c r="V209" s="108" t="s">
        <v>180</v>
      </c>
      <c r="W209" s="108" t="s">
        <v>83</v>
      </c>
      <c r="X209" s="108" t="s">
        <v>215</v>
      </c>
      <c r="Y209" s="108" t="s">
        <v>216</v>
      </c>
      <c r="Z209" s="108" t="s">
        <v>71</v>
      </c>
      <c r="AA209" s="111">
        <v>34010</v>
      </c>
      <c r="AB209" s="113">
        <v>30</v>
      </c>
      <c r="AC209" s="108" t="s">
        <v>397</v>
      </c>
      <c r="AD209" s="129" t="s">
        <v>398</v>
      </c>
      <c r="AE209" s="108" t="s">
        <v>399</v>
      </c>
      <c r="AF209" s="108"/>
      <c r="AG209" s="108" t="s">
        <v>400</v>
      </c>
      <c r="AH209" s="114" t="s">
        <v>401</v>
      </c>
      <c r="AI209" s="115">
        <v>16006272005</v>
      </c>
      <c r="AJ209" s="108" t="s">
        <v>189</v>
      </c>
      <c r="AK209" s="108" t="s">
        <v>402</v>
      </c>
      <c r="AL209" s="108" t="s">
        <v>403</v>
      </c>
      <c r="AM209" s="108"/>
      <c r="AN209" s="108"/>
      <c r="AO209" s="108"/>
      <c r="AP209" s="108"/>
      <c r="AQ209" s="108"/>
      <c r="AR209" s="108"/>
      <c r="AS209" s="108"/>
      <c r="AT209" s="108">
        <v>1</v>
      </c>
      <c r="AU209" s="108" t="s">
        <v>225</v>
      </c>
      <c r="AV209" s="115">
        <v>0</v>
      </c>
      <c r="AW209" s="108" t="s">
        <v>74</v>
      </c>
      <c r="AX209" s="108" t="s">
        <v>16</v>
      </c>
      <c r="AY209" s="108" t="s">
        <v>331</v>
      </c>
      <c r="AZ209" s="108" t="s">
        <v>404</v>
      </c>
      <c r="BA209" s="108">
        <v>2011</v>
      </c>
      <c r="BB209" s="108" t="s">
        <v>287</v>
      </c>
      <c r="BC209" s="108" t="s">
        <v>331</v>
      </c>
      <c r="BD209" s="108" t="s">
        <v>404</v>
      </c>
      <c r="BE209" s="108">
        <v>2011</v>
      </c>
      <c r="BF209" s="116"/>
      <c r="BG209" s="116"/>
      <c r="BH209" s="108" t="s">
        <v>241</v>
      </c>
      <c r="BI209" s="108">
        <v>29</v>
      </c>
      <c r="BJ209" s="108">
        <v>40</v>
      </c>
      <c r="BK209" s="111">
        <v>44308</v>
      </c>
      <c r="BL209" s="111">
        <v>44336</v>
      </c>
      <c r="BM209" s="111"/>
      <c r="BN209" s="111"/>
      <c r="BO209" s="108">
        <v>43467</v>
      </c>
      <c r="BP209" s="108">
        <v>43830</v>
      </c>
      <c r="BQ209" s="108" t="s">
        <v>405</v>
      </c>
      <c r="BR209" s="108" t="s">
        <v>406</v>
      </c>
      <c r="BS209" s="108"/>
      <c r="BT209" s="108"/>
      <c r="BU209" s="108"/>
      <c r="BV209" s="108"/>
      <c r="BW209" s="108"/>
      <c r="BX209" s="108"/>
      <c r="BY209" s="108"/>
      <c r="BZ209" s="108" t="e">
        <f>VLOOKUP(C209,[1]Sertifikasi!$B$4:$I$19,8,0)</f>
        <v>#N/A</v>
      </c>
    </row>
    <row r="210" spans="1:78" ht="11.25" customHeight="1">
      <c r="A210" s="108"/>
      <c r="B210" s="108">
        <v>244</v>
      </c>
      <c r="C210" s="212" t="s">
        <v>4132</v>
      </c>
      <c r="D210" s="109">
        <v>642307122</v>
      </c>
      <c r="E210" s="131">
        <v>1710014237518</v>
      </c>
      <c r="F210" s="131"/>
      <c r="G210" s="108" t="s">
        <v>71</v>
      </c>
      <c r="H210" s="108" t="s">
        <v>842</v>
      </c>
      <c r="I210" s="111">
        <v>45174</v>
      </c>
      <c r="J210" s="108">
        <v>0</v>
      </c>
      <c r="K210" s="108">
        <v>1</v>
      </c>
      <c r="L210" s="108" t="str">
        <f t="shared" si="6"/>
        <v>PKWT</v>
      </c>
      <c r="M210" s="108"/>
      <c r="N210" s="112">
        <v>45539</v>
      </c>
      <c r="O210" s="108"/>
      <c r="P210" s="108" t="s">
        <v>213</v>
      </c>
      <c r="Q210" s="210" t="s">
        <v>4102</v>
      </c>
      <c r="R210" s="108" t="s">
        <v>259</v>
      </c>
      <c r="S210" s="108" t="s">
        <v>33</v>
      </c>
      <c r="T210" s="108" t="s">
        <v>432</v>
      </c>
      <c r="U210" s="108" t="s">
        <v>199</v>
      </c>
      <c r="V210" s="108" t="s">
        <v>180</v>
      </c>
      <c r="W210" s="108" t="s">
        <v>277</v>
      </c>
      <c r="X210" s="108"/>
      <c r="Y210" s="108" t="s">
        <v>216</v>
      </c>
      <c r="Z210" s="108" t="s">
        <v>842</v>
      </c>
      <c r="AA210" s="111">
        <v>36264</v>
      </c>
      <c r="AB210" s="113">
        <v>24</v>
      </c>
      <c r="AC210" s="108" t="s">
        <v>3018</v>
      </c>
      <c r="AD210" s="129" t="s">
        <v>3019</v>
      </c>
      <c r="AE210" s="108">
        <v>82139989874</v>
      </c>
      <c r="AF210" s="108"/>
      <c r="AG210" s="108" t="s">
        <v>3020</v>
      </c>
      <c r="AH210" s="114" t="s">
        <v>3021</v>
      </c>
      <c r="AI210" s="115">
        <v>23138647583</v>
      </c>
      <c r="AJ210" s="108" t="s">
        <v>255</v>
      </c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>
        <v>0</v>
      </c>
      <c r="AU210" s="108" t="s">
        <v>304</v>
      </c>
      <c r="AV210" s="115"/>
      <c r="AW210" s="108" t="s">
        <v>74</v>
      </c>
      <c r="AX210" s="108" t="s">
        <v>13</v>
      </c>
      <c r="AY210" s="108" t="s">
        <v>2789</v>
      </c>
      <c r="AZ210" s="108" t="s">
        <v>2472</v>
      </c>
      <c r="BA210" s="108">
        <v>2020</v>
      </c>
      <c r="BB210" s="108" t="s">
        <v>13</v>
      </c>
      <c r="BC210" s="108" t="s">
        <v>2789</v>
      </c>
      <c r="BD210" s="108" t="s">
        <v>2472</v>
      </c>
      <c r="BE210" s="108">
        <v>2020</v>
      </c>
      <c r="BF210" s="116"/>
      <c r="BG210" s="116"/>
      <c r="BH210" s="108"/>
      <c r="BI210" s="108"/>
      <c r="BJ210" s="108"/>
      <c r="BK210" s="111"/>
      <c r="BL210" s="111"/>
      <c r="BM210" s="111"/>
      <c r="BN210" s="111"/>
      <c r="BO210" s="108"/>
      <c r="BP210" s="108"/>
      <c r="BQ210" s="108"/>
      <c r="BR210" s="108"/>
      <c r="BS210" s="108"/>
      <c r="BT210" s="108"/>
      <c r="BU210" s="108"/>
      <c r="BV210" s="108"/>
      <c r="BW210" s="108"/>
      <c r="BX210" s="108"/>
      <c r="BY210" s="108"/>
      <c r="BZ210" s="108" t="e">
        <f>VLOOKUP(C210,[1]Sertifikasi!$B$4:$I$19,8,0)</f>
        <v>#N/A</v>
      </c>
    </row>
    <row r="211" spans="1:78" ht="11.25" customHeight="1">
      <c r="A211" s="108"/>
      <c r="B211" s="108">
        <v>200</v>
      </c>
      <c r="C211" s="212" t="s">
        <v>4133</v>
      </c>
      <c r="D211" s="109">
        <v>642201130</v>
      </c>
      <c r="E211" s="131">
        <v>1550011488965</v>
      </c>
      <c r="F211" s="131"/>
      <c r="G211" s="108" t="s">
        <v>259</v>
      </c>
      <c r="H211" s="108" t="s">
        <v>259</v>
      </c>
      <c r="I211" s="111">
        <v>44578</v>
      </c>
      <c r="J211" s="108">
        <v>1</v>
      </c>
      <c r="K211" s="108">
        <v>8</v>
      </c>
      <c r="L211" s="108" t="str">
        <f t="shared" si="6"/>
        <v>PKWT</v>
      </c>
      <c r="M211" s="108"/>
      <c r="N211" s="112">
        <v>45291</v>
      </c>
      <c r="O211" s="108"/>
      <c r="P211" s="108" t="s">
        <v>213</v>
      </c>
      <c r="Q211" s="210" t="s">
        <v>4102</v>
      </c>
      <c r="R211" s="108" t="s">
        <v>259</v>
      </c>
      <c r="S211" s="108" t="s">
        <v>262</v>
      </c>
      <c r="T211" s="108" t="s">
        <v>432</v>
      </c>
      <c r="U211" s="108" t="s">
        <v>199</v>
      </c>
      <c r="V211" s="108" t="s">
        <v>180</v>
      </c>
      <c r="W211" s="108"/>
      <c r="X211" s="108"/>
      <c r="Y211" s="108" t="s">
        <v>216</v>
      </c>
      <c r="Z211" s="108" t="s">
        <v>1185</v>
      </c>
      <c r="AA211" s="111">
        <v>35887</v>
      </c>
      <c r="AB211" s="113">
        <v>25</v>
      </c>
      <c r="AC211" s="108" t="s">
        <v>2556</v>
      </c>
      <c r="AD211" s="129" t="s">
        <v>2557</v>
      </c>
      <c r="AE211" s="108" t="s">
        <v>2558</v>
      </c>
      <c r="AF211" s="108"/>
      <c r="AG211" s="108" t="s">
        <v>2559</v>
      </c>
      <c r="AH211" s="114" t="s">
        <v>2560</v>
      </c>
      <c r="AI211" s="115">
        <v>22017333703</v>
      </c>
      <c r="AJ211" s="108" t="s">
        <v>255</v>
      </c>
      <c r="AK211" s="108"/>
      <c r="AL211" s="108"/>
      <c r="AM211" s="108"/>
      <c r="AN211" s="108"/>
      <c r="AO211" s="108"/>
      <c r="AP211" s="108"/>
      <c r="AQ211" s="108"/>
      <c r="AR211" s="108"/>
      <c r="AS211" s="108"/>
      <c r="AT211" s="108">
        <v>0</v>
      </c>
      <c r="AU211" s="108" t="s">
        <v>304</v>
      </c>
      <c r="AV211" s="115"/>
      <c r="AW211" s="108" t="s">
        <v>74</v>
      </c>
      <c r="AX211" s="108" t="s">
        <v>16</v>
      </c>
      <c r="AY211" s="108" t="s">
        <v>1988</v>
      </c>
      <c r="AZ211" s="108" t="s">
        <v>2545</v>
      </c>
      <c r="BA211" s="108">
        <v>2016</v>
      </c>
      <c r="BB211" s="108" t="s">
        <v>16</v>
      </c>
      <c r="BC211" s="108" t="s">
        <v>1988</v>
      </c>
      <c r="BD211" s="108" t="s">
        <v>2545</v>
      </c>
      <c r="BE211" s="108">
        <v>2016</v>
      </c>
      <c r="BF211" s="116"/>
      <c r="BG211" s="116"/>
      <c r="BH211" s="108"/>
      <c r="BI211" s="108"/>
      <c r="BJ211" s="108">
        <v>42</v>
      </c>
      <c r="BK211" s="111"/>
      <c r="BL211" s="111">
        <v>44501</v>
      </c>
      <c r="BM211" s="111"/>
      <c r="BN211" s="111"/>
      <c r="BO211" s="108"/>
      <c r="BP211" s="108"/>
      <c r="BQ211" s="108"/>
      <c r="BR211" s="108" t="s">
        <v>2561</v>
      </c>
      <c r="BS211" s="108"/>
      <c r="BT211" s="108"/>
      <c r="BU211" s="108"/>
      <c r="BV211" s="108"/>
      <c r="BW211" s="108"/>
      <c r="BX211" s="108"/>
      <c r="BY211" s="108"/>
      <c r="BZ211" s="108" t="e">
        <f>VLOOKUP(C211,[1]Sertifikasi!$B$4:$I$19,8,0)</f>
        <v>#N/A</v>
      </c>
    </row>
    <row r="212" spans="1:78" ht="11.25" customHeight="1">
      <c r="A212" s="108"/>
      <c r="B212" s="108">
        <v>198</v>
      </c>
      <c r="C212" s="212" t="s">
        <v>4134</v>
      </c>
      <c r="D212" s="109">
        <v>642201138</v>
      </c>
      <c r="E212" s="131">
        <v>1240010726108</v>
      </c>
      <c r="F212" s="131"/>
      <c r="G212" s="108" t="s">
        <v>259</v>
      </c>
      <c r="H212" s="108" t="s">
        <v>259</v>
      </c>
      <c r="I212" s="111">
        <v>44578</v>
      </c>
      <c r="J212" s="108">
        <v>1</v>
      </c>
      <c r="K212" s="108">
        <v>8</v>
      </c>
      <c r="L212" s="108" t="str">
        <f t="shared" si="6"/>
        <v>PKWT</v>
      </c>
      <c r="M212" s="108"/>
      <c r="N212" s="112">
        <v>45291</v>
      </c>
      <c r="O212" s="108"/>
      <c r="P212" s="108" t="s">
        <v>213</v>
      </c>
      <c r="Q212" s="210" t="s">
        <v>4102</v>
      </c>
      <c r="R212" s="108" t="s">
        <v>259</v>
      </c>
      <c r="S212" s="108" t="s">
        <v>262</v>
      </c>
      <c r="T212" s="108" t="s">
        <v>432</v>
      </c>
      <c r="U212" s="108" t="s">
        <v>199</v>
      </c>
      <c r="V212" s="108" t="s">
        <v>180</v>
      </c>
      <c r="W212" s="108"/>
      <c r="X212" s="108"/>
      <c r="Y212" s="108" t="s">
        <v>216</v>
      </c>
      <c r="Z212" s="108" t="s">
        <v>259</v>
      </c>
      <c r="AA212" s="111">
        <v>34484</v>
      </c>
      <c r="AB212" s="113">
        <v>29</v>
      </c>
      <c r="AC212" s="108" t="s">
        <v>2562</v>
      </c>
      <c r="AD212" s="129" t="s">
        <v>2563</v>
      </c>
      <c r="AE212" s="108" t="s">
        <v>2564</v>
      </c>
      <c r="AF212" s="108"/>
      <c r="AG212" s="108" t="s">
        <v>2565</v>
      </c>
      <c r="AH212" s="114" t="s">
        <v>2566</v>
      </c>
      <c r="AI212" s="115">
        <v>22017333646</v>
      </c>
      <c r="AJ212" s="108" t="s">
        <v>189</v>
      </c>
      <c r="AK212" s="108" t="s">
        <v>2567</v>
      </c>
      <c r="AL212" s="108" t="s">
        <v>2568</v>
      </c>
      <c r="AM212" s="108" t="s">
        <v>2569</v>
      </c>
      <c r="AN212" s="108"/>
      <c r="AO212" s="108"/>
      <c r="AP212" s="108"/>
      <c r="AQ212" s="108"/>
      <c r="AR212" s="108"/>
      <c r="AS212" s="108"/>
      <c r="AT212" s="108">
        <v>2</v>
      </c>
      <c r="AU212" s="108" t="s">
        <v>330</v>
      </c>
      <c r="AV212" s="115"/>
      <c r="AW212" s="108" t="s">
        <v>74</v>
      </c>
      <c r="AX212" s="108" t="s">
        <v>16</v>
      </c>
      <c r="AY212" s="108" t="s">
        <v>1357</v>
      </c>
      <c r="AZ212" s="108" t="s">
        <v>2570</v>
      </c>
      <c r="BA212" s="108">
        <v>2012</v>
      </c>
      <c r="BB212" s="108" t="s">
        <v>16</v>
      </c>
      <c r="BC212" s="108" t="s">
        <v>1357</v>
      </c>
      <c r="BD212" s="108" t="s">
        <v>2570</v>
      </c>
      <c r="BE212" s="108">
        <v>2012</v>
      </c>
      <c r="BF212" s="116"/>
      <c r="BG212" s="116"/>
      <c r="BH212" s="108"/>
      <c r="BI212" s="108"/>
      <c r="BJ212" s="108">
        <v>42</v>
      </c>
      <c r="BK212" s="111"/>
      <c r="BL212" s="111">
        <v>44533</v>
      </c>
      <c r="BM212" s="111"/>
      <c r="BN212" s="111"/>
      <c r="BO212" s="108"/>
      <c r="BP212" s="108"/>
      <c r="BQ212" s="108"/>
      <c r="BR212" s="108" t="s">
        <v>2571</v>
      </c>
      <c r="BS212" s="108"/>
      <c r="BT212" s="108"/>
      <c r="BU212" s="108"/>
      <c r="BV212" s="108"/>
      <c r="BW212" s="108"/>
      <c r="BX212" s="108"/>
      <c r="BY212" s="108"/>
      <c r="BZ212" s="108" t="e">
        <f>VLOOKUP(C212,[1]Sertifikasi!$B$4:$I$19,8,0)</f>
        <v>#N/A</v>
      </c>
    </row>
    <row r="213" spans="1:78" ht="11.25" customHeight="1">
      <c r="A213" s="108"/>
      <c r="B213" s="108">
        <v>199</v>
      </c>
      <c r="C213" s="212" t="s">
        <v>4135</v>
      </c>
      <c r="D213" s="109">
        <v>642201139</v>
      </c>
      <c r="E213" s="131">
        <v>1550011491043</v>
      </c>
      <c r="F213" s="131"/>
      <c r="G213" s="108" t="s">
        <v>259</v>
      </c>
      <c r="H213" s="108" t="s">
        <v>259</v>
      </c>
      <c r="I213" s="111">
        <v>44578</v>
      </c>
      <c r="J213" s="108">
        <v>1</v>
      </c>
      <c r="K213" s="108">
        <v>8</v>
      </c>
      <c r="L213" s="108" t="str">
        <f t="shared" si="6"/>
        <v>PKWT</v>
      </c>
      <c r="M213" s="108"/>
      <c r="N213" s="112">
        <v>45291</v>
      </c>
      <c r="O213" s="108"/>
      <c r="P213" s="108" t="s">
        <v>213</v>
      </c>
      <c r="Q213" s="210" t="s">
        <v>4102</v>
      </c>
      <c r="R213" s="108" t="s">
        <v>259</v>
      </c>
      <c r="S213" s="108" t="s">
        <v>262</v>
      </c>
      <c r="T213" s="108" t="s">
        <v>432</v>
      </c>
      <c r="U213" s="108" t="s">
        <v>199</v>
      </c>
      <c r="V213" s="108" t="s">
        <v>180</v>
      </c>
      <c r="W213" s="108"/>
      <c r="X213" s="108"/>
      <c r="Y213" s="108" t="s">
        <v>216</v>
      </c>
      <c r="Z213" s="108" t="s">
        <v>1185</v>
      </c>
      <c r="AA213" s="111">
        <v>35326</v>
      </c>
      <c r="AB213" s="113">
        <v>27</v>
      </c>
      <c r="AC213" s="108" t="s">
        <v>2572</v>
      </c>
      <c r="AD213" s="129" t="s">
        <v>2573</v>
      </c>
      <c r="AE213" s="108" t="s">
        <v>2574</v>
      </c>
      <c r="AF213" s="108"/>
      <c r="AG213" s="108" t="s">
        <v>2575</v>
      </c>
      <c r="AH213" s="114" t="s">
        <v>2576</v>
      </c>
      <c r="AI213" s="115">
        <v>22017333653</v>
      </c>
      <c r="AJ213" s="108" t="s">
        <v>255</v>
      </c>
      <c r="AK213" s="108"/>
      <c r="AL213" s="108"/>
      <c r="AM213" s="108"/>
      <c r="AN213" s="108"/>
      <c r="AO213" s="108"/>
      <c r="AP213" s="108"/>
      <c r="AQ213" s="108"/>
      <c r="AR213" s="108"/>
      <c r="AS213" s="108"/>
      <c r="AT213" s="108">
        <v>0</v>
      </c>
      <c r="AU213" s="108" t="s">
        <v>304</v>
      </c>
      <c r="AV213" s="115"/>
      <c r="AW213" s="108" t="s">
        <v>74</v>
      </c>
      <c r="AX213" s="108" t="s">
        <v>16</v>
      </c>
      <c r="AY213" s="108" t="s">
        <v>2577</v>
      </c>
      <c r="AZ213" s="108" t="s">
        <v>2578</v>
      </c>
      <c r="BA213" s="108">
        <v>2014</v>
      </c>
      <c r="BB213" s="108" t="s">
        <v>16</v>
      </c>
      <c r="BC213" s="108" t="s">
        <v>2577</v>
      </c>
      <c r="BD213" s="108" t="s">
        <v>2578</v>
      </c>
      <c r="BE213" s="108">
        <v>2014</v>
      </c>
      <c r="BF213" s="116"/>
      <c r="BG213" s="116"/>
      <c r="BH213" s="108"/>
      <c r="BI213" s="108"/>
      <c r="BJ213" s="108">
        <v>41</v>
      </c>
      <c r="BK213" s="111"/>
      <c r="BL213" s="111">
        <v>44459</v>
      </c>
      <c r="BM213" s="111"/>
      <c r="BN213" s="111"/>
      <c r="BO213" s="108"/>
      <c r="BP213" s="108"/>
      <c r="BQ213" s="108"/>
      <c r="BR213" s="108" t="s">
        <v>2579</v>
      </c>
      <c r="BS213" s="108"/>
      <c r="BT213" s="108"/>
      <c r="BU213" s="108"/>
      <c r="BV213" s="108"/>
      <c r="BW213" s="108"/>
      <c r="BX213" s="108"/>
      <c r="BY213" s="108"/>
      <c r="BZ213" s="108" t="e">
        <f>VLOOKUP(C213,[1]Sertifikasi!$B$4:$I$19,8,0)</f>
        <v>#N/A</v>
      </c>
    </row>
    <row r="214" spans="1:78" ht="11.25" customHeight="1">
      <c r="A214" s="108"/>
      <c r="B214" s="108">
        <v>183</v>
      </c>
      <c r="C214" s="108" t="s">
        <v>4136</v>
      </c>
      <c r="D214" s="109">
        <v>641801133</v>
      </c>
      <c r="E214" s="131">
        <v>1710003988360</v>
      </c>
      <c r="F214" s="131"/>
      <c r="G214" s="108" t="s">
        <v>259</v>
      </c>
      <c r="H214" s="108" t="s">
        <v>259</v>
      </c>
      <c r="I214" s="111">
        <v>43115</v>
      </c>
      <c r="J214" s="108">
        <v>5</v>
      </c>
      <c r="K214" s="108">
        <v>8</v>
      </c>
      <c r="L214" s="108" t="str">
        <f t="shared" si="6"/>
        <v>PKWT</v>
      </c>
      <c r="M214" s="108"/>
      <c r="N214" s="112">
        <v>45291</v>
      </c>
      <c r="O214" s="108"/>
      <c r="P214" s="108" t="s">
        <v>213</v>
      </c>
      <c r="Q214" s="210" t="s">
        <v>4102</v>
      </c>
      <c r="R214" s="108" t="s">
        <v>259</v>
      </c>
      <c r="S214" s="108" t="s">
        <v>262</v>
      </c>
      <c r="T214" s="108" t="s">
        <v>89</v>
      </c>
      <c r="U214" s="108" t="s">
        <v>199</v>
      </c>
      <c r="V214" s="108" t="s">
        <v>180</v>
      </c>
      <c r="W214" s="108"/>
      <c r="X214" s="108" t="s">
        <v>215</v>
      </c>
      <c r="Y214" s="108" t="s">
        <v>216</v>
      </c>
      <c r="Z214" s="108" t="s">
        <v>1185</v>
      </c>
      <c r="AA214" s="111">
        <v>34231</v>
      </c>
      <c r="AB214" s="113">
        <v>30</v>
      </c>
      <c r="AC214" s="108" t="s">
        <v>1186</v>
      </c>
      <c r="AD214" s="129" t="s">
        <v>1187</v>
      </c>
      <c r="AE214" s="108" t="s">
        <v>1188</v>
      </c>
      <c r="AF214" s="108"/>
      <c r="AG214" s="108" t="s">
        <v>1189</v>
      </c>
      <c r="AH214" s="114" t="s">
        <v>1190</v>
      </c>
      <c r="AI214" s="115">
        <v>18035613365</v>
      </c>
      <c r="AJ214" s="108" t="s">
        <v>255</v>
      </c>
      <c r="AK214" s="108"/>
      <c r="AL214" s="108"/>
      <c r="AM214" s="108"/>
      <c r="AN214" s="108"/>
      <c r="AO214" s="108"/>
      <c r="AP214" s="108"/>
      <c r="AQ214" s="108"/>
      <c r="AR214" s="108"/>
      <c r="AS214" s="108"/>
      <c r="AT214" s="108">
        <v>0</v>
      </c>
      <c r="AU214" s="108" t="s">
        <v>304</v>
      </c>
      <c r="AV214" s="115">
        <v>0</v>
      </c>
      <c r="AW214" s="108" t="s">
        <v>74</v>
      </c>
      <c r="AX214" s="108" t="s">
        <v>12</v>
      </c>
      <c r="AY214" s="108" t="s">
        <v>210</v>
      </c>
      <c r="AZ214" s="108" t="s">
        <v>1191</v>
      </c>
      <c r="BA214" s="108">
        <v>2017</v>
      </c>
      <c r="BB214" s="108" t="s">
        <v>12</v>
      </c>
      <c r="BC214" s="108" t="s">
        <v>210</v>
      </c>
      <c r="BD214" s="108" t="s">
        <v>1191</v>
      </c>
      <c r="BE214" s="108">
        <v>2017</v>
      </c>
      <c r="BF214" s="116"/>
      <c r="BG214" s="116"/>
      <c r="BH214" s="108" t="s">
        <v>345</v>
      </c>
      <c r="BI214" s="108">
        <v>31</v>
      </c>
      <c r="BJ214" s="195">
        <v>40</v>
      </c>
      <c r="BK214" s="111"/>
      <c r="BL214" s="111"/>
      <c r="BM214" s="111"/>
      <c r="BN214" s="111"/>
      <c r="BO214" s="108"/>
      <c r="BP214" s="108"/>
      <c r="BQ214" s="108"/>
      <c r="BR214" s="108"/>
      <c r="BS214" s="108"/>
      <c r="BT214" s="108"/>
      <c r="BU214" s="108"/>
      <c r="BV214" s="108"/>
      <c r="BW214" s="108"/>
      <c r="BX214" s="108"/>
      <c r="BY214" s="108"/>
      <c r="BZ214" s="108" t="e">
        <f>VLOOKUP(C214,[1]Sertifikasi!$B$4:$I$19,8,0)</f>
        <v>#N/A</v>
      </c>
    </row>
    <row r="215" spans="1:78" ht="11.25" customHeight="1">
      <c r="A215" s="108"/>
      <c r="B215" s="108">
        <v>184</v>
      </c>
      <c r="C215" s="212" t="s">
        <v>4137</v>
      </c>
      <c r="D215" s="109">
        <v>641809178</v>
      </c>
      <c r="E215" s="131">
        <v>1710004668383</v>
      </c>
      <c r="F215" s="131"/>
      <c r="G215" s="108" t="s">
        <v>259</v>
      </c>
      <c r="H215" s="108" t="s">
        <v>259</v>
      </c>
      <c r="I215" s="111">
        <v>43353</v>
      </c>
      <c r="J215" s="108">
        <v>5</v>
      </c>
      <c r="K215" s="108">
        <v>1</v>
      </c>
      <c r="L215" s="108" t="str">
        <f t="shared" si="6"/>
        <v>PKWT</v>
      </c>
      <c r="M215" s="108"/>
      <c r="N215" s="112">
        <v>45291</v>
      </c>
      <c r="O215" s="108"/>
      <c r="P215" s="108" t="s">
        <v>213</v>
      </c>
      <c r="Q215" s="210" t="s">
        <v>4102</v>
      </c>
      <c r="R215" s="108" t="s">
        <v>259</v>
      </c>
      <c r="S215" s="108" t="s">
        <v>262</v>
      </c>
      <c r="T215" s="108" t="s">
        <v>89</v>
      </c>
      <c r="U215" s="108" t="s">
        <v>199</v>
      </c>
      <c r="V215" s="108" t="s">
        <v>180</v>
      </c>
      <c r="W215" s="108" t="s">
        <v>277</v>
      </c>
      <c r="X215" s="108" t="s">
        <v>215</v>
      </c>
      <c r="Y215" s="108" t="s">
        <v>216</v>
      </c>
      <c r="Z215" s="108" t="s">
        <v>259</v>
      </c>
      <c r="AA215" s="111">
        <v>36692</v>
      </c>
      <c r="AB215" s="113">
        <v>23</v>
      </c>
      <c r="AC215" s="108" t="s">
        <v>1546</v>
      </c>
      <c r="AD215" s="129" t="s">
        <v>1547</v>
      </c>
      <c r="AE215" s="108" t="s">
        <v>1548</v>
      </c>
      <c r="AF215" s="108"/>
      <c r="AG215" s="108" t="s">
        <v>1549</v>
      </c>
      <c r="AH215" s="114" t="s">
        <v>1550</v>
      </c>
      <c r="AI215" s="115">
        <v>18070554060</v>
      </c>
      <c r="AJ215" s="108" t="s">
        <v>189</v>
      </c>
      <c r="AK215" s="108" t="s">
        <v>1551</v>
      </c>
      <c r="AL215" s="108" t="s">
        <v>1552</v>
      </c>
      <c r="AM215" s="108"/>
      <c r="AN215" s="108"/>
      <c r="AO215" s="108"/>
      <c r="AP215" s="108"/>
      <c r="AQ215" s="108"/>
      <c r="AR215" s="108"/>
      <c r="AS215" s="108"/>
      <c r="AT215" s="108">
        <v>1</v>
      </c>
      <c r="AU215" s="108" t="s">
        <v>225</v>
      </c>
      <c r="AV215" s="115">
        <v>0</v>
      </c>
      <c r="AW215" s="108" t="s">
        <v>74</v>
      </c>
      <c r="AX215" s="108" t="s">
        <v>16</v>
      </c>
      <c r="AY215" s="108" t="s">
        <v>331</v>
      </c>
      <c r="AZ215" s="108" t="s">
        <v>1553</v>
      </c>
      <c r="BA215" s="108">
        <v>2018</v>
      </c>
      <c r="BB215" s="108" t="s">
        <v>287</v>
      </c>
      <c r="BC215" s="108" t="s">
        <v>331</v>
      </c>
      <c r="BD215" s="108" t="s">
        <v>1553</v>
      </c>
      <c r="BE215" s="108">
        <v>2018</v>
      </c>
      <c r="BF215" s="116"/>
      <c r="BG215" s="116"/>
      <c r="BH215" s="108" t="s">
        <v>228</v>
      </c>
      <c r="BI215" s="108">
        <v>31</v>
      </c>
      <c r="BJ215" s="195">
        <v>41</v>
      </c>
      <c r="BK215" s="111"/>
      <c r="BL215" s="111"/>
      <c r="BM215" s="111"/>
      <c r="BN215" s="111"/>
      <c r="BO215" s="108"/>
      <c r="BP215" s="108"/>
      <c r="BQ215" s="108"/>
      <c r="BR215" s="108"/>
      <c r="BS215" s="108"/>
      <c r="BT215" s="108"/>
      <c r="BU215" s="108"/>
      <c r="BV215" s="108"/>
      <c r="BW215" s="108"/>
      <c r="BX215" s="108"/>
      <c r="BY215" s="108"/>
      <c r="BZ215" s="108" t="e">
        <f>VLOOKUP(C215,[1]Sertifikasi!$B$4:$I$19,8,0)</f>
        <v>#N/A</v>
      </c>
    </row>
    <row r="216" spans="1:78" ht="11.25" customHeight="1">
      <c r="A216" s="108"/>
      <c r="B216" s="108">
        <v>110</v>
      </c>
      <c r="C216" s="212" t="s">
        <v>4138</v>
      </c>
      <c r="D216" s="109">
        <v>642201146</v>
      </c>
      <c r="E216" s="131"/>
      <c r="F216" s="131">
        <v>7188582707</v>
      </c>
      <c r="G216" s="108" t="s">
        <v>36</v>
      </c>
      <c r="H216" s="108" t="s">
        <v>36</v>
      </c>
      <c r="I216" s="111">
        <v>44578</v>
      </c>
      <c r="J216" s="108">
        <v>1</v>
      </c>
      <c r="K216" s="108">
        <v>8</v>
      </c>
      <c r="L216" s="108" t="str">
        <f t="shared" si="6"/>
        <v>PKWT</v>
      </c>
      <c r="M216" s="108"/>
      <c r="N216" s="112">
        <v>45291</v>
      </c>
      <c r="O216" s="108"/>
      <c r="P216" s="108" t="s">
        <v>213</v>
      </c>
      <c r="Q216" s="210" t="s">
        <v>4102</v>
      </c>
      <c r="R216" s="108" t="s">
        <v>36</v>
      </c>
      <c r="S216" s="108" t="s">
        <v>275</v>
      </c>
      <c r="T216" s="108" t="s">
        <v>87</v>
      </c>
      <c r="U216" s="108" t="s">
        <v>276</v>
      </c>
      <c r="V216" s="108" t="s">
        <v>180</v>
      </c>
      <c r="W216" s="108"/>
      <c r="X216" s="108"/>
      <c r="Y216" s="108" t="s">
        <v>216</v>
      </c>
      <c r="Z216" s="108" t="s">
        <v>2531</v>
      </c>
      <c r="AA216" s="111">
        <v>35274</v>
      </c>
      <c r="AB216" s="113">
        <v>27</v>
      </c>
      <c r="AC216" s="108" t="s">
        <v>2532</v>
      </c>
      <c r="AD216" s="129" t="s">
        <v>2533</v>
      </c>
      <c r="AE216" s="108" t="s">
        <v>2534</v>
      </c>
      <c r="AF216" s="108"/>
      <c r="AG216" s="108" t="s">
        <v>2535</v>
      </c>
      <c r="AH216" s="114" t="s">
        <v>2536</v>
      </c>
      <c r="AI216" s="115">
        <v>22017333497</v>
      </c>
      <c r="AJ216" s="108" t="s">
        <v>255</v>
      </c>
      <c r="AK216" s="108"/>
      <c r="AL216" s="108"/>
      <c r="AM216" s="108"/>
      <c r="AN216" s="108"/>
      <c r="AO216" s="108"/>
      <c r="AP216" s="108"/>
      <c r="AQ216" s="108"/>
      <c r="AR216" s="108"/>
      <c r="AS216" s="108"/>
      <c r="AT216" s="108">
        <v>0</v>
      </c>
      <c r="AU216" s="108" t="s">
        <v>304</v>
      </c>
      <c r="AV216" s="115"/>
      <c r="AW216" s="108" t="s">
        <v>74</v>
      </c>
      <c r="AX216" s="108" t="s">
        <v>391</v>
      </c>
      <c r="AY216" s="108" t="s">
        <v>392</v>
      </c>
      <c r="AZ216" s="108" t="s">
        <v>2537</v>
      </c>
      <c r="BA216" s="108">
        <v>2014</v>
      </c>
      <c r="BB216" s="108" t="s">
        <v>391</v>
      </c>
      <c r="BC216" s="108" t="s">
        <v>392</v>
      </c>
      <c r="BD216" s="108" t="s">
        <v>2537</v>
      </c>
      <c r="BE216" s="108">
        <v>2014</v>
      </c>
      <c r="BF216" s="116"/>
      <c r="BG216" s="116"/>
      <c r="BH216" s="108"/>
      <c r="BI216" s="108"/>
      <c r="BJ216" s="108">
        <v>40</v>
      </c>
      <c r="BK216" s="111"/>
      <c r="BL216" s="111">
        <v>44586</v>
      </c>
      <c r="BM216" s="111"/>
      <c r="BN216" s="111"/>
      <c r="BO216" s="108"/>
      <c r="BP216" s="108"/>
      <c r="BQ216" s="108"/>
      <c r="BR216" s="108" t="s">
        <v>2538</v>
      </c>
      <c r="BS216" s="108"/>
      <c r="BT216" s="108"/>
      <c r="BU216" s="108"/>
      <c r="BV216" s="108"/>
      <c r="BW216" s="108"/>
      <c r="BX216" s="108"/>
      <c r="BY216" s="108"/>
      <c r="BZ216" s="108" t="e">
        <f>VLOOKUP(C216,[1]Sertifikasi!$B$4:$I$19,8,0)</f>
        <v>#N/A</v>
      </c>
    </row>
    <row r="217" spans="1:78" ht="11.25" customHeight="1">
      <c r="A217" s="108"/>
      <c r="B217" s="108">
        <v>310</v>
      </c>
      <c r="C217" s="212" t="s">
        <v>4128</v>
      </c>
      <c r="D217" s="109">
        <v>642101100</v>
      </c>
      <c r="E217" s="131">
        <v>1710002926403</v>
      </c>
      <c r="F217" s="131"/>
      <c r="G217" s="108" t="s">
        <v>71</v>
      </c>
      <c r="H217" s="108" t="s">
        <v>71</v>
      </c>
      <c r="I217" s="111">
        <v>44200</v>
      </c>
      <c r="J217" s="108">
        <v>2</v>
      </c>
      <c r="K217" s="108">
        <v>9</v>
      </c>
      <c r="L217" s="108" t="str">
        <f t="shared" si="6"/>
        <v>PKWT</v>
      </c>
      <c r="M217" s="108"/>
      <c r="N217" s="112">
        <v>45291</v>
      </c>
      <c r="O217" s="108"/>
      <c r="P217" s="108" t="s">
        <v>213</v>
      </c>
      <c r="Q217" s="210" t="s">
        <v>4102</v>
      </c>
      <c r="R217" s="108" t="s">
        <v>422</v>
      </c>
      <c r="S217" s="108" t="s">
        <v>275</v>
      </c>
      <c r="T217" s="108" t="s">
        <v>93</v>
      </c>
      <c r="U217" s="108" t="s">
        <v>276</v>
      </c>
      <c r="V217" s="108" t="s">
        <v>180</v>
      </c>
      <c r="W217" s="108"/>
      <c r="X217" s="108"/>
      <c r="Y217" s="108" t="s">
        <v>216</v>
      </c>
      <c r="Z217" s="108" t="s">
        <v>1374</v>
      </c>
      <c r="AA217" s="111">
        <v>35641</v>
      </c>
      <c r="AB217" s="113">
        <v>26</v>
      </c>
      <c r="AC217" s="108" t="s">
        <v>2330</v>
      </c>
      <c r="AD217" s="129" t="s">
        <v>2331</v>
      </c>
      <c r="AE217" s="108" t="s">
        <v>2332</v>
      </c>
      <c r="AF217" s="108"/>
      <c r="AG217" s="108" t="s">
        <v>2333</v>
      </c>
      <c r="AH217" s="114" t="s">
        <v>2334</v>
      </c>
      <c r="AI217" s="115">
        <v>17023994514</v>
      </c>
      <c r="AJ217" s="108" t="s">
        <v>255</v>
      </c>
      <c r="AK217" s="108"/>
      <c r="AL217" s="108"/>
      <c r="AM217" s="108"/>
      <c r="AN217" s="108"/>
      <c r="AO217" s="108"/>
      <c r="AP217" s="108"/>
      <c r="AQ217" s="108"/>
      <c r="AR217" s="108"/>
      <c r="AS217" s="108"/>
      <c r="AT217" s="108">
        <v>0</v>
      </c>
      <c r="AU217" s="108" t="s">
        <v>304</v>
      </c>
      <c r="AV217" s="115"/>
      <c r="AW217" s="108" t="s">
        <v>74</v>
      </c>
      <c r="AX217" s="108" t="s">
        <v>16</v>
      </c>
      <c r="AY217" s="108" t="s">
        <v>210</v>
      </c>
      <c r="AZ217" s="108" t="s">
        <v>306</v>
      </c>
      <c r="BA217" s="108"/>
      <c r="BB217" s="108" t="s">
        <v>16</v>
      </c>
      <c r="BC217" s="108" t="s">
        <v>210</v>
      </c>
      <c r="BD217" s="108" t="s">
        <v>306</v>
      </c>
      <c r="BE217" s="108"/>
      <c r="BF217" s="116"/>
      <c r="BG217" s="116"/>
      <c r="BH217" s="108"/>
      <c r="BI217" s="108"/>
      <c r="BJ217" s="108">
        <v>42</v>
      </c>
      <c r="BK217" s="111">
        <v>44259</v>
      </c>
      <c r="BL217" s="111">
        <v>44304</v>
      </c>
      <c r="BM217" s="111">
        <v>44729</v>
      </c>
      <c r="BN217" s="111"/>
      <c r="BO217" s="108"/>
      <c r="BP217" s="108"/>
      <c r="BQ217" s="108"/>
      <c r="BR217" s="108" t="s">
        <v>2335</v>
      </c>
      <c r="BS217" s="108"/>
      <c r="BT217" s="108"/>
      <c r="BU217" s="108"/>
      <c r="BV217" s="108"/>
      <c r="BW217" s="108"/>
      <c r="BX217" s="108"/>
      <c r="BY217" s="108"/>
      <c r="BZ217" s="108" t="e">
        <f>VLOOKUP(C217,[1]Sertifikasi!$B$4:$I$19,8,0)</f>
        <v>#N/A</v>
      </c>
    </row>
    <row r="218" spans="1:78" ht="11.25" customHeight="1">
      <c r="A218" s="108"/>
      <c r="B218" s="108">
        <v>241</v>
      </c>
      <c r="C218" s="212" t="s">
        <v>4139</v>
      </c>
      <c r="D218" s="109">
        <v>642301198</v>
      </c>
      <c r="E218" s="131"/>
      <c r="F218" s="131"/>
      <c r="G218" s="108" t="s">
        <v>259</v>
      </c>
      <c r="H218" s="108" t="s">
        <v>259</v>
      </c>
      <c r="I218" s="111">
        <v>45000</v>
      </c>
      <c r="J218" s="108">
        <v>0</v>
      </c>
      <c r="K218" s="108">
        <v>6</v>
      </c>
      <c r="L218" s="108" t="str">
        <f t="shared" si="6"/>
        <v>PKWT</v>
      </c>
      <c r="M218" s="108"/>
      <c r="N218" s="112">
        <v>45365</v>
      </c>
      <c r="O218" s="108"/>
      <c r="P218" s="108" t="s">
        <v>213</v>
      </c>
      <c r="Q218" s="210" t="s">
        <v>4102</v>
      </c>
      <c r="R218" s="108" t="s">
        <v>259</v>
      </c>
      <c r="S218" s="108" t="s">
        <v>33</v>
      </c>
      <c r="T218" s="108" t="s">
        <v>432</v>
      </c>
      <c r="U218" s="108" t="s">
        <v>199</v>
      </c>
      <c r="V218" s="108" t="s">
        <v>180</v>
      </c>
      <c r="W218" s="108"/>
      <c r="X218" s="108"/>
      <c r="Y218" s="108" t="s">
        <v>216</v>
      </c>
      <c r="Z218" s="108" t="s">
        <v>1630</v>
      </c>
      <c r="AA218" s="111">
        <v>36437</v>
      </c>
      <c r="AB218" s="113">
        <v>24</v>
      </c>
      <c r="AC218" s="108" t="s">
        <v>2961</v>
      </c>
      <c r="AD218" s="129" t="s">
        <v>2962</v>
      </c>
      <c r="AE218" s="108" t="s">
        <v>2963</v>
      </c>
      <c r="AF218" s="108"/>
      <c r="AG218" s="108" t="s">
        <v>2964</v>
      </c>
      <c r="AH218" s="114" t="s">
        <v>2965</v>
      </c>
      <c r="AI218" s="115">
        <v>22160059188</v>
      </c>
      <c r="AJ218" s="108" t="s">
        <v>255</v>
      </c>
      <c r="AK218" s="108"/>
      <c r="AL218" s="108"/>
      <c r="AM218" s="108"/>
      <c r="AN218" s="108"/>
      <c r="AO218" s="108"/>
      <c r="AP218" s="108"/>
      <c r="AQ218" s="108"/>
      <c r="AR218" s="108"/>
      <c r="AS218" s="108"/>
      <c r="AT218" s="108">
        <v>0</v>
      </c>
      <c r="AU218" s="108" t="s">
        <v>304</v>
      </c>
      <c r="AV218" s="115"/>
      <c r="AW218" s="108" t="s">
        <v>74</v>
      </c>
      <c r="AX218" s="108" t="s">
        <v>12</v>
      </c>
      <c r="AY218" s="108" t="s">
        <v>226</v>
      </c>
      <c r="AZ218" s="108" t="s">
        <v>2966</v>
      </c>
      <c r="BA218" s="108">
        <v>2022</v>
      </c>
      <c r="BB218" s="108" t="s">
        <v>12</v>
      </c>
      <c r="BC218" s="108" t="s">
        <v>226</v>
      </c>
      <c r="BD218" s="108" t="s">
        <v>2966</v>
      </c>
      <c r="BE218" s="108">
        <v>2022</v>
      </c>
      <c r="BF218" s="116"/>
      <c r="BG218" s="116"/>
      <c r="BH218" s="108"/>
      <c r="BI218" s="108"/>
      <c r="BJ218" s="195">
        <v>43</v>
      </c>
      <c r="BK218" s="111"/>
      <c r="BL218" s="111"/>
      <c r="BM218" s="111"/>
      <c r="BN218" s="111"/>
      <c r="BO218" s="108"/>
      <c r="BP218" s="108"/>
      <c r="BQ218" s="108"/>
      <c r="BR218" s="108"/>
      <c r="BS218" s="108"/>
      <c r="BT218" s="108"/>
      <c r="BU218" s="108"/>
      <c r="BV218" s="108"/>
      <c r="BW218" s="108"/>
      <c r="BX218" s="108"/>
      <c r="BY218" s="108"/>
      <c r="BZ218" s="108" t="e">
        <f>VLOOKUP(C218,[1]Sertifikasi!$B$4:$I$19,8,0)</f>
        <v>#N/A</v>
      </c>
    </row>
    <row r="219" spans="1:78" ht="11.25" customHeight="1">
      <c r="A219" s="108"/>
      <c r="B219" s="108">
        <v>304</v>
      </c>
      <c r="C219" s="212" t="s">
        <v>4140</v>
      </c>
      <c r="D219" s="109">
        <v>641805151</v>
      </c>
      <c r="E219" s="131">
        <v>1710004251974</v>
      </c>
      <c r="F219" s="131"/>
      <c r="G219" s="108" t="s">
        <v>71</v>
      </c>
      <c r="H219" s="108" t="s">
        <v>71</v>
      </c>
      <c r="I219" s="111">
        <v>43227</v>
      </c>
      <c r="J219" s="108">
        <v>5</v>
      </c>
      <c r="K219" s="108">
        <v>5</v>
      </c>
      <c r="L219" s="108" t="str">
        <f t="shared" si="6"/>
        <v>PKWT</v>
      </c>
      <c r="M219" s="108"/>
      <c r="N219" s="112">
        <v>45417</v>
      </c>
      <c r="O219" s="108"/>
      <c r="P219" s="108" t="s">
        <v>213</v>
      </c>
      <c r="Q219" s="210" t="s">
        <v>4102</v>
      </c>
      <c r="R219" s="108" t="s">
        <v>1276</v>
      </c>
      <c r="S219" s="108" t="s">
        <v>275</v>
      </c>
      <c r="T219" s="108" t="s">
        <v>94</v>
      </c>
      <c r="U219" s="108" t="s">
        <v>276</v>
      </c>
      <c r="V219" s="108" t="s">
        <v>180</v>
      </c>
      <c r="W219" s="108"/>
      <c r="X219" s="108" t="s">
        <v>215</v>
      </c>
      <c r="Y219" s="108" t="s">
        <v>216</v>
      </c>
      <c r="Z219" s="108" t="s">
        <v>409</v>
      </c>
      <c r="AA219" s="111">
        <v>36197</v>
      </c>
      <c r="AB219" s="113">
        <v>24</v>
      </c>
      <c r="AC219" s="108" t="s">
        <v>1277</v>
      </c>
      <c r="AD219" s="129" t="s">
        <v>1278</v>
      </c>
      <c r="AE219" s="108" t="s">
        <v>1279</v>
      </c>
      <c r="AF219" s="108"/>
      <c r="AG219" s="108" t="s">
        <v>1280</v>
      </c>
      <c r="AH219" s="114" t="s">
        <v>1281</v>
      </c>
      <c r="AI219" s="115">
        <v>18035613506</v>
      </c>
      <c r="AJ219" s="108" t="s">
        <v>255</v>
      </c>
      <c r="AK219" s="108"/>
      <c r="AL219" s="108"/>
      <c r="AM219" s="108"/>
      <c r="AN219" s="108"/>
      <c r="AO219" s="108"/>
      <c r="AP219" s="108"/>
      <c r="AQ219" s="108"/>
      <c r="AR219" s="108"/>
      <c r="AS219" s="108"/>
      <c r="AT219" s="108">
        <v>0</v>
      </c>
      <c r="AU219" s="108" t="s">
        <v>304</v>
      </c>
      <c r="AV219" s="115">
        <v>0</v>
      </c>
      <c r="AW219" s="108" t="s">
        <v>74</v>
      </c>
      <c r="AX219" s="108" t="s">
        <v>16</v>
      </c>
      <c r="AY219" s="108" t="s">
        <v>1282</v>
      </c>
      <c r="AZ219" s="108" t="s">
        <v>1283</v>
      </c>
      <c r="BA219" s="108"/>
      <c r="BB219" s="108" t="s">
        <v>287</v>
      </c>
      <c r="BC219" s="108" t="s">
        <v>1282</v>
      </c>
      <c r="BD219" s="108" t="s">
        <v>1283</v>
      </c>
      <c r="BE219" s="108"/>
      <c r="BF219" s="116"/>
      <c r="BG219" s="116"/>
      <c r="BH219" s="108" t="s">
        <v>241</v>
      </c>
      <c r="BI219" s="108">
        <v>29</v>
      </c>
      <c r="BJ219" s="195">
        <v>40</v>
      </c>
      <c r="BK219" s="111"/>
      <c r="BL219" s="111">
        <v>44492</v>
      </c>
      <c r="BM219" s="111"/>
      <c r="BN219" s="111"/>
      <c r="BO219" s="108"/>
      <c r="BP219" s="108"/>
      <c r="BQ219" s="108"/>
      <c r="BR219" s="108"/>
      <c r="BS219" s="108"/>
      <c r="BT219" s="108"/>
      <c r="BU219" s="108"/>
      <c r="BV219" s="108"/>
      <c r="BW219" s="108"/>
      <c r="BX219" s="108"/>
      <c r="BY219" s="108"/>
      <c r="BZ219" s="108" t="e">
        <f>VLOOKUP(C219,[1]Sertifikasi!$B$4:$I$19,8,0)</f>
        <v>#N/A</v>
      </c>
    </row>
    <row r="220" spans="1:78" ht="11.25" customHeight="1">
      <c r="A220" s="108"/>
      <c r="B220" s="108">
        <v>182</v>
      </c>
      <c r="C220" s="212" t="s">
        <v>1597</v>
      </c>
      <c r="D220" s="109">
        <v>641810193</v>
      </c>
      <c r="E220" s="131">
        <v>1710004810597</v>
      </c>
      <c r="F220" s="131"/>
      <c r="G220" s="108" t="s">
        <v>259</v>
      </c>
      <c r="H220" s="108" t="s">
        <v>259</v>
      </c>
      <c r="I220" s="111">
        <v>43395</v>
      </c>
      <c r="J220" s="108">
        <v>4</v>
      </c>
      <c r="K220" s="108">
        <v>11</v>
      </c>
      <c r="L220" s="108" t="str">
        <f t="shared" ref="L220:L251" si="7">IF(LEFT(D220,2)="99","Organik",IF(LEFT(D220,2)="97","Tetap",IF(LEFT(D220,2)="75","Capeg",IF(LEFT(D220,2)="64","PKWT","Resign"))))</f>
        <v>PKWT</v>
      </c>
      <c r="M220" s="108"/>
      <c r="N220" s="112">
        <v>45291</v>
      </c>
      <c r="O220" s="108"/>
      <c r="P220" s="108" t="s">
        <v>213</v>
      </c>
      <c r="Q220" s="210" t="s">
        <v>4102</v>
      </c>
      <c r="R220" s="108" t="s">
        <v>259</v>
      </c>
      <c r="S220" s="108" t="s">
        <v>262</v>
      </c>
      <c r="T220" s="108" t="s">
        <v>89</v>
      </c>
      <c r="U220" s="108" t="s">
        <v>199</v>
      </c>
      <c r="V220" s="108" t="s">
        <v>180</v>
      </c>
      <c r="W220" s="108" t="s">
        <v>277</v>
      </c>
      <c r="X220" s="108" t="s">
        <v>215</v>
      </c>
      <c r="Y220" s="108" t="s">
        <v>216</v>
      </c>
      <c r="Z220" s="108" t="s">
        <v>259</v>
      </c>
      <c r="AA220" s="111">
        <v>34977</v>
      </c>
      <c r="AB220" s="113">
        <v>28</v>
      </c>
      <c r="AC220" s="108" t="s">
        <v>1598</v>
      </c>
      <c r="AD220" s="129" t="s">
        <v>1599</v>
      </c>
      <c r="AE220" s="108" t="s">
        <v>1600</v>
      </c>
      <c r="AF220" s="108"/>
      <c r="AG220" s="108" t="s">
        <v>1601</v>
      </c>
      <c r="AH220" s="114" t="s">
        <v>1602</v>
      </c>
      <c r="AI220" s="115">
        <v>18099947451</v>
      </c>
      <c r="AJ220" s="108" t="s">
        <v>189</v>
      </c>
      <c r="AK220" s="108" t="s">
        <v>1603</v>
      </c>
      <c r="AL220" s="108"/>
      <c r="AM220" s="108"/>
      <c r="AN220" s="108"/>
      <c r="AO220" s="108"/>
      <c r="AP220" s="108" t="s">
        <v>1604</v>
      </c>
      <c r="AQ220" s="108"/>
      <c r="AR220" s="108"/>
      <c r="AS220" s="108"/>
      <c r="AT220" s="108">
        <v>0</v>
      </c>
      <c r="AU220" s="108" t="s">
        <v>390</v>
      </c>
      <c r="AV220" s="115">
        <v>0</v>
      </c>
      <c r="AW220" s="108" t="s">
        <v>74</v>
      </c>
      <c r="AX220" s="108" t="s">
        <v>16</v>
      </c>
      <c r="AY220" s="108" t="s">
        <v>331</v>
      </c>
      <c r="AZ220" s="108" t="s">
        <v>1605</v>
      </c>
      <c r="BA220" s="108">
        <v>2014</v>
      </c>
      <c r="BB220" s="108" t="s">
        <v>287</v>
      </c>
      <c r="BC220" s="108" t="s">
        <v>331</v>
      </c>
      <c r="BD220" s="108" t="s">
        <v>1605</v>
      </c>
      <c r="BE220" s="108">
        <v>2014</v>
      </c>
      <c r="BF220" s="116"/>
      <c r="BG220" s="116"/>
      <c r="BH220" s="108" t="s">
        <v>345</v>
      </c>
      <c r="BI220" s="108">
        <v>30</v>
      </c>
      <c r="BJ220" s="195">
        <v>40</v>
      </c>
      <c r="BK220" s="111"/>
      <c r="BL220" s="111"/>
      <c r="BM220" s="209">
        <v>44665</v>
      </c>
      <c r="BN220" s="111"/>
      <c r="BO220" s="108"/>
      <c r="BP220" s="108"/>
      <c r="BQ220" s="108"/>
      <c r="BR220" s="108"/>
      <c r="BS220" s="108"/>
      <c r="BT220" s="108"/>
      <c r="BU220" s="108"/>
      <c r="BV220" s="108"/>
      <c r="BW220" s="108"/>
      <c r="BX220" s="108"/>
      <c r="BY220" s="108"/>
      <c r="BZ220" s="108" t="e">
        <f>VLOOKUP(C220,[1]Sertifikasi!$B$4:$I$19,8,0)</f>
        <v>#N/A</v>
      </c>
    </row>
    <row r="221" spans="1:78" ht="11.25" customHeight="1">
      <c r="A221" s="108"/>
      <c r="B221" s="108">
        <v>242</v>
      </c>
      <c r="C221" s="108" t="s">
        <v>4141</v>
      </c>
      <c r="D221" s="109">
        <v>642307123</v>
      </c>
      <c r="E221" s="131">
        <v>1420019772127</v>
      </c>
      <c r="F221" s="131"/>
      <c r="G221" s="108" t="s">
        <v>71</v>
      </c>
      <c r="H221" s="108" t="s">
        <v>2925</v>
      </c>
      <c r="I221" s="111">
        <v>45174</v>
      </c>
      <c r="J221" s="108">
        <v>0</v>
      </c>
      <c r="K221" s="108">
        <v>1</v>
      </c>
      <c r="L221" s="108" t="str">
        <f t="shared" si="7"/>
        <v>PKWT</v>
      </c>
      <c r="M221" s="108"/>
      <c r="N221" s="112">
        <v>45539</v>
      </c>
      <c r="O221" s="108"/>
      <c r="P221" s="108" t="s">
        <v>213</v>
      </c>
      <c r="Q221" s="210" t="s">
        <v>4102</v>
      </c>
      <c r="R221" s="108" t="s">
        <v>259</v>
      </c>
      <c r="S221" s="108" t="s">
        <v>33</v>
      </c>
      <c r="T221" s="108" t="s">
        <v>432</v>
      </c>
      <c r="U221" s="108" t="s">
        <v>199</v>
      </c>
      <c r="V221" s="108" t="s">
        <v>180</v>
      </c>
      <c r="W221" s="108" t="s">
        <v>277</v>
      </c>
      <c r="X221" s="108"/>
      <c r="Y221" s="108" t="s">
        <v>216</v>
      </c>
      <c r="Z221" s="108" t="s">
        <v>2875</v>
      </c>
      <c r="AA221" s="111">
        <v>36263</v>
      </c>
      <c r="AB221" s="113">
        <v>24</v>
      </c>
      <c r="AC221" s="108" t="s">
        <v>3022</v>
      </c>
      <c r="AD221" s="129" t="s">
        <v>3023</v>
      </c>
      <c r="AE221" s="108">
        <v>6287855355533</v>
      </c>
      <c r="AF221" s="108"/>
      <c r="AG221" s="108" t="s">
        <v>3024</v>
      </c>
      <c r="AH221" s="114" t="s">
        <v>3025</v>
      </c>
      <c r="AI221" s="115">
        <v>23138647310</v>
      </c>
      <c r="AJ221" s="108" t="s">
        <v>255</v>
      </c>
      <c r="AK221" s="108"/>
      <c r="AL221" s="108"/>
      <c r="AM221" s="108"/>
      <c r="AN221" s="108"/>
      <c r="AO221" s="108"/>
      <c r="AP221" s="108"/>
      <c r="AQ221" s="108"/>
      <c r="AR221" s="108"/>
      <c r="AS221" s="108"/>
      <c r="AT221" s="108">
        <v>0</v>
      </c>
      <c r="AU221" s="108" t="s">
        <v>304</v>
      </c>
      <c r="AV221" s="115"/>
      <c r="AW221" s="108" t="s">
        <v>74</v>
      </c>
      <c r="AX221" s="108" t="s">
        <v>13</v>
      </c>
      <c r="AY221" s="108" t="s">
        <v>2789</v>
      </c>
      <c r="AZ221" s="108" t="s">
        <v>2472</v>
      </c>
      <c r="BA221" s="108">
        <v>2021</v>
      </c>
      <c r="BB221" s="108" t="s">
        <v>13</v>
      </c>
      <c r="BC221" s="108" t="s">
        <v>2789</v>
      </c>
      <c r="BD221" s="108" t="s">
        <v>2472</v>
      </c>
      <c r="BE221" s="108">
        <v>2021</v>
      </c>
      <c r="BF221" s="116"/>
      <c r="BG221" s="116"/>
      <c r="BH221" s="108"/>
      <c r="BI221" s="108"/>
      <c r="BJ221" s="108"/>
      <c r="BK221" s="111"/>
      <c r="BL221" s="111"/>
      <c r="BM221" s="111"/>
      <c r="BN221" s="111"/>
      <c r="BO221" s="108"/>
      <c r="BP221" s="108"/>
      <c r="BQ221" s="108"/>
      <c r="BR221" s="108"/>
      <c r="BS221" s="108"/>
      <c r="BT221" s="108"/>
      <c r="BU221" s="108"/>
      <c r="BV221" s="108"/>
      <c r="BW221" s="108"/>
      <c r="BX221" s="108"/>
      <c r="BY221" s="108"/>
      <c r="BZ221" s="108" t="e">
        <f>VLOOKUP(C221,[1]Sertifikasi!$B$4:$I$19,8,0)</f>
        <v>#N/A</v>
      </c>
    </row>
    <row r="222" spans="1:78" ht="11.25" customHeight="1">
      <c r="A222" s="108"/>
      <c r="B222" s="108">
        <v>290</v>
      </c>
      <c r="C222" s="108" t="s">
        <v>4142</v>
      </c>
      <c r="D222" s="193">
        <v>641810197</v>
      </c>
      <c r="E222" s="131">
        <v>1710004810977</v>
      </c>
      <c r="F222" s="131"/>
      <c r="G222" s="108" t="s">
        <v>575</v>
      </c>
      <c r="H222" s="108" t="s">
        <v>575</v>
      </c>
      <c r="I222" s="111">
        <v>43395</v>
      </c>
      <c r="J222" s="108">
        <v>4</v>
      </c>
      <c r="K222" s="108">
        <v>11</v>
      </c>
      <c r="L222" s="108" t="str">
        <f t="shared" si="7"/>
        <v>PKWT</v>
      </c>
      <c r="M222" s="108"/>
      <c r="N222" s="112">
        <v>45586</v>
      </c>
      <c r="O222" s="108"/>
      <c r="P222" s="108" t="s">
        <v>213</v>
      </c>
      <c r="Q222" s="210" t="s">
        <v>4102</v>
      </c>
      <c r="R222" s="108" t="s">
        <v>575</v>
      </c>
      <c r="S222" s="108" t="s">
        <v>262</v>
      </c>
      <c r="T222" s="108" t="s">
        <v>92</v>
      </c>
      <c r="U222" s="108" t="s">
        <v>276</v>
      </c>
      <c r="V222" s="108" t="s">
        <v>180</v>
      </c>
      <c r="W222" s="108"/>
      <c r="X222" s="108" t="s">
        <v>215</v>
      </c>
      <c r="Y222" s="108" t="s">
        <v>216</v>
      </c>
      <c r="Z222" s="108" t="s">
        <v>1185</v>
      </c>
      <c r="AA222" s="111">
        <v>36792</v>
      </c>
      <c r="AB222" s="113">
        <v>23</v>
      </c>
      <c r="AC222" s="108" t="s">
        <v>1685</v>
      </c>
      <c r="AD222" s="129" t="s">
        <v>1686</v>
      </c>
      <c r="AE222" s="108" t="s">
        <v>1687</v>
      </c>
      <c r="AF222" s="108"/>
      <c r="AG222" s="108" t="s">
        <v>1688</v>
      </c>
      <c r="AH222" s="114" t="s">
        <v>1689</v>
      </c>
      <c r="AI222" s="115">
        <v>18099947568</v>
      </c>
      <c r="AJ222" s="108" t="s">
        <v>255</v>
      </c>
      <c r="AK222" s="108"/>
      <c r="AL222" s="108"/>
      <c r="AM222" s="108"/>
      <c r="AN222" s="108"/>
      <c r="AO222" s="108"/>
      <c r="AP222" s="108"/>
      <c r="AQ222" s="108"/>
      <c r="AR222" s="108"/>
      <c r="AS222" s="108"/>
      <c r="AT222" s="108">
        <v>0</v>
      </c>
      <c r="AU222" s="108" t="s">
        <v>304</v>
      </c>
      <c r="AV222" s="115">
        <v>0</v>
      </c>
      <c r="AW222" s="108" t="s">
        <v>74</v>
      </c>
      <c r="AX222" s="108" t="s">
        <v>16</v>
      </c>
      <c r="AY222" s="108" t="s">
        <v>285</v>
      </c>
      <c r="AZ222" s="108" t="s">
        <v>1419</v>
      </c>
      <c r="BA222" s="108">
        <v>2018</v>
      </c>
      <c r="BB222" s="108" t="s">
        <v>287</v>
      </c>
      <c r="BC222" s="108" t="s">
        <v>285</v>
      </c>
      <c r="BD222" s="108" t="s">
        <v>1419</v>
      </c>
      <c r="BE222" s="108">
        <v>2018</v>
      </c>
      <c r="BF222" s="116"/>
      <c r="BG222" s="116"/>
      <c r="BH222" s="108" t="s">
        <v>241</v>
      </c>
      <c r="BI222" s="108">
        <v>29</v>
      </c>
      <c r="BJ222" s="108">
        <v>42</v>
      </c>
      <c r="BK222" s="111">
        <v>44391</v>
      </c>
      <c r="BL222" s="111"/>
      <c r="BM222" s="111">
        <v>44765</v>
      </c>
      <c r="BN222" s="111"/>
      <c r="BO222" s="108"/>
      <c r="BP222" s="108"/>
      <c r="BQ222" s="108"/>
      <c r="BR222" s="108"/>
      <c r="BS222" s="108"/>
      <c r="BT222" s="108"/>
      <c r="BU222" s="108"/>
      <c r="BV222" s="108"/>
      <c r="BW222" s="108"/>
      <c r="BX222" s="108"/>
      <c r="BY222" s="108"/>
      <c r="BZ222" s="108" t="e">
        <f>VLOOKUP(C222,[1]Sertifikasi!$B$4:$I$19,8,0)</f>
        <v>#N/A</v>
      </c>
    </row>
    <row r="223" spans="1:78" ht="11.25" customHeight="1">
      <c r="A223" s="108"/>
      <c r="B223" s="108">
        <v>243</v>
      </c>
      <c r="C223" s="108" t="s">
        <v>4143</v>
      </c>
      <c r="D223" s="109">
        <v>642307121</v>
      </c>
      <c r="E223" s="131"/>
      <c r="F223" s="131">
        <v>7249707591</v>
      </c>
      <c r="G223" s="108" t="s">
        <v>71</v>
      </c>
      <c r="H223" s="108" t="s">
        <v>71</v>
      </c>
      <c r="I223" s="111">
        <v>45174</v>
      </c>
      <c r="J223" s="108">
        <v>0</v>
      </c>
      <c r="K223" s="108">
        <v>1</v>
      </c>
      <c r="L223" s="108" t="str">
        <f t="shared" si="7"/>
        <v>PKWT</v>
      </c>
      <c r="M223" s="108"/>
      <c r="N223" s="112">
        <v>45539</v>
      </c>
      <c r="O223" s="108"/>
      <c r="P223" s="108" t="s">
        <v>213</v>
      </c>
      <c r="Q223" s="210" t="s">
        <v>4102</v>
      </c>
      <c r="R223" s="108" t="s">
        <v>259</v>
      </c>
      <c r="S223" s="108" t="s">
        <v>33</v>
      </c>
      <c r="T223" s="108" t="s">
        <v>432</v>
      </c>
      <c r="U223" s="108" t="s">
        <v>199</v>
      </c>
      <c r="V223" s="108" t="s">
        <v>180</v>
      </c>
      <c r="W223" s="108" t="s">
        <v>277</v>
      </c>
      <c r="X223" s="108"/>
      <c r="Y223" s="108" t="s">
        <v>216</v>
      </c>
      <c r="Z223" s="108" t="s">
        <v>71</v>
      </c>
      <c r="AA223" s="111">
        <v>36569</v>
      </c>
      <c r="AB223" s="113">
        <v>23</v>
      </c>
      <c r="AC223" s="108" t="s">
        <v>3014</v>
      </c>
      <c r="AD223" s="129" t="s">
        <v>3015</v>
      </c>
      <c r="AE223" s="108">
        <v>85784023890</v>
      </c>
      <c r="AF223" s="108"/>
      <c r="AG223" s="108" t="s">
        <v>3016</v>
      </c>
      <c r="AH223" s="114" t="s">
        <v>3017</v>
      </c>
      <c r="AI223" s="115">
        <v>23138647468</v>
      </c>
      <c r="AJ223" s="108" t="s">
        <v>255</v>
      </c>
      <c r="AK223" s="108"/>
      <c r="AL223" s="108"/>
      <c r="AM223" s="108"/>
      <c r="AN223" s="108"/>
      <c r="AO223" s="108"/>
      <c r="AP223" s="108"/>
      <c r="AQ223" s="108"/>
      <c r="AR223" s="108"/>
      <c r="AS223" s="108"/>
      <c r="AT223" s="108">
        <v>0</v>
      </c>
      <c r="AU223" s="108" t="s">
        <v>304</v>
      </c>
      <c r="AV223" s="115"/>
      <c r="AW223" s="108" t="s">
        <v>74</v>
      </c>
      <c r="AX223" s="108" t="s">
        <v>13</v>
      </c>
      <c r="AY223" s="108" t="s">
        <v>2789</v>
      </c>
      <c r="AZ223" s="108" t="s">
        <v>2472</v>
      </c>
      <c r="BA223" s="108">
        <v>2021</v>
      </c>
      <c r="BB223" s="108" t="s">
        <v>13</v>
      </c>
      <c r="BC223" s="108" t="s">
        <v>2789</v>
      </c>
      <c r="BD223" s="108" t="s">
        <v>2472</v>
      </c>
      <c r="BE223" s="108">
        <v>2021</v>
      </c>
      <c r="BF223" s="116"/>
      <c r="BG223" s="116"/>
      <c r="BH223" s="108"/>
      <c r="BI223" s="108"/>
      <c r="BJ223" s="108"/>
      <c r="BK223" s="111"/>
      <c r="BL223" s="111"/>
      <c r="BM223" s="111"/>
      <c r="BN223" s="111"/>
      <c r="BO223" s="108"/>
      <c r="BP223" s="108"/>
      <c r="BQ223" s="108"/>
      <c r="BR223" s="108"/>
      <c r="BS223" s="108"/>
      <c r="BT223" s="108"/>
      <c r="BU223" s="108"/>
      <c r="BV223" s="108"/>
      <c r="BW223" s="108"/>
      <c r="BX223" s="108"/>
      <c r="BY223" s="108"/>
      <c r="BZ223" s="108" t="e">
        <f>VLOOKUP(C223,[1]Sertifikasi!$B$4:$I$19,8,0)</f>
        <v>#N/A</v>
      </c>
    </row>
    <row r="224" spans="1:78" ht="11.25" customHeight="1">
      <c r="A224" s="108"/>
      <c r="B224" s="108">
        <v>245</v>
      </c>
      <c r="C224" s="108" t="s">
        <v>4144</v>
      </c>
      <c r="D224" s="109">
        <v>642307131</v>
      </c>
      <c r="E224" s="131">
        <v>1560021556891</v>
      </c>
      <c r="F224" s="131"/>
      <c r="G224" s="108" t="s">
        <v>71</v>
      </c>
      <c r="H224" s="108" t="s">
        <v>2875</v>
      </c>
      <c r="I224" s="111">
        <v>45204</v>
      </c>
      <c r="J224" s="108">
        <v>0</v>
      </c>
      <c r="K224" s="108">
        <v>0</v>
      </c>
      <c r="L224" s="108" t="str">
        <f t="shared" si="7"/>
        <v>PKWT</v>
      </c>
      <c r="M224" s="108"/>
      <c r="N224" s="112">
        <v>45291</v>
      </c>
      <c r="O224" s="108"/>
      <c r="P224" s="108" t="s">
        <v>213</v>
      </c>
      <c r="Q224" s="210" t="s">
        <v>4102</v>
      </c>
      <c r="R224" s="108" t="s">
        <v>259</v>
      </c>
      <c r="S224" s="108" t="s">
        <v>33</v>
      </c>
      <c r="T224" s="108" t="s">
        <v>432</v>
      </c>
      <c r="U224" s="108" t="s">
        <v>199</v>
      </c>
      <c r="V224" s="108" t="s">
        <v>180</v>
      </c>
      <c r="W224" s="108" t="s">
        <v>277</v>
      </c>
      <c r="X224" s="108"/>
      <c r="Y224" s="108" t="s">
        <v>216</v>
      </c>
      <c r="Z224" s="108" t="s">
        <v>2875</v>
      </c>
      <c r="AA224" s="111">
        <v>37257</v>
      </c>
      <c r="AB224" s="113">
        <v>21</v>
      </c>
      <c r="AC224" s="108" t="s">
        <v>3066</v>
      </c>
      <c r="AD224" s="129" t="s">
        <v>3067</v>
      </c>
      <c r="AE224" s="108" t="s">
        <v>3068</v>
      </c>
      <c r="AF224" s="108"/>
      <c r="AG224" s="108" t="s">
        <v>3069</v>
      </c>
      <c r="AH224" s="114" t="s">
        <v>3070</v>
      </c>
      <c r="AI224" s="115">
        <v>23156731327</v>
      </c>
      <c r="AJ224" s="108" t="s">
        <v>255</v>
      </c>
      <c r="AK224" s="108"/>
      <c r="AL224" s="108"/>
      <c r="AM224" s="108"/>
      <c r="AN224" s="108"/>
      <c r="AO224" s="108"/>
      <c r="AP224" s="108"/>
      <c r="AQ224" s="108"/>
      <c r="AR224" s="108"/>
      <c r="AS224" s="108"/>
      <c r="AT224" s="108">
        <v>0</v>
      </c>
      <c r="AU224" s="108" t="s">
        <v>304</v>
      </c>
      <c r="AV224" s="115"/>
      <c r="AW224" s="108" t="s">
        <v>74</v>
      </c>
      <c r="AX224" s="108" t="s">
        <v>13</v>
      </c>
      <c r="AY224" s="108" t="s">
        <v>2789</v>
      </c>
      <c r="AZ224" s="108" t="s">
        <v>2472</v>
      </c>
      <c r="BA224" s="108">
        <v>2023</v>
      </c>
      <c r="BB224" s="108" t="s">
        <v>13</v>
      </c>
      <c r="BC224" s="108" t="s">
        <v>2789</v>
      </c>
      <c r="BD224" s="108" t="s">
        <v>2472</v>
      </c>
      <c r="BE224" s="108">
        <v>2023</v>
      </c>
      <c r="BF224" s="116"/>
      <c r="BG224" s="116"/>
      <c r="BH224" s="108"/>
      <c r="BI224" s="108"/>
      <c r="BJ224" s="108"/>
      <c r="BK224" s="111"/>
      <c r="BL224" s="111"/>
      <c r="BM224" s="111"/>
      <c r="BN224" s="111"/>
      <c r="BO224" s="108"/>
      <c r="BP224" s="108"/>
      <c r="BQ224" s="108"/>
      <c r="BR224" s="108"/>
      <c r="BS224" s="108"/>
      <c r="BT224" s="108"/>
      <c r="BU224" s="108"/>
      <c r="BV224" s="108"/>
      <c r="BW224" s="108"/>
      <c r="BX224" s="108"/>
      <c r="BY224" s="108"/>
      <c r="BZ224" s="108" t="e">
        <f>VLOOKUP(C224,[1]Sertifikasi!$B$4:$I$19,8,0)</f>
        <v>#N/A</v>
      </c>
    </row>
    <row r="225" spans="1:78" ht="11.25" customHeight="1">
      <c r="A225" s="108"/>
      <c r="B225" s="108">
        <v>136</v>
      </c>
      <c r="C225" s="108" t="s">
        <v>4145</v>
      </c>
      <c r="D225" s="109">
        <v>642001026</v>
      </c>
      <c r="E225" s="131">
        <v>1710003987172</v>
      </c>
      <c r="F225" s="131"/>
      <c r="G225" s="108" t="s">
        <v>71</v>
      </c>
      <c r="H225" s="108" t="s">
        <v>71</v>
      </c>
      <c r="I225" s="111">
        <v>42919</v>
      </c>
      <c r="J225" s="108">
        <v>6</v>
      </c>
      <c r="K225" s="108">
        <v>3</v>
      </c>
      <c r="L225" s="108" t="str">
        <f t="shared" si="7"/>
        <v>PKWT</v>
      </c>
      <c r="M225" s="108"/>
      <c r="N225" s="112">
        <v>45291</v>
      </c>
      <c r="O225" s="108"/>
      <c r="P225" s="108" t="s">
        <v>213</v>
      </c>
      <c r="Q225" s="210" t="s">
        <v>4102</v>
      </c>
      <c r="R225" s="108" t="s">
        <v>409</v>
      </c>
      <c r="S225" s="108" t="s">
        <v>33</v>
      </c>
      <c r="T225" s="108" t="s">
        <v>88</v>
      </c>
      <c r="U225" s="108" t="s">
        <v>199</v>
      </c>
      <c r="V225" s="108" t="s">
        <v>180</v>
      </c>
      <c r="W225" s="108"/>
      <c r="X225" s="108" t="s">
        <v>215</v>
      </c>
      <c r="Y225" s="108" t="s">
        <v>216</v>
      </c>
      <c r="Z225" s="108" t="s">
        <v>71</v>
      </c>
      <c r="AA225" s="111">
        <v>36114</v>
      </c>
      <c r="AB225" s="113">
        <v>24</v>
      </c>
      <c r="AC225" s="108" t="s">
        <v>1073</v>
      </c>
      <c r="AD225" s="129" t="s">
        <v>1074</v>
      </c>
      <c r="AE225" s="108" t="s">
        <v>1075</v>
      </c>
      <c r="AF225" s="108" t="s">
        <v>1076</v>
      </c>
      <c r="AG225" s="108" t="s">
        <v>1077</v>
      </c>
      <c r="AH225" s="114" t="s">
        <v>1078</v>
      </c>
      <c r="AI225" s="115">
        <v>17043907827</v>
      </c>
      <c r="AJ225" s="108" t="s">
        <v>255</v>
      </c>
      <c r="AK225" s="108"/>
      <c r="AL225" s="108"/>
      <c r="AM225" s="108"/>
      <c r="AN225" s="108"/>
      <c r="AO225" s="108"/>
      <c r="AP225" s="108"/>
      <c r="AQ225" s="108"/>
      <c r="AR225" s="108"/>
      <c r="AS225" s="108"/>
      <c r="AT225" s="108">
        <v>0</v>
      </c>
      <c r="AU225" s="108" t="s">
        <v>304</v>
      </c>
      <c r="AV225" s="115">
        <v>0</v>
      </c>
      <c r="AW225" s="108" t="s">
        <v>74</v>
      </c>
      <c r="AX225" s="108" t="s">
        <v>16</v>
      </c>
      <c r="AY225" s="108" t="s">
        <v>226</v>
      </c>
      <c r="AZ225" s="108" t="s">
        <v>306</v>
      </c>
      <c r="BA225" s="108">
        <v>2017</v>
      </c>
      <c r="BB225" s="108" t="s">
        <v>287</v>
      </c>
      <c r="BC225" s="108" t="s">
        <v>226</v>
      </c>
      <c r="BD225" s="108" t="s">
        <v>306</v>
      </c>
      <c r="BE225" s="108">
        <v>2017</v>
      </c>
      <c r="BF225" s="116"/>
      <c r="BG225" s="116"/>
      <c r="BH225" s="108" t="s">
        <v>241</v>
      </c>
      <c r="BI225" s="108">
        <v>29</v>
      </c>
      <c r="BJ225" s="108">
        <v>39</v>
      </c>
      <c r="BK225" s="111"/>
      <c r="BL225" s="111"/>
      <c r="BM225" s="111"/>
      <c r="BN225" s="111"/>
      <c r="BO225" s="108">
        <v>43467</v>
      </c>
      <c r="BP225" s="108">
        <v>43830</v>
      </c>
      <c r="BQ225" s="108" t="s">
        <v>1079</v>
      </c>
      <c r="BR225" s="108" t="s">
        <v>1080</v>
      </c>
      <c r="BS225" s="108"/>
      <c r="BT225" s="108"/>
      <c r="BU225" s="108"/>
      <c r="BV225" s="108"/>
      <c r="BW225" s="108"/>
      <c r="BX225" s="108"/>
      <c r="BY225" s="108"/>
      <c r="BZ225" s="108" t="e">
        <f>VLOOKUP(C225,[1]Sertifikasi!$B$4:$I$19,8,0)</f>
        <v>#N/A</v>
      </c>
    </row>
    <row r="226" spans="1:78" ht="11.25" customHeight="1">
      <c r="A226" s="108"/>
      <c r="B226" s="108">
        <v>58</v>
      </c>
      <c r="C226" s="108" t="s">
        <v>4146</v>
      </c>
      <c r="D226" s="109">
        <v>971900034</v>
      </c>
      <c r="E226" s="131">
        <v>9000027404640</v>
      </c>
      <c r="F226" s="131">
        <v>7173667207</v>
      </c>
      <c r="G226" s="113" t="s">
        <v>71</v>
      </c>
      <c r="H226" s="108" t="s">
        <v>71</v>
      </c>
      <c r="I226" s="111">
        <v>43349</v>
      </c>
      <c r="J226" s="108">
        <f ca="1">DATEDIF(I226,$C$3,"y")</f>
        <v>5</v>
      </c>
      <c r="K226" s="108">
        <f ca="1">DATEDIF(I226,$C$3,"ym")</f>
        <v>2</v>
      </c>
      <c r="L226" s="108" t="str">
        <f t="shared" si="7"/>
        <v>Tetap</v>
      </c>
      <c r="M226" s="108" t="s">
        <v>1451</v>
      </c>
      <c r="N226" s="112">
        <v>43683</v>
      </c>
      <c r="O226" s="111"/>
      <c r="P226" s="108" t="s">
        <v>5</v>
      </c>
      <c r="Q226" s="210" t="s">
        <v>4100</v>
      </c>
      <c r="R226" s="108" t="s">
        <v>4099</v>
      </c>
      <c r="S226" s="108"/>
      <c r="T226" s="108" t="s">
        <v>661</v>
      </c>
      <c r="U226" s="108" t="s">
        <v>661</v>
      </c>
      <c r="V226" s="108" t="s">
        <v>662</v>
      </c>
      <c r="W226" s="108"/>
      <c r="X226" s="108"/>
      <c r="Y226" s="108" t="s">
        <v>59</v>
      </c>
      <c r="Z226" s="108" t="s">
        <v>1516</v>
      </c>
      <c r="AA226" s="111">
        <v>31939</v>
      </c>
      <c r="AB226" s="113">
        <f ca="1">DATEDIF(AA226,$C$3,"y")</f>
        <v>36</v>
      </c>
      <c r="AC226" s="108" t="s">
        <v>1536</v>
      </c>
      <c r="AD226" s="129" t="s">
        <v>1537</v>
      </c>
      <c r="AE226" s="108" t="s">
        <v>1538</v>
      </c>
      <c r="AF226" s="108"/>
      <c r="AG226" s="130" t="s">
        <v>1539</v>
      </c>
      <c r="AH226" s="114" t="s">
        <v>1540</v>
      </c>
      <c r="AI226" s="115" t="s">
        <v>1541</v>
      </c>
      <c r="AJ226" s="108" t="s">
        <v>189</v>
      </c>
      <c r="AK226" s="108" t="s">
        <v>1542</v>
      </c>
      <c r="AL226" s="108" t="s">
        <v>1543</v>
      </c>
      <c r="AM226" s="108" t="s">
        <v>1544</v>
      </c>
      <c r="AN226" s="108"/>
      <c r="AO226" s="108"/>
      <c r="AP226" s="108"/>
      <c r="AQ226" s="108"/>
      <c r="AR226" s="108"/>
      <c r="AS226" s="108"/>
      <c r="AT226" s="108">
        <f>COUNTA(AL226:AO226)</f>
        <v>2</v>
      </c>
      <c r="AU226" s="108" t="str">
        <f>IF(AJ226="Menikah","K","TK")&amp;"/"&amp;AT226</f>
        <v>K/2</v>
      </c>
      <c r="AV226" s="131">
        <v>694627027541000</v>
      </c>
      <c r="AW226" s="113" t="s">
        <v>74</v>
      </c>
      <c r="AX226" s="108" t="s">
        <v>12</v>
      </c>
      <c r="AY226" s="108" t="s">
        <v>1484</v>
      </c>
      <c r="AZ226" s="108" t="s">
        <v>1545</v>
      </c>
      <c r="BA226" s="108">
        <v>2010</v>
      </c>
      <c r="BB226" s="108" t="s">
        <v>12</v>
      </c>
      <c r="BC226" s="108" t="s">
        <v>1484</v>
      </c>
      <c r="BD226" s="108" t="s">
        <v>1545</v>
      </c>
      <c r="BE226" s="108">
        <v>2010</v>
      </c>
      <c r="BF226" s="116">
        <v>52084</v>
      </c>
      <c r="BG226" s="116">
        <v>52449</v>
      </c>
      <c r="BH226" s="132"/>
      <c r="BI226" s="108"/>
      <c r="BJ226" s="207"/>
      <c r="BK226" s="111">
        <v>44308</v>
      </c>
      <c r="BL226" s="111">
        <v>44336</v>
      </c>
      <c r="BM226" s="111">
        <v>44585</v>
      </c>
      <c r="BN226" s="111"/>
      <c r="BO226" s="108"/>
      <c r="BP226" s="108"/>
      <c r="BQ226" s="108"/>
      <c r="BR226" s="108"/>
      <c r="BS226" s="108"/>
      <c r="BT226" s="108"/>
      <c r="BU226" s="108"/>
      <c r="BV226" s="108"/>
      <c r="BW226" s="108"/>
      <c r="BX226" s="108"/>
      <c r="BY226" s="108"/>
      <c r="BZ226" s="108" t="e">
        <f>VLOOKUP(C226,[1]Sertifikasi!$B$4:$I$19,8,0)</f>
        <v>#N/A</v>
      </c>
    </row>
    <row r="227" spans="1:78" ht="11.25" customHeight="1">
      <c r="A227" s="108"/>
      <c r="B227" s="108">
        <v>320</v>
      </c>
      <c r="C227" s="108" t="s">
        <v>969</v>
      </c>
      <c r="D227" s="109">
        <v>642001026</v>
      </c>
      <c r="E227" s="131">
        <v>1710004028935</v>
      </c>
      <c r="F227" s="131"/>
      <c r="G227" s="108" t="s">
        <v>71</v>
      </c>
      <c r="H227" s="108" t="s">
        <v>71</v>
      </c>
      <c r="I227" s="111">
        <v>42857</v>
      </c>
      <c r="J227" s="108">
        <v>6</v>
      </c>
      <c r="K227" s="108">
        <v>5</v>
      </c>
      <c r="L227" s="108" t="str">
        <f t="shared" si="7"/>
        <v>PKWT</v>
      </c>
      <c r="M227" s="108"/>
      <c r="N227" s="112">
        <v>45291</v>
      </c>
      <c r="O227" s="108"/>
      <c r="P227" s="108" t="s">
        <v>213</v>
      </c>
      <c r="Q227" s="210" t="s">
        <v>4102</v>
      </c>
      <c r="R227" s="108" t="s">
        <v>475</v>
      </c>
      <c r="S227" s="108" t="s">
        <v>476</v>
      </c>
      <c r="T227" s="108" t="s">
        <v>99</v>
      </c>
      <c r="U227" s="108" t="s">
        <v>276</v>
      </c>
      <c r="V227" s="108" t="s">
        <v>180</v>
      </c>
      <c r="W227" s="108"/>
      <c r="X227" s="108" t="s">
        <v>215</v>
      </c>
      <c r="Y227" s="108" t="s">
        <v>216</v>
      </c>
      <c r="Z227" s="108" t="s">
        <v>72</v>
      </c>
      <c r="AA227" s="111">
        <v>30069</v>
      </c>
      <c r="AB227" s="113">
        <v>41</v>
      </c>
      <c r="AC227" s="108" t="s">
        <v>970</v>
      </c>
      <c r="AD227" s="129" t="s">
        <v>971</v>
      </c>
      <c r="AE227" s="108" t="s">
        <v>972</v>
      </c>
      <c r="AF227" s="108" t="s">
        <v>973</v>
      </c>
      <c r="AG227" s="108" t="s">
        <v>974</v>
      </c>
      <c r="AH227" s="114" t="s">
        <v>975</v>
      </c>
      <c r="AI227" s="115">
        <v>18024053250</v>
      </c>
      <c r="AJ227" s="108" t="s">
        <v>189</v>
      </c>
      <c r="AK227" s="108" t="s">
        <v>976</v>
      </c>
      <c r="AL227" s="108" t="s">
        <v>977</v>
      </c>
      <c r="AM227" s="108"/>
      <c r="AN227" s="108"/>
      <c r="AO227" s="108"/>
      <c r="AP227" s="108"/>
      <c r="AQ227" s="108"/>
      <c r="AR227" s="108"/>
      <c r="AS227" s="108"/>
      <c r="AT227" s="108">
        <v>1</v>
      </c>
      <c r="AU227" s="108" t="s">
        <v>225</v>
      </c>
      <c r="AV227" s="115">
        <v>0</v>
      </c>
      <c r="AW227" s="108" t="s">
        <v>74</v>
      </c>
      <c r="AX227" s="108" t="s">
        <v>16</v>
      </c>
      <c r="AY227" s="108" t="s">
        <v>331</v>
      </c>
      <c r="AZ227" s="108" t="s">
        <v>978</v>
      </c>
      <c r="BA227" s="108">
        <v>2002</v>
      </c>
      <c r="BB227" s="108" t="s">
        <v>287</v>
      </c>
      <c r="BC227" s="108" t="s">
        <v>331</v>
      </c>
      <c r="BD227" s="108" t="s">
        <v>978</v>
      </c>
      <c r="BE227" s="108">
        <v>2002</v>
      </c>
      <c r="BF227" s="116"/>
      <c r="BG227" s="116"/>
      <c r="BH227" s="108" t="s">
        <v>241</v>
      </c>
      <c r="BI227" s="108">
        <v>31</v>
      </c>
      <c r="BJ227" s="108">
        <v>39</v>
      </c>
      <c r="BK227" s="111">
        <v>44293</v>
      </c>
      <c r="BL227" s="111">
        <v>44322</v>
      </c>
      <c r="BM227" s="111"/>
      <c r="BN227" s="111"/>
      <c r="BO227" s="108">
        <v>43467</v>
      </c>
      <c r="BP227" s="108">
        <v>43830</v>
      </c>
      <c r="BQ227" s="108" t="s">
        <v>979</v>
      </c>
      <c r="BR227" s="108" t="s">
        <v>980</v>
      </c>
      <c r="BS227" s="108"/>
      <c r="BT227" s="108"/>
      <c r="BU227" s="108"/>
      <c r="BV227" s="108"/>
      <c r="BW227" s="108"/>
      <c r="BX227" s="108"/>
      <c r="BY227" s="108"/>
      <c r="BZ227" s="108" t="e">
        <f>VLOOKUP(C227,[1]Sertifikasi!$B$4:$I$19,8,0)</f>
        <v>#N/A</v>
      </c>
    </row>
    <row r="228" spans="1:78" ht="11.25" customHeight="1">
      <c r="A228" s="108"/>
      <c r="B228" s="108">
        <v>120</v>
      </c>
      <c r="C228" s="108" t="s">
        <v>2231</v>
      </c>
      <c r="D228" s="109">
        <v>991700024</v>
      </c>
      <c r="E228" s="131">
        <v>1710000383490</v>
      </c>
      <c r="F228" s="131">
        <v>7173615908</v>
      </c>
      <c r="G228" s="113" t="s">
        <v>33</v>
      </c>
      <c r="H228" s="108" t="s">
        <v>71</v>
      </c>
      <c r="I228" s="111">
        <v>43987</v>
      </c>
      <c r="J228" s="108">
        <f ca="1">DATEDIF(I228,$C$3,"y")</f>
        <v>3</v>
      </c>
      <c r="K228" s="108">
        <f ca="1">DATEDIF(I228,$C$3,"ym")</f>
        <v>5</v>
      </c>
      <c r="L228" s="108" t="str">
        <f t="shared" si="7"/>
        <v>Organik</v>
      </c>
      <c r="M228" s="108" t="s">
        <v>1401</v>
      </c>
      <c r="N228" s="112">
        <v>42767</v>
      </c>
      <c r="O228" s="108" t="s">
        <v>261</v>
      </c>
      <c r="P228" s="108" t="s">
        <v>261</v>
      </c>
      <c r="Q228" s="210" t="s">
        <v>4102</v>
      </c>
      <c r="R228" s="108" t="s">
        <v>274</v>
      </c>
      <c r="S228" s="108" t="s">
        <v>275</v>
      </c>
      <c r="T228" s="108" t="s">
        <v>496</v>
      </c>
      <c r="U228" s="108" t="s">
        <v>276</v>
      </c>
      <c r="V228" s="108" t="s">
        <v>180</v>
      </c>
      <c r="W228" s="108"/>
      <c r="X228" s="108"/>
      <c r="Y228" s="108" t="s">
        <v>59</v>
      </c>
      <c r="Z228" s="108" t="s">
        <v>71</v>
      </c>
      <c r="AA228" s="111">
        <v>33401</v>
      </c>
      <c r="AB228" s="113">
        <f ca="1">DATEDIF(AA228,$C$3,"y")</f>
        <v>32</v>
      </c>
      <c r="AC228" s="108" t="s">
        <v>2232</v>
      </c>
      <c r="AD228" s="129" t="s">
        <v>2233</v>
      </c>
      <c r="AE228" s="108" t="s">
        <v>2234</v>
      </c>
      <c r="AF228" s="108"/>
      <c r="AG228" s="108" t="s">
        <v>2235</v>
      </c>
      <c r="AH228" s="114" t="s">
        <v>2236</v>
      </c>
      <c r="AI228" s="115">
        <v>12022232693</v>
      </c>
      <c r="AJ228" s="108" t="s">
        <v>189</v>
      </c>
      <c r="AK228" s="108" t="s">
        <v>2237</v>
      </c>
      <c r="AL228" s="108" t="s">
        <v>2238</v>
      </c>
      <c r="AM228" s="108"/>
      <c r="AN228" s="108"/>
      <c r="AO228" s="108"/>
      <c r="AP228" s="108"/>
      <c r="AQ228" s="108"/>
      <c r="AR228" s="108"/>
      <c r="AS228" s="108"/>
      <c r="AT228" s="108">
        <f>COUNTA(AL228:AO228)</f>
        <v>1</v>
      </c>
      <c r="AU228" s="108" t="str">
        <f>IF(AJ228="Menikah","K","TK")&amp;"/"&amp;AT228</f>
        <v>K/1</v>
      </c>
      <c r="AV228" s="131" t="s">
        <v>2239</v>
      </c>
      <c r="AW228" s="113" t="s">
        <v>74</v>
      </c>
      <c r="AX228" s="108" t="s">
        <v>16</v>
      </c>
      <c r="AY228" s="108" t="s">
        <v>226</v>
      </c>
      <c r="AZ228" s="108" t="s">
        <v>2240</v>
      </c>
      <c r="BA228" s="108">
        <v>2010</v>
      </c>
      <c r="BB228" s="108" t="s">
        <v>16</v>
      </c>
      <c r="BC228" s="108" t="s">
        <v>226</v>
      </c>
      <c r="BD228" s="108" t="s">
        <v>2240</v>
      </c>
      <c r="BE228" s="108">
        <v>2010</v>
      </c>
      <c r="BF228" s="116">
        <v>49126</v>
      </c>
      <c r="BG228" s="116">
        <v>49491</v>
      </c>
      <c r="BH228" s="108"/>
      <c r="BI228" s="108"/>
      <c r="BJ228" s="108">
        <v>43</v>
      </c>
      <c r="BK228" s="111">
        <v>44294</v>
      </c>
      <c r="BL228" s="111">
        <v>44322</v>
      </c>
      <c r="BM228" s="111">
        <v>44585</v>
      </c>
      <c r="BN228" s="111"/>
      <c r="BO228" s="108"/>
      <c r="BP228" s="108"/>
      <c r="BQ228" s="108"/>
      <c r="BR228" s="108"/>
      <c r="BS228" s="108"/>
      <c r="BT228" s="108"/>
      <c r="BU228" s="108"/>
      <c r="BV228" s="108"/>
      <c r="BW228" s="108"/>
      <c r="BX228" s="108"/>
      <c r="BY228" s="108"/>
      <c r="BZ228" s="108" t="e">
        <f>VLOOKUP(C228,[1]Sertifikasi!$B$4:$I$19,8,0)</f>
        <v>#N/A</v>
      </c>
    </row>
    <row r="229" spans="1:78" ht="11.25" customHeight="1">
      <c r="A229" s="108"/>
      <c r="B229" s="108">
        <v>83</v>
      </c>
      <c r="C229" s="108" t="s">
        <v>1111</v>
      </c>
      <c r="D229" s="109">
        <v>642001032</v>
      </c>
      <c r="E229" s="131">
        <v>1710003988428</v>
      </c>
      <c r="F229" s="131"/>
      <c r="G229" s="108" t="s">
        <v>71</v>
      </c>
      <c r="H229" s="108" t="s">
        <v>71</v>
      </c>
      <c r="I229" s="111">
        <v>42919</v>
      </c>
      <c r="J229" s="108">
        <v>6</v>
      </c>
      <c r="K229" s="108">
        <v>3</v>
      </c>
      <c r="L229" s="108" t="str">
        <f t="shared" si="7"/>
        <v>PKWT</v>
      </c>
      <c r="M229" s="108"/>
      <c r="N229" s="112">
        <v>45291</v>
      </c>
      <c r="O229" s="108"/>
      <c r="P229" s="108" t="s">
        <v>213</v>
      </c>
      <c r="Q229" s="210" t="s">
        <v>4102</v>
      </c>
      <c r="R229" s="210" t="s">
        <v>2085</v>
      </c>
      <c r="S229" s="108" t="s">
        <v>33</v>
      </c>
      <c r="T229" s="108" t="s">
        <v>84</v>
      </c>
      <c r="U229" s="108" t="s">
        <v>214</v>
      </c>
      <c r="V229" s="108" t="s">
        <v>180</v>
      </c>
      <c r="W229" s="108"/>
      <c r="X229" s="108" t="s">
        <v>215</v>
      </c>
      <c r="Y229" s="108" t="s">
        <v>216</v>
      </c>
      <c r="Z229" s="108" t="s">
        <v>71</v>
      </c>
      <c r="AA229" s="111">
        <v>34318</v>
      </c>
      <c r="AB229" s="113">
        <v>29</v>
      </c>
      <c r="AC229" s="108" t="s">
        <v>1112</v>
      </c>
      <c r="AD229" s="129" t="s">
        <v>1113</v>
      </c>
      <c r="AE229" s="108" t="s">
        <v>1114</v>
      </c>
      <c r="AF229" s="108"/>
      <c r="AG229" s="108" t="s">
        <v>1115</v>
      </c>
      <c r="AH229" s="114" t="s">
        <v>1116</v>
      </c>
      <c r="AI229" s="115">
        <v>17043907645</v>
      </c>
      <c r="AJ229" s="108" t="s">
        <v>189</v>
      </c>
      <c r="AK229" s="108" t="s">
        <v>1117</v>
      </c>
      <c r="AL229" s="108" t="s">
        <v>1118</v>
      </c>
      <c r="AM229" s="108"/>
      <c r="AN229" s="108"/>
      <c r="AO229" s="108"/>
      <c r="AP229" s="108"/>
      <c r="AQ229" s="108"/>
      <c r="AR229" s="108"/>
      <c r="AS229" s="108"/>
      <c r="AT229" s="108">
        <v>1</v>
      </c>
      <c r="AU229" s="108" t="s">
        <v>225</v>
      </c>
      <c r="AV229" s="115">
        <v>0</v>
      </c>
      <c r="AW229" s="108" t="s">
        <v>74</v>
      </c>
      <c r="AX229" s="108" t="s">
        <v>16</v>
      </c>
      <c r="AY229" s="108" t="s">
        <v>285</v>
      </c>
      <c r="AZ229" s="108" t="s">
        <v>319</v>
      </c>
      <c r="BA229" s="108">
        <v>2012</v>
      </c>
      <c r="BB229" s="108" t="s">
        <v>287</v>
      </c>
      <c r="BC229" s="108" t="s">
        <v>285</v>
      </c>
      <c r="BD229" s="108" t="s">
        <v>319</v>
      </c>
      <c r="BE229" s="108">
        <v>2012</v>
      </c>
      <c r="BF229" s="116"/>
      <c r="BG229" s="116"/>
      <c r="BH229" s="108" t="s">
        <v>241</v>
      </c>
      <c r="BI229" s="108">
        <v>30</v>
      </c>
      <c r="BJ229" s="108">
        <v>41</v>
      </c>
      <c r="BK229" s="111">
        <v>44294</v>
      </c>
      <c r="BL229" s="111">
        <v>44322</v>
      </c>
      <c r="BM229" s="111"/>
      <c r="BN229" s="111"/>
      <c r="BO229" s="108">
        <v>43467</v>
      </c>
      <c r="BP229" s="108">
        <v>43830</v>
      </c>
      <c r="BQ229" s="108" t="s">
        <v>1119</v>
      </c>
      <c r="BR229" s="108" t="s">
        <v>1120</v>
      </c>
      <c r="BS229" s="108"/>
      <c r="BT229" s="108"/>
      <c r="BU229" s="108"/>
      <c r="BV229" s="108"/>
      <c r="BW229" s="108"/>
      <c r="BX229" s="108"/>
      <c r="BY229" s="108"/>
      <c r="BZ229" s="108" t="e">
        <f>VLOOKUP(C229,[1]Sertifikasi!$B$4:$I$19,8,0)</f>
        <v>#N/A</v>
      </c>
    </row>
    <row r="230" spans="1:78" ht="11.25" customHeight="1">
      <c r="A230" s="108"/>
      <c r="B230" s="108">
        <v>247</v>
      </c>
      <c r="C230" s="108" t="s">
        <v>3088</v>
      </c>
      <c r="D230" s="109">
        <v>642307134</v>
      </c>
      <c r="E230" s="131">
        <v>1290013817925</v>
      </c>
      <c r="F230" s="131"/>
      <c r="G230" s="108" t="s">
        <v>259</v>
      </c>
      <c r="H230" s="108" t="s">
        <v>3089</v>
      </c>
      <c r="I230" s="111">
        <v>45204</v>
      </c>
      <c r="J230" s="108">
        <v>0</v>
      </c>
      <c r="K230" s="108">
        <v>0</v>
      </c>
      <c r="L230" s="108" t="str">
        <f t="shared" si="7"/>
        <v>PKWT</v>
      </c>
      <c r="M230" s="108"/>
      <c r="N230" s="112">
        <v>45291</v>
      </c>
      <c r="O230" s="108"/>
      <c r="P230" s="108" t="s">
        <v>213</v>
      </c>
      <c r="Q230" s="210" t="s">
        <v>4102</v>
      </c>
      <c r="R230" s="108" t="s">
        <v>259</v>
      </c>
      <c r="S230" s="108" t="s">
        <v>33</v>
      </c>
      <c r="T230" s="108" t="s">
        <v>432</v>
      </c>
      <c r="U230" s="108" t="s">
        <v>199</v>
      </c>
      <c r="V230" s="108" t="s">
        <v>180</v>
      </c>
      <c r="W230" s="108"/>
      <c r="X230" s="108"/>
      <c r="Y230" s="108" t="s">
        <v>216</v>
      </c>
      <c r="Z230" s="108" t="s">
        <v>3089</v>
      </c>
      <c r="AA230" s="111">
        <v>36694</v>
      </c>
      <c r="AB230" s="113">
        <v>23</v>
      </c>
      <c r="AC230" s="108" t="s">
        <v>3090</v>
      </c>
      <c r="AD230" s="129" t="s">
        <v>3091</v>
      </c>
      <c r="AE230" s="108" t="s">
        <v>3092</v>
      </c>
      <c r="AF230" s="108"/>
      <c r="AG230" s="140" t="s">
        <v>3093</v>
      </c>
      <c r="AH230" s="114" t="s">
        <v>3094</v>
      </c>
      <c r="AI230" s="115">
        <v>23156731236</v>
      </c>
      <c r="AJ230" s="108" t="s">
        <v>255</v>
      </c>
      <c r="AK230" s="108"/>
      <c r="AL230" s="108"/>
      <c r="AM230" s="108"/>
      <c r="AN230" s="108"/>
      <c r="AO230" s="108"/>
      <c r="AP230" s="108"/>
      <c r="AQ230" s="108"/>
      <c r="AR230" s="108"/>
      <c r="AS230" s="108"/>
      <c r="AT230" s="108">
        <v>0</v>
      </c>
      <c r="AU230" s="108" t="s">
        <v>304</v>
      </c>
      <c r="AV230" s="115"/>
      <c r="AW230" s="108" t="s">
        <v>74</v>
      </c>
      <c r="AX230" s="108" t="s">
        <v>12</v>
      </c>
      <c r="AY230" s="108" t="s">
        <v>3095</v>
      </c>
      <c r="AZ230" s="108" t="s">
        <v>3096</v>
      </c>
      <c r="BA230" s="108">
        <v>2023</v>
      </c>
      <c r="BB230" s="108" t="s">
        <v>12</v>
      </c>
      <c r="BC230" s="108" t="s">
        <v>3095</v>
      </c>
      <c r="BD230" s="108" t="s">
        <v>3096</v>
      </c>
      <c r="BE230" s="108">
        <v>2023</v>
      </c>
      <c r="BF230" s="116"/>
      <c r="BG230" s="116"/>
      <c r="BH230" s="108"/>
      <c r="BI230" s="108"/>
      <c r="BJ230" s="108"/>
      <c r="BK230" s="111"/>
      <c r="BL230" s="111"/>
      <c r="BM230" s="111"/>
      <c r="BN230" s="111"/>
      <c r="BO230" s="108"/>
      <c r="BP230" s="108"/>
      <c r="BQ230" s="108"/>
      <c r="BR230" s="108"/>
      <c r="BS230" s="108"/>
      <c r="BT230" s="108"/>
      <c r="BU230" s="108"/>
      <c r="BV230" s="108"/>
      <c r="BW230" s="108"/>
      <c r="BX230" s="108"/>
      <c r="BY230" s="108"/>
      <c r="BZ230" s="108" t="e">
        <f>VLOOKUP(C230,[1]Sertifikasi!$B$4:$I$19,8,0)</f>
        <v>#N/A</v>
      </c>
    </row>
    <row r="231" spans="1:78" ht="11.25" customHeight="1">
      <c r="A231" s="108"/>
      <c r="B231" s="108">
        <v>201</v>
      </c>
      <c r="C231" s="108" t="s">
        <v>1883</v>
      </c>
      <c r="D231" s="109">
        <v>641907268</v>
      </c>
      <c r="E231" s="131">
        <v>1710005657534</v>
      </c>
      <c r="F231" s="131"/>
      <c r="G231" s="108" t="s">
        <v>259</v>
      </c>
      <c r="H231" s="108" t="s">
        <v>71</v>
      </c>
      <c r="I231" s="111">
        <v>43647</v>
      </c>
      <c r="J231" s="108">
        <v>4</v>
      </c>
      <c r="K231" s="108">
        <v>3</v>
      </c>
      <c r="L231" s="108" t="str">
        <f t="shared" si="7"/>
        <v>PKWT</v>
      </c>
      <c r="M231" s="108"/>
      <c r="N231" s="112">
        <v>45291</v>
      </c>
      <c r="O231" s="108"/>
      <c r="P231" s="108" t="s">
        <v>213</v>
      </c>
      <c r="Q231" s="210" t="s">
        <v>4102</v>
      </c>
      <c r="R231" s="108" t="s">
        <v>259</v>
      </c>
      <c r="S231" s="108" t="s">
        <v>262</v>
      </c>
      <c r="T231" s="108" t="s">
        <v>432</v>
      </c>
      <c r="U231" s="108" t="s">
        <v>199</v>
      </c>
      <c r="V231" s="108" t="s">
        <v>180</v>
      </c>
      <c r="W231" s="108"/>
      <c r="X231" s="108" t="s">
        <v>215</v>
      </c>
      <c r="Y231" s="108" t="s">
        <v>216</v>
      </c>
      <c r="Z231" s="108" t="s">
        <v>1884</v>
      </c>
      <c r="AA231" s="111">
        <v>35389</v>
      </c>
      <c r="AB231" s="113">
        <v>26</v>
      </c>
      <c r="AC231" s="108" t="s">
        <v>1885</v>
      </c>
      <c r="AD231" s="129" t="s">
        <v>1886</v>
      </c>
      <c r="AE231" s="108" t="s">
        <v>1887</v>
      </c>
      <c r="AF231" s="108"/>
      <c r="AG231" s="108" t="s">
        <v>1888</v>
      </c>
      <c r="AH231" s="114" t="s">
        <v>1889</v>
      </c>
      <c r="AI231" s="115">
        <v>19047644166</v>
      </c>
      <c r="AJ231" s="108" t="s">
        <v>255</v>
      </c>
      <c r="AK231" s="108"/>
      <c r="AL231" s="108"/>
      <c r="AM231" s="108"/>
      <c r="AN231" s="108"/>
      <c r="AO231" s="108"/>
      <c r="AP231" s="108"/>
      <c r="AQ231" s="108"/>
      <c r="AR231" s="108"/>
      <c r="AS231" s="108"/>
      <c r="AT231" s="108">
        <v>0</v>
      </c>
      <c r="AU231" s="108" t="s">
        <v>304</v>
      </c>
      <c r="AV231" s="115">
        <v>0</v>
      </c>
      <c r="AW231" s="108" t="s">
        <v>74</v>
      </c>
      <c r="AX231" s="108" t="s">
        <v>16</v>
      </c>
      <c r="AY231" s="108" t="s">
        <v>331</v>
      </c>
      <c r="AZ231" s="108" t="s">
        <v>1890</v>
      </c>
      <c r="BA231" s="108">
        <v>2015</v>
      </c>
      <c r="BB231" s="108" t="s">
        <v>16</v>
      </c>
      <c r="BC231" s="108" t="s">
        <v>331</v>
      </c>
      <c r="BD231" s="108" t="s">
        <v>1890</v>
      </c>
      <c r="BE231" s="108">
        <v>2015</v>
      </c>
      <c r="BF231" s="116"/>
      <c r="BG231" s="116"/>
      <c r="BH231" s="108" t="s">
        <v>345</v>
      </c>
      <c r="BI231" s="108">
        <v>32</v>
      </c>
      <c r="BJ231" s="108">
        <v>41</v>
      </c>
      <c r="BK231" s="111"/>
      <c r="BL231" s="111"/>
      <c r="BM231" s="111"/>
      <c r="BN231" s="111"/>
      <c r="BO231" s="108"/>
      <c r="BP231" s="108"/>
      <c r="BQ231" s="108"/>
      <c r="BR231" s="108"/>
      <c r="BS231" s="108"/>
      <c r="BT231" s="108"/>
      <c r="BU231" s="108"/>
      <c r="BV231" s="108"/>
      <c r="BW231" s="108"/>
      <c r="BX231" s="108"/>
      <c r="BY231" s="108"/>
      <c r="BZ231" s="108" t="e">
        <f>VLOOKUP(C231,[1]Sertifikasi!$B$4:$I$19,8,0)</f>
        <v>#N/A</v>
      </c>
    </row>
    <row r="232" spans="1:78" ht="11.25" customHeight="1">
      <c r="A232" s="108"/>
      <c r="B232" s="108">
        <v>3</v>
      </c>
      <c r="C232" s="108" t="s">
        <v>541</v>
      </c>
      <c r="D232" s="109">
        <v>642001008</v>
      </c>
      <c r="E232" s="131">
        <v>1710003988105</v>
      </c>
      <c r="F232" s="131"/>
      <c r="G232" s="108" t="s">
        <v>71</v>
      </c>
      <c r="H232" s="108" t="s">
        <v>71</v>
      </c>
      <c r="I232" s="111">
        <v>42401</v>
      </c>
      <c r="J232" s="108">
        <v>7</v>
      </c>
      <c r="K232" s="108">
        <v>8</v>
      </c>
      <c r="L232" s="108" t="str">
        <f t="shared" si="7"/>
        <v>PKWT</v>
      </c>
      <c r="M232" s="108"/>
      <c r="N232" s="112">
        <v>45291</v>
      </c>
      <c r="O232" s="108"/>
      <c r="P232" s="108" t="s">
        <v>213</v>
      </c>
      <c r="Q232" s="210" t="s">
        <v>4100</v>
      </c>
      <c r="R232" s="108" t="s">
        <v>85</v>
      </c>
      <c r="S232" s="108" t="s">
        <v>232</v>
      </c>
      <c r="T232" s="108" t="s">
        <v>85</v>
      </c>
      <c r="U232" s="108" t="s">
        <v>362</v>
      </c>
      <c r="V232" s="108" t="s">
        <v>180</v>
      </c>
      <c r="W232" s="108"/>
      <c r="X232" s="108" t="s">
        <v>215</v>
      </c>
      <c r="Y232" s="108" t="s">
        <v>216</v>
      </c>
      <c r="Z232" s="108" t="s">
        <v>71</v>
      </c>
      <c r="AA232" s="111">
        <v>29699</v>
      </c>
      <c r="AB232" s="113">
        <v>42</v>
      </c>
      <c r="AC232" s="108" t="s">
        <v>542</v>
      </c>
      <c r="AD232" s="129" t="s">
        <v>543</v>
      </c>
      <c r="AE232" s="108" t="s">
        <v>544</v>
      </c>
      <c r="AF232" s="108"/>
      <c r="AG232" s="108" t="s">
        <v>545</v>
      </c>
      <c r="AH232" s="114" t="s">
        <v>546</v>
      </c>
      <c r="AI232" s="115">
        <v>16006272377</v>
      </c>
      <c r="AJ232" s="108" t="s">
        <v>189</v>
      </c>
      <c r="AK232" s="108" t="s">
        <v>547</v>
      </c>
      <c r="AL232" s="108" t="s">
        <v>548</v>
      </c>
      <c r="AM232" s="108" t="s">
        <v>549</v>
      </c>
      <c r="AN232" s="108" t="s">
        <v>550</v>
      </c>
      <c r="AO232" s="108"/>
      <c r="AP232" s="108"/>
      <c r="AQ232" s="108"/>
      <c r="AR232" s="108"/>
      <c r="AS232" s="108"/>
      <c r="AT232" s="108">
        <v>3</v>
      </c>
      <c r="AU232" s="108" t="s">
        <v>343</v>
      </c>
      <c r="AV232" s="115">
        <v>0</v>
      </c>
      <c r="AW232" s="108" t="s">
        <v>74</v>
      </c>
      <c r="AX232" s="108" t="s">
        <v>16</v>
      </c>
      <c r="AY232" s="108" t="s">
        <v>226</v>
      </c>
      <c r="AZ232" s="108" t="s">
        <v>319</v>
      </c>
      <c r="BA232" s="108">
        <v>1999</v>
      </c>
      <c r="BB232" s="108" t="s">
        <v>287</v>
      </c>
      <c r="BC232" s="108" t="s">
        <v>226</v>
      </c>
      <c r="BD232" s="108" t="s">
        <v>319</v>
      </c>
      <c r="BE232" s="108">
        <v>1999</v>
      </c>
      <c r="BF232" s="116"/>
      <c r="BG232" s="116"/>
      <c r="BH232" s="108" t="s">
        <v>345</v>
      </c>
      <c r="BI232" s="108">
        <v>32</v>
      </c>
      <c r="BJ232" s="108">
        <v>40</v>
      </c>
      <c r="BK232" s="111">
        <v>44294</v>
      </c>
      <c r="BL232" s="111">
        <v>44322</v>
      </c>
      <c r="BM232" s="111">
        <v>44601</v>
      </c>
      <c r="BN232" s="111"/>
      <c r="BO232" s="108">
        <v>43467</v>
      </c>
      <c r="BP232" s="108">
        <v>43830</v>
      </c>
      <c r="BQ232" s="108" t="s">
        <v>551</v>
      </c>
      <c r="BR232" s="108" t="s">
        <v>552</v>
      </c>
      <c r="BS232" s="108"/>
      <c r="BT232" s="108"/>
      <c r="BU232" s="108"/>
      <c r="BV232" s="108"/>
      <c r="BW232" s="108"/>
      <c r="BX232" s="108"/>
      <c r="BY232" s="108"/>
      <c r="BZ232" s="108" t="e">
        <f>VLOOKUP(C232,[1]Sertifikasi!$B$4:$I$19,8,0)</f>
        <v>#N/A</v>
      </c>
    </row>
    <row r="233" spans="1:78" ht="11.25" customHeight="1">
      <c r="A233" s="108"/>
      <c r="B233" s="108">
        <v>23</v>
      </c>
      <c r="C233" s="128" t="s">
        <v>4113</v>
      </c>
      <c r="D233" s="109">
        <v>971800021</v>
      </c>
      <c r="E233" s="131">
        <v>1710000417116</v>
      </c>
      <c r="F233" s="131">
        <v>2499922740</v>
      </c>
      <c r="G233" s="113" t="s">
        <v>71</v>
      </c>
      <c r="H233" s="108" t="s">
        <v>71</v>
      </c>
      <c r="I233" s="111">
        <v>42891</v>
      </c>
      <c r="J233" s="108">
        <f ca="1">DATEDIF(I233,$C$3,"y")</f>
        <v>6</v>
      </c>
      <c r="K233" s="108">
        <f ca="1">DATEDIF(I233,$C$3,"ym")</f>
        <v>5</v>
      </c>
      <c r="L233" s="108" t="str">
        <f t="shared" si="7"/>
        <v>Tetap</v>
      </c>
      <c r="M233" s="108" t="s">
        <v>260</v>
      </c>
      <c r="N233" s="112">
        <v>43116</v>
      </c>
      <c r="O233" s="111"/>
      <c r="P233" s="108" t="s">
        <v>261</v>
      </c>
      <c r="Q233" s="210" t="s">
        <v>4100</v>
      </c>
      <c r="R233" s="108" t="s">
        <v>4099</v>
      </c>
      <c r="S233" s="108" t="s">
        <v>674</v>
      </c>
      <c r="T233" s="108" t="s">
        <v>674</v>
      </c>
      <c r="U233" s="108" t="s">
        <v>674</v>
      </c>
      <c r="V233" s="108" t="s">
        <v>247</v>
      </c>
      <c r="W233" s="108"/>
      <c r="X233" s="108"/>
      <c r="Y233" s="108" t="s">
        <v>60</v>
      </c>
      <c r="Z233" s="108" t="s">
        <v>71</v>
      </c>
      <c r="AA233" s="111">
        <v>32466</v>
      </c>
      <c r="AB233" s="113">
        <f ca="1">DATEDIF(AA233,$C$3,"y")</f>
        <v>34</v>
      </c>
      <c r="AC233" s="108" t="s">
        <v>1038</v>
      </c>
      <c r="AD233" s="129" t="s">
        <v>1039</v>
      </c>
      <c r="AE233" s="108" t="s">
        <v>1040</v>
      </c>
      <c r="AF233" s="108"/>
      <c r="AG233" s="130" t="s">
        <v>1041</v>
      </c>
      <c r="AH233" s="114" t="s">
        <v>1042</v>
      </c>
      <c r="AI233" s="115" t="s">
        <v>1043</v>
      </c>
      <c r="AJ233" s="108" t="s">
        <v>189</v>
      </c>
      <c r="AK233" s="108" t="s">
        <v>1044</v>
      </c>
      <c r="AL233" s="108" t="s">
        <v>1045</v>
      </c>
      <c r="AM233" s="108" t="s">
        <v>1046</v>
      </c>
      <c r="AN233" s="108"/>
      <c r="AO233" s="108"/>
      <c r="AP233" s="108"/>
      <c r="AQ233" s="108"/>
      <c r="AR233" s="108"/>
      <c r="AS233" s="108"/>
      <c r="AT233" s="108">
        <f>COUNTA(AL233:AO233)</f>
        <v>2</v>
      </c>
      <c r="AU233" s="108" t="str">
        <f>IF(AJ233="Menikah","K","TK")&amp;"/"&amp;AT233</f>
        <v>K/2</v>
      </c>
      <c r="AV233" s="131">
        <v>961984085621000</v>
      </c>
      <c r="AW233" s="113" t="s">
        <v>74</v>
      </c>
      <c r="AX233" s="108" t="s">
        <v>12</v>
      </c>
      <c r="AY233" s="108" t="s">
        <v>1047</v>
      </c>
      <c r="AZ233" s="108" t="s">
        <v>1048</v>
      </c>
      <c r="BA233" s="108"/>
      <c r="BB233" s="108" t="s">
        <v>12</v>
      </c>
      <c r="BC233" s="108" t="s">
        <v>1047</v>
      </c>
      <c r="BD233" s="108" t="s">
        <v>1048</v>
      </c>
      <c r="BE233" s="108"/>
      <c r="BF233" s="116">
        <v>52612</v>
      </c>
      <c r="BG233" s="116">
        <v>52977</v>
      </c>
      <c r="BH233" s="132"/>
      <c r="BI233" s="108"/>
      <c r="BJ233" s="194"/>
      <c r="BK233" s="111">
        <v>44294</v>
      </c>
      <c r="BL233" s="111">
        <v>44322</v>
      </c>
      <c r="BM233" s="208"/>
      <c r="BN233" s="111"/>
      <c r="BO233" s="108"/>
      <c r="BP233" s="108"/>
      <c r="BQ233" s="108"/>
      <c r="BR233" s="108"/>
      <c r="BS233" s="108"/>
      <c r="BT233" s="108"/>
      <c r="BU233" s="108"/>
      <c r="BV233" s="108"/>
      <c r="BW233" s="108"/>
      <c r="BX233" s="108"/>
      <c r="BY233" s="108"/>
      <c r="BZ233" s="108" t="e">
        <f>VLOOKUP(C233,[1]Sertifikasi!$B$4:$I$19,8,0)</f>
        <v>#N/A</v>
      </c>
    </row>
    <row r="234" spans="1:78" ht="11.25" customHeight="1">
      <c r="A234" s="108"/>
      <c r="B234" s="108">
        <v>114</v>
      </c>
      <c r="C234" s="108" t="s">
        <v>272</v>
      </c>
      <c r="D234" s="109">
        <v>971900046</v>
      </c>
      <c r="E234" s="131">
        <v>1440010154794</v>
      </c>
      <c r="F234" s="131"/>
      <c r="G234" s="108" t="s">
        <v>71</v>
      </c>
      <c r="H234" s="108" t="s">
        <v>71</v>
      </c>
      <c r="I234" s="111">
        <v>42095</v>
      </c>
      <c r="J234" s="108">
        <v>8</v>
      </c>
      <c r="K234" s="108">
        <v>6</v>
      </c>
      <c r="L234" s="108" t="str">
        <f t="shared" si="7"/>
        <v>Tetap</v>
      </c>
      <c r="M234" s="108" t="s">
        <v>273</v>
      </c>
      <c r="N234" s="112">
        <v>43789</v>
      </c>
      <c r="O234" s="108"/>
      <c r="P234" s="108" t="s">
        <v>213</v>
      </c>
      <c r="Q234" s="210" t="s">
        <v>4102</v>
      </c>
      <c r="R234" s="108" t="s">
        <v>274</v>
      </c>
      <c r="S234" s="108" t="s">
        <v>275</v>
      </c>
      <c r="T234" s="108" t="s">
        <v>496</v>
      </c>
      <c r="U234" s="108" t="s">
        <v>276</v>
      </c>
      <c r="V234" s="108" t="s">
        <v>180</v>
      </c>
      <c r="W234" s="108" t="s">
        <v>277</v>
      </c>
      <c r="X234" s="108" t="s">
        <v>215</v>
      </c>
      <c r="Y234" s="108" t="s">
        <v>216</v>
      </c>
      <c r="Z234" s="108" t="s">
        <v>182</v>
      </c>
      <c r="AA234" s="111">
        <v>32137</v>
      </c>
      <c r="AB234" s="113">
        <v>35</v>
      </c>
      <c r="AC234" s="108" t="s">
        <v>278</v>
      </c>
      <c r="AD234" s="129" t="s">
        <v>279</v>
      </c>
      <c r="AE234" s="108" t="s">
        <v>280</v>
      </c>
      <c r="AF234" s="108"/>
      <c r="AG234" s="108" t="s">
        <v>281</v>
      </c>
      <c r="AH234" s="114" t="s">
        <v>282</v>
      </c>
      <c r="AI234" s="115">
        <v>16006272146</v>
      </c>
      <c r="AJ234" s="108" t="s">
        <v>189</v>
      </c>
      <c r="AK234" s="108" t="s">
        <v>283</v>
      </c>
      <c r="AL234" s="108" t="s">
        <v>284</v>
      </c>
      <c r="AM234" s="108"/>
      <c r="AN234" s="108"/>
      <c r="AO234" s="108"/>
      <c r="AP234" s="108"/>
      <c r="AQ234" s="108"/>
      <c r="AR234" s="108"/>
      <c r="AS234" s="108"/>
      <c r="AT234" s="108">
        <v>1</v>
      </c>
      <c r="AU234" s="108" t="s">
        <v>225</v>
      </c>
      <c r="AV234" s="115">
        <v>962156006429000</v>
      </c>
      <c r="AW234" s="108" t="s">
        <v>74</v>
      </c>
      <c r="AX234" s="108" t="s">
        <v>16</v>
      </c>
      <c r="AY234" s="108" t="s">
        <v>285</v>
      </c>
      <c r="AZ234" s="108" t="s">
        <v>286</v>
      </c>
      <c r="BA234" s="108">
        <v>2006</v>
      </c>
      <c r="BB234" s="108" t="s">
        <v>287</v>
      </c>
      <c r="BC234" s="108" t="s">
        <v>285</v>
      </c>
      <c r="BD234" s="108" t="s">
        <v>286</v>
      </c>
      <c r="BE234" s="108">
        <v>2006</v>
      </c>
      <c r="BF234" s="116">
        <v>52555</v>
      </c>
      <c r="BG234" s="116">
        <v>52920</v>
      </c>
      <c r="BH234" s="108" t="s">
        <v>241</v>
      </c>
      <c r="BI234" s="108">
        <v>28</v>
      </c>
      <c r="BJ234" s="108">
        <v>41</v>
      </c>
      <c r="BK234" s="111">
        <v>44294</v>
      </c>
      <c r="BL234" s="111">
        <v>44322</v>
      </c>
      <c r="BM234" s="111">
        <v>44632</v>
      </c>
      <c r="BN234" s="111"/>
      <c r="BO234" s="108"/>
      <c r="BP234" s="108"/>
      <c r="BQ234" s="108"/>
      <c r="BR234" s="108"/>
      <c r="BS234" s="108"/>
      <c r="BT234" s="108"/>
      <c r="BU234" s="108"/>
      <c r="BV234" s="108"/>
      <c r="BW234" s="108"/>
      <c r="BX234" s="108"/>
      <c r="BY234" s="108"/>
      <c r="BZ234" s="108" t="e">
        <f>VLOOKUP(C234,[1]Sertifikasi!$B$4:$I$19,8,0)</f>
        <v>#N/A</v>
      </c>
    </row>
    <row r="235" spans="1:78" ht="11.25" customHeight="1">
      <c r="A235" s="108"/>
      <c r="B235" s="108">
        <v>53</v>
      </c>
      <c r="C235" s="128" t="s">
        <v>783</v>
      </c>
      <c r="D235" s="109">
        <v>971800015</v>
      </c>
      <c r="E235" s="131">
        <v>1710003929885</v>
      </c>
      <c r="F235" s="131"/>
      <c r="G235" s="113" t="s">
        <v>71</v>
      </c>
      <c r="H235" s="108" t="s">
        <v>71</v>
      </c>
      <c r="I235" s="111">
        <v>42644</v>
      </c>
      <c r="J235" s="108">
        <f ca="1">DATEDIF(I235,$C$3,"y")</f>
        <v>7</v>
      </c>
      <c r="K235" s="108">
        <f ca="1">DATEDIF(I235,$C$3,"ym")</f>
        <v>1</v>
      </c>
      <c r="L235" s="108" t="str">
        <f t="shared" si="7"/>
        <v>Tetap</v>
      </c>
      <c r="M235" s="108" t="s">
        <v>260</v>
      </c>
      <c r="N235" s="112">
        <v>43116</v>
      </c>
      <c r="O235" s="111"/>
      <c r="P235" s="108" t="s">
        <v>261</v>
      </c>
      <c r="Q235" s="210" t="s">
        <v>4100</v>
      </c>
      <c r="R235" s="108" t="s">
        <v>4099</v>
      </c>
      <c r="S235" s="108" t="s">
        <v>784</v>
      </c>
      <c r="T235" s="108" t="s">
        <v>784</v>
      </c>
      <c r="U235" s="108" t="s">
        <v>785</v>
      </c>
      <c r="V235" s="108" t="s">
        <v>662</v>
      </c>
      <c r="W235" s="108"/>
      <c r="X235" s="108"/>
      <c r="Y235" s="108" t="s">
        <v>60</v>
      </c>
      <c r="Z235" s="108" t="s">
        <v>575</v>
      </c>
      <c r="AA235" s="111">
        <v>33171</v>
      </c>
      <c r="AB235" s="113">
        <f ca="1">DATEDIF(AA235,$C$3,"y")</f>
        <v>33</v>
      </c>
      <c r="AC235" s="108" t="s">
        <v>786</v>
      </c>
      <c r="AD235" s="129" t="s">
        <v>787</v>
      </c>
      <c r="AE235" s="108" t="s">
        <v>788</v>
      </c>
      <c r="AF235" s="108"/>
      <c r="AG235" s="130" t="s">
        <v>789</v>
      </c>
      <c r="AH235" s="114" t="s">
        <v>790</v>
      </c>
      <c r="AI235" s="115" t="s">
        <v>791</v>
      </c>
      <c r="AJ235" s="108" t="s">
        <v>189</v>
      </c>
      <c r="AK235" s="108" t="s">
        <v>792</v>
      </c>
      <c r="AL235" s="108"/>
      <c r="AM235" s="108"/>
      <c r="AN235" s="108"/>
      <c r="AO235" s="108"/>
      <c r="AP235" s="108"/>
      <c r="AQ235" s="108"/>
      <c r="AR235" s="108"/>
      <c r="AS235" s="108"/>
      <c r="AT235" s="108">
        <f>COUNTA(AL235:AO235)</f>
        <v>0</v>
      </c>
      <c r="AU235" s="108" t="str">
        <f>IF(AJ235="Menikah","K","TK")&amp;"/"&amp;AT235</f>
        <v>K/0</v>
      </c>
      <c r="AV235" s="131">
        <v>848279196621000</v>
      </c>
      <c r="AW235" s="113" t="s">
        <v>74</v>
      </c>
      <c r="AX235" s="108" t="s">
        <v>12</v>
      </c>
      <c r="AY235" s="108" t="s">
        <v>793</v>
      </c>
      <c r="AZ235" s="108" t="s">
        <v>794</v>
      </c>
      <c r="BA235" s="108"/>
      <c r="BB235" s="108" t="s">
        <v>12</v>
      </c>
      <c r="BC235" s="108" t="s">
        <v>793</v>
      </c>
      <c r="BD235" s="108" t="s">
        <v>794</v>
      </c>
      <c r="BE235" s="108"/>
      <c r="BF235" s="116">
        <v>53343</v>
      </c>
      <c r="BG235" s="116">
        <v>53708</v>
      </c>
      <c r="BH235" s="132"/>
      <c r="BI235" s="108"/>
      <c r="BJ235" s="194"/>
      <c r="BK235" s="111" t="s">
        <v>795</v>
      </c>
      <c r="BL235" s="111"/>
      <c r="BM235" s="111">
        <v>44835</v>
      </c>
      <c r="BN235" s="111"/>
      <c r="BO235" s="108"/>
      <c r="BP235" s="108"/>
      <c r="BQ235" s="108"/>
      <c r="BR235" s="108"/>
      <c r="BS235" s="108"/>
      <c r="BT235" s="108"/>
      <c r="BU235" s="108"/>
      <c r="BV235" s="108"/>
      <c r="BW235" s="108"/>
      <c r="BX235" s="108"/>
      <c r="BY235" s="108"/>
      <c r="BZ235" s="108" t="e">
        <f>VLOOKUP(C235,[1]Sertifikasi!$B$4:$I$19,8,0)</f>
        <v>#N/A</v>
      </c>
    </row>
    <row r="236" spans="1:78" ht="11.25" customHeight="1">
      <c r="A236" s="108"/>
      <c r="B236" s="108">
        <v>321</v>
      </c>
      <c r="C236" s="108" t="s">
        <v>687</v>
      </c>
      <c r="D236" s="109">
        <v>642001061</v>
      </c>
      <c r="E236" s="131">
        <v>1710003987149</v>
      </c>
      <c r="F236" s="131"/>
      <c r="G236" s="108" t="s">
        <v>71</v>
      </c>
      <c r="H236" s="108" t="s">
        <v>71</v>
      </c>
      <c r="I236" s="111">
        <v>42491</v>
      </c>
      <c r="J236" s="108">
        <v>7</v>
      </c>
      <c r="K236" s="108">
        <v>5</v>
      </c>
      <c r="L236" s="108" t="str">
        <f t="shared" si="7"/>
        <v>PKWT</v>
      </c>
      <c r="M236" s="108"/>
      <c r="N236" s="112">
        <v>45291</v>
      </c>
      <c r="O236" s="108"/>
      <c r="P236" s="108" t="s">
        <v>213</v>
      </c>
      <c r="Q236" s="210" t="s">
        <v>4102</v>
      </c>
      <c r="R236" s="108" t="s">
        <v>475</v>
      </c>
      <c r="S236" s="108" t="s">
        <v>476</v>
      </c>
      <c r="T236" s="108" t="s">
        <v>99</v>
      </c>
      <c r="U236" s="108" t="s">
        <v>276</v>
      </c>
      <c r="V236" s="108" t="s">
        <v>180</v>
      </c>
      <c r="W236" s="108"/>
      <c r="X236" s="108" t="s">
        <v>215</v>
      </c>
      <c r="Y236" s="108" t="s">
        <v>216</v>
      </c>
      <c r="Z236" s="108" t="s">
        <v>71</v>
      </c>
      <c r="AA236" s="111">
        <v>26241</v>
      </c>
      <c r="AB236" s="113">
        <v>51</v>
      </c>
      <c r="AC236" s="108" t="s">
        <v>688</v>
      </c>
      <c r="AD236" s="129" t="s">
        <v>689</v>
      </c>
      <c r="AE236" s="108" t="s">
        <v>690</v>
      </c>
      <c r="AF236" s="108"/>
      <c r="AG236" s="108" t="s">
        <v>691</v>
      </c>
      <c r="AH236" s="114" t="s">
        <v>692</v>
      </c>
      <c r="AI236" s="115">
        <v>16030084392</v>
      </c>
      <c r="AJ236" s="108" t="s">
        <v>189</v>
      </c>
      <c r="AK236" s="108" t="s">
        <v>693</v>
      </c>
      <c r="AL236" s="108" t="s">
        <v>694</v>
      </c>
      <c r="AM236" s="108" t="s">
        <v>695</v>
      </c>
      <c r="AN236" s="108"/>
      <c r="AO236" s="108"/>
      <c r="AP236" s="108"/>
      <c r="AQ236" s="108"/>
      <c r="AR236" s="108"/>
      <c r="AS236" s="108"/>
      <c r="AT236" s="108">
        <v>2</v>
      </c>
      <c r="AU236" s="108" t="s">
        <v>330</v>
      </c>
      <c r="AV236" s="115">
        <v>0</v>
      </c>
      <c r="AW236" s="108" t="s">
        <v>74</v>
      </c>
      <c r="AX236" s="108" t="s">
        <v>16</v>
      </c>
      <c r="AY236" s="108" t="s">
        <v>331</v>
      </c>
      <c r="AZ236" s="108" t="s">
        <v>306</v>
      </c>
      <c r="BA236" s="108">
        <v>1999</v>
      </c>
      <c r="BB236" s="108" t="s">
        <v>287</v>
      </c>
      <c r="BC236" s="108" t="s">
        <v>331</v>
      </c>
      <c r="BD236" s="108" t="s">
        <v>306</v>
      </c>
      <c r="BE236" s="108">
        <v>1999</v>
      </c>
      <c r="BF236" s="116"/>
      <c r="BG236" s="116"/>
      <c r="BH236" s="108" t="s">
        <v>228</v>
      </c>
      <c r="BI236" s="108">
        <v>36</v>
      </c>
      <c r="BJ236" s="108">
        <v>43</v>
      </c>
      <c r="BK236" s="111"/>
      <c r="BL236" s="111"/>
      <c r="BM236" s="111"/>
      <c r="BN236" s="111"/>
      <c r="BO236" s="108">
        <v>43467</v>
      </c>
      <c r="BP236" s="108">
        <v>43830</v>
      </c>
      <c r="BQ236" s="108" t="s">
        <v>696</v>
      </c>
      <c r="BR236" s="108" t="e">
        <v>#REF!</v>
      </c>
      <c r="BS236" s="108"/>
      <c r="BT236" s="108"/>
      <c r="BU236" s="108"/>
      <c r="BV236" s="108"/>
      <c r="BW236" s="108"/>
      <c r="BX236" s="108"/>
      <c r="BY236" s="108"/>
      <c r="BZ236" s="108" t="e">
        <f>VLOOKUP(C236,[1]Sertifikasi!$B$4:$I$19,8,0)</f>
        <v>#N/A</v>
      </c>
    </row>
    <row r="237" spans="1:78" ht="11.25" customHeight="1">
      <c r="A237" s="108"/>
      <c r="B237" s="108">
        <v>139</v>
      </c>
      <c r="C237" s="108" t="s">
        <v>2440</v>
      </c>
      <c r="D237" s="109">
        <v>642109117</v>
      </c>
      <c r="E237" s="131">
        <v>1380019932644</v>
      </c>
      <c r="F237" s="131"/>
      <c r="G237" s="108" t="s">
        <v>409</v>
      </c>
      <c r="H237" s="108" t="s">
        <v>409</v>
      </c>
      <c r="I237" s="111">
        <v>44487</v>
      </c>
      <c r="J237" s="108">
        <v>1</v>
      </c>
      <c r="K237" s="108">
        <v>11</v>
      </c>
      <c r="L237" s="108" t="str">
        <f t="shared" si="7"/>
        <v>PKWT</v>
      </c>
      <c r="M237" s="108"/>
      <c r="N237" s="112">
        <v>45582</v>
      </c>
      <c r="O237" s="108"/>
      <c r="P237" s="108" t="s">
        <v>213</v>
      </c>
      <c r="Q237" s="210" t="s">
        <v>4102</v>
      </c>
      <c r="R237" s="108" t="s">
        <v>409</v>
      </c>
      <c r="S237" s="108" t="s">
        <v>33</v>
      </c>
      <c r="T237" s="108" t="s">
        <v>88</v>
      </c>
      <c r="U237" s="108" t="s">
        <v>199</v>
      </c>
      <c r="V237" s="108" t="s">
        <v>180</v>
      </c>
      <c r="W237" s="108"/>
      <c r="X237" s="108"/>
      <c r="Y237" s="108" t="s">
        <v>216</v>
      </c>
      <c r="Z237" s="108" t="s">
        <v>409</v>
      </c>
      <c r="AA237" s="111">
        <v>35858</v>
      </c>
      <c r="AB237" s="113">
        <v>25</v>
      </c>
      <c r="AC237" s="108" t="s">
        <v>2441</v>
      </c>
      <c r="AD237" s="129" t="s">
        <v>2442</v>
      </c>
      <c r="AE237" s="108" t="s">
        <v>2443</v>
      </c>
      <c r="AF237" s="108"/>
      <c r="AG237" s="108" t="s">
        <v>2444</v>
      </c>
      <c r="AH237" s="114" t="s">
        <v>2445</v>
      </c>
      <c r="AI237" s="115">
        <v>21076296132</v>
      </c>
      <c r="AJ237" s="108" t="s">
        <v>255</v>
      </c>
      <c r="AK237" s="108"/>
      <c r="AL237" s="108"/>
      <c r="AM237" s="108"/>
      <c r="AN237" s="108"/>
      <c r="AO237" s="108"/>
      <c r="AP237" s="108"/>
      <c r="AQ237" s="108"/>
      <c r="AR237" s="108"/>
      <c r="AS237" s="108"/>
      <c r="AT237" s="108">
        <v>0</v>
      </c>
      <c r="AU237" s="108" t="s">
        <v>304</v>
      </c>
      <c r="AV237" s="115"/>
      <c r="AW237" s="108" t="s">
        <v>74</v>
      </c>
      <c r="AX237" s="108" t="s">
        <v>16</v>
      </c>
      <c r="AY237" s="108" t="s">
        <v>285</v>
      </c>
      <c r="AZ237" s="108" t="s">
        <v>2446</v>
      </c>
      <c r="BA237" s="108">
        <v>2017</v>
      </c>
      <c r="BB237" s="108" t="s">
        <v>16</v>
      </c>
      <c r="BC237" s="108" t="s">
        <v>285</v>
      </c>
      <c r="BD237" s="108" t="s">
        <v>2446</v>
      </c>
      <c r="BE237" s="108">
        <v>2017</v>
      </c>
      <c r="BF237" s="116"/>
      <c r="BG237" s="116"/>
      <c r="BH237" s="108"/>
      <c r="BI237" s="108"/>
      <c r="BJ237" s="108">
        <v>42</v>
      </c>
      <c r="BK237" s="111"/>
      <c r="BL237" s="111"/>
      <c r="BM237" s="111">
        <v>44781</v>
      </c>
      <c r="BN237" s="111"/>
      <c r="BO237" s="108"/>
      <c r="BP237" s="108"/>
      <c r="BQ237" s="108"/>
      <c r="BR237" s="108" t="s">
        <v>2447</v>
      </c>
      <c r="BS237" s="108"/>
      <c r="BT237" s="108"/>
      <c r="BU237" s="108"/>
      <c r="BV237" s="108"/>
      <c r="BW237" s="108"/>
      <c r="BX237" s="108"/>
      <c r="BY237" s="108"/>
      <c r="BZ237" s="108" t="e">
        <f>VLOOKUP(C237,[1]Sertifikasi!$B$4:$I$19,8,0)</f>
        <v>#N/A</v>
      </c>
    </row>
    <row r="238" spans="1:78" ht="11.25" customHeight="1">
      <c r="A238" s="108"/>
      <c r="B238" s="108">
        <v>7</v>
      </c>
      <c r="C238" s="108" t="s">
        <v>1450</v>
      </c>
      <c r="D238" s="109">
        <v>971900035</v>
      </c>
      <c r="E238" s="131">
        <v>1710000069305</v>
      </c>
      <c r="F238" s="131">
        <v>7178687837</v>
      </c>
      <c r="G238" s="113" t="s">
        <v>71</v>
      </c>
      <c r="H238" s="108" t="s">
        <v>71</v>
      </c>
      <c r="I238" s="111">
        <v>43346</v>
      </c>
      <c r="J238" s="108">
        <f ca="1">DATEDIF(I238,$C$3,"y")</f>
        <v>5</v>
      </c>
      <c r="K238" s="108">
        <f ca="1">DATEDIF(I238,$C$3,"ym")</f>
        <v>2</v>
      </c>
      <c r="L238" s="108" t="str">
        <f t="shared" si="7"/>
        <v>Tetap</v>
      </c>
      <c r="M238" s="108" t="s">
        <v>1451</v>
      </c>
      <c r="N238" s="112">
        <v>43683</v>
      </c>
      <c r="O238" s="111"/>
      <c r="P238" s="108" t="s">
        <v>261</v>
      </c>
      <c r="Q238" s="210" t="s">
        <v>4100</v>
      </c>
      <c r="R238" s="108" t="s">
        <v>4099</v>
      </c>
      <c r="S238" s="108" t="s">
        <v>793</v>
      </c>
      <c r="T238" s="108" t="s">
        <v>793</v>
      </c>
      <c r="U238" s="108" t="s">
        <v>661</v>
      </c>
      <c r="V238" s="108" t="s">
        <v>662</v>
      </c>
      <c r="W238" s="108" t="s">
        <v>1452</v>
      </c>
      <c r="X238" s="108"/>
      <c r="Y238" s="108" t="s">
        <v>60</v>
      </c>
      <c r="Z238" s="108" t="s">
        <v>71</v>
      </c>
      <c r="AA238" s="111">
        <v>34993</v>
      </c>
      <c r="AB238" s="113">
        <f ca="1">DATEDIF(AA238,$C$3,"y")</f>
        <v>28</v>
      </c>
      <c r="AC238" s="108" t="s">
        <v>1453</v>
      </c>
      <c r="AD238" s="129" t="s">
        <v>1454</v>
      </c>
      <c r="AE238" s="108" t="s">
        <v>1455</v>
      </c>
      <c r="AF238" s="108"/>
      <c r="AG238" s="130" t="s">
        <v>1456</v>
      </c>
      <c r="AH238" s="114" t="s">
        <v>1457</v>
      </c>
      <c r="AI238" s="115" t="s">
        <v>1458</v>
      </c>
      <c r="AJ238" s="108" t="s">
        <v>189</v>
      </c>
      <c r="AK238" s="108" t="s">
        <v>840</v>
      </c>
      <c r="AL238" s="108"/>
      <c r="AM238" s="108"/>
      <c r="AN238" s="108"/>
      <c r="AO238" s="108"/>
      <c r="AP238" s="108" t="s">
        <v>1459</v>
      </c>
      <c r="AQ238" s="108" t="s">
        <v>1460</v>
      </c>
      <c r="AR238" s="108"/>
      <c r="AS238" s="108"/>
      <c r="AT238" s="108">
        <f>COUNTA(AL238:AO238)</f>
        <v>0</v>
      </c>
      <c r="AU238" s="108" t="str">
        <f>IF(AJ238="Menikah","K","TK")&amp;"/"&amp;AT238</f>
        <v>K/0</v>
      </c>
      <c r="AV238" s="131">
        <v>850883034621000</v>
      </c>
      <c r="AW238" s="113" t="s">
        <v>74</v>
      </c>
      <c r="AX238" s="108" t="s">
        <v>12</v>
      </c>
      <c r="AY238" s="108" t="s">
        <v>1461</v>
      </c>
      <c r="AZ238" s="108" t="s">
        <v>839</v>
      </c>
      <c r="BA238" s="108">
        <v>2017</v>
      </c>
      <c r="BB238" s="108" t="s">
        <v>12</v>
      </c>
      <c r="BC238" s="108" t="s">
        <v>1461</v>
      </c>
      <c r="BD238" s="108" t="s">
        <v>839</v>
      </c>
      <c r="BE238" s="108">
        <v>2017</v>
      </c>
      <c r="BF238" s="116">
        <v>55371</v>
      </c>
      <c r="BG238" s="116">
        <v>55736</v>
      </c>
      <c r="BH238" s="132"/>
      <c r="BI238" s="108"/>
      <c r="BJ238" s="194"/>
      <c r="BK238" s="111">
        <v>44294</v>
      </c>
      <c r="BL238" s="111">
        <v>44322</v>
      </c>
      <c r="BM238" s="208"/>
      <c r="BN238" s="111"/>
      <c r="BO238" s="108"/>
      <c r="BP238" s="108"/>
      <c r="BQ238" s="108"/>
      <c r="BR238" s="108"/>
      <c r="BS238" s="108"/>
      <c r="BT238" s="108"/>
      <c r="BU238" s="108"/>
      <c r="BV238" s="108"/>
      <c r="BW238" s="108"/>
      <c r="BX238" s="108"/>
      <c r="BY238" s="108"/>
      <c r="BZ238" s="108" t="e">
        <f>VLOOKUP(C238,[1]Sertifikasi!$B$4:$I$19,8,0)</f>
        <v>#N/A</v>
      </c>
    </row>
    <row r="239" spans="1:78" ht="11.25" customHeight="1">
      <c r="A239" s="108"/>
      <c r="B239" s="108">
        <v>293</v>
      </c>
      <c r="C239" s="108" t="s">
        <v>2019</v>
      </c>
      <c r="D239" s="109">
        <v>642002074</v>
      </c>
      <c r="E239" s="131">
        <v>1710006361227</v>
      </c>
      <c r="F239" s="131"/>
      <c r="G239" s="108" t="s">
        <v>575</v>
      </c>
      <c r="H239" s="108" t="s">
        <v>575</v>
      </c>
      <c r="I239" s="111">
        <v>43880</v>
      </c>
      <c r="J239" s="108">
        <v>3</v>
      </c>
      <c r="K239" s="108">
        <v>7</v>
      </c>
      <c r="L239" s="108" t="str">
        <f t="shared" si="7"/>
        <v>PKWT</v>
      </c>
      <c r="M239" s="108"/>
      <c r="N239" s="112">
        <v>45336</v>
      </c>
      <c r="O239" s="108"/>
      <c r="P239" s="108" t="s">
        <v>213</v>
      </c>
      <c r="Q239" s="210" t="s">
        <v>4100</v>
      </c>
      <c r="R239" s="108" t="s">
        <v>575</v>
      </c>
      <c r="S239" s="108" t="s">
        <v>262</v>
      </c>
      <c r="T239" s="108" t="s">
        <v>92</v>
      </c>
      <c r="U239" s="108" t="s">
        <v>276</v>
      </c>
      <c r="V239" s="108" t="s">
        <v>180</v>
      </c>
      <c r="W239" s="108"/>
      <c r="X239" s="108"/>
      <c r="Y239" s="108" t="s">
        <v>60</v>
      </c>
      <c r="Z239" s="108" t="s">
        <v>1925</v>
      </c>
      <c r="AA239" s="111">
        <v>34615</v>
      </c>
      <c r="AB239" s="113">
        <v>29</v>
      </c>
      <c r="AC239" s="108" t="s">
        <v>2020</v>
      </c>
      <c r="AD239" s="129" t="s">
        <v>2021</v>
      </c>
      <c r="AE239" s="108" t="s">
        <v>2022</v>
      </c>
      <c r="AF239" s="108"/>
      <c r="AG239" s="108" t="s">
        <v>2023</v>
      </c>
      <c r="AH239" s="114" t="s">
        <v>2024</v>
      </c>
      <c r="AI239" s="115">
        <v>20024319731</v>
      </c>
      <c r="AJ239" s="108" t="s">
        <v>255</v>
      </c>
      <c r="AK239" s="108"/>
      <c r="AL239" s="108"/>
      <c r="AM239" s="108"/>
      <c r="AN239" s="108"/>
      <c r="AO239" s="108" t="s">
        <v>2025</v>
      </c>
      <c r="AP239" s="108"/>
      <c r="AQ239" s="108"/>
      <c r="AR239" s="108"/>
      <c r="AS239" s="108"/>
      <c r="AT239" s="108">
        <v>1</v>
      </c>
      <c r="AU239" s="108" t="s">
        <v>646</v>
      </c>
      <c r="AV239" s="115"/>
      <c r="AW239" s="108" t="s">
        <v>74</v>
      </c>
      <c r="AX239" s="108" t="s">
        <v>12</v>
      </c>
      <c r="AY239" s="108" t="s">
        <v>1484</v>
      </c>
      <c r="AZ239" s="108" t="s">
        <v>2026</v>
      </c>
      <c r="BA239" s="108">
        <v>2016</v>
      </c>
      <c r="BB239" s="108" t="s">
        <v>12</v>
      </c>
      <c r="BC239" s="108" t="s">
        <v>1484</v>
      </c>
      <c r="BD239" s="108" t="s">
        <v>2026</v>
      </c>
      <c r="BE239" s="108">
        <v>2016</v>
      </c>
      <c r="BF239" s="116"/>
      <c r="BG239" s="116"/>
      <c r="BH239" s="108" t="s">
        <v>345</v>
      </c>
      <c r="BI239" s="108" t="s">
        <v>345</v>
      </c>
      <c r="BJ239" s="108">
        <v>29</v>
      </c>
      <c r="BK239" s="111"/>
      <c r="BL239" s="111">
        <v>44449</v>
      </c>
      <c r="BM239" s="111"/>
      <c r="BN239" s="111"/>
      <c r="BO239" s="108"/>
      <c r="BP239" s="108"/>
      <c r="BQ239" s="108"/>
      <c r="BR239" s="108"/>
      <c r="BS239" s="108"/>
      <c r="BT239" s="108"/>
      <c r="BU239" s="108"/>
      <c r="BV239" s="108"/>
      <c r="BW239" s="108"/>
      <c r="BX239" s="108"/>
      <c r="BY239" s="108"/>
      <c r="BZ239" s="108" t="e">
        <f>VLOOKUP(C239,[1]Sertifikasi!$B$4:$I$19,8,0)</f>
        <v>#N/A</v>
      </c>
    </row>
    <row r="240" spans="1:78" ht="11.25" customHeight="1">
      <c r="A240" s="108"/>
      <c r="B240" s="108">
        <v>311</v>
      </c>
      <c r="C240" s="108" t="s">
        <v>2524</v>
      </c>
      <c r="D240" s="109">
        <v>642201149</v>
      </c>
      <c r="E240" s="131">
        <v>1710001954604</v>
      </c>
      <c r="F240" s="131"/>
      <c r="G240" s="108" t="s">
        <v>71</v>
      </c>
      <c r="H240" s="108" t="s">
        <v>71</v>
      </c>
      <c r="I240" s="111">
        <v>44575</v>
      </c>
      <c r="J240" s="108">
        <v>1</v>
      </c>
      <c r="K240" s="108">
        <v>8</v>
      </c>
      <c r="L240" s="108" t="str">
        <f t="shared" si="7"/>
        <v>PKWT</v>
      </c>
      <c r="M240" s="108"/>
      <c r="N240" s="112">
        <v>45291</v>
      </c>
      <c r="O240" s="108"/>
      <c r="P240" s="108" t="s">
        <v>213</v>
      </c>
      <c r="Q240" s="210" t="s">
        <v>4102</v>
      </c>
      <c r="R240" s="108" t="s">
        <v>422</v>
      </c>
      <c r="S240" s="108" t="s">
        <v>275</v>
      </c>
      <c r="T240" s="108" t="s">
        <v>93</v>
      </c>
      <c r="U240" s="108" t="s">
        <v>276</v>
      </c>
      <c r="V240" s="108" t="s">
        <v>180</v>
      </c>
      <c r="W240" s="108"/>
      <c r="X240" s="108"/>
      <c r="Y240" s="108" t="s">
        <v>216</v>
      </c>
      <c r="Z240" s="108" t="s">
        <v>71</v>
      </c>
      <c r="AA240" s="111">
        <v>36074</v>
      </c>
      <c r="AB240" s="113">
        <v>25</v>
      </c>
      <c r="AC240" s="108" t="s">
        <v>2525</v>
      </c>
      <c r="AD240" s="129" t="s">
        <v>2526</v>
      </c>
      <c r="AE240" s="108" t="s">
        <v>2527</v>
      </c>
      <c r="AF240" s="108"/>
      <c r="AG240" s="108" t="s">
        <v>2528</v>
      </c>
      <c r="AH240" s="114" t="s">
        <v>2529</v>
      </c>
      <c r="AI240" s="115">
        <v>22017333810</v>
      </c>
      <c r="AJ240" s="108" t="s">
        <v>255</v>
      </c>
      <c r="AK240" s="108"/>
      <c r="AL240" s="108"/>
      <c r="AM240" s="108"/>
      <c r="AN240" s="108"/>
      <c r="AO240" s="108"/>
      <c r="AP240" s="108"/>
      <c r="AQ240" s="108"/>
      <c r="AR240" s="108"/>
      <c r="AS240" s="108"/>
      <c r="AT240" s="108">
        <v>0</v>
      </c>
      <c r="AU240" s="108" t="s">
        <v>304</v>
      </c>
      <c r="AV240" s="115"/>
      <c r="AW240" s="108" t="s">
        <v>74</v>
      </c>
      <c r="AX240" s="108" t="s">
        <v>16</v>
      </c>
      <c r="AY240" s="108" t="s">
        <v>331</v>
      </c>
      <c r="AZ240" s="108" t="s">
        <v>605</v>
      </c>
      <c r="BA240" s="108">
        <v>2016</v>
      </c>
      <c r="BB240" s="108" t="s">
        <v>16</v>
      </c>
      <c r="BC240" s="108" t="s">
        <v>331</v>
      </c>
      <c r="BD240" s="108" t="s">
        <v>605</v>
      </c>
      <c r="BE240" s="108">
        <v>2016</v>
      </c>
      <c r="BF240" s="116"/>
      <c r="BG240" s="116"/>
      <c r="BH240" s="108"/>
      <c r="BI240" s="108"/>
      <c r="BJ240" s="195">
        <v>43</v>
      </c>
      <c r="BK240" s="111"/>
      <c r="BL240" s="111"/>
      <c r="BM240" s="111"/>
      <c r="BN240" s="111"/>
      <c r="BO240" s="108"/>
      <c r="BP240" s="108"/>
      <c r="BQ240" s="108"/>
      <c r="BR240" s="108" t="s">
        <v>2530</v>
      </c>
      <c r="BS240" s="108"/>
      <c r="BT240" s="108"/>
      <c r="BU240" s="108"/>
      <c r="BV240" s="108"/>
      <c r="BW240" s="108"/>
      <c r="BX240" s="108"/>
      <c r="BY240" s="108"/>
      <c r="BZ240" s="108" t="e">
        <f>VLOOKUP(C240,[1]Sertifikasi!$B$4:$I$19,8,0)</f>
        <v>#N/A</v>
      </c>
    </row>
    <row r="241" spans="1:78" ht="11.25" customHeight="1">
      <c r="A241" s="108"/>
      <c r="B241" s="108">
        <v>88</v>
      </c>
      <c r="C241" s="108" t="s">
        <v>2360</v>
      </c>
      <c r="D241" s="109">
        <v>642102106</v>
      </c>
      <c r="E241" s="131">
        <v>1710000376288</v>
      </c>
      <c r="F241" s="131"/>
      <c r="G241" s="108" t="s">
        <v>71</v>
      </c>
      <c r="H241" s="108" t="s">
        <v>71</v>
      </c>
      <c r="I241" s="111">
        <v>44242</v>
      </c>
      <c r="J241" s="108">
        <v>2</v>
      </c>
      <c r="K241" s="108">
        <v>7</v>
      </c>
      <c r="L241" s="108" t="str">
        <f t="shared" si="7"/>
        <v>PKWT</v>
      </c>
      <c r="M241" s="108"/>
      <c r="N241" s="112">
        <v>45336</v>
      </c>
      <c r="O241" s="108"/>
      <c r="P241" s="108" t="s">
        <v>213</v>
      </c>
      <c r="Q241" s="210" t="s">
        <v>4102</v>
      </c>
      <c r="R241" s="108" t="s">
        <v>2085</v>
      </c>
      <c r="S241" s="108" t="s">
        <v>232</v>
      </c>
      <c r="T241" s="108" t="s">
        <v>214</v>
      </c>
      <c r="U241" s="108" t="s">
        <v>214</v>
      </c>
      <c r="V241" s="108" t="s">
        <v>180</v>
      </c>
      <c r="W241" s="108"/>
      <c r="X241" s="108"/>
      <c r="Y241" s="108" t="s">
        <v>216</v>
      </c>
      <c r="Z241" s="108" t="s">
        <v>71</v>
      </c>
      <c r="AA241" s="111">
        <v>30967</v>
      </c>
      <c r="AB241" s="113">
        <v>38</v>
      </c>
      <c r="AC241" s="108" t="s">
        <v>2361</v>
      </c>
      <c r="AD241" s="129" t="s">
        <v>2362</v>
      </c>
      <c r="AE241" s="108" t="s">
        <v>2363</v>
      </c>
      <c r="AF241" s="108"/>
      <c r="AG241" s="108" t="s">
        <v>2364</v>
      </c>
      <c r="AH241" s="114" t="s">
        <v>2365</v>
      </c>
      <c r="AI241" s="115">
        <v>21013284803</v>
      </c>
      <c r="AJ241" s="108" t="s">
        <v>189</v>
      </c>
      <c r="AK241" s="108" t="s">
        <v>2366</v>
      </c>
      <c r="AL241" s="108" t="s">
        <v>2367</v>
      </c>
      <c r="AM241" s="108" t="s">
        <v>2368</v>
      </c>
      <c r="AN241" s="108"/>
      <c r="AO241" s="108"/>
      <c r="AP241" s="108"/>
      <c r="AQ241" s="108"/>
      <c r="AR241" s="108"/>
      <c r="AS241" s="108"/>
      <c r="AT241" s="108">
        <v>2</v>
      </c>
      <c r="AU241" s="108" t="s">
        <v>330</v>
      </c>
      <c r="AV241" s="115"/>
      <c r="AW241" s="108" t="s">
        <v>74</v>
      </c>
      <c r="AX241" s="108" t="s">
        <v>16</v>
      </c>
      <c r="AY241" s="108" t="s">
        <v>226</v>
      </c>
      <c r="AZ241" s="108" t="s">
        <v>404</v>
      </c>
      <c r="BA241" s="108">
        <v>2002</v>
      </c>
      <c r="BB241" s="108" t="s">
        <v>16</v>
      </c>
      <c r="BC241" s="108" t="s">
        <v>226</v>
      </c>
      <c r="BD241" s="108" t="s">
        <v>404</v>
      </c>
      <c r="BE241" s="108">
        <v>2002</v>
      </c>
      <c r="BF241" s="116"/>
      <c r="BG241" s="116"/>
      <c r="BH241" s="108" t="s">
        <v>228</v>
      </c>
      <c r="BI241" s="108">
        <v>32</v>
      </c>
      <c r="BJ241" s="195">
        <v>40</v>
      </c>
      <c r="BK241" s="111"/>
      <c r="BL241" s="111"/>
      <c r="BM241" s="111">
        <v>44806</v>
      </c>
      <c r="BN241" s="111"/>
      <c r="BO241" s="108"/>
      <c r="BP241" s="108"/>
      <c r="BQ241" s="108"/>
      <c r="BR241" s="108" t="s">
        <v>2369</v>
      </c>
      <c r="BS241" s="108"/>
      <c r="BT241" s="108"/>
      <c r="BU241" s="108"/>
      <c r="BV241" s="108"/>
      <c r="BW241" s="108"/>
      <c r="BX241" s="108"/>
      <c r="BY241" s="108"/>
      <c r="BZ241" s="108" t="e">
        <f>VLOOKUP(C241,[1]Sertifikasi!$B$4:$I$19,8,0)</f>
        <v>#N/A</v>
      </c>
    </row>
    <row r="242" spans="1:78" ht="11.25" customHeight="1">
      <c r="A242" s="108"/>
      <c r="B242" s="108">
        <v>248</v>
      </c>
      <c r="C242" s="108" t="s">
        <v>3097</v>
      </c>
      <c r="D242" s="109">
        <v>642307135</v>
      </c>
      <c r="E242" s="131">
        <v>1710003411389</v>
      </c>
      <c r="F242" s="131"/>
      <c r="G242" s="108" t="s">
        <v>71</v>
      </c>
      <c r="H242" s="108" t="s">
        <v>1374</v>
      </c>
      <c r="I242" s="111">
        <v>45204</v>
      </c>
      <c r="J242" s="108">
        <v>0</v>
      </c>
      <c r="K242" s="108">
        <v>0</v>
      </c>
      <c r="L242" s="108" t="str">
        <f t="shared" si="7"/>
        <v>PKWT</v>
      </c>
      <c r="M242" s="108"/>
      <c r="N242" s="112">
        <v>45569</v>
      </c>
      <c r="O242" s="108"/>
      <c r="P242" s="108" t="s">
        <v>213</v>
      </c>
      <c r="Q242" s="210" t="s">
        <v>4102</v>
      </c>
      <c r="R242" s="108" t="s">
        <v>259</v>
      </c>
      <c r="S242" s="108" t="s">
        <v>33</v>
      </c>
      <c r="T242" s="108" t="s">
        <v>432</v>
      </c>
      <c r="U242" s="108" t="s">
        <v>199</v>
      </c>
      <c r="V242" s="108" t="s">
        <v>180</v>
      </c>
      <c r="W242" s="108"/>
      <c r="X242" s="108"/>
      <c r="Y242" s="108" t="s">
        <v>216</v>
      </c>
      <c r="Z242" s="108" t="s">
        <v>1374</v>
      </c>
      <c r="AA242" s="111">
        <v>35846</v>
      </c>
      <c r="AB242" s="113">
        <v>25</v>
      </c>
      <c r="AC242" s="108" t="s">
        <v>3098</v>
      </c>
      <c r="AD242" s="129" t="s">
        <v>3099</v>
      </c>
      <c r="AE242" s="108" t="s">
        <v>3100</v>
      </c>
      <c r="AF242" s="108"/>
      <c r="AG242" s="108" t="s">
        <v>3101</v>
      </c>
      <c r="AH242" s="114" t="s">
        <v>3102</v>
      </c>
      <c r="AI242" s="115">
        <v>23156731293</v>
      </c>
      <c r="AJ242" s="108" t="s">
        <v>255</v>
      </c>
      <c r="AK242" s="108"/>
      <c r="AL242" s="108"/>
      <c r="AM242" s="108"/>
      <c r="AN242" s="108"/>
      <c r="AO242" s="108"/>
      <c r="AP242" s="108"/>
      <c r="AQ242" s="108"/>
      <c r="AR242" s="108"/>
      <c r="AS242" s="108"/>
      <c r="AT242" s="108">
        <v>0</v>
      </c>
      <c r="AU242" s="108" t="s">
        <v>304</v>
      </c>
      <c r="AV242" s="115"/>
      <c r="AW242" s="108" t="s">
        <v>74</v>
      </c>
      <c r="AX242" s="108" t="s">
        <v>16</v>
      </c>
      <c r="AY242" s="108" t="s">
        <v>1988</v>
      </c>
      <c r="AZ242" s="108" t="s">
        <v>3103</v>
      </c>
      <c r="BA242" s="108">
        <v>2017</v>
      </c>
      <c r="BB242" s="108" t="s">
        <v>16</v>
      </c>
      <c r="BC242" s="108" t="s">
        <v>1988</v>
      </c>
      <c r="BD242" s="108" t="s">
        <v>3103</v>
      </c>
      <c r="BE242" s="108">
        <v>2017</v>
      </c>
      <c r="BF242" s="116"/>
      <c r="BG242" s="116"/>
      <c r="BH242" s="108"/>
      <c r="BI242" s="108"/>
      <c r="BJ242" s="195"/>
      <c r="BK242" s="111"/>
      <c r="BL242" s="111"/>
      <c r="BM242" s="111"/>
      <c r="BN242" s="111"/>
      <c r="BO242" s="108"/>
      <c r="BP242" s="108"/>
      <c r="BQ242" s="108"/>
      <c r="BR242" s="108"/>
      <c r="BS242" s="108"/>
      <c r="BT242" s="108"/>
      <c r="BU242" s="108"/>
      <c r="BV242" s="108"/>
      <c r="BW242" s="108"/>
      <c r="BX242" s="108"/>
      <c r="BY242" s="108"/>
      <c r="BZ242" s="108" t="e">
        <f>VLOOKUP(C242,[1]Sertifikasi!$B$4:$I$19,8,0)</f>
        <v>#N/A</v>
      </c>
    </row>
    <row r="243" spans="1:78" ht="11.25" customHeight="1">
      <c r="A243" s="108"/>
      <c r="B243" s="108">
        <v>249</v>
      </c>
      <c r="C243" s="108" t="s">
        <v>1131</v>
      </c>
      <c r="D243" s="109">
        <v>642001024</v>
      </c>
      <c r="E243" s="131">
        <v>1710003987313</v>
      </c>
      <c r="F243" s="131"/>
      <c r="G243" s="108" t="s">
        <v>71</v>
      </c>
      <c r="H243" s="108" t="s">
        <v>71</v>
      </c>
      <c r="I243" s="111">
        <v>42919</v>
      </c>
      <c r="J243" s="108">
        <v>6</v>
      </c>
      <c r="K243" s="108">
        <v>3</v>
      </c>
      <c r="L243" s="108" t="str">
        <f t="shared" si="7"/>
        <v>PKWT</v>
      </c>
      <c r="M243" s="108"/>
      <c r="N243" s="112">
        <v>45291</v>
      </c>
      <c r="O243" s="108"/>
      <c r="P243" s="108" t="s">
        <v>213</v>
      </c>
      <c r="Q243" s="210" t="s">
        <v>4102</v>
      </c>
      <c r="R243" s="108" t="s">
        <v>259</v>
      </c>
      <c r="S243" s="108" t="s">
        <v>33</v>
      </c>
      <c r="T243" s="108" t="s">
        <v>432</v>
      </c>
      <c r="U243" s="108" t="s">
        <v>199</v>
      </c>
      <c r="V243" s="108" t="s">
        <v>180</v>
      </c>
      <c r="W243" s="108"/>
      <c r="X243" s="108" t="s">
        <v>215</v>
      </c>
      <c r="Y243" s="108" t="s">
        <v>216</v>
      </c>
      <c r="Z243" s="108" t="s">
        <v>71</v>
      </c>
      <c r="AA243" s="111">
        <v>35299</v>
      </c>
      <c r="AB243" s="113">
        <v>27</v>
      </c>
      <c r="AC243" s="108" t="s">
        <v>1132</v>
      </c>
      <c r="AD243" s="129" t="s">
        <v>1133</v>
      </c>
      <c r="AE243" s="108" t="s">
        <v>1134</v>
      </c>
      <c r="AF243" s="108" t="s">
        <v>1135</v>
      </c>
      <c r="AG243" s="108" t="s">
        <v>1136</v>
      </c>
      <c r="AH243" s="114" t="s">
        <v>1137</v>
      </c>
      <c r="AI243" s="115">
        <v>17043907835</v>
      </c>
      <c r="AJ243" s="108" t="s">
        <v>255</v>
      </c>
      <c r="AK243" s="108"/>
      <c r="AL243" s="108"/>
      <c r="AM243" s="108"/>
      <c r="AN243" s="108"/>
      <c r="AO243" s="108"/>
      <c r="AP243" s="108"/>
      <c r="AQ243" s="108"/>
      <c r="AR243" s="108"/>
      <c r="AS243" s="108"/>
      <c r="AT243" s="108">
        <v>0</v>
      </c>
      <c r="AU243" s="108" t="s">
        <v>304</v>
      </c>
      <c r="AV243" s="115">
        <v>0</v>
      </c>
      <c r="AW243" s="108" t="s">
        <v>74</v>
      </c>
      <c r="AX243" s="108" t="s">
        <v>16</v>
      </c>
      <c r="AY243" s="108" t="s">
        <v>331</v>
      </c>
      <c r="AZ243" s="108" t="s">
        <v>966</v>
      </c>
      <c r="BA243" s="108">
        <v>2016</v>
      </c>
      <c r="BB243" s="108" t="s">
        <v>287</v>
      </c>
      <c r="BC243" s="108" t="s">
        <v>331</v>
      </c>
      <c r="BD243" s="108" t="s">
        <v>966</v>
      </c>
      <c r="BE243" s="108">
        <v>2016</v>
      </c>
      <c r="BF243" s="116"/>
      <c r="BG243" s="116"/>
      <c r="BH243" s="108" t="s">
        <v>228</v>
      </c>
      <c r="BI243" s="108">
        <v>31</v>
      </c>
      <c r="BJ243" s="195">
        <v>41</v>
      </c>
      <c r="BK243" s="111">
        <v>44293</v>
      </c>
      <c r="BL243" s="111">
        <v>44322</v>
      </c>
      <c r="BM243" s="111">
        <v>44674</v>
      </c>
      <c r="BN243" s="111"/>
      <c r="BO243" s="108">
        <v>43467</v>
      </c>
      <c r="BP243" s="108">
        <v>43830</v>
      </c>
      <c r="BQ243" s="108" t="s">
        <v>1138</v>
      </c>
      <c r="BR243" s="108" t="s">
        <v>1139</v>
      </c>
      <c r="BS243" s="108"/>
      <c r="BT243" s="108"/>
      <c r="BU243" s="108"/>
      <c r="BV243" s="108"/>
      <c r="BW243" s="108"/>
      <c r="BX243" s="108"/>
      <c r="BY243" s="108"/>
      <c r="BZ243" s="108" t="e">
        <f>VLOOKUP(C243,[1]Sertifikasi!$B$4:$I$19,8,0)</f>
        <v>#N/A</v>
      </c>
    </row>
    <row r="244" spans="1:78" ht="11.25" customHeight="1">
      <c r="A244" s="108"/>
      <c r="B244" s="108">
        <v>202</v>
      </c>
      <c r="C244" s="108" t="s">
        <v>1192</v>
      </c>
      <c r="D244" s="109">
        <v>641801137</v>
      </c>
      <c r="E244" s="131">
        <v>1710003988238</v>
      </c>
      <c r="F244" s="131"/>
      <c r="G244" s="108" t="s">
        <v>259</v>
      </c>
      <c r="H244" s="108" t="s">
        <v>71</v>
      </c>
      <c r="I244" s="111">
        <v>43115</v>
      </c>
      <c r="J244" s="108">
        <v>5</v>
      </c>
      <c r="K244" s="108">
        <v>8</v>
      </c>
      <c r="L244" s="108" t="str">
        <f t="shared" si="7"/>
        <v>PKWT</v>
      </c>
      <c r="M244" s="108"/>
      <c r="N244" s="112">
        <v>45291</v>
      </c>
      <c r="O244" s="108"/>
      <c r="P244" s="108" t="s">
        <v>213</v>
      </c>
      <c r="Q244" s="210" t="s">
        <v>4102</v>
      </c>
      <c r="R244" s="108" t="s">
        <v>259</v>
      </c>
      <c r="S244" s="108" t="s">
        <v>262</v>
      </c>
      <c r="T244" s="108" t="s">
        <v>432</v>
      </c>
      <c r="U244" s="108" t="s">
        <v>199</v>
      </c>
      <c r="V244" s="108" t="s">
        <v>180</v>
      </c>
      <c r="W244" s="108" t="s">
        <v>277</v>
      </c>
      <c r="X244" s="108" t="s">
        <v>215</v>
      </c>
      <c r="Y244" s="108" t="s">
        <v>216</v>
      </c>
      <c r="Z244" s="108" t="s">
        <v>259</v>
      </c>
      <c r="AA244" s="111">
        <v>33012</v>
      </c>
      <c r="AB244" s="113">
        <v>33</v>
      </c>
      <c r="AC244" s="108" t="s">
        <v>1193</v>
      </c>
      <c r="AD244" s="129" t="s">
        <v>1194</v>
      </c>
      <c r="AE244" s="108" t="s">
        <v>1195</v>
      </c>
      <c r="AF244" s="108"/>
      <c r="AG244" s="108" t="s">
        <v>1196</v>
      </c>
      <c r="AH244" s="114" t="s">
        <v>1197</v>
      </c>
      <c r="AI244" s="115">
        <v>18035613431</v>
      </c>
      <c r="AJ244" s="108" t="s">
        <v>189</v>
      </c>
      <c r="AK244" s="108" t="s">
        <v>1198</v>
      </c>
      <c r="AL244" s="108"/>
      <c r="AM244" s="108"/>
      <c r="AN244" s="108"/>
      <c r="AO244" s="108"/>
      <c r="AP244" s="108"/>
      <c r="AQ244" s="108"/>
      <c r="AR244" s="108"/>
      <c r="AS244" s="108"/>
      <c r="AT244" s="108">
        <v>0</v>
      </c>
      <c r="AU244" s="108" t="s">
        <v>390</v>
      </c>
      <c r="AV244" s="115">
        <v>0</v>
      </c>
      <c r="AW244" s="108" t="s">
        <v>74</v>
      </c>
      <c r="AX244" s="108" t="s">
        <v>12</v>
      </c>
      <c r="AY244" s="108" t="s">
        <v>226</v>
      </c>
      <c r="AZ244" s="108" t="s">
        <v>1199</v>
      </c>
      <c r="BA244" s="108">
        <v>2014</v>
      </c>
      <c r="BB244" s="108" t="s">
        <v>12</v>
      </c>
      <c r="BC244" s="108" t="s">
        <v>226</v>
      </c>
      <c r="BD244" s="108" t="s">
        <v>1199</v>
      </c>
      <c r="BE244" s="108">
        <v>2014</v>
      </c>
      <c r="BF244" s="116"/>
      <c r="BG244" s="116"/>
      <c r="BH244" s="108" t="s">
        <v>345</v>
      </c>
      <c r="BI244" s="108">
        <v>35</v>
      </c>
      <c r="BJ244" s="195">
        <v>42</v>
      </c>
      <c r="BK244" s="111"/>
      <c r="BL244" s="111"/>
      <c r="BM244" s="209">
        <v>44649</v>
      </c>
      <c r="BN244" s="111"/>
      <c r="BO244" s="108"/>
      <c r="BP244" s="108"/>
      <c r="BQ244" s="108"/>
      <c r="BR244" s="108"/>
      <c r="BS244" s="108"/>
      <c r="BT244" s="108"/>
      <c r="BU244" s="108"/>
      <c r="BV244" s="108"/>
      <c r="BW244" s="108"/>
      <c r="BX244" s="108"/>
      <c r="BY244" s="108"/>
      <c r="BZ244" s="108" t="e">
        <f>VLOOKUP(C244,[1]Sertifikasi!$B$4:$I$19,8,0)</f>
        <v>#N/A</v>
      </c>
    </row>
    <row r="245" spans="1:78" ht="11.25" customHeight="1">
      <c r="A245" s="108"/>
      <c r="B245" s="108">
        <v>140</v>
      </c>
      <c r="C245" s="108" t="s">
        <v>2336</v>
      </c>
      <c r="D245" s="109">
        <v>642101102</v>
      </c>
      <c r="E245" s="131">
        <v>1710003987511</v>
      </c>
      <c r="F245" s="131"/>
      <c r="G245" s="108" t="s">
        <v>71</v>
      </c>
      <c r="H245" s="108" t="s">
        <v>71</v>
      </c>
      <c r="I245" s="111">
        <v>44230</v>
      </c>
      <c r="J245" s="108">
        <v>2</v>
      </c>
      <c r="K245" s="108">
        <v>8</v>
      </c>
      <c r="L245" s="108" t="str">
        <f t="shared" si="7"/>
        <v>PKWT</v>
      </c>
      <c r="M245" s="108"/>
      <c r="N245" s="112">
        <v>45291</v>
      </c>
      <c r="O245" s="108"/>
      <c r="P245" s="108" t="s">
        <v>213</v>
      </c>
      <c r="Q245" s="210" t="s">
        <v>4102</v>
      </c>
      <c r="R245" s="108" t="s">
        <v>409</v>
      </c>
      <c r="S245" s="108" t="s">
        <v>33</v>
      </c>
      <c r="T245" s="108" t="s">
        <v>88</v>
      </c>
      <c r="U245" s="108" t="s">
        <v>199</v>
      </c>
      <c r="V245" s="108" t="s">
        <v>180</v>
      </c>
      <c r="W245" s="108"/>
      <c r="X245" s="108"/>
      <c r="Y245" s="108" t="s">
        <v>216</v>
      </c>
      <c r="Z245" s="108" t="s">
        <v>71</v>
      </c>
      <c r="AA245" s="111">
        <v>35744</v>
      </c>
      <c r="AB245" s="113">
        <v>25</v>
      </c>
      <c r="AC245" s="108" t="s">
        <v>2337</v>
      </c>
      <c r="AD245" s="129" t="s">
        <v>2338</v>
      </c>
      <c r="AE245" s="108" t="s">
        <v>2339</v>
      </c>
      <c r="AF245" s="108"/>
      <c r="AG245" s="108" t="s">
        <v>2340</v>
      </c>
      <c r="AH245" s="114" t="s">
        <v>2341</v>
      </c>
      <c r="AI245" s="115">
        <v>17043907652</v>
      </c>
      <c r="AJ245" s="108" t="s">
        <v>255</v>
      </c>
      <c r="AK245" s="108"/>
      <c r="AL245" s="108"/>
      <c r="AM245" s="108"/>
      <c r="AN245" s="108"/>
      <c r="AO245" s="108"/>
      <c r="AP245" s="108"/>
      <c r="AQ245" s="108"/>
      <c r="AR245" s="108"/>
      <c r="AS245" s="108"/>
      <c r="AT245" s="108">
        <v>0</v>
      </c>
      <c r="AU245" s="108" t="s">
        <v>304</v>
      </c>
      <c r="AV245" s="115"/>
      <c r="AW245" s="108" t="s">
        <v>74</v>
      </c>
      <c r="AX245" s="108" t="s">
        <v>16</v>
      </c>
      <c r="AY245" s="108" t="s">
        <v>226</v>
      </c>
      <c r="AZ245" s="108" t="s">
        <v>319</v>
      </c>
      <c r="BA245" s="108">
        <v>2016</v>
      </c>
      <c r="BB245" s="108" t="s">
        <v>16</v>
      </c>
      <c r="BC245" s="108" t="s">
        <v>226</v>
      </c>
      <c r="BD245" s="108" t="s">
        <v>319</v>
      </c>
      <c r="BE245" s="108">
        <v>2016</v>
      </c>
      <c r="BF245" s="116"/>
      <c r="BG245" s="116"/>
      <c r="BH245" s="108"/>
      <c r="BI245" s="108"/>
      <c r="BJ245" s="195">
        <v>42</v>
      </c>
      <c r="BK245" s="111"/>
      <c r="BL245" s="111"/>
      <c r="BM245" s="209"/>
      <c r="BN245" s="111"/>
      <c r="BO245" s="108"/>
      <c r="BP245" s="108"/>
      <c r="BQ245" s="108"/>
      <c r="BR245" s="108" t="s">
        <v>2342</v>
      </c>
      <c r="BS245" s="108"/>
      <c r="BT245" s="108"/>
      <c r="BU245" s="108"/>
      <c r="BV245" s="108"/>
      <c r="BW245" s="108"/>
      <c r="BX245" s="108"/>
      <c r="BY245" s="108"/>
      <c r="BZ245" s="108" t="e">
        <f>VLOOKUP(C245,[1]Sertifikasi!$B$4:$I$19,8,0)</f>
        <v>#N/A</v>
      </c>
    </row>
    <row r="246" spans="1:78" ht="11.25" customHeight="1">
      <c r="A246" s="108"/>
      <c r="B246" s="108">
        <v>72</v>
      </c>
      <c r="C246" s="134" t="s">
        <v>2304</v>
      </c>
      <c r="D246" s="109">
        <v>642101096</v>
      </c>
      <c r="E246" s="131">
        <v>1710007726758</v>
      </c>
      <c r="F246" s="131"/>
      <c r="G246" s="108" t="s">
        <v>71</v>
      </c>
      <c r="H246" s="108" t="s">
        <v>71</v>
      </c>
      <c r="I246" s="111">
        <v>44200</v>
      </c>
      <c r="J246" s="108">
        <v>2</v>
      </c>
      <c r="K246" s="108">
        <v>9</v>
      </c>
      <c r="L246" s="108" t="str">
        <f t="shared" si="7"/>
        <v>PKWT</v>
      </c>
      <c r="M246" s="108"/>
      <c r="N246" s="112">
        <v>45291</v>
      </c>
      <c r="O246" s="108"/>
      <c r="P246" s="108" t="s">
        <v>213</v>
      </c>
      <c r="Q246" s="210" t="s">
        <v>4102</v>
      </c>
      <c r="R246" s="108" t="s">
        <v>2085</v>
      </c>
      <c r="S246" s="108" t="s">
        <v>33</v>
      </c>
      <c r="T246" s="108" t="s">
        <v>81</v>
      </c>
      <c r="U246" s="108" t="s">
        <v>214</v>
      </c>
      <c r="V246" s="108" t="s">
        <v>180</v>
      </c>
      <c r="W246" s="108"/>
      <c r="X246" s="108"/>
      <c r="Y246" s="108" t="s">
        <v>216</v>
      </c>
      <c r="Z246" s="108" t="s">
        <v>182</v>
      </c>
      <c r="AA246" s="111">
        <v>35957</v>
      </c>
      <c r="AB246" s="113">
        <v>25</v>
      </c>
      <c r="AC246" s="108" t="s">
        <v>2305</v>
      </c>
      <c r="AD246" s="129" t="s">
        <v>2306</v>
      </c>
      <c r="AE246" s="108" t="s">
        <v>2307</v>
      </c>
      <c r="AF246" s="108"/>
      <c r="AG246" s="108" t="s">
        <v>2308</v>
      </c>
      <c r="AH246" s="114" t="s">
        <v>2309</v>
      </c>
      <c r="AI246" s="115">
        <v>21008126316</v>
      </c>
      <c r="AJ246" s="108" t="s">
        <v>255</v>
      </c>
      <c r="AK246" s="108"/>
      <c r="AL246" s="108"/>
      <c r="AM246" s="108"/>
      <c r="AN246" s="108"/>
      <c r="AO246" s="108"/>
      <c r="AP246" s="108" t="s">
        <v>2310</v>
      </c>
      <c r="AQ246" s="108"/>
      <c r="AR246" s="108"/>
      <c r="AS246" s="108"/>
      <c r="AT246" s="108">
        <v>0</v>
      </c>
      <c r="AU246" s="108" t="s">
        <v>304</v>
      </c>
      <c r="AV246" s="115"/>
      <c r="AW246" s="108" t="s">
        <v>74</v>
      </c>
      <c r="AX246" s="108" t="s">
        <v>16</v>
      </c>
      <c r="AY246" s="108" t="s">
        <v>226</v>
      </c>
      <c r="AZ246" s="108" t="s">
        <v>2311</v>
      </c>
      <c r="BA246" s="108"/>
      <c r="BB246" s="108" t="s">
        <v>16</v>
      </c>
      <c r="BC246" s="108" t="s">
        <v>226</v>
      </c>
      <c r="BD246" s="108" t="s">
        <v>2311</v>
      </c>
      <c r="BE246" s="108"/>
      <c r="BF246" s="116"/>
      <c r="BG246" s="116"/>
      <c r="BH246" s="108"/>
      <c r="BI246" s="108"/>
      <c r="BJ246" s="195">
        <v>42</v>
      </c>
      <c r="BK246" s="111">
        <v>44294</v>
      </c>
      <c r="BL246" s="111">
        <v>44322</v>
      </c>
      <c r="BM246" s="209">
        <v>44600</v>
      </c>
      <c r="BN246" s="111"/>
      <c r="BO246" s="108"/>
      <c r="BP246" s="108"/>
      <c r="BQ246" s="108"/>
      <c r="BR246" s="108" t="s">
        <v>2312</v>
      </c>
      <c r="BS246" s="108"/>
      <c r="BT246" s="108"/>
      <c r="BU246" s="108"/>
      <c r="BV246" s="108"/>
      <c r="BW246" s="108"/>
      <c r="BX246" s="108"/>
      <c r="BY246" s="108"/>
      <c r="BZ246" s="108" t="e">
        <f>VLOOKUP(C246,[1]Sertifikasi!$B$4:$I$19,8,0)</f>
        <v>#N/A</v>
      </c>
    </row>
    <row r="247" spans="1:78" ht="11.25" customHeight="1">
      <c r="A247" s="108"/>
      <c r="B247" s="108">
        <v>250</v>
      </c>
      <c r="C247" s="108" t="s">
        <v>1719</v>
      </c>
      <c r="D247" s="109">
        <v>641812210</v>
      </c>
      <c r="E247" s="131">
        <v>1710004984236</v>
      </c>
      <c r="F247" s="131"/>
      <c r="G247" s="108" t="s">
        <v>71</v>
      </c>
      <c r="H247" s="108" t="s">
        <v>71</v>
      </c>
      <c r="I247" s="111">
        <v>43451</v>
      </c>
      <c r="J247" s="108">
        <v>4</v>
      </c>
      <c r="K247" s="108">
        <v>9</v>
      </c>
      <c r="L247" s="108" t="str">
        <f t="shared" si="7"/>
        <v>PKWT</v>
      </c>
      <c r="M247" s="108"/>
      <c r="N247" s="112">
        <v>45277</v>
      </c>
      <c r="O247" s="108"/>
      <c r="P247" s="108" t="s">
        <v>213</v>
      </c>
      <c r="Q247" s="210" t="s">
        <v>4102</v>
      </c>
      <c r="R247" s="108" t="s">
        <v>259</v>
      </c>
      <c r="S247" s="108" t="s">
        <v>33</v>
      </c>
      <c r="T247" s="108" t="s">
        <v>432</v>
      </c>
      <c r="U247" s="108" t="s">
        <v>199</v>
      </c>
      <c r="V247" s="108" t="s">
        <v>180</v>
      </c>
      <c r="W247" s="108"/>
      <c r="X247" s="108" t="s">
        <v>215</v>
      </c>
      <c r="Y247" s="108" t="s">
        <v>216</v>
      </c>
      <c r="Z247" s="108" t="s">
        <v>71</v>
      </c>
      <c r="AA247" s="111">
        <v>36637</v>
      </c>
      <c r="AB247" s="113">
        <v>23</v>
      </c>
      <c r="AC247" s="108" t="s">
        <v>1720</v>
      </c>
      <c r="AD247" s="129" t="s">
        <v>1721</v>
      </c>
      <c r="AE247" s="108" t="s">
        <v>1722</v>
      </c>
      <c r="AF247" s="108"/>
      <c r="AG247" s="108" t="s">
        <v>1723</v>
      </c>
      <c r="AH247" s="114" t="s">
        <v>1724</v>
      </c>
      <c r="AI247" s="115">
        <v>18115425045</v>
      </c>
      <c r="AJ247" s="108" t="s">
        <v>255</v>
      </c>
      <c r="AK247" s="108"/>
      <c r="AL247" s="108"/>
      <c r="AM247" s="108"/>
      <c r="AN247" s="108"/>
      <c r="AO247" s="108"/>
      <c r="AP247" s="108"/>
      <c r="AQ247" s="108"/>
      <c r="AR247" s="108"/>
      <c r="AS247" s="108"/>
      <c r="AT247" s="108">
        <v>0</v>
      </c>
      <c r="AU247" s="108" t="s">
        <v>304</v>
      </c>
      <c r="AV247" s="115">
        <v>0</v>
      </c>
      <c r="AW247" s="108" t="s">
        <v>74</v>
      </c>
      <c r="AX247" s="108" t="s">
        <v>16</v>
      </c>
      <c r="AY247" s="108" t="s">
        <v>226</v>
      </c>
      <c r="AZ247" s="108" t="s">
        <v>306</v>
      </c>
      <c r="BA247" s="108">
        <v>2018</v>
      </c>
      <c r="BB247" s="108" t="s">
        <v>287</v>
      </c>
      <c r="BC247" s="108" t="s">
        <v>226</v>
      </c>
      <c r="BD247" s="108" t="s">
        <v>306</v>
      </c>
      <c r="BE247" s="108">
        <v>2018</v>
      </c>
      <c r="BF247" s="116"/>
      <c r="BG247" s="116"/>
      <c r="BH247" s="108" t="s">
        <v>345</v>
      </c>
      <c r="BI247" s="108">
        <v>30</v>
      </c>
      <c r="BJ247" s="108">
        <v>41</v>
      </c>
      <c r="BK247" s="111"/>
      <c r="BL247" s="111"/>
      <c r="BM247" s="111"/>
      <c r="BN247" s="111"/>
      <c r="BO247" s="108"/>
      <c r="BP247" s="108"/>
      <c r="BQ247" s="108"/>
      <c r="BR247" s="108"/>
      <c r="BS247" s="108"/>
      <c r="BT247" s="108"/>
      <c r="BU247" s="108"/>
      <c r="BV247" s="108"/>
      <c r="BW247" s="108"/>
      <c r="BX247" s="108"/>
      <c r="BY247" s="108"/>
      <c r="BZ247" s="108" t="e">
        <f>VLOOKUP(C247,[1]Sertifikasi!$B$4:$I$19,8,0)</f>
        <v>#N/A</v>
      </c>
    </row>
    <row r="248" spans="1:78" ht="11.25" customHeight="1">
      <c r="A248" s="108"/>
      <c r="B248" s="108">
        <v>141</v>
      </c>
      <c r="C248" s="108" t="s">
        <v>2704</v>
      </c>
      <c r="D248" s="109">
        <v>642201158</v>
      </c>
      <c r="E248" s="131">
        <v>1710003198200</v>
      </c>
      <c r="F248" s="131"/>
      <c r="G248" s="108" t="s">
        <v>71</v>
      </c>
      <c r="H248" s="108" t="s">
        <v>71</v>
      </c>
      <c r="I248" s="111">
        <v>44596</v>
      </c>
      <c r="J248" s="108">
        <v>1</v>
      </c>
      <c r="K248" s="108">
        <v>8</v>
      </c>
      <c r="L248" s="108" t="str">
        <f t="shared" si="7"/>
        <v>PKWT</v>
      </c>
      <c r="M248" s="108"/>
      <c r="N248" s="112">
        <v>45325</v>
      </c>
      <c r="O248" s="108"/>
      <c r="P248" s="108" t="s">
        <v>213</v>
      </c>
      <c r="Q248" s="210" t="s">
        <v>4102</v>
      </c>
      <c r="R248" s="108" t="s">
        <v>409</v>
      </c>
      <c r="S248" s="108" t="s">
        <v>33</v>
      </c>
      <c r="T248" s="108" t="s">
        <v>88</v>
      </c>
      <c r="U248" s="108" t="s">
        <v>199</v>
      </c>
      <c r="V248" s="108" t="s">
        <v>180</v>
      </c>
      <c r="W248" s="108"/>
      <c r="X248" s="108"/>
      <c r="Y248" s="108" t="s">
        <v>216</v>
      </c>
      <c r="Z248" s="108" t="s">
        <v>71</v>
      </c>
      <c r="AA248" s="111">
        <v>36085</v>
      </c>
      <c r="AB248" s="113">
        <v>24</v>
      </c>
      <c r="AC248" s="108" t="s">
        <v>2705</v>
      </c>
      <c r="AD248" s="129" t="s">
        <v>2706</v>
      </c>
      <c r="AE248" s="108" t="s">
        <v>2707</v>
      </c>
      <c r="AF248" s="108"/>
      <c r="AG248" s="108" t="s">
        <v>2708</v>
      </c>
      <c r="AH248" s="114" t="s">
        <v>2709</v>
      </c>
      <c r="AI248" s="115">
        <v>22017333836</v>
      </c>
      <c r="AJ248" s="108" t="s">
        <v>255</v>
      </c>
      <c r="AK248" s="108"/>
      <c r="AL248" s="108"/>
      <c r="AM248" s="108"/>
      <c r="AN248" s="108"/>
      <c r="AO248" s="108"/>
      <c r="AP248" s="108"/>
      <c r="AQ248" s="108"/>
      <c r="AR248" s="108"/>
      <c r="AS248" s="108"/>
      <c r="AT248" s="108">
        <v>0</v>
      </c>
      <c r="AU248" s="108" t="s">
        <v>304</v>
      </c>
      <c r="AV248" s="115"/>
      <c r="AW248" s="108" t="s">
        <v>74</v>
      </c>
      <c r="AX248" s="108" t="s">
        <v>16</v>
      </c>
      <c r="AY248" s="108" t="s">
        <v>226</v>
      </c>
      <c r="AZ248" s="108" t="s">
        <v>306</v>
      </c>
      <c r="BA248" s="108">
        <v>2017</v>
      </c>
      <c r="BB248" s="108" t="s">
        <v>16</v>
      </c>
      <c r="BC248" s="108" t="s">
        <v>226</v>
      </c>
      <c r="BD248" s="108" t="s">
        <v>306</v>
      </c>
      <c r="BE248" s="108">
        <v>2017</v>
      </c>
      <c r="BF248" s="116"/>
      <c r="BG248" s="116"/>
      <c r="BH248" s="108"/>
      <c r="BI248" s="108"/>
      <c r="BJ248" s="108">
        <v>39</v>
      </c>
      <c r="BK248" s="111"/>
      <c r="BL248" s="111"/>
      <c r="BM248" s="111"/>
      <c r="BN248" s="111"/>
      <c r="BO248" s="108"/>
      <c r="BP248" s="108"/>
      <c r="BQ248" s="108"/>
      <c r="BR248" s="108" t="s">
        <v>2710</v>
      </c>
      <c r="BS248" s="108"/>
      <c r="BT248" s="108"/>
      <c r="BU248" s="108"/>
      <c r="BV248" s="108"/>
      <c r="BW248" s="108"/>
      <c r="BX248" s="108"/>
      <c r="BY248" s="108"/>
      <c r="BZ248" s="108" t="e">
        <f>VLOOKUP(C248,[1]Sertifikasi!$B$4:$I$19,8,0)</f>
        <v>#N/A</v>
      </c>
    </row>
    <row r="249" spans="1:78" ht="11.25" customHeight="1">
      <c r="A249" s="108"/>
      <c r="B249" s="108">
        <v>187</v>
      </c>
      <c r="C249" s="108" t="s">
        <v>2580</v>
      </c>
      <c r="D249" s="109">
        <v>642201137</v>
      </c>
      <c r="E249" s="131">
        <v>1200012500281</v>
      </c>
      <c r="F249" s="131"/>
      <c r="G249" s="108" t="s">
        <v>259</v>
      </c>
      <c r="H249" s="108" t="s">
        <v>259</v>
      </c>
      <c r="I249" s="111">
        <v>44578</v>
      </c>
      <c r="J249" s="108">
        <v>1</v>
      </c>
      <c r="K249" s="108">
        <v>8</v>
      </c>
      <c r="L249" s="108" t="str">
        <f t="shared" si="7"/>
        <v>PKWT</v>
      </c>
      <c r="M249" s="108"/>
      <c r="N249" s="112">
        <v>45291</v>
      </c>
      <c r="O249" s="108"/>
      <c r="P249" s="108" t="s">
        <v>213</v>
      </c>
      <c r="Q249" s="210" t="s">
        <v>4102</v>
      </c>
      <c r="R249" s="108" t="s">
        <v>259</v>
      </c>
      <c r="S249" s="108" t="s">
        <v>262</v>
      </c>
      <c r="T249" s="108" t="s">
        <v>89</v>
      </c>
      <c r="U249" s="108" t="s">
        <v>199</v>
      </c>
      <c r="V249" s="108" t="s">
        <v>180</v>
      </c>
      <c r="W249" s="108"/>
      <c r="X249" s="108"/>
      <c r="Y249" s="108" t="s">
        <v>216</v>
      </c>
      <c r="Z249" s="108" t="s">
        <v>259</v>
      </c>
      <c r="AA249" s="111">
        <v>34645</v>
      </c>
      <c r="AB249" s="113">
        <v>28</v>
      </c>
      <c r="AC249" s="108" t="s">
        <v>2581</v>
      </c>
      <c r="AD249" s="129" t="s">
        <v>2582</v>
      </c>
      <c r="AE249" s="108" t="s">
        <v>2583</v>
      </c>
      <c r="AF249" s="108"/>
      <c r="AG249" s="108" t="s">
        <v>2584</v>
      </c>
      <c r="AH249" s="114" t="s">
        <v>2585</v>
      </c>
      <c r="AI249" s="115">
        <v>22017333802</v>
      </c>
      <c r="AJ249" s="108" t="s">
        <v>255</v>
      </c>
      <c r="AK249" s="108"/>
      <c r="AL249" s="108"/>
      <c r="AM249" s="108"/>
      <c r="AN249" s="108"/>
      <c r="AO249" s="108"/>
      <c r="AP249" s="108"/>
      <c r="AQ249" s="108"/>
      <c r="AR249" s="108"/>
      <c r="AS249" s="108"/>
      <c r="AT249" s="108">
        <v>0</v>
      </c>
      <c r="AU249" s="108" t="s">
        <v>304</v>
      </c>
      <c r="AV249" s="115"/>
      <c r="AW249" s="108" t="s">
        <v>74</v>
      </c>
      <c r="AX249" s="108" t="s">
        <v>16</v>
      </c>
      <c r="AY249" s="108" t="s">
        <v>1988</v>
      </c>
      <c r="AZ249" s="108" t="s">
        <v>2586</v>
      </c>
      <c r="BA249" s="108">
        <v>2013</v>
      </c>
      <c r="BB249" s="108" t="s">
        <v>16</v>
      </c>
      <c r="BC249" s="108" t="s">
        <v>1988</v>
      </c>
      <c r="BD249" s="108" t="s">
        <v>2586</v>
      </c>
      <c r="BE249" s="108">
        <v>2013</v>
      </c>
      <c r="BF249" s="116"/>
      <c r="BG249" s="116"/>
      <c r="BH249" s="108"/>
      <c r="BI249" s="108"/>
      <c r="BJ249" s="108">
        <v>41</v>
      </c>
      <c r="BK249" s="111"/>
      <c r="BL249" s="111"/>
      <c r="BM249" s="111">
        <v>44867</v>
      </c>
      <c r="BN249" s="111"/>
      <c r="BO249" s="108"/>
      <c r="BP249" s="108"/>
      <c r="BQ249" s="108"/>
      <c r="BR249" s="108" t="s">
        <v>2587</v>
      </c>
      <c r="BS249" s="108"/>
      <c r="BT249" s="108"/>
      <c r="BU249" s="108"/>
      <c r="BV249" s="108"/>
      <c r="BW249" s="108"/>
      <c r="BX249" s="108"/>
      <c r="BY249" s="108"/>
      <c r="BZ249" s="108" t="e">
        <f>VLOOKUP(C249,[1]Sertifikasi!$B$4:$I$19,8,0)</f>
        <v>#N/A</v>
      </c>
    </row>
    <row r="250" spans="1:78" ht="11.25" customHeight="1">
      <c r="A250" s="108"/>
      <c r="B250" s="108">
        <v>188</v>
      </c>
      <c r="C250" s="108" t="s">
        <v>309</v>
      </c>
      <c r="D250" s="109">
        <v>971800026</v>
      </c>
      <c r="E250" s="131">
        <v>1710003987677</v>
      </c>
      <c r="F250" s="131">
        <v>2758116070</v>
      </c>
      <c r="G250" s="108" t="s">
        <v>71</v>
      </c>
      <c r="H250" s="108" t="s">
        <v>71</v>
      </c>
      <c r="I250" s="111">
        <v>42095</v>
      </c>
      <c r="J250" s="108">
        <v>8</v>
      </c>
      <c r="K250" s="108">
        <v>6</v>
      </c>
      <c r="L250" s="108" t="str">
        <f t="shared" si="7"/>
        <v>Tetap</v>
      </c>
      <c r="M250" s="108" t="s">
        <v>310</v>
      </c>
      <c r="N250" s="112">
        <v>43497</v>
      </c>
      <c r="O250" s="108"/>
      <c r="P250" s="108" t="s">
        <v>311</v>
      </c>
      <c r="Q250" s="210" t="s">
        <v>4102</v>
      </c>
      <c r="R250" s="108" t="s">
        <v>259</v>
      </c>
      <c r="S250" s="108" t="s">
        <v>262</v>
      </c>
      <c r="T250" s="108" t="s">
        <v>89</v>
      </c>
      <c r="U250" s="108" t="s">
        <v>199</v>
      </c>
      <c r="V250" s="108" t="s">
        <v>180</v>
      </c>
      <c r="W250" s="108" t="s">
        <v>277</v>
      </c>
      <c r="X250" s="108" t="s">
        <v>215</v>
      </c>
      <c r="Y250" s="108" t="s">
        <v>216</v>
      </c>
      <c r="Z250" s="108" t="s">
        <v>182</v>
      </c>
      <c r="AA250" s="111">
        <v>32048</v>
      </c>
      <c r="AB250" s="113">
        <v>36</v>
      </c>
      <c r="AC250" s="108" t="s">
        <v>312</v>
      </c>
      <c r="AD250" s="129" t="s">
        <v>313</v>
      </c>
      <c r="AE250" s="108" t="s">
        <v>314</v>
      </c>
      <c r="AF250" s="108"/>
      <c r="AG250" s="108" t="s">
        <v>315</v>
      </c>
      <c r="AH250" s="114" t="s">
        <v>316</v>
      </c>
      <c r="AI250" s="115">
        <v>16006272328</v>
      </c>
      <c r="AJ250" s="108" t="s">
        <v>189</v>
      </c>
      <c r="AK250" s="108" t="s">
        <v>317</v>
      </c>
      <c r="AL250" s="108" t="s">
        <v>318</v>
      </c>
      <c r="AM250" s="108"/>
      <c r="AN250" s="108"/>
      <c r="AO250" s="108"/>
      <c r="AP250" s="108"/>
      <c r="AQ250" s="108"/>
      <c r="AR250" s="108"/>
      <c r="AS250" s="108"/>
      <c r="AT250" s="108">
        <v>1</v>
      </c>
      <c r="AU250" s="108" t="s">
        <v>225</v>
      </c>
      <c r="AV250" s="115">
        <v>851137000646000</v>
      </c>
      <c r="AW250" s="108" t="s">
        <v>74</v>
      </c>
      <c r="AX250" s="108" t="s">
        <v>16</v>
      </c>
      <c r="AY250" s="108" t="s">
        <v>285</v>
      </c>
      <c r="AZ250" s="108" t="s">
        <v>319</v>
      </c>
      <c r="BA250" s="108">
        <v>2006</v>
      </c>
      <c r="BB250" s="108" t="s">
        <v>287</v>
      </c>
      <c r="BC250" s="108" t="s">
        <v>285</v>
      </c>
      <c r="BD250" s="108" t="s">
        <v>319</v>
      </c>
      <c r="BE250" s="108">
        <v>2006</v>
      </c>
      <c r="BF250" s="116">
        <v>52263</v>
      </c>
      <c r="BG250" s="116">
        <v>52628</v>
      </c>
      <c r="BH250" s="108" t="s">
        <v>228</v>
      </c>
      <c r="BI250" s="108">
        <v>32</v>
      </c>
      <c r="BJ250" s="108">
        <v>43</v>
      </c>
      <c r="BK250" s="111"/>
      <c r="BL250" s="111"/>
      <c r="BM250" s="111">
        <v>44649</v>
      </c>
      <c r="BN250" s="111"/>
      <c r="BO250" s="108"/>
      <c r="BP250" s="108"/>
      <c r="BQ250" s="108"/>
      <c r="BR250" s="108"/>
      <c r="BS250" s="108"/>
      <c r="BT250" s="108"/>
      <c r="BU250" s="108"/>
      <c r="BV250" s="108"/>
      <c r="BW250" s="108"/>
      <c r="BX250" s="108"/>
      <c r="BY250" s="108"/>
      <c r="BZ250" s="108" t="e">
        <f>VLOOKUP(C250,[1]Sertifikasi!$B$4:$I$19,8,0)</f>
        <v>#N/A</v>
      </c>
    </row>
    <row r="251" spans="1:78" ht="11.25" customHeight="1">
      <c r="A251" s="108"/>
      <c r="B251" s="108">
        <v>75</v>
      </c>
      <c r="C251" s="115" t="s">
        <v>729</v>
      </c>
      <c r="D251" s="109">
        <v>642001059</v>
      </c>
      <c r="E251" s="131">
        <v>1710003987032</v>
      </c>
      <c r="F251" s="131"/>
      <c r="G251" s="108" t="s">
        <v>71</v>
      </c>
      <c r="H251" s="108" t="s">
        <v>71</v>
      </c>
      <c r="I251" s="111">
        <v>42522</v>
      </c>
      <c r="J251" s="108">
        <v>7</v>
      </c>
      <c r="K251" s="108">
        <v>4</v>
      </c>
      <c r="L251" s="108" t="str">
        <f t="shared" si="7"/>
        <v>PKWT</v>
      </c>
      <c r="M251" s="108"/>
      <c r="N251" s="112">
        <v>45291</v>
      </c>
      <c r="O251" s="108"/>
      <c r="P251" s="108" t="s">
        <v>213</v>
      </c>
      <c r="Q251" s="210" t="s">
        <v>4102</v>
      </c>
      <c r="R251" s="108" t="s">
        <v>2085</v>
      </c>
      <c r="S251" s="108" t="s">
        <v>2085</v>
      </c>
      <c r="T251" s="108" t="s">
        <v>82</v>
      </c>
      <c r="U251" s="108" t="s">
        <v>214</v>
      </c>
      <c r="V251" s="108" t="s">
        <v>180</v>
      </c>
      <c r="W251" s="108"/>
      <c r="X251" s="108" t="s">
        <v>215</v>
      </c>
      <c r="Y251" s="108" t="s">
        <v>216</v>
      </c>
      <c r="Z251" s="108" t="s">
        <v>182</v>
      </c>
      <c r="AA251" s="111">
        <v>32003</v>
      </c>
      <c r="AB251" s="113">
        <v>36</v>
      </c>
      <c r="AC251" s="108" t="s">
        <v>730</v>
      </c>
      <c r="AD251" s="129" t="s">
        <v>731</v>
      </c>
      <c r="AE251" s="108" t="s">
        <v>732</v>
      </c>
      <c r="AF251" s="108"/>
      <c r="AG251" s="108" t="s">
        <v>733</v>
      </c>
      <c r="AH251" s="114" t="s">
        <v>734</v>
      </c>
      <c r="AI251" s="115">
        <v>16030084384</v>
      </c>
      <c r="AJ251" s="108" t="s">
        <v>189</v>
      </c>
      <c r="AK251" s="108" t="s">
        <v>735</v>
      </c>
      <c r="AL251" s="108" t="s">
        <v>736</v>
      </c>
      <c r="AM251" s="108" t="s">
        <v>737</v>
      </c>
      <c r="AN251" s="108"/>
      <c r="AO251" s="108"/>
      <c r="AP251" s="108"/>
      <c r="AQ251" s="108"/>
      <c r="AR251" s="108"/>
      <c r="AS251" s="108"/>
      <c r="AT251" s="108">
        <v>2</v>
      </c>
      <c r="AU251" s="108" t="s">
        <v>330</v>
      </c>
      <c r="AV251" s="115">
        <v>0</v>
      </c>
      <c r="AW251" s="108" t="s">
        <v>74</v>
      </c>
      <c r="AX251" s="108" t="s">
        <v>17</v>
      </c>
      <c r="AY251" s="108"/>
      <c r="AZ251" s="108" t="s">
        <v>714</v>
      </c>
      <c r="BA251" s="108">
        <v>2003</v>
      </c>
      <c r="BB251" s="108" t="s">
        <v>17</v>
      </c>
      <c r="BC251" s="108"/>
      <c r="BD251" s="108" t="s">
        <v>714</v>
      </c>
      <c r="BE251" s="108">
        <v>2003</v>
      </c>
      <c r="BF251" s="116"/>
      <c r="BG251" s="116"/>
      <c r="BH251" s="108" t="s">
        <v>345</v>
      </c>
      <c r="BI251" s="108">
        <v>32</v>
      </c>
      <c r="BJ251" s="108">
        <v>41</v>
      </c>
      <c r="BK251" s="111">
        <v>44293</v>
      </c>
      <c r="BL251" s="111">
        <v>44322</v>
      </c>
      <c r="BM251" s="111"/>
      <c r="BN251" s="111"/>
      <c r="BO251" s="108">
        <v>43467</v>
      </c>
      <c r="BP251" s="108">
        <v>43830</v>
      </c>
      <c r="BQ251" s="108" t="s">
        <v>738</v>
      </c>
      <c r="BR251" s="108" t="s">
        <v>739</v>
      </c>
      <c r="BS251" s="108"/>
      <c r="BT251" s="108"/>
      <c r="BU251" s="108"/>
      <c r="BV251" s="108"/>
      <c r="BW251" s="108"/>
      <c r="BX251" s="108"/>
      <c r="BY251" s="108"/>
      <c r="BZ251" s="108" t="e">
        <f>VLOOKUP(C251,[1]Sertifikasi!$B$4:$I$19,8,0)</f>
        <v>#N/A</v>
      </c>
    </row>
    <row r="252" spans="1:78" ht="11.25" customHeight="1">
      <c r="A252" s="108"/>
      <c r="B252" s="108">
        <v>251</v>
      </c>
      <c r="C252" s="108" t="s">
        <v>650</v>
      </c>
      <c r="D252" s="109">
        <v>642001065</v>
      </c>
      <c r="E252" s="131">
        <v>1710003987339</v>
      </c>
      <c r="F252" s="131"/>
      <c r="G252" s="108" t="s">
        <v>71</v>
      </c>
      <c r="H252" s="108" t="s">
        <v>71</v>
      </c>
      <c r="I252" s="111">
        <v>42461</v>
      </c>
      <c r="J252" s="108">
        <v>7</v>
      </c>
      <c r="K252" s="108">
        <v>6</v>
      </c>
      <c r="L252" s="108" t="str">
        <f t="shared" ref="L252:L283" si="8">IF(LEFT(D252,2)="99","Organik",IF(LEFT(D252,2)="97","Tetap",IF(LEFT(D252,2)="75","Capeg",IF(LEFT(D252,2)="64","PKWT","Resign"))))</f>
        <v>PKWT</v>
      </c>
      <c r="M252" s="108"/>
      <c r="N252" s="112">
        <v>45291</v>
      </c>
      <c r="O252" s="108"/>
      <c r="P252" s="108" t="s">
        <v>213</v>
      </c>
      <c r="Q252" s="210" t="s">
        <v>4102</v>
      </c>
      <c r="R252" s="108" t="s">
        <v>259</v>
      </c>
      <c r="S252" s="108" t="s">
        <v>33</v>
      </c>
      <c r="T252" s="108" t="s">
        <v>432</v>
      </c>
      <c r="U252" s="108" t="s">
        <v>199</v>
      </c>
      <c r="V252" s="108" t="s">
        <v>180</v>
      </c>
      <c r="W252" s="108" t="s">
        <v>277</v>
      </c>
      <c r="X252" s="108" t="s">
        <v>215</v>
      </c>
      <c r="Y252" s="108" t="s">
        <v>216</v>
      </c>
      <c r="Z252" s="108" t="s">
        <v>71</v>
      </c>
      <c r="AA252" s="111">
        <v>35249</v>
      </c>
      <c r="AB252" s="113">
        <v>27</v>
      </c>
      <c r="AC252" s="108" t="s">
        <v>651</v>
      </c>
      <c r="AD252" s="129" t="s">
        <v>652</v>
      </c>
      <c r="AE252" s="108" t="s">
        <v>653</v>
      </c>
      <c r="AF252" s="108"/>
      <c r="AG252" s="108" t="s">
        <v>654</v>
      </c>
      <c r="AH252" s="114" t="s">
        <v>655</v>
      </c>
      <c r="AI252" s="115">
        <v>16030084418</v>
      </c>
      <c r="AJ252" s="108" t="s">
        <v>189</v>
      </c>
      <c r="AK252" s="108" t="s">
        <v>656</v>
      </c>
      <c r="AL252" s="108"/>
      <c r="AM252" s="108"/>
      <c r="AN252" s="108"/>
      <c r="AO252" s="108"/>
      <c r="AP252" s="108"/>
      <c r="AQ252" s="108"/>
      <c r="AR252" s="108"/>
      <c r="AS252" s="108"/>
      <c r="AT252" s="108">
        <v>0</v>
      </c>
      <c r="AU252" s="108" t="s">
        <v>390</v>
      </c>
      <c r="AV252" s="115"/>
      <c r="AW252" s="108" t="s">
        <v>74</v>
      </c>
      <c r="AX252" s="108" t="s">
        <v>16</v>
      </c>
      <c r="AY252" s="108" t="s">
        <v>226</v>
      </c>
      <c r="AZ252" s="108" t="s">
        <v>319</v>
      </c>
      <c r="BA252" s="108">
        <v>2015</v>
      </c>
      <c r="BB252" s="108" t="s">
        <v>287</v>
      </c>
      <c r="BC252" s="108" t="s">
        <v>226</v>
      </c>
      <c r="BD252" s="108" t="s">
        <v>319</v>
      </c>
      <c r="BE252" s="108">
        <v>2015</v>
      </c>
      <c r="BF252" s="116"/>
      <c r="BG252" s="116"/>
      <c r="BH252" s="108" t="s">
        <v>345</v>
      </c>
      <c r="BI252" s="108">
        <v>31</v>
      </c>
      <c r="BJ252" s="108">
        <v>41</v>
      </c>
      <c r="BK252" s="111">
        <v>44293</v>
      </c>
      <c r="BL252" s="111">
        <v>44322</v>
      </c>
      <c r="BM252" s="111"/>
      <c r="BN252" s="111"/>
      <c r="BO252" s="108">
        <v>43467</v>
      </c>
      <c r="BP252" s="108">
        <v>43830</v>
      </c>
      <c r="BQ252" s="108" t="s">
        <v>657</v>
      </c>
      <c r="BR252" s="108" t="s">
        <v>658</v>
      </c>
      <c r="BS252" s="108"/>
      <c r="BT252" s="108"/>
      <c r="BU252" s="108"/>
      <c r="BV252" s="108"/>
      <c r="BW252" s="108"/>
      <c r="BX252" s="108"/>
      <c r="BY252" s="108"/>
      <c r="BZ252" s="108" t="e">
        <f>VLOOKUP(C252,[1]Sertifikasi!$B$4:$I$19,8,0)</f>
        <v>#N/A</v>
      </c>
    </row>
    <row r="253" spans="1:78" ht="11.25" customHeight="1">
      <c r="A253" s="108"/>
      <c r="B253" s="108">
        <v>104</v>
      </c>
      <c r="C253" s="108" t="s">
        <v>1982</v>
      </c>
      <c r="D253" s="109">
        <v>641907269</v>
      </c>
      <c r="E253" s="131">
        <v>1710005657427</v>
      </c>
      <c r="F253" s="131"/>
      <c r="G253" s="108" t="s">
        <v>1834</v>
      </c>
      <c r="H253" s="108" t="s">
        <v>1834</v>
      </c>
      <c r="I253" s="111">
        <v>43647</v>
      </c>
      <c r="J253" s="108">
        <v>4</v>
      </c>
      <c r="K253" s="108">
        <v>3</v>
      </c>
      <c r="L253" s="108" t="str">
        <f t="shared" si="8"/>
        <v>PKWT</v>
      </c>
      <c r="M253" s="108"/>
      <c r="N253" s="112">
        <v>45291</v>
      </c>
      <c r="O253" s="108"/>
      <c r="P253" s="108" t="s">
        <v>213</v>
      </c>
      <c r="Q253" s="210" t="s">
        <v>4102</v>
      </c>
      <c r="R253" s="108" t="s">
        <v>33</v>
      </c>
      <c r="S253" s="108" t="s">
        <v>232</v>
      </c>
      <c r="T253" s="108" t="s">
        <v>199</v>
      </c>
      <c r="U253" s="108" t="s">
        <v>199</v>
      </c>
      <c r="V253" s="108" t="s">
        <v>180</v>
      </c>
      <c r="W253" s="108" t="s">
        <v>83</v>
      </c>
      <c r="X253" s="108" t="s">
        <v>215</v>
      </c>
      <c r="Y253" s="108" t="s">
        <v>216</v>
      </c>
      <c r="Z253" s="108" t="s">
        <v>182</v>
      </c>
      <c r="AA253" s="111">
        <v>36301</v>
      </c>
      <c r="AB253" s="113">
        <v>24</v>
      </c>
      <c r="AC253" s="108" t="s">
        <v>1983</v>
      </c>
      <c r="AD253" s="129" t="s">
        <v>1984</v>
      </c>
      <c r="AE253" s="108" t="s">
        <v>1985</v>
      </c>
      <c r="AF253" s="108"/>
      <c r="AG253" s="108" t="s">
        <v>1986</v>
      </c>
      <c r="AH253" s="114" t="s">
        <v>1987</v>
      </c>
      <c r="AI253" s="115">
        <v>19047644273</v>
      </c>
      <c r="AJ253" s="108" t="s">
        <v>255</v>
      </c>
      <c r="AK253" s="108"/>
      <c r="AL253" s="108"/>
      <c r="AM253" s="108"/>
      <c r="AN253" s="108"/>
      <c r="AO253" s="108"/>
      <c r="AP253" s="108"/>
      <c r="AQ253" s="108"/>
      <c r="AR253" s="108"/>
      <c r="AS253" s="108"/>
      <c r="AT253" s="108">
        <v>0</v>
      </c>
      <c r="AU253" s="108" t="s">
        <v>304</v>
      </c>
      <c r="AV253" s="115">
        <v>0</v>
      </c>
      <c r="AW253" s="108" t="s">
        <v>74</v>
      </c>
      <c r="AX253" s="108" t="s">
        <v>16</v>
      </c>
      <c r="AY253" s="108" t="s">
        <v>1988</v>
      </c>
      <c r="AZ253" s="108" t="s">
        <v>1250</v>
      </c>
      <c r="BA253" s="108">
        <v>2017</v>
      </c>
      <c r="BB253" s="108" t="s">
        <v>16</v>
      </c>
      <c r="BC253" s="108" t="s">
        <v>1988</v>
      </c>
      <c r="BD253" s="108" t="s">
        <v>1250</v>
      </c>
      <c r="BE253" s="108">
        <v>2017</v>
      </c>
      <c r="BF253" s="116"/>
      <c r="BG253" s="116"/>
      <c r="BH253" s="108" t="s">
        <v>345</v>
      </c>
      <c r="BI253" s="108">
        <v>34</v>
      </c>
      <c r="BJ253" s="108">
        <v>43</v>
      </c>
      <c r="BK253" s="111"/>
      <c r="BL253" s="111"/>
      <c r="BM253" s="111"/>
      <c r="BN253" s="111"/>
      <c r="BO253" s="108"/>
      <c r="BP253" s="108"/>
      <c r="BQ253" s="108"/>
      <c r="BR253" s="108"/>
      <c r="BS253" s="108"/>
      <c r="BT253" s="108"/>
      <c r="BU253" s="108"/>
      <c r="BV253" s="108"/>
      <c r="BW253" s="108"/>
      <c r="BX253" s="108"/>
      <c r="BY253" s="108"/>
      <c r="BZ253" s="108" t="e">
        <f>VLOOKUP(C253,[1]Sertifikasi!$B$4:$I$19,8,0)</f>
        <v>#N/A</v>
      </c>
    </row>
    <row r="254" spans="1:78" ht="11.25" customHeight="1">
      <c r="A254" s="108"/>
      <c r="B254" s="108">
        <v>17</v>
      </c>
      <c r="C254" s="135" t="s">
        <v>4104</v>
      </c>
      <c r="D254" s="109">
        <v>971800017</v>
      </c>
      <c r="E254" s="131">
        <v>1710003920017</v>
      </c>
      <c r="F254" s="131"/>
      <c r="G254" s="113" t="s">
        <v>71</v>
      </c>
      <c r="H254" s="108" t="s">
        <v>71</v>
      </c>
      <c r="I254" s="111">
        <v>42767</v>
      </c>
      <c r="J254" s="108">
        <f ca="1">DATEDIF(I254,$C$3,"y")</f>
        <v>6</v>
      </c>
      <c r="K254" s="108">
        <f ca="1">DATEDIF(I254,$C$3,"ym")</f>
        <v>9</v>
      </c>
      <c r="L254" s="108" t="str">
        <f t="shared" si="8"/>
        <v>Tetap</v>
      </c>
      <c r="M254" s="194"/>
      <c r="N254" s="112">
        <v>42767</v>
      </c>
      <c r="O254" s="111"/>
      <c r="P254" s="108" t="s">
        <v>261</v>
      </c>
      <c r="Q254" s="210" t="s">
        <v>4100</v>
      </c>
      <c r="R254" s="108" t="s">
        <v>4099</v>
      </c>
      <c r="S254" s="108" t="s">
        <v>828</v>
      </c>
      <c r="T254" s="108" t="s">
        <v>361</v>
      </c>
      <c r="U254" s="108" t="s">
        <v>362</v>
      </c>
      <c r="V254" s="108" t="s">
        <v>180</v>
      </c>
      <c r="W254" s="108" t="s">
        <v>829</v>
      </c>
      <c r="X254" s="108"/>
      <c r="Y254" s="108" t="s">
        <v>59</v>
      </c>
      <c r="Z254" s="108" t="s">
        <v>830</v>
      </c>
      <c r="AA254" s="111">
        <v>32799</v>
      </c>
      <c r="AB254" s="113">
        <f ca="1">DATEDIF(AA254,$C$3,"y")</f>
        <v>34</v>
      </c>
      <c r="AC254" s="108" t="s">
        <v>831</v>
      </c>
      <c r="AD254" s="129" t="s">
        <v>832</v>
      </c>
      <c r="AE254" s="108" t="s">
        <v>833</v>
      </c>
      <c r="AF254" s="108"/>
      <c r="AG254" s="130" t="s">
        <v>834</v>
      </c>
      <c r="AH254" s="114" t="s">
        <v>835</v>
      </c>
      <c r="AI254" s="115" t="s">
        <v>836</v>
      </c>
      <c r="AJ254" s="108" t="s">
        <v>189</v>
      </c>
      <c r="AK254" s="108" t="s">
        <v>837</v>
      </c>
      <c r="AL254" s="108" t="s">
        <v>838</v>
      </c>
      <c r="AM254" s="108"/>
      <c r="AN254" s="108"/>
      <c r="AO254" s="108"/>
      <c r="AP254" s="108"/>
      <c r="AQ254" s="108"/>
      <c r="AR254" s="108"/>
      <c r="AS254" s="108"/>
      <c r="AT254" s="108">
        <f>COUNTA(AL254:AO254)</f>
        <v>1</v>
      </c>
      <c r="AU254" s="108" t="str">
        <f>IF(AJ254="Menikah","K","TK")&amp;"/"&amp;AT254</f>
        <v>K/1</v>
      </c>
      <c r="AV254" s="131">
        <v>843996950601000</v>
      </c>
      <c r="AW254" s="113" t="s">
        <v>74</v>
      </c>
      <c r="AX254" s="108" t="s">
        <v>12</v>
      </c>
      <c r="AY254" s="108" t="s">
        <v>210</v>
      </c>
      <c r="AZ254" s="108" t="s">
        <v>839</v>
      </c>
      <c r="BA254" s="108">
        <v>2015</v>
      </c>
      <c r="BB254" s="108" t="s">
        <v>12</v>
      </c>
      <c r="BC254" s="108" t="s">
        <v>210</v>
      </c>
      <c r="BD254" s="108" t="s">
        <v>839</v>
      </c>
      <c r="BE254" s="108">
        <v>2015</v>
      </c>
      <c r="BF254" s="205">
        <v>52994</v>
      </c>
      <c r="BG254" s="116">
        <v>16834</v>
      </c>
      <c r="BH254" s="113"/>
      <c r="BI254" s="108"/>
      <c r="BJ254" s="207"/>
      <c r="BK254" s="111">
        <v>44294</v>
      </c>
      <c r="BL254" s="111">
        <v>44322</v>
      </c>
      <c r="BM254" s="111">
        <v>0</v>
      </c>
      <c r="BN254" s="111"/>
      <c r="BO254" s="108"/>
      <c r="BP254" s="108"/>
      <c r="BQ254" s="108"/>
      <c r="BR254" s="108"/>
      <c r="BS254" s="108"/>
      <c r="BT254" s="108"/>
      <c r="BU254" s="108"/>
      <c r="BV254" s="108"/>
      <c r="BW254" s="108"/>
      <c r="BX254" s="108"/>
      <c r="BY254" s="108"/>
      <c r="BZ254" s="108" t="e">
        <f>VLOOKUP(C254,[1]Sertifikasi!$B$4:$I$19,8,0)</f>
        <v>#N/A</v>
      </c>
    </row>
    <row r="255" spans="1:78" ht="11.25" customHeight="1">
      <c r="A255" s="108"/>
      <c r="B255" s="108">
        <v>60</v>
      </c>
      <c r="C255" s="108" t="s">
        <v>2241</v>
      </c>
      <c r="D255" s="109">
        <v>991000017</v>
      </c>
      <c r="E255" s="131">
        <v>1440010312798</v>
      </c>
      <c r="F255" s="131"/>
      <c r="G255" s="113" t="s">
        <v>33</v>
      </c>
      <c r="H255" s="108" t="s">
        <v>71</v>
      </c>
      <c r="I255" s="111">
        <v>43987</v>
      </c>
      <c r="J255" s="108">
        <f ca="1">DATEDIF(I255,$C$3,"y")</f>
        <v>3</v>
      </c>
      <c r="K255" s="108">
        <f ca="1">DATEDIF(I255,$C$3,"ym")</f>
        <v>5</v>
      </c>
      <c r="L255" s="108" t="str">
        <f t="shared" si="8"/>
        <v>Organik</v>
      </c>
      <c r="M255" s="108" t="s">
        <v>1401</v>
      </c>
      <c r="N255" s="112">
        <v>40210</v>
      </c>
      <c r="O255" s="108" t="s">
        <v>261</v>
      </c>
      <c r="P255" s="108" t="s">
        <v>261</v>
      </c>
      <c r="Q255" s="210" t="s">
        <v>4100</v>
      </c>
      <c r="R255" s="108" t="s">
        <v>4099</v>
      </c>
      <c r="S255" s="108" t="s">
        <v>674</v>
      </c>
      <c r="T255" s="108" t="s">
        <v>674</v>
      </c>
      <c r="U255" s="108" t="s">
        <v>674</v>
      </c>
      <c r="V255" s="108" t="s">
        <v>247</v>
      </c>
      <c r="W255" s="108"/>
      <c r="X255" s="108"/>
      <c r="Y255" s="108" t="s">
        <v>59</v>
      </c>
      <c r="Z255" s="108" t="s">
        <v>830</v>
      </c>
      <c r="AA255" s="111">
        <v>31035</v>
      </c>
      <c r="AB255" s="113">
        <f ca="1">DATEDIF(AA255,$C$3,"y")</f>
        <v>38</v>
      </c>
      <c r="AC255" s="108" t="s">
        <v>2242</v>
      </c>
      <c r="AD255" s="129" t="s">
        <v>2243</v>
      </c>
      <c r="AE255" s="108" t="s">
        <v>2244</v>
      </c>
      <c r="AF255" s="108"/>
      <c r="AG255" s="108" t="s">
        <v>2245</v>
      </c>
      <c r="AH255" s="114" t="s">
        <v>2246</v>
      </c>
      <c r="AI255" s="115">
        <v>7006607605</v>
      </c>
      <c r="AJ255" s="108" t="s">
        <v>189</v>
      </c>
      <c r="AK255" s="108" t="s">
        <v>2247</v>
      </c>
      <c r="AL255" s="108" t="s">
        <v>2248</v>
      </c>
      <c r="AM255" s="108" t="s">
        <v>2249</v>
      </c>
      <c r="AN255" s="108" t="s">
        <v>2250</v>
      </c>
      <c r="AO255" s="108"/>
      <c r="AP255" s="108"/>
      <c r="AQ255" s="108"/>
      <c r="AR255" s="108"/>
      <c r="AS255" s="108"/>
      <c r="AT255" s="108">
        <f>COUNTA(AL255:AO255)</f>
        <v>3</v>
      </c>
      <c r="AU255" s="108" t="str">
        <f>IF(AJ255="Menikah","K","TK")&amp;"/"&amp;AT255</f>
        <v>K/3</v>
      </c>
      <c r="AV255" s="131" t="s">
        <v>2251</v>
      </c>
      <c r="AW255" s="113" t="s">
        <v>74</v>
      </c>
      <c r="AX255" s="108" t="s">
        <v>12</v>
      </c>
      <c r="AY255" s="108" t="s">
        <v>210</v>
      </c>
      <c r="AZ255" s="108" t="s">
        <v>193</v>
      </c>
      <c r="BA255" s="108">
        <v>2007</v>
      </c>
      <c r="BB255" s="108" t="s">
        <v>12</v>
      </c>
      <c r="BC255" s="108" t="s">
        <v>210</v>
      </c>
      <c r="BD255" s="108" t="s">
        <v>193</v>
      </c>
      <c r="BE255" s="108">
        <v>2007</v>
      </c>
      <c r="BF255" s="116">
        <v>51136</v>
      </c>
      <c r="BG255" s="116">
        <v>51502</v>
      </c>
      <c r="BH255" s="108"/>
      <c r="BI255" s="108"/>
      <c r="BJ255" s="207"/>
      <c r="BK255" s="111">
        <v>44294</v>
      </c>
      <c r="BL255" s="111">
        <v>44322</v>
      </c>
      <c r="BM255" s="111">
        <v>44585</v>
      </c>
      <c r="BN255" s="111"/>
      <c r="BO255" s="108"/>
      <c r="BP255" s="108"/>
      <c r="BQ255" s="108"/>
      <c r="BR255" s="108"/>
      <c r="BS255" s="108"/>
      <c r="BT255" s="108"/>
      <c r="BU255" s="108"/>
      <c r="BV255" s="108"/>
      <c r="BW255" s="108"/>
      <c r="BX255" s="108"/>
      <c r="BY255" s="108"/>
      <c r="BZ255" s="108" t="e">
        <f>VLOOKUP(C255,[1]Sertifikasi!$B$4:$I$19,8,0)</f>
        <v>#N/A</v>
      </c>
    </row>
    <row r="256" spans="1:78" ht="11.25" customHeight="1">
      <c r="A256" s="108"/>
      <c r="B256" s="108">
        <v>8</v>
      </c>
      <c r="C256" s="108" t="s">
        <v>1472</v>
      </c>
      <c r="D256" s="109">
        <v>971900037</v>
      </c>
      <c r="E256" s="131">
        <v>1710004607068</v>
      </c>
      <c r="F256" s="131"/>
      <c r="G256" s="113" t="s">
        <v>71</v>
      </c>
      <c r="H256" s="108" t="s">
        <v>71</v>
      </c>
      <c r="I256" s="111">
        <v>43346</v>
      </c>
      <c r="J256" s="108">
        <f ca="1">DATEDIF(I256,$C$3,"y")</f>
        <v>5</v>
      </c>
      <c r="K256" s="108">
        <f ca="1">DATEDIF(I256,$C$3,"ym")</f>
        <v>2</v>
      </c>
      <c r="L256" s="108" t="str">
        <f t="shared" si="8"/>
        <v>Tetap</v>
      </c>
      <c r="M256" s="108" t="s">
        <v>1451</v>
      </c>
      <c r="N256" s="112">
        <v>43683</v>
      </c>
      <c r="O256" s="111"/>
      <c r="P256" s="108" t="s">
        <v>261</v>
      </c>
      <c r="Q256" s="210" t="s">
        <v>4100</v>
      </c>
      <c r="R256" s="108" t="s">
        <v>4099</v>
      </c>
      <c r="S256" s="108" t="s">
        <v>793</v>
      </c>
      <c r="T256" s="108" t="s">
        <v>793</v>
      </c>
      <c r="U256" s="108" t="s">
        <v>661</v>
      </c>
      <c r="V256" s="108" t="s">
        <v>662</v>
      </c>
      <c r="W256" s="108"/>
      <c r="X256" s="108"/>
      <c r="Y256" s="108" t="s">
        <v>59</v>
      </c>
      <c r="Z256" s="108" t="s">
        <v>1473</v>
      </c>
      <c r="AA256" s="111">
        <v>34071</v>
      </c>
      <c r="AB256" s="113">
        <f ca="1">DATEDIF(AA256,$C$3,"y")</f>
        <v>30</v>
      </c>
      <c r="AC256" s="108" t="s">
        <v>1474</v>
      </c>
      <c r="AD256" s="129" t="s">
        <v>1475</v>
      </c>
      <c r="AE256" s="108" t="s">
        <v>1476</v>
      </c>
      <c r="AF256" s="108"/>
      <c r="AG256" s="130" t="s">
        <v>1477</v>
      </c>
      <c r="AH256" s="114" t="s">
        <v>1478</v>
      </c>
      <c r="AI256" s="115" t="s">
        <v>1479</v>
      </c>
      <c r="AJ256" s="108" t="s">
        <v>255</v>
      </c>
      <c r="AK256" s="108"/>
      <c r="AL256" s="108"/>
      <c r="AM256" s="108"/>
      <c r="AN256" s="108"/>
      <c r="AO256" s="108" t="s">
        <v>1480</v>
      </c>
      <c r="AP256" s="108" t="s">
        <v>1481</v>
      </c>
      <c r="AQ256" s="108" t="s">
        <v>1482</v>
      </c>
      <c r="AR256" s="108"/>
      <c r="AS256" s="108"/>
      <c r="AT256" s="108">
        <f>COUNTA(AL256:AO256)</f>
        <v>1</v>
      </c>
      <c r="AU256" s="108" t="str">
        <f>IF(AJ256="Menikah","K","TK")&amp;"/"&amp;AT256</f>
        <v>TK/1</v>
      </c>
      <c r="AV256" s="131" t="s">
        <v>1483</v>
      </c>
      <c r="AW256" s="113" t="s">
        <v>74</v>
      </c>
      <c r="AX256" s="108" t="s">
        <v>12</v>
      </c>
      <c r="AY256" s="108" t="s">
        <v>1484</v>
      </c>
      <c r="AZ256" s="108" t="s">
        <v>839</v>
      </c>
      <c r="BA256" s="108"/>
      <c r="BB256" s="108" t="s">
        <v>12</v>
      </c>
      <c r="BC256" s="108" t="s">
        <v>1484</v>
      </c>
      <c r="BD256" s="108" t="s">
        <v>839</v>
      </c>
      <c r="BE256" s="108"/>
      <c r="BF256" s="116">
        <v>54276</v>
      </c>
      <c r="BG256" s="116">
        <v>54641</v>
      </c>
      <c r="BH256" s="113"/>
      <c r="BI256" s="108"/>
      <c r="BJ256" s="207"/>
      <c r="BK256" s="111">
        <v>44294</v>
      </c>
      <c r="BL256" s="111">
        <v>44322</v>
      </c>
      <c r="BM256" s="111">
        <v>44585</v>
      </c>
      <c r="BN256" s="111"/>
      <c r="BO256" s="108"/>
      <c r="BP256" s="108"/>
      <c r="BQ256" s="108"/>
      <c r="BR256" s="108"/>
      <c r="BS256" s="108"/>
      <c r="BT256" s="108"/>
      <c r="BU256" s="108"/>
      <c r="BV256" s="108"/>
      <c r="BW256" s="108"/>
      <c r="BX256" s="108"/>
      <c r="BY256" s="108"/>
      <c r="BZ256" s="108" t="e">
        <f>VLOOKUP(C256,[1]Sertifikasi!$B$4:$I$19,8,0)</f>
        <v>#N/A</v>
      </c>
    </row>
    <row r="257" spans="1:78" ht="11.25" customHeight="1">
      <c r="A257" s="108"/>
      <c r="B257" s="108">
        <v>294</v>
      </c>
      <c r="C257" s="108" t="s">
        <v>1948</v>
      </c>
      <c r="D257" s="109">
        <v>641907247</v>
      </c>
      <c r="E257" s="131">
        <v>1710005657377</v>
      </c>
      <c r="F257" s="131"/>
      <c r="G257" s="108" t="s">
        <v>37</v>
      </c>
      <c r="H257" s="108" t="s">
        <v>37</v>
      </c>
      <c r="I257" s="111">
        <v>43647</v>
      </c>
      <c r="J257" s="108">
        <v>4</v>
      </c>
      <c r="K257" s="108">
        <v>3</v>
      </c>
      <c r="L257" s="108" t="str">
        <f t="shared" si="8"/>
        <v>PKWT</v>
      </c>
      <c r="M257" s="108"/>
      <c r="N257" s="112">
        <v>45291</v>
      </c>
      <c r="O257" s="108"/>
      <c r="P257" s="108" t="s">
        <v>213</v>
      </c>
      <c r="Q257" s="210" t="s">
        <v>4102</v>
      </c>
      <c r="R257" s="108" t="s">
        <v>575</v>
      </c>
      <c r="S257" s="108" t="s">
        <v>262</v>
      </c>
      <c r="T257" s="108" t="s">
        <v>92</v>
      </c>
      <c r="U257" s="108" t="s">
        <v>276</v>
      </c>
      <c r="V257" s="108" t="s">
        <v>180</v>
      </c>
      <c r="W257" s="108"/>
      <c r="X257" s="108" t="s">
        <v>215</v>
      </c>
      <c r="Y257" s="108" t="s">
        <v>216</v>
      </c>
      <c r="Z257" s="108" t="s">
        <v>1949</v>
      </c>
      <c r="AA257" s="111">
        <v>32630</v>
      </c>
      <c r="AB257" s="113">
        <v>34</v>
      </c>
      <c r="AC257" s="108" t="s">
        <v>1950</v>
      </c>
      <c r="AD257" s="129" t="s">
        <v>1951</v>
      </c>
      <c r="AE257" s="108" t="s">
        <v>1952</v>
      </c>
      <c r="AF257" s="108"/>
      <c r="AG257" s="108" t="s">
        <v>1953</v>
      </c>
      <c r="AH257" s="114" t="s">
        <v>1954</v>
      </c>
      <c r="AI257" s="115">
        <v>19047644026</v>
      </c>
      <c r="AJ257" s="108" t="s">
        <v>189</v>
      </c>
      <c r="AK257" s="108" t="s">
        <v>1955</v>
      </c>
      <c r="AL257" s="108" t="s">
        <v>1956</v>
      </c>
      <c r="AM257" s="108"/>
      <c r="AN257" s="108"/>
      <c r="AO257" s="108"/>
      <c r="AP257" s="108"/>
      <c r="AQ257" s="108"/>
      <c r="AR257" s="108"/>
      <c r="AS257" s="108"/>
      <c r="AT257" s="108">
        <v>1</v>
      </c>
      <c r="AU257" s="108" t="s">
        <v>225</v>
      </c>
      <c r="AV257" s="115">
        <v>0</v>
      </c>
      <c r="AW257" s="108" t="s">
        <v>74</v>
      </c>
      <c r="AX257" s="108" t="s">
        <v>16</v>
      </c>
      <c r="AY257" s="108" t="s">
        <v>226</v>
      </c>
      <c r="AZ257" s="108" t="s">
        <v>1957</v>
      </c>
      <c r="BA257" s="108">
        <v>2009</v>
      </c>
      <c r="BB257" s="108" t="s">
        <v>16</v>
      </c>
      <c r="BC257" s="108" t="s">
        <v>226</v>
      </c>
      <c r="BD257" s="108" t="s">
        <v>1957</v>
      </c>
      <c r="BE257" s="108">
        <v>2009</v>
      </c>
      <c r="BF257" s="116"/>
      <c r="BG257" s="116"/>
      <c r="BH257" s="108" t="s">
        <v>241</v>
      </c>
      <c r="BI257" s="108">
        <v>29</v>
      </c>
      <c r="BJ257" s="108">
        <v>43</v>
      </c>
      <c r="BK257" s="111"/>
      <c r="BL257" s="111"/>
      <c r="BM257" s="111"/>
      <c r="BN257" s="111"/>
      <c r="BO257" s="108"/>
      <c r="BP257" s="108"/>
      <c r="BQ257" s="108"/>
      <c r="BR257" s="108"/>
      <c r="BS257" s="108"/>
      <c r="BT257" s="108"/>
      <c r="BU257" s="108"/>
      <c r="BV257" s="108"/>
      <c r="BW257" s="108"/>
      <c r="BX257" s="108"/>
      <c r="BY257" s="108"/>
      <c r="BZ257" s="108" t="e">
        <f>VLOOKUP(C257,[1]Sertifikasi!$B$4:$I$19,8,0)</f>
        <v>#N/A</v>
      </c>
    </row>
    <row r="258" spans="1:78" ht="11.25" customHeight="1">
      <c r="A258" s="108"/>
      <c r="B258" s="108">
        <v>318</v>
      </c>
      <c r="C258" s="108" t="s">
        <v>1698</v>
      </c>
      <c r="D258" s="109">
        <v>641810206</v>
      </c>
      <c r="E258" s="131">
        <v>1710004811132</v>
      </c>
      <c r="F258" s="131"/>
      <c r="G258" s="108" t="s">
        <v>1276</v>
      </c>
      <c r="H258" s="108" t="s">
        <v>1276</v>
      </c>
      <c r="I258" s="111">
        <v>43395</v>
      </c>
      <c r="J258" s="108">
        <v>4</v>
      </c>
      <c r="K258" s="108">
        <v>11</v>
      </c>
      <c r="L258" s="108" t="str">
        <f t="shared" si="8"/>
        <v>PKWT</v>
      </c>
      <c r="M258" s="108" t="s">
        <v>22</v>
      </c>
      <c r="N258" s="112">
        <v>45291</v>
      </c>
      <c r="O258" s="108"/>
      <c r="P258" s="108" t="s">
        <v>213</v>
      </c>
      <c r="Q258" s="210" t="s">
        <v>4102</v>
      </c>
      <c r="R258" s="108" t="s">
        <v>37</v>
      </c>
      <c r="S258" s="108" t="s">
        <v>476</v>
      </c>
      <c r="T258" s="108" t="s">
        <v>100</v>
      </c>
      <c r="U258" s="108" t="s">
        <v>276</v>
      </c>
      <c r="V258" s="108" t="s">
        <v>180</v>
      </c>
      <c r="W258" s="108" t="s">
        <v>263</v>
      </c>
      <c r="X258" s="108" t="s">
        <v>215</v>
      </c>
      <c r="Y258" s="108" t="s">
        <v>216</v>
      </c>
      <c r="Z258" s="108" t="s">
        <v>1276</v>
      </c>
      <c r="AA258" s="111">
        <v>33367</v>
      </c>
      <c r="AB258" s="113">
        <v>32</v>
      </c>
      <c r="AC258" s="108" t="s">
        <v>1699</v>
      </c>
      <c r="AD258" s="129" t="s">
        <v>1700</v>
      </c>
      <c r="AE258" s="108" t="s">
        <v>1701</v>
      </c>
      <c r="AF258" s="108"/>
      <c r="AG258" s="108" t="s">
        <v>1702</v>
      </c>
      <c r="AH258" s="114" t="s">
        <v>1703</v>
      </c>
      <c r="AI258" s="115">
        <v>18099947543</v>
      </c>
      <c r="AJ258" s="108" t="s">
        <v>189</v>
      </c>
      <c r="AK258" s="108" t="s">
        <v>1704</v>
      </c>
      <c r="AL258" s="108" t="s">
        <v>1705</v>
      </c>
      <c r="AM258" s="108" t="s">
        <v>1706</v>
      </c>
      <c r="AN258" s="108"/>
      <c r="AO258" s="108"/>
      <c r="AP258" s="108"/>
      <c r="AQ258" s="108"/>
      <c r="AR258" s="108"/>
      <c r="AS258" s="108"/>
      <c r="AT258" s="108">
        <v>2</v>
      </c>
      <c r="AU258" s="108" t="s">
        <v>330</v>
      </c>
      <c r="AV258" s="115">
        <v>0</v>
      </c>
      <c r="AW258" s="108" t="s">
        <v>74</v>
      </c>
      <c r="AX258" s="108" t="s">
        <v>13</v>
      </c>
      <c r="AY258" s="108" t="s">
        <v>210</v>
      </c>
      <c r="AZ258" s="108" t="s">
        <v>1707</v>
      </c>
      <c r="BA258" s="108">
        <v>2012</v>
      </c>
      <c r="BB258" s="108" t="s">
        <v>13</v>
      </c>
      <c r="BC258" s="108" t="s">
        <v>210</v>
      </c>
      <c r="BD258" s="108" t="s">
        <v>1707</v>
      </c>
      <c r="BE258" s="108">
        <v>2012</v>
      </c>
      <c r="BF258" s="116"/>
      <c r="BG258" s="116"/>
      <c r="BH258" s="108" t="s">
        <v>241</v>
      </c>
      <c r="BI258" s="108">
        <v>28</v>
      </c>
      <c r="BJ258" s="108">
        <v>41</v>
      </c>
      <c r="BK258" s="111">
        <v>44365</v>
      </c>
      <c r="BL258" s="111">
        <v>44400</v>
      </c>
      <c r="BM258" s="111"/>
      <c r="BN258" s="111"/>
      <c r="BO258" s="108"/>
      <c r="BP258" s="108"/>
      <c r="BQ258" s="108"/>
      <c r="BR258" s="108"/>
      <c r="BS258" s="108"/>
      <c r="BT258" s="108"/>
      <c r="BU258" s="108"/>
      <c r="BV258" s="108"/>
      <c r="BW258" s="108"/>
      <c r="BX258" s="108"/>
      <c r="BY258" s="108"/>
      <c r="BZ258" s="108" t="str">
        <f>VLOOKUP(C258,[1]Sertifikasi!$B$4:$I$19,8,0)</f>
        <v>Pembinaan Dan Sertifikasi Calon Ahli K3 Umum</v>
      </c>
    </row>
    <row r="259" spans="1:78" ht="11.25" customHeight="1">
      <c r="A259" s="108"/>
      <c r="B259" s="108">
        <v>314</v>
      </c>
      <c r="C259" s="108" t="s">
        <v>4114</v>
      </c>
      <c r="D259" s="109">
        <v>642201159</v>
      </c>
      <c r="E259" s="131">
        <v>1110019861182</v>
      </c>
      <c r="F259" s="131"/>
      <c r="G259" s="108" t="s">
        <v>1276</v>
      </c>
      <c r="H259" s="108" t="s">
        <v>1276</v>
      </c>
      <c r="I259" s="111">
        <v>44698</v>
      </c>
      <c r="J259" s="108">
        <v>1</v>
      </c>
      <c r="K259" s="108">
        <v>4</v>
      </c>
      <c r="L259" s="108" t="str">
        <f t="shared" si="8"/>
        <v>PKWT</v>
      </c>
      <c r="M259" s="108"/>
      <c r="N259" s="112">
        <v>45428</v>
      </c>
      <c r="O259" s="108"/>
      <c r="P259" s="108" t="s">
        <v>213</v>
      </c>
      <c r="Q259" s="210" t="s">
        <v>4102</v>
      </c>
      <c r="R259" s="108" t="s">
        <v>259</v>
      </c>
      <c r="S259" s="108" t="s">
        <v>476</v>
      </c>
      <c r="T259" s="108" t="s">
        <v>97</v>
      </c>
      <c r="U259" s="108" t="s">
        <v>276</v>
      </c>
      <c r="V259" s="108" t="s">
        <v>180</v>
      </c>
      <c r="W259" s="108"/>
      <c r="X259" s="108"/>
      <c r="Y259" s="108" t="s">
        <v>216</v>
      </c>
      <c r="Z259" s="108" t="s">
        <v>1691</v>
      </c>
      <c r="AA259" s="111">
        <v>34037</v>
      </c>
      <c r="AB259" s="113">
        <v>30</v>
      </c>
      <c r="AC259" s="108" t="s">
        <v>2727</v>
      </c>
      <c r="AD259" s="129" t="s">
        <v>2728</v>
      </c>
      <c r="AE259" s="108" t="s">
        <v>2729</v>
      </c>
      <c r="AF259" s="108"/>
      <c r="AG259" s="108" t="s">
        <v>2730</v>
      </c>
      <c r="AH259" s="114" t="s">
        <v>2731</v>
      </c>
      <c r="AI259" s="115" t="s">
        <v>2732</v>
      </c>
      <c r="AJ259" s="108" t="s">
        <v>255</v>
      </c>
      <c r="AK259" s="108"/>
      <c r="AL259" s="108"/>
      <c r="AM259" s="108"/>
      <c r="AN259" s="108"/>
      <c r="AO259" s="108"/>
      <c r="AP259" s="108"/>
      <c r="AQ259" s="108"/>
      <c r="AR259" s="108"/>
      <c r="AS259" s="108"/>
      <c r="AT259" s="108">
        <v>0</v>
      </c>
      <c r="AU259" s="108" t="s">
        <v>304</v>
      </c>
      <c r="AV259" s="115"/>
      <c r="AW259" s="108" t="s">
        <v>74</v>
      </c>
      <c r="AX259" s="108" t="s">
        <v>16</v>
      </c>
      <c r="AY259" s="108" t="s">
        <v>226</v>
      </c>
      <c r="AZ259" s="108" t="s">
        <v>2733</v>
      </c>
      <c r="BA259" s="108">
        <v>2011</v>
      </c>
      <c r="BB259" s="108" t="s">
        <v>16</v>
      </c>
      <c r="BC259" s="108" t="s">
        <v>226</v>
      </c>
      <c r="BD259" s="108" t="s">
        <v>2733</v>
      </c>
      <c r="BE259" s="108">
        <v>2011</v>
      </c>
      <c r="BF259" s="116"/>
      <c r="BG259" s="116"/>
      <c r="BH259" s="108"/>
      <c r="BI259" s="108"/>
      <c r="BJ259" s="108">
        <v>40</v>
      </c>
      <c r="BK259" s="111"/>
      <c r="BL259" s="111"/>
      <c r="BM259" s="111"/>
      <c r="BN259" s="111"/>
      <c r="BO259" s="108"/>
      <c r="BP259" s="108"/>
      <c r="BQ259" s="108"/>
      <c r="BR259" s="108" t="s">
        <v>2734</v>
      </c>
      <c r="BS259" s="108"/>
      <c r="BT259" s="108"/>
      <c r="BU259" s="108"/>
      <c r="BV259" s="108"/>
      <c r="BW259" s="108"/>
      <c r="BX259" s="108"/>
      <c r="BY259" s="108"/>
      <c r="BZ259" s="108" t="e">
        <f>VLOOKUP(C259,[1]Sertifikasi!$B$4:$I$19,8,0)</f>
        <v>#N/A</v>
      </c>
    </row>
    <row r="260" spans="1:78" ht="11.25" customHeight="1">
      <c r="A260" s="108"/>
      <c r="B260" s="108">
        <v>18</v>
      </c>
      <c r="C260" s="135" t="s">
        <v>529</v>
      </c>
      <c r="D260" s="109">
        <v>971700011</v>
      </c>
      <c r="E260" s="131">
        <v>1710003919886</v>
      </c>
      <c r="F260" s="131">
        <v>7206019314</v>
      </c>
      <c r="G260" s="113" t="s">
        <v>71</v>
      </c>
      <c r="H260" s="108" t="s">
        <v>71</v>
      </c>
      <c r="I260" s="111">
        <v>42401</v>
      </c>
      <c r="J260" s="108">
        <f ca="1">DATEDIF(I260,$C$3,"y")</f>
        <v>7</v>
      </c>
      <c r="K260" s="108">
        <f ca="1">DATEDIF(I260,$C$3,"ym")</f>
        <v>9</v>
      </c>
      <c r="L260" s="108" t="str">
        <f t="shared" si="8"/>
        <v>Tetap</v>
      </c>
      <c r="M260" s="194"/>
      <c r="N260" s="112">
        <v>42767</v>
      </c>
      <c r="O260" s="111"/>
      <c r="P260" s="108" t="s">
        <v>261</v>
      </c>
      <c r="Q260" s="210" t="s">
        <v>4100</v>
      </c>
      <c r="R260" s="108" t="s">
        <v>4099</v>
      </c>
      <c r="S260" s="108" t="s">
        <v>360</v>
      </c>
      <c r="T260" s="108" t="s">
        <v>361</v>
      </c>
      <c r="U260" s="108" t="s">
        <v>362</v>
      </c>
      <c r="V260" s="108" t="s">
        <v>180</v>
      </c>
      <c r="W260" s="108"/>
      <c r="X260" s="108"/>
      <c r="Y260" s="108" t="s">
        <v>60</v>
      </c>
      <c r="Z260" s="108" t="s">
        <v>182</v>
      </c>
      <c r="AA260" s="111">
        <v>33140</v>
      </c>
      <c r="AB260" s="113">
        <f ca="1">DATEDIF(AA260,$C$3,"y")</f>
        <v>33</v>
      </c>
      <c r="AC260" s="108" t="s">
        <v>530</v>
      </c>
      <c r="AD260" s="129" t="s">
        <v>531</v>
      </c>
      <c r="AE260" s="108" t="s">
        <v>532</v>
      </c>
      <c r="AF260" s="108"/>
      <c r="AG260" s="130" t="s">
        <v>533</v>
      </c>
      <c r="AH260" s="114" t="s">
        <v>534</v>
      </c>
      <c r="AI260" s="115" t="s">
        <v>535</v>
      </c>
      <c r="AJ260" s="108" t="s">
        <v>189</v>
      </c>
      <c r="AK260" s="108" t="s">
        <v>536</v>
      </c>
      <c r="AL260" s="108" t="s">
        <v>537</v>
      </c>
      <c r="AM260" s="108"/>
      <c r="AN260" s="108"/>
      <c r="AO260" s="108"/>
      <c r="AP260" s="108"/>
      <c r="AQ260" s="108"/>
      <c r="AR260" s="108"/>
      <c r="AS260" s="108"/>
      <c r="AT260" s="108">
        <f>COUNTA(AL260:AO260)</f>
        <v>1</v>
      </c>
      <c r="AU260" s="108" t="str">
        <f>IF(AJ260="Menikah","K","TK")&amp;"/"&amp;AT260</f>
        <v>K/1</v>
      </c>
      <c r="AV260" s="131" t="s">
        <v>538</v>
      </c>
      <c r="AW260" s="113" t="s">
        <v>74</v>
      </c>
      <c r="AX260" s="108" t="s">
        <v>16</v>
      </c>
      <c r="AY260" s="108" t="s">
        <v>539</v>
      </c>
      <c r="AZ260" s="108" t="s">
        <v>540</v>
      </c>
      <c r="BA260" s="108"/>
      <c r="BB260" s="108" t="s">
        <v>16</v>
      </c>
      <c r="BC260" s="108" t="s">
        <v>539</v>
      </c>
      <c r="BD260" s="108" t="s">
        <v>540</v>
      </c>
      <c r="BE260" s="108"/>
      <c r="BF260" s="205">
        <v>53359</v>
      </c>
      <c r="BG260" s="116">
        <v>17199</v>
      </c>
      <c r="BH260" s="113"/>
      <c r="BI260" s="108"/>
      <c r="BJ260" s="194"/>
      <c r="BK260" s="111"/>
      <c r="BL260" s="111">
        <v>44475</v>
      </c>
      <c r="BM260" s="208"/>
      <c r="BN260" s="111"/>
      <c r="BO260" s="108"/>
      <c r="BP260" s="108"/>
      <c r="BQ260" s="108"/>
      <c r="BR260" s="108"/>
      <c r="BS260" s="108"/>
      <c r="BT260" s="108"/>
      <c r="BU260" s="108"/>
      <c r="BV260" s="108"/>
      <c r="BW260" s="108"/>
      <c r="BX260" s="108"/>
      <c r="BY260" s="108"/>
      <c r="BZ260" s="108" t="e">
        <f>VLOOKUP(C260,[1]Sertifikasi!$B$4:$I$19,8,0)</f>
        <v>#N/A</v>
      </c>
    </row>
    <row r="261" spans="1:78" ht="11.25" customHeight="1">
      <c r="A261" s="108"/>
      <c r="B261" s="108">
        <v>252</v>
      </c>
      <c r="C261" s="108" t="s">
        <v>2861</v>
      </c>
      <c r="D261" s="109">
        <v>642301189</v>
      </c>
      <c r="E261" s="131">
        <v>1800012245256</v>
      </c>
      <c r="F261" s="131"/>
      <c r="G261" s="108" t="s">
        <v>71</v>
      </c>
      <c r="H261" s="108" t="s">
        <v>71</v>
      </c>
      <c r="I261" s="111">
        <v>44931</v>
      </c>
      <c r="J261" s="108">
        <v>0</v>
      </c>
      <c r="K261" s="108">
        <v>9</v>
      </c>
      <c r="L261" s="108" t="str">
        <f t="shared" si="8"/>
        <v>PKWT</v>
      </c>
      <c r="M261" s="108"/>
      <c r="N261" s="112">
        <v>45291</v>
      </c>
      <c r="O261" s="108"/>
      <c r="P261" s="108" t="s">
        <v>213</v>
      </c>
      <c r="Q261" s="210" t="s">
        <v>4102</v>
      </c>
      <c r="R261" s="108" t="s">
        <v>259</v>
      </c>
      <c r="S261" s="108" t="s">
        <v>33</v>
      </c>
      <c r="T261" s="108" t="s">
        <v>432</v>
      </c>
      <c r="U261" s="108" t="s">
        <v>199</v>
      </c>
      <c r="V261" s="108" t="s">
        <v>180</v>
      </c>
      <c r="W261" s="108" t="s">
        <v>277</v>
      </c>
      <c r="X261" s="108"/>
      <c r="Y261" s="108" t="s">
        <v>216</v>
      </c>
      <c r="Z261" s="108" t="s">
        <v>1486</v>
      </c>
      <c r="AA261" s="111">
        <v>37086</v>
      </c>
      <c r="AB261" s="113">
        <v>22</v>
      </c>
      <c r="AC261" s="108" t="s">
        <v>2862</v>
      </c>
      <c r="AD261" s="129" t="s">
        <v>2863</v>
      </c>
      <c r="AE261" s="108" t="s">
        <v>2864</v>
      </c>
      <c r="AF261" s="108"/>
      <c r="AG261" s="108" t="s">
        <v>2865</v>
      </c>
      <c r="AH261" s="114" t="s">
        <v>2866</v>
      </c>
      <c r="AI261" s="115">
        <v>23009096662</v>
      </c>
      <c r="AJ261" s="108" t="s">
        <v>255</v>
      </c>
      <c r="AK261" s="108"/>
      <c r="AL261" s="108"/>
      <c r="AM261" s="108"/>
      <c r="AN261" s="108"/>
      <c r="AO261" s="108"/>
      <c r="AP261" s="108"/>
      <c r="AQ261" s="108"/>
      <c r="AR261" s="108"/>
      <c r="AS261" s="108"/>
      <c r="AT261" s="108">
        <v>0</v>
      </c>
      <c r="AU261" s="108" t="s">
        <v>304</v>
      </c>
      <c r="AV261" s="115"/>
      <c r="AW261" s="108" t="s">
        <v>74</v>
      </c>
      <c r="AX261" s="108" t="s">
        <v>13</v>
      </c>
      <c r="AY261" s="108" t="s">
        <v>2789</v>
      </c>
      <c r="AZ261" s="108" t="s">
        <v>2472</v>
      </c>
      <c r="BA261" s="108">
        <v>2022</v>
      </c>
      <c r="BB261" s="108" t="s">
        <v>13</v>
      </c>
      <c r="BC261" s="108" t="s">
        <v>2789</v>
      </c>
      <c r="BD261" s="108" t="s">
        <v>2472</v>
      </c>
      <c r="BE261" s="108">
        <v>2022</v>
      </c>
      <c r="BF261" s="116"/>
      <c r="BG261" s="116"/>
      <c r="BH261" s="108"/>
      <c r="BI261" s="108"/>
      <c r="BJ261" s="108">
        <v>44</v>
      </c>
      <c r="BK261" s="111"/>
      <c r="BL261" s="111"/>
      <c r="BM261" s="111">
        <v>44596</v>
      </c>
      <c r="BN261" s="111"/>
      <c r="BO261" s="108"/>
      <c r="BP261" s="108"/>
      <c r="BQ261" s="108"/>
      <c r="BR261" s="108"/>
      <c r="BS261" s="108"/>
      <c r="BT261" s="108"/>
      <c r="BU261" s="108"/>
      <c r="BV261" s="108"/>
      <c r="BW261" s="108"/>
      <c r="BX261" s="108"/>
      <c r="BY261" s="108"/>
      <c r="BZ261" s="108" t="e">
        <f>VLOOKUP(C261,[1]Sertifikasi!$B$4:$I$19,8,0)</f>
        <v>#N/A</v>
      </c>
    </row>
    <row r="262" spans="1:78" ht="11.25" customHeight="1">
      <c r="A262" s="108"/>
      <c r="B262" s="108">
        <v>189</v>
      </c>
      <c r="C262" s="108" t="s">
        <v>1350</v>
      </c>
      <c r="D262" s="109">
        <v>641807169</v>
      </c>
      <c r="E262" s="131">
        <v>1710004387588</v>
      </c>
      <c r="F262" s="131"/>
      <c r="G262" s="108" t="s">
        <v>71</v>
      </c>
      <c r="H262" s="108" t="s">
        <v>71</v>
      </c>
      <c r="I262" s="111">
        <v>43282</v>
      </c>
      <c r="J262" s="108">
        <v>5</v>
      </c>
      <c r="K262" s="108">
        <v>3</v>
      </c>
      <c r="L262" s="108" t="str">
        <f t="shared" si="8"/>
        <v>PKWT</v>
      </c>
      <c r="M262" s="108"/>
      <c r="N262" s="112">
        <v>45291</v>
      </c>
      <c r="O262" s="108"/>
      <c r="P262" s="108" t="s">
        <v>213</v>
      </c>
      <c r="Q262" s="210" t="s">
        <v>4102</v>
      </c>
      <c r="R262" s="108" t="s">
        <v>259</v>
      </c>
      <c r="S262" s="108" t="s">
        <v>262</v>
      </c>
      <c r="T262" s="108" t="s">
        <v>89</v>
      </c>
      <c r="U262" s="108" t="s">
        <v>199</v>
      </c>
      <c r="V262" s="108" t="s">
        <v>180</v>
      </c>
      <c r="W262" s="108" t="s">
        <v>277</v>
      </c>
      <c r="X262" s="108" t="s">
        <v>215</v>
      </c>
      <c r="Y262" s="108" t="s">
        <v>216</v>
      </c>
      <c r="Z262" s="108" t="s">
        <v>1351</v>
      </c>
      <c r="AA262" s="111">
        <v>36346</v>
      </c>
      <c r="AB262" s="113">
        <v>24</v>
      </c>
      <c r="AC262" s="108" t="s">
        <v>1352</v>
      </c>
      <c r="AD262" s="129" t="s">
        <v>1353</v>
      </c>
      <c r="AE262" s="108" t="s">
        <v>1354</v>
      </c>
      <c r="AF262" s="108"/>
      <c r="AG262" s="108" t="s">
        <v>1355</v>
      </c>
      <c r="AH262" s="114" t="s">
        <v>1356</v>
      </c>
      <c r="AI262" s="115">
        <v>18056172036</v>
      </c>
      <c r="AJ262" s="108" t="s">
        <v>255</v>
      </c>
      <c r="AK262" s="108"/>
      <c r="AL262" s="108"/>
      <c r="AM262" s="108"/>
      <c r="AN262" s="108"/>
      <c r="AO262" s="108"/>
      <c r="AP262" s="108"/>
      <c r="AQ262" s="108"/>
      <c r="AR262" s="108"/>
      <c r="AS262" s="108"/>
      <c r="AT262" s="108">
        <v>0</v>
      </c>
      <c r="AU262" s="108" t="s">
        <v>304</v>
      </c>
      <c r="AV262" s="115">
        <v>0</v>
      </c>
      <c r="AW262" s="108" t="s">
        <v>74</v>
      </c>
      <c r="AX262" s="108" t="s">
        <v>16</v>
      </c>
      <c r="AY262" s="108" t="s">
        <v>1357</v>
      </c>
      <c r="AZ262" s="108" t="s">
        <v>306</v>
      </c>
      <c r="BA262" s="108">
        <v>2017</v>
      </c>
      <c r="BB262" s="108" t="s">
        <v>287</v>
      </c>
      <c r="BC262" s="108" t="s">
        <v>1357</v>
      </c>
      <c r="BD262" s="108" t="s">
        <v>306</v>
      </c>
      <c r="BE262" s="108">
        <v>2017</v>
      </c>
      <c r="BF262" s="116"/>
      <c r="BG262" s="116"/>
      <c r="BH262" s="108" t="s">
        <v>345</v>
      </c>
      <c r="BI262" s="108">
        <v>30</v>
      </c>
      <c r="BJ262" s="108">
        <v>41</v>
      </c>
      <c r="BK262" s="111"/>
      <c r="BL262" s="111"/>
      <c r="BM262" s="111">
        <v>44648</v>
      </c>
      <c r="BN262" s="111"/>
      <c r="BO262" s="108"/>
      <c r="BP262" s="108"/>
      <c r="BQ262" s="108"/>
      <c r="BR262" s="108"/>
      <c r="BS262" s="108"/>
      <c r="BT262" s="108"/>
      <c r="BU262" s="108"/>
      <c r="BV262" s="108"/>
      <c r="BW262" s="108"/>
      <c r="BX262" s="108"/>
      <c r="BY262" s="108"/>
      <c r="BZ262" s="108" t="e">
        <f>VLOOKUP(C262,[1]Sertifikasi!$B$4:$I$19,8,0)</f>
        <v>#N/A</v>
      </c>
    </row>
    <row r="263" spans="1:78" ht="11.25" customHeight="1">
      <c r="A263" s="108"/>
      <c r="B263" s="108">
        <v>4</v>
      </c>
      <c r="C263" s="108" t="s">
        <v>629</v>
      </c>
      <c r="D263" s="109">
        <v>642001067</v>
      </c>
      <c r="E263" s="131">
        <v>1710003988436</v>
      </c>
      <c r="F263" s="131"/>
      <c r="G263" s="108" t="s">
        <v>71</v>
      </c>
      <c r="H263" s="108" t="s">
        <v>71</v>
      </c>
      <c r="I263" s="111">
        <v>42430</v>
      </c>
      <c r="J263" s="108">
        <v>7</v>
      </c>
      <c r="K263" s="108">
        <v>7</v>
      </c>
      <c r="L263" s="108" t="str">
        <f t="shared" si="8"/>
        <v>PKWT</v>
      </c>
      <c r="M263" s="108"/>
      <c r="N263" s="112">
        <v>45291</v>
      </c>
      <c r="O263" s="108"/>
      <c r="P263" s="108" t="s">
        <v>213</v>
      </c>
      <c r="Q263" s="210" t="s">
        <v>4100</v>
      </c>
      <c r="R263" s="108" t="s">
        <v>85</v>
      </c>
      <c r="S263" s="108" t="s">
        <v>85</v>
      </c>
      <c r="T263" s="108" t="s">
        <v>85</v>
      </c>
      <c r="U263" s="108" t="s">
        <v>362</v>
      </c>
      <c r="V263" s="108" t="s">
        <v>180</v>
      </c>
      <c r="W263" s="108"/>
      <c r="X263" s="108" t="s">
        <v>215</v>
      </c>
      <c r="Y263" s="108" t="s">
        <v>216</v>
      </c>
      <c r="Z263" s="108" t="s">
        <v>71</v>
      </c>
      <c r="AA263" s="111">
        <v>33941</v>
      </c>
      <c r="AB263" s="113">
        <v>30</v>
      </c>
      <c r="AC263" s="108" t="s">
        <v>630</v>
      </c>
      <c r="AD263" s="129" t="s">
        <v>631</v>
      </c>
      <c r="AE263" s="108" t="s">
        <v>632</v>
      </c>
      <c r="AF263" s="108"/>
      <c r="AG263" s="108" t="s">
        <v>633</v>
      </c>
      <c r="AH263" s="114" t="s">
        <v>634</v>
      </c>
      <c r="AI263" s="115">
        <v>16006272070</v>
      </c>
      <c r="AJ263" s="108" t="s">
        <v>635</v>
      </c>
      <c r="AK263" s="108"/>
      <c r="AL263" s="108"/>
      <c r="AM263" s="108"/>
      <c r="AN263" s="108"/>
      <c r="AO263" s="108"/>
      <c r="AP263" s="108"/>
      <c r="AQ263" s="108"/>
      <c r="AR263" s="108"/>
      <c r="AS263" s="108"/>
      <c r="AT263" s="108">
        <v>0</v>
      </c>
      <c r="AU263" s="108" t="s">
        <v>304</v>
      </c>
      <c r="AV263" s="115">
        <v>0</v>
      </c>
      <c r="AW263" s="108" t="s">
        <v>74</v>
      </c>
      <c r="AX263" s="108" t="s">
        <v>16</v>
      </c>
      <c r="AY263" s="108" t="s">
        <v>331</v>
      </c>
      <c r="AZ263" s="108" t="s">
        <v>319</v>
      </c>
      <c r="BA263" s="108">
        <v>2012</v>
      </c>
      <c r="BB263" s="108" t="s">
        <v>287</v>
      </c>
      <c r="BC263" s="108" t="s">
        <v>331</v>
      </c>
      <c r="BD263" s="108" t="s">
        <v>319</v>
      </c>
      <c r="BE263" s="108">
        <v>2012</v>
      </c>
      <c r="BF263" s="116"/>
      <c r="BG263" s="116"/>
      <c r="BH263" s="108" t="s">
        <v>241</v>
      </c>
      <c r="BI263" s="108">
        <v>30</v>
      </c>
      <c r="BJ263" s="108">
        <v>42</v>
      </c>
      <c r="BK263" s="111">
        <v>44294</v>
      </c>
      <c r="BL263" s="111">
        <v>44322</v>
      </c>
      <c r="BM263" s="111">
        <v>44601</v>
      </c>
      <c r="BN263" s="111"/>
      <c r="BO263" s="108">
        <v>43467</v>
      </c>
      <c r="BP263" s="108">
        <v>43830</v>
      </c>
      <c r="BQ263" s="108" t="s">
        <v>636</v>
      </c>
      <c r="BR263" s="108" t="s">
        <v>637</v>
      </c>
      <c r="BS263" s="108"/>
      <c r="BT263" s="108"/>
      <c r="BU263" s="108"/>
      <c r="BV263" s="108"/>
      <c r="BW263" s="108"/>
      <c r="BX263" s="108"/>
      <c r="BY263" s="108"/>
      <c r="BZ263" s="108" t="e">
        <f>VLOOKUP(C263,[1]Sertifikasi!$B$4:$I$19,8,0)</f>
        <v>#N/A</v>
      </c>
    </row>
    <row r="264" spans="1:78" ht="11.25" customHeight="1">
      <c r="A264" s="108"/>
      <c r="B264" s="108">
        <v>190</v>
      </c>
      <c r="C264" s="108" t="s">
        <v>2848</v>
      </c>
      <c r="D264" s="109">
        <v>642201176</v>
      </c>
      <c r="E264" s="131">
        <v>1710011617928</v>
      </c>
      <c r="F264" s="131"/>
      <c r="G264" s="108" t="s">
        <v>71</v>
      </c>
      <c r="H264" s="108" t="s">
        <v>71</v>
      </c>
      <c r="I264" s="111">
        <v>44743</v>
      </c>
      <c r="J264" s="108">
        <v>1</v>
      </c>
      <c r="K264" s="108">
        <v>3</v>
      </c>
      <c r="L264" s="108" t="str">
        <f t="shared" si="8"/>
        <v>PKWT</v>
      </c>
      <c r="M264" s="108"/>
      <c r="N264" s="112">
        <v>45473</v>
      </c>
      <c r="O264" s="108"/>
      <c r="P264" s="108" t="s">
        <v>213</v>
      </c>
      <c r="Q264" s="210" t="s">
        <v>4102</v>
      </c>
      <c r="R264" s="108" t="s">
        <v>259</v>
      </c>
      <c r="S264" s="108" t="s">
        <v>262</v>
      </c>
      <c r="T264" s="108" t="s">
        <v>89</v>
      </c>
      <c r="U264" s="108" t="s">
        <v>199</v>
      </c>
      <c r="V264" s="108" t="s">
        <v>180</v>
      </c>
      <c r="W264" s="108"/>
      <c r="X264" s="108"/>
      <c r="Y264" s="108" t="s">
        <v>216</v>
      </c>
      <c r="Z264" s="108" t="s">
        <v>71</v>
      </c>
      <c r="AA264" s="111">
        <v>37496</v>
      </c>
      <c r="AB264" s="113">
        <v>21</v>
      </c>
      <c r="AC264" s="108" t="s">
        <v>2849</v>
      </c>
      <c r="AD264" s="129" t="s">
        <v>2850</v>
      </c>
      <c r="AE264" s="108"/>
      <c r="AF264" s="108"/>
      <c r="AG264" s="140" t="s">
        <v>2851</v>
      </c>
      <c r="AH264" s="114" t="s">
        <v>2852</v>
      </c>
      <c r="AI264" s="115">
        <v>22090773627</v>
      </c>
      <c r="AJ264" s="108" t="s">
        <v>255</v>
      </c>
      <c r="AK264" s="108"/>
      <c r="AL264" s="108"/>
      <c r="AM264" s="108"/>
      <c r="AN264" s="108"/>
      <c r="AO264" s="108"/>
      <c r="AP264" s="108"/>
      <c r="AQ264" s="108"/>
      <c r="AR264" s="108"/>
      <c r="AS264" s="108"/>
      <c r="AT264" s="108">
        <v>0</v>
      </c>
      <c r="AU264" s="108" t="s">
        <v>304</v>
      </c>
      <c r="AV264" s="115"/>
      <c r="AW264" s="108" t="s">
        <v>74</v>
      </c>
      <c r="AX264" s="108" t="s">
        <v>16</v>
      </c>
      <c r="AY264" s="108"/>
      <c r="AZ264" s="108"/>
      <c r="BA264" s="108"/>
      <c r="BB264" s="108" t="s">
        <v>16</v>
      </c>
      <c r="BC264" s="108"/>
      <c r="BD264" s="108"/>
      <c r="BE264" s="108"/>
      <c r="BF264" s="116"/>
      <c r="BG264" s="116"/>
      <c r="BH264" s="108"/>
      <c r="BI264" s="108"/>
      <c r="BJ264" s="108">
        <v>40</v>
      </c>
      <c r="BK264" s="111"/>
      <c r="BL264" s="111"/>
      <c r="BM264" s="111">
        <v>44667</v>
      </c>
      <c r="BN264" s="111"/>
      <c r="BO264" s="108"/>
      <c r="BP264" s="108"/>
      <c r="BQ264" s="108"/>
      <c r="BR264" s="108" t="s">
        <v>2853</v>
      </c>
      <c r="BS264" s="108"/>
      <c r="BT264" s="108"/>
      <c r="BU264" s="108"/>
      <c r="BV264" s="108"/>
      <c r="BW264" s="108"/>
      <c r="BX264" s="108"/>
      <c r="BY264" s="108"/>
      <c r="BZ264" s="108" t="e">
        <f>VLOOKUP(C264,[1]Sertifikasi!$B$4:$I$19,8,0)</f>
        <v>#N/A</v>
      </c>
    </row>
    <row r="265" spans="1:78" ht="11.25" customHeight="1">
      <c r="A265" s="108"/>
      <c r="B265" s="108">
        <v>24</v>
      </c>
      <c r="C265" s="142" t="s">
        <v>2986</v>
      </c>
      <c r="D265" s="109">
        <v>991500018</v>
      </c>
      <c r="E265" s="131" t="s">
        <v>2987</v>
      </c>
      <c r="F265" s="131"/>
      <c r="G265" s="113" t="s">
        <v>33</v>
      </c>
      <c r="H265" s="132" t="s">
        <v>71</v>
      </c>
      <c r="I265" s="111">
        <v>45133</v>
      </c>
      <c r="J265" s="108">
        <f ca="1">DATEDIF(I265,$C$3,"y")</f>
        <v>0</v>
      </c>
      <c r="K265" s="108">
        <f ca="1">DATEDIF(I265,$C$3,"ym")</f>
        <v>3</v>
      </c>
      <c r="L265" s="108" t="str">
        <f t="shared" si="8"/>
        <v>Organik</v>
      </c>
      <c r="M265" s="115" t="s">
        <v>2988</v>
      </c>
      <c r="N265" s="112">
        <v>45133</v>
      </c>
      <c r="O265" s="142" t="s">
        <v>261</v>
      </c>
      <c r="P265" s="142" t="s">
        <v>261</v>
      </c>
      <c r="Q265" s="210" t="s">
        <v>4100</v>
      </c>
      <c r="R265" s="108" t="s">
        <v>4099</v>
      </c>
      <c r="S265" s="108" t="s">
        <v>674</v>
      </c>
      <c r="T265" s="108" t="s">
        <v>674</v>
      </c>
      <c r="U265" s="108" t="s">
        <v>674</v>
      </c>
      <c r="V265" s="108" t="s">
        <v>247</v>
      </c>
      <c r="W265" s="108"/>
      <c r="X265" s="108"/>
      <c r="Y265" s="108" t="s">
        <v>59</v>
      </c>
      <c r="Z265" s="142" t="s">
        <v>1374</v>
      </c>
      <c r="AA265" s="111">
        <v>32907</v>
      </c>
      <c r="AB265" s="113">
        <f ca="1">DATEDIF(AA265,$C$3,"y")</f>
        <v>33</v>
      </c>
      <c r="AC265" s="143" t="s">
        <v>2989</v>
      </c>
      <c r="AD265" s="198" t="s">
        <v>2990</v>
      </c>
      <c r="AE265" s="115" t="s">
        <v>2991</v>
      </c>
      <c r="AF265" s="108"/>
      <c r="AG265" s="142" t="s">
        <v>2992</v>
      </c>
      <c r="AH265" s="144" t="s">
        <v>2993</v>
      </c>
      <c r="AI265" s="115">
        <v>15037840186</v>
      </c>
      <c r="AJ265" s="108" t="s">
        <v>189</v>
      </c>
      <c r="AK265" s="108"/>
      <c r="AL265" s="108"/>
      <c r="AM265" s="108"/>
      <c r="AN265" s="108"/>
      <c r="AO265" s="108"/>
      <c r="AP265" s="108"/>
      <c r="AQ265" s="108"/>
      <c r="AR265" s="108"/>
      <c r="AS265" s="108"/>
      <c r="AT265" s="108">
        <f>COUNTA(AL265:AO265)</f>
        <v>0</v>
      </c>
      <c r="AU265" s="108" t="str">
        <f>IF(AJ265="Menikah","K","TK")&amp;"/"&amp;AT265</f>
        <v>K/0</v>
      </c>
      <c r="AV265" s="145" t="s">
        <v>2994</v>
      </c>
      <c r="AW265" s="113" t="s">
        <v>74</v>
      </c>
      <c r="AX265" s="115" t="s">
        <v>12</v>
      </c>
      <c r="AY265" s="115" t="s">
        <v>671</v>
      </c>
      <c r="AZ265" s="142" t="s">
        <v>2995</v>
      </c>
      <c r="BA265" s="142"/>
      <c r="BB265" s="108" t="s">
        <v>12</v>
      </c>
      <c r="BC265" s="115" t="s">
        <v>671</v>
      </c>
      <c r="BD265" s="142" t="s">
        <v>2995</v>
      </c>
      <c r="BE265" s="142"/>
      <c r="BF265" s="116">
        <v>53022</v>
      </c>
      <c r="BG265" s="116">
        <v>53387</v>
      </c>
      <c r="BH265" s="108"/>
      <c r="BI265" s="108"/>
      <c r="BJ265" s="108"/>
      <c r="BK265" s="111"/>
      <c r="BL265" s="111"/>
      <c r="BM265" s="111"/>
      <c r="BN265" s="111"/>
      <c r="BO265" s="108"/>
      <c r="BP265" s="108"/>
      <c r="BQ265" s="108"/>
      <c r="BR265" s="108"/>
      <c r="BS265" s="108"/>
      <c r="BT265" s="108"/>
      <c r="BU265" s="108"/>
      <c r="BV265" s="108"/>
      <c r="BW265" s="108"/>
      <c r="BX265" s="108"/>
      <c r="BY265" s="108"/>
      <c r="BZ265" s="108" t="e">
        <f>VLOOKUP(C265,[1]Sertifikasi!$B$4:$I$19,8,0)</f>
        <v>#N/A</v>
      </c>
    </row>
    <row r="266" spans="1:78" ht="11.25" customHeight="1">
      <c r="A266" s="108"/>
      <c r="B266" s="108">
        <v>142</v>
      </c>
      <c r="C266" s="108" t="s">
        <v>2632</v>
      </c>
      <c r="D266" s="109">
        <v>642201132</v>
      </c>
      <c r="E266" s="131">
        <v>1710010808171</v>
      </c>
      <c r="F266" s="131"/>
      <c r="G266" s="108" t="s">
        <v>71</v>
      </c>
      <c r="H266" s="108" t="s">
        <v>71</v>
      </c>
      <c r="I266" s="111">
        <v>44579</v>
      </c>
      <c r="J266" s="108">
        <v>1</v>
      </c>
      <c r="K266" s="108">
        <v>8</v>
      </c>
      <c r="L266" s="108" t="str">
        <f t="shared" si="8"/>
        <v>PKWT</v>
      </c>
      <c r="M266" s="108"/>
      <c r="N266" s="112">
        <v>45291</v>
      </c>
      <c r="O266" s="108"/>
      <c r="P266" s="108" t="s">
        <v>213</v>
      </c>
      <c r="Q266" s="210" t="s">
        <v>4102</v>
      </c>
      <c r="R266" s="108" t="s">
        <v>409</v>
      </c>
      <c r="S266" s="108" t="s">
        <v>33</v>
      </c>
      <c r="T266" s="108" t="s">
        <v>88</v>
      </c>
      <c r="U266" s="108" t="s">
        <v>199</v>
      </c>
      <c r="V266" s="108" t="s">
        <v>180</v>
      </c>
      <c r="W266" s="108"/>
      <c r="X266" s="108"/>
      <c r="Y266" s="108" t="s">
        <v>216</v>
      </c>
      <c r="Z266" s="108" t="s">
        <v>72</v>
      </c>
      <c r="AA266" s="111">
        <v>36147</v>
      </c>
      <c r="AB266" s="113">
        <v>24</v>
      </c>
      <c r="AC266" s="108" t="s">
        <v>2633</v>
      </c>
      <c r="AD266" s="129" t="s">
        <v>2634</v>
      </c>
      <c r="AE266" s="108" t="s">
        <v>2635</v>
      </c>
      <c r="AF266" s="108"/>
      <c r="AG266" s="140" t="s">
        <v>2636</v>
      </c>
      <c r="AH266" s="114" t="s">
        <v>2637</v>
      </c>
      <c r="AI266" s="115">
        <v>22017333638</v>
      </c>
      <c r="AJ266" s="108" t="s">
        <v>255</v>
      </c>
      <c r="AK266" s="108"/>
      <c r="AL266" s="108"/>
      <c r="AM266" s="108"/>
      <c r="AN266" s="108"/>
      <c r="AO266" s="108"/>
      <c r="AP266" s="108"/>
      <c r="AQ266" s="108"/>
      <c r="AR266" s="108"/>
      <c r="AS266" s="108"/>
      <c r="AT266" s="108">
        <v>0</v>
      </c>
      <c r="AU266" s="108" t="s">
        <v>304</v>
      </c>
      <c r="AV266" s="115"/>
      <c r="AW266" s="108" t="s">
        <v>74</v>
      </c>
      <c r="AX266" s="108" t="s">
        <v>16</v>
      </c>
      <c r="AY266" s="108" t="s">
        <v>331</v>
      </c>
      <c r="AZ266" s="108" t="s">
        <v>978</v>
      </c>
      <c r="BA266" s="108">
        <v>2016</v>
      </c>
      <c r="BB266" s="108" t="s">
        <v>16</v>
      </c>
      <c r="BC266" s="108" t="s">
        <v>331</v>
      </c>
      <c r="BD266" s="108" t="s">
        <v>978</v>
      </c>
      <c r="BE266" s="108">
        <v>2016</v>
      </c>
      <c r="BF266" s="116"/>
      <c r="BG266" s="116"/>
      <c r="BH266" s="108"/>
      <c r="BI266" s="108"/>
      <c r="BJ266" s="108">
        <v>41</v>
      </c>
      <c r="BK266" s="111"/>
      <c r="BL266" s="111"/>
      <c r="BM266" s="111"/>
      <c r="BN266" s="111"/>
      <c r="BO266" s="108"/>
      <c r="BP266" s="108"/>
      <c r="BQ266" s="108"/>
      <c r="BR266" s="108"/>
      <c r="BS266" s="108"/>
      <c r="BT266" s="108"/>
      <c r="BU266" s="108"/>
      <c r="BV266" s="108"/>
      <c r="BW266" s="108"/>
      <c r="BX266" s="108"/>
      <c r="BY266" s="108"/>
      <c r="BZ266" s="108" t="e">
        <f>VLOOKUP(C266,[1]Sertifikasi!$B$4:$I$19,8,0)</f>
        <v>#N/A</v>
      </c>
    </row>
    <row r="267" spans="1:78" ht="11.25" customHeight="1">
      <c r="A267" s="108"/>
      <c r="B267" s="108">
        <v>2</v>
      </c>
      <c r="C267" s="115" t="s">
        <v>2313</v>
      </c>
      <c r="D267" s="192">
        <v>642101101</v>
      </c>
      <c r="E267" s="131">
        <v>1710002933326</v>
      </c>
      <c r="F267" s="131"/>
      <c r="G267" s="108" t="s">
        <v>71</v>
      </c>
      <c r="H267" s="108" t="s">
        <v>71</v>
      </c>
      <c r="I267" s="111">
        <v>44200</v>
      </c>
      <c r="J267" s="108">
        <v>2</v>
      </c>
      <c r="K267" s="108">
        <v>9</v>
      </c>
      <c r="L267" s="108" t="str">
        <f t="shared" si="8"/>
        <v>PKWT</v>
      </c>
      <c r="M267" s="108"/>
      <c r="N267" s="112">
        <v>45291</v>
      </c>
      <c r="O267" s="108"/>
      <c r="P267" s="108" t="s">
        <v>213</v>
      </c>
      <c r="Q267" s="210" t="s">
        <v>4102</v>
      </c>
      <c r="R267" s="108" t="s">
        <v>1834</v>
      </c>
      <c r="S267" s="108" t="s">
        <v>33</v>
      </c>
      <c r="T267" s="108" t="s">
        <v>86</v>
      </c>
      <c r="U267" s="108" t="s">
        <v>276</v>
      </c>
      <c r="V267" s="108" t="s">
        <v>180</v>
      </c>
      <c r="W267" s="108"/>
      <c r="X267" s="108"/>
      <c r="Y267" s="108" t="s">
        <v>216</v>
      </c>
      <c r="Z267" s="108" t="s">
        <v>259</v>
      </c>
      <c r="AA267" s="111">
        <v>35647</v>
      </c>
      <c r="AB267" s="113">
        <v>26</v>
      </c>
      <c r="AC267" s="108" t="s">
        <v>2314</v>
      </c>
      <c r="AD267" s="129" t="s">
        <v>2315</v>
      </c>
      <c r="AE267" s="108" t="s">
        <v>2316</v>
      </c>
      <c r="AF267" s="108"/>
      <c r="AG267" s="108" t="s">
        <v>2317</v>
      </c>
      <c r="AH267" s="114" t="s">
        <v>2318</v>
      </c>
      <c r="AI267" s="115">
        <v>17023994415</v>
      </c>
      <c r="AJ267" s="108" t="s">
        <v>255</v>
      </c>
      <c r="AK267" s="108"/>
      <c r="AL267" s="108"/>
      <c r="AM267" s="108"/>
      <c r="AN267" s="108"/>
      <c r="AO267" s="108"/>
      <c r="AP267" s="108"/>
      <c r="AQ267" s="108"/>
      <c r="AR267" s="108"/>
      <c r="AS267" s="108"/>
      <c r="AT267" s="108">
        <v>0</v>
      </c>
      <c r="AU267" s="108" t="s">
        <v>304</v>
      </c>
      <c r="AV267" s="115"/>
      <c r="AW267" s="108" t="s">
        <v>74</v>
      </c>
      <c r="AX267" s="108" t="s">
        <v>16</v>
      </c>
      <c r="AY267" s="108" t="s">
        <v>226</v>
      </c>
      <c r="AZ267" s="108" t="s">
        <v>2319</v>
      </c>
      <c r="BA267" s="108">
        <v>2016</v>
      </c>
      <c r="BB267" s="108" t="s">
        <v>16</v>
      </c>
      <c r="BC267" s="108" t="s">
        <v>226</v>
      </c>
      <c r="BD267" s="108" t="s">
        <v>2319</v>
      </c>
      <c r="BE267" s="108">
        <v>2016</v>
      </c>
      <c r="BF267" s="116"/>
      <c r="BG267" s="116"/>
      <c r="BH267" s="108"/>
      <c r="BI267" s="108"/>
      <c r="BJ267" s="108">
        <v>42</v>
      </c>
      <c r="BK267" s="111">
        <v>44259</v>
      </c>
      <c r="BL267" s="111">
        <v>44304</v>
      </c>
      <c r="BM267" s="111"/>
      <c r="BN267" s="111"/>
      <c r="BO267" s="108"/>
      <c r="BP267" s="108"/>
      <c r="BQ267" s="108"/>
      <c r="BR267" s="108" t="s">
        <v>2320</v>
      </c>
      <c r="BS267" s="108"/>
      <c r="BT267" s="108"/>
      <c r="BU267" s="108"/>
      <c r="BV267" s="108"/>
      <c r="BW267" s="108"/>
      <c r="BX267" s="108"/>
      <c r="BY267" s="108"/>
      <c r="BZ267" s="108" t="e">
        <f>VLOOKUP(C267,[1]Sertifikasi!$B$4:$I$19,8,0)</f>
        <v>#N/A</v>
      </c>
    </row>
    <row r="268" spans="1:78" ht="11.25" customHeight="1">
      <c r="A268" s="108"/>
      <c r="B268" s="108">
        <v>35</v>
      </c>
      <c r="C268" s="108" t="s">
        <v>1989</v>
      </c>
      <c r="D268" s="109">
        <v>641907279</v>
      </c>
      <c r="E268" s="131">
        <v>1710005657096</v>
      </c>
      <c r="F268" s="131"/>
      <c r="G268" s="113" t="s">
        <v>71</v>
      </c>
      <c r="H268" s="108" t="s">
        <v>71</v>
      </c>
      <c r="I268" s="111">
        <v>43661</v>
      </c>
      <c r="J268" s="108">
        <f ca="1">DATEDIF(I268,$C$3,"y")</f>
        <v>4</v>
      </c>
      <c r="K268" s="108">
        <f ca="1">DATEDIF(I268,$C$3,"ym")</f>
        <v>4</v>
      </c>
      <c r="L268" s="108" t="str">
        <f t="shared" si="8"/>
        <v>PKWT</v>
      </c>
      <c r="M268" s="108" t="s">
        <v>1990</v>
      </c>
      <c r="N268" s="112">
        <v>45487</v>
      </c>
      <c r="O268" s="111"/>
      <c r="P268" s="108" t="s">
        <v>261</v>
      </c>
      <c r="Q268" s="210" t="s">
        <v>4100</v>
      </c>
      <c r="R268" s="108" t="s">
        <v>4099</v>
      </c>
      <c r="S268" s="108" t="s">
        <v>1498</v>
      </c>
      <c r="T268" s="108" t="s">
        <v>1498</v>
      </c>
      <c r="U268" s="108" t="s">
        <v>276</v>
      </c>
      <c r="V268" s="108" t="s">
        <v>180</v>
      </c>
      <c r="W268" s="108"/>
      <c r="X268" s="108"/>
      <c r="Y268" s="108" t="s">
        <v>59</v>
      </c>
      <c r="Z268" s="108" t="s">
        <v>575</v>
      </c>
      <c r="AA268" s="111">
        <v>32244</v>
      </c>
      <c r="AB268" s="113">
        <f ca="1">DATEDIF(AA268,$C$3,"y")</f>
        <v>35</v>
      </c>
      <c r="AC268" s="108" t="s">
        <v>1991</v>
      </c>
      <c r="AD268" s="129" t="s">
        <v>1992</v>
      </c>
      <c r="AE268" s="108">
        <v>81281758210</v>
      </c>
      <c r="AF268" s="108"/>
      <c r="AG268" s="130" t="s">
        <v>1993</v>
      </c>
      <c r="AH268" s="114" t="s">
        <v>1994</v>
      </c>
      <c r="AI268" s="115" t="s">
        <v>1995</v>
      </c>
      <c r="AJ268" s="108" t="s">
        <v>189</v>
      </c>
      <c r="AK268" s="108" t="s">
        <v>1996</v>
      </c>
      <c r="AL268" s="108" t="s">
        <v>1997</v>
      </c>
      <c r="AM268" s="108" t="s">
        <v>1998</v>
      </c>
      <c r="AN268" s="108"/>
      <c r="AO268" s="108"/>
      <c r="AP268" s="108"/>
      <c r="AQ268" s="108"/>
      <c r="AR268" s="108"/>
      <c r="AS268" s="108"/>
      <c r="AT268" s="108">
        <f>COUNTA(AL268:AO268)</f>
        <v>2</v>
      </c>
      <c r="AU268" s="108" t="str">
        <f>IF(AJ268="Menikah","K","TK")&amp;"/"&amp;AT268</f>
        <v>K/2</v>
      </c>
      <c r="AV268" s="131"/>
      <c r="AW268" s="113" t="s">
        <v>74</v>
      </c>
      <c r="AX268" s="108" t="s">
        <v>12</v>
      </c>
      <c r="AY268" s="108" t="s">
        <v>226</v>
      </c>
      <c r="AZ268" s="108" t="s">
        <v>1434</v>
      </c>
      <c r="BA268" s="108">
        <v>2011</v>
      </c>
      <c r="BB268" s="108" t="s">
        <v>12</v>
      </c>
      <c r="BC268" s="108" t="s">
        <v>226</v>
      </c>
      <c r="BD268" s="108" t="s">
        <v>1434</v>
      </c>
      <c r="BE268" s="108">
        <v>2011</v>
      </c>
      <c r="BF268" s="116"/>
      <c r="BG268" s="116"/>
      <c r="BH268" s="108"/>
      <c r="BI268" s="108"/>
      <c r="BJ268" s="108">
        <v>42</v>
      </c>
      <c r="BK268" s="111">
        <v>44293</v>
      </c>
      <c r="BL268" s="111">
        <v>44322</v>
      </c>
      <c r="BM268" s="111">
        <v>44905</v>
      </c>
      <c r="BN268" s="111"/>
      <c r="BO268" s="108"/>
      <c r="BP268" s="108"/>
      <c r="BQ268" s="108"/>
      <c r="BR268" s="108"/>
      <c r="BS268" s="108"/>
      <c r="BT268" s="108"/>
      <c r="BU268" s="108"/>
      <c r="BV268" s="108"/>
      <c r="BW268" s="108"/>
      <c r="BX268" s="108"/>
      <c r="BY268" s="108"/>
      <c r="BZ268" s="108" t="e">
        <f>VLOOKUP(C268,[1]Sertifikasi!$B$4:$I$19,8,0)</f>
        <v>#N/A</v>
      </c>
    </row>
    <row r="269" spans="1:78" ht="11.25" customHeight="1">
      <c r="A269" s="108"/>
      <c r="B269" s="108">
        <v>305</v>
      </c>
      <c r="C269" s="108" t="s">
        <v>1967</v>
      </c>
      <c r="D269" s="109">
        <v>641907278</v>
      </c>
      <c r="E269" s="131">
        <v>1710005926293</v>
      </c>
      <c r="F269" s="131"/>
      <c r="G269" s="108" t="s">
        <v>1276</v>
      </c>
      <c r="H269" s="108" t="s">
        <v>1276</v>
      </c>
      <c r="I269" s="111">
        <v>43647</v>
      </c>
      <c r="J269" s="108">
        <v>4</v>
      </c>
      <c r="K269" s="108">
        <v>3</v>
      </c>
      <c r="L269" s="108" t="str">
        <f t="shared" si="8"/>
        <v>PKWT</v>
      </c>
      <c r="M269" s="108"/>
      <c r="N269" s="112">
        <v>45291</v>
      </c>
      <c r="O269" s="108"/>
      <c r="P269" s="108" t="s">
        <v>213</v>
      </c>
      <c r="Q269" s="210" t="s">
        <v>4102</v>
      </c>
      <c r="R269" s="108" t="s">
        <v>1276</v>
      </c>
      <c r="S269" s="108" t="s">
        <v>275</v>
      </c>
      <c r="T269" s="108" t="s">
        <v>94</v>
      </c>
      <c r="U269" s="108" t="s">
        <v>276</v>
      </c>
      <c r="V269" s="108" t="s">
        <v>180</v>
      </c>
      <c r="W269" s="108"/>
      <c r="X269" s="108"/>
      <c r="Y269" s="108" t="s">
        <v>216</v>
      </c>
      <c r="Z269" s="108" t="s">
        <v>1276</v>
      </c>
      <c r="AA269" s="111">
        <v>35450</v>
      </c>
      <c r="AB269" s="113">
        <v>26</v>
      </c>
      <c r="AC269" s="108" t="s">
        <v>1968</v>
      </c>
      <c r="AD269" s="129" t="s">
        <v>1969</v>
      </c>
      <c r="AE269" s="108" t="s">
        <v>1970</v>
      </c>
      <c r="AF269" s="108"/>
      <c r="AG269" s="108" t="s">
        <v>1971</v>
      </c>
      <c r="AH269" s="114" t="s">
        <v>1972</v>
      </c>
      <c r="AI269" s="115">
        <v>19073135030</v>
      </c>
      <c r="AJ269" s="108" t="s">
        <v>189</v>
      </c>
      <c r="AK269" s="108" t="s">
        <v>1973</v>
      </c>
      <c r="AL269" s="108"/>
      <c r="AM269" s="108"/>
      <c r="AN269" s="108"/>
      <c r="AO269" s="108"/>
      <c r="AP269" s="108"/>
      <c r="AQ269" s="108"/>
      <c r="AR269" s="108"/>
      <c r="AS269" s="108"/>
      <c r="AT269" s="108">
        <v>0</v>
      </c>
      <c r="AU269" s="108" t="s">
        <v>390</v>
      </c>
      <c r="AV269" s="115"/>
      <c r="AW269" s="108" t="s">
        <v>74</v>
      </c>
      <c r="AX269" s="108" t="s">
        <v>16</v>
      </c>
      <c r="AY269" s="108" t="s">
        <v>226</v>
      </c>
      <c r="AZ269" s="108" t="s">
        <v>1697</v>
      </c>
      <c r="BA269" s="108"/>
      <c r="BB269" s="108" t="s">
        <v>16</v>
      </c>
      <c r="BC269" s="108" t="s">
        <v>226</v>
      </c>
      <c r="BD269" s="108" t="s">
        <v>1697</v>
      </c>
      <c r="BE269" s="108"/>
      <c r="BF269" s="116"/>
      <c r="BG269" s="116"/>
      <c r="BH269" s="108"/>
      <c r="BI269" s="108"/>
      <c r="BJ269" s="108">
        <v>40</v>
      </c>
      <c r="BK269" s="111">
        <v>44365</v>
      </c>
      <c r="BL269" s="111">
        <v>44404</v>
      </c>
      <c r="BM269" s="111">
        <v>44797</v>
      </c>
      <c r="BN269" s="111"/>
      <c r="BO269" s="108"/>
      <c r="BP269" s="108"/>
      <c r="BQ269" s="108"/>
      <c r="BR269" s="108"/>
      <c r="BS269" s="108"/>
      <c r="BT269" s="108"/>
      <c r="BU269" s="108"/>
      <c r="BV269" s="108"/>
      <c r="BW269" s="108"/>
      <c r="BX269" s="108"/>
      <c r="BY269" s="108"/>
      <c r="BZ269" s="108" t="e">
        <f>VLOOKUP(C269,[1]Sertifikasi!$B$4:$I$19,8,0)</f>
        <v>#N/A</v>
      </c>
    </row>
    <row r="270" spans="1:78" ht="11.25" customHeight="1">
      <c r="A270" s="108"/>
      <c r="B270" s="108">
        <v>9</v>
      </c>
      <c r="C270" s="108" t="s">
        <v>1515</v>
      </c>
      <c r="D270" s="109">
        <v>971900044</v>
      </c>
      <c r="E270" s="131">
        <v>9000013821369</v>
      </c>
      <c r="F270" s="131"/>
      <c r="G270" s="113" t="s">
        <v>71</v>
      </c>
      <c r="H270" s="108" t="s">
        <v>71</v>
      </c>
      <c r="I270" s="111">
        <v>43346</v>
      </c>
      <c r="J270" s="108">
        <f ca="1">DATEDIF(I270,$C$3,"y")</f>
        <v>5</v>
      </c>
      <c r="K270" s="108">
        <f ca="1">DATEDIF(I270,$C$3,"ym")</f>
        <v>2</v>
      </c>
      <c r="L270" s="108" t="str">
        <f t="shared" si="8"/>
        <v>Tetap</v>
      </c>
      <c r="M270" s="108" t="s">
        <v>273</v>
      </c>
      <c r="N270" s="111">
        <v>43789</v>
      </c>
      <c r="O270" s="111"/>
      <c r="P270" s="108" t="s">
        <v>6</v>
      </c>
      <c r="Q270" s="210" t="s">
        <v>4100</v>
      </c>
      <c r="R270" s="108" t="s">
        <v>4099</v>
      </c>
      <c r="S270" s="108" t="s">
        <v>793</v>
      </c>
      <c r="T270" s="108" t="s">
        <v>793</v>
      </c>
      <c r="U270" s="108" t="s">
        <v>661</v>
      </c>
      <c r="V270" s="108" t="s">
        <v>662</v>
      </c>
      <c r="W270" s="108"/>
      <c r="X270" s="108"/>
      <c r="Y270" s="108" t="s">
        <v>59</v>
      </c>
      <c r="Z270" s="108" t="s">
        <v>1516</v>
      </c>
      <c r="AA270" s="111">
        <v>34668</v>
      </c>
      <c r="AB270" s="113">
        <f ca="1">DATEDIF(AA270,$C$3,"y")</f>
        <v>28</v>
      </c>
      <c r="AC270" s="108" t="s">
        <v>1517</v>
      </c>
      <c r="AD270" s="129" t="s">
        <v>1518</v>
      </c>
      <c r="AE270" s="108" t="s">
        <v>1519</v>
      </c>
      <c r="AF270" s="108"/>
      <c r="AG270" s="130" t="s">
        <v>1520</v>
      </c>
      <c r="AH270" s="114" t="s">
        <v>1521</v>
      </c>
      <c r="AI270" s="115" t="s">
        <v>1522</v>
      </c>
      <c r="AJ270" s="108" t="s">
        <v>189</v>
      </c>
      <c r="AK270" s="108"/>
      <c r="AL270" s="108"/>
      <c r="AM270" s="108"/>
      <c r="AN270" s="108"/>
      <c r="AO270" s="108" t="s">
        <v>1523</v>
      </c>
      <c r="AP270" s="108" t="s">
        <v>1524</v>
      </c>
      <c r="AQ270" s="108" t="s">
        <v>1525</v>
      </c>
      <c r="AR270" s="108"/>
      <c r="AS270" s="108"/>
      <c r="AT270" s="108">
        <f>COUNTA(AL270:AO270)</f>
        <v>1</v>
      </c>
      <c r="AU270" s="108" t="str">
        <f>IF(AJ270="Menikah","K","TK")&amp;"/"&amp;AT270</f>
        <v>K/1</v>
      </c>
      <c r="AV270" s="131" t="s">
        <v>1526</v>
      </c>
      <c r="AW270" s="113" t="s">
        <v>74</v>
      </c>
      <c r="AX270" s="108" t="s">
        <v>12</v>
      </c>
      <c r="AY270" s="108" t="s">
        <v>793</v>
      </c>
      <c r="AZ270" s="108" t="s">
        <v>1018</v>
      </c>
      <c r="BA270" s="108">
        <v>2017</v>
      </c>
      <c r="BB270" s="108" t="s">
        <v>12</v>
      </c>
      <c r="BC270" s="108" t="s">
        <v>793</v>
      </c>
      <c r="BD270" s="108" t="s">
        <v>1018</v>
      </c>
      <c r="BE270" s="108">
        <v>2017</v>
      </c>
      <c r="BF270" s="111">
        <v>55112</v>
      </c>
      <c r="BG270" s="116">
        <v>55477</v>
      </c>
      <c r="BH270" s="113"/>
      <c r="BI270" s="108"/>
      <c r="BJ270" s="207"/>
      <c r="BK270" s="111">
        <v>44308</v>
      </c>
      <c r="BL270" s="111">
        <v>44336</v>
      </c>
      <c r="BM270" s="111">
        <v>44585</v>
      </c>
      <c r="BN270" s="111"/>
      <c r="BO270" s="108"/>
      <c r="BP270" s="108"/>
      <c r="BQ270" s="108"/>
      <c r="BR270" s="108"/>
      <c r="BS270" s="108"/>
      <c r="BT270" s="108"/>
      <c r="BU270" s="108"/>
      <c r="BV270" s="108"/>
      <c r="BW270" s="108"/>
      <c r="BX270" s="108"/>
      <c r="BY270" s="108"/>
      <c r="BZ270" s="108" t="e">
        <f>VLOOKUP(C270,[1]Sertifikasi!$B$4:$I$19,8,0)</f>
        <v>#N/A</v>
      </c>
    </row>
    <row r="271" spans="1:78" ht="11.25" customHeight="1">
      <c r="A271" s="108"/>
      <c r="B271" s="108">
        <v>295</v>
      </c>
      <c r="C271" s="108" t="s">
        <v>2418</v>
      </c>
      <c r="D271" s="109">
        <v>642109112</v>
      </c>
      <c r="E271" s="131">
        <v>1710002243494</v>
      </c>
      <c r="F271" s="131"/>
      <c r="G271" s="108" t="s">
        <v>71</v>
      </c>
      <c r="H271" s="108" t="s">
        <v>71</v>
      </c>
      <c r="I271" s="111">
        <v>44466</v>
      </c>
      <c r="J271" s="108">
        <v>2</v>
      </c>
      <c r="K271" s="108">
        <v>0</v>
      </c>
      <c r="L271" s="108" t="str">
        <f t="shared" si="8"/>
        <v>PKWT</v>
      </c>
      <c r="M271" s="108"/>
      <c r="N271" s="112">
        <v>45561</v>
      </c>
      <c r="O271" s="108"/>
      <c r="P271" s="108" t="s">
        <v>213</v>
      </c>
      <c r="Q271" s="210" t="s">
        <v>4102</v>
      </c>
      <c r="R271" s="108" t="s">
        <v>575</v>
      </c>
      <c r="S271" s="108" t="s">
        <v>262</v>
      </c>
      <c r="T271" s="108" t="s">
        <v>92</v>
      </c>
      <c r="U271" s="108" t="s">
        <v>276</v>
      </c>
      <c r="V271" s="108" t="s">
        <v>180</v>
      </c>
      <c r="W271" s="108"/>
      <c r="X271" s="108"/>
      <c r="Y271" s="108" t="s">
        <v>216</v>
      </c>
      <c r="Z271" s="108" t="s">
        <v>72</v>
      </c>
      <c r="AA271" s="111">
        <v>35440</v>
      </c>
      <c r="AB271" s="113">
        <v>26</v>
      </c>
      <c r="AC271" s="108" t="s">
        <v>2419</v>
      </c>
      <c r="AD271" s="129" t="s">
        <v>2420</v>
      </c>
      <c r="AE271" s="108" t="s">
        <v>2421</v>
      </c>
      <c r="AF271" s="108"/>
      <c r="AG271" s="108" t="s">
        <v>2422</v>
      </c>
      <c r="AH271" s="114" t="s">
        <v>2423</v>
      </c>
      <c r="AI271" s="115">
        <v>21076296090</v>
      </c>
      <c r="AJ271" s="108" t="s">
        <v>255</v>
      </c>
      <c r="AK271" s="108"/>
      <c r="AL271" s="108"/>
      <c r="AM271" s="108"/>
      <c r="AN271" s="108"/>
      <c r="AO271" s="108"/>
      <c r="AP271" s="108"/>
      <c r="AQ271" s="108"/>
      <c r="AR271" s="108"/>
      <c r="AS271" s="108"/>
      <c r="AT271" s="108">
        <v>0</v>
      </c>
      <c r="AU271" s="108" t="s">
        <v>304</v>
      </c>
      <c r="AV271" s="115"/>
      <c r="AW271" s="108" t="s">
        <v>74</v>
      </c>
      <c r="AX271" s="108" t="s">
        <v>16</v>
      </c>
      <c r="AY271" s="108" t="s">
        <v>1357</v>
      </c>
      <c r="AZ271" s="108" t="s">
        <v>297</v>
      </c>
      <c r="BA271" s="108"/>
      <c r="BB271" s="108" t="s">
        <v>16</v>
      </c>
      <c r="BC271" s="108" t="s">
        <v>1357</v>
      </c>
      <c r="BD271" s="108" t="s">
        <v>297</v>
      </c>
      <c r="BE271" s="108"/>
      <c r="BF271" s="116"/>
      <c r="BG271" s="116"/>
      <c r="BH271" s="108"/>
      <c r="BI271" s="108"/>
      <c r="BJ271" s="108">
        <v>40</v>
      </c>
      <c r="BK271" s="111"/>
      <c r="BL271" s="111"/>
      <c r="BM271" s="111"/>
      <c r="BN271" s="111"/>
      <c r="BO271" s="108"/>
      <c r="BP271" s="108"/>
      <c r="BQ271" s="108"/>
      <c r="BR271" s="108" t="s">
        <v>2424</v>
      </c>
      <c r="BS271" s="108"/>
      <c r="BT271" s="108"/>
      <c r="BU271" s="108"/>
      <c r="BV271" s="108"/>
      <c r="BW271" s="108"/>
      <c r="BX271" s="108"/>
      <c r="BY271" s="108"/>
      <c r="BZ271" s="108" t="e">
        <f>VLOOKUP(C271,[1]Sertifikasi!$B$4:$I$19,8,0)</f>
        <v>#N/A</v>
      </c>
    </row>
    <row r="272" spans="1:78" ht="11.25" customHeight="1">
      <c r="A272" s="108"/>
      <c r="B272" s="108">
        <v>10</v>
      </c>
      <c r="C272" s="128" t="s">
        <v>195</v>
      </c>
      <c r="D272" s="109">
        <v>971500003</v>
      </c>
      <c r="E272" s="131">
        <v>1710003919779</v>
      </c>
      <c r="F272" s="131">
        <v>7174445669</v>
      </c>
      <c r="G272" s="113" t="s">
        <v>71</v>
      </c>
      <c r="H272" s="108" t="s">
        <v>71</v>
      </c>
      <c r="I272" s="111">
        <v>42005</v>
      </c>
      <c r="J272" s="108">
        <f ca="1">DATEDIF(I272,$C$3,"y")</f>
        <v>8</v>
      </c>
      <c r="K272" s="108">
        <f ca="1">DATEDIF(I272,$C$3,"ym")</f>
        <v>10</v>
      </c>
      <c r="L272" s="108" t="str">
        <f t="shared" si="8"/>
        <v>Tetap</v>
      </c>
      <c r="M272" s="108" t="s">
        <v>196</v>
      </c>
      <c r="N272" s="112">
        <v>42491</v>
      </c>
      <c r="O272" s="111"/>
      <c r="P272" s="108" t="s">
        <v>6</v>
      </c>
      <c r="Q272" s="210" t="s">
        <v>4100</v>
      </c>
      <c r="R272" s="108" t="s">
        <v>4099</v>
      </c>
      <c r="S272" s="108" t="s">
        <v>198</v>
      </c>
      <c r="T272" s="210" t="s">
        <v>854</v>
      </c>
      <c r="U272" s="108" t="s">
        <v>199</v>
      </c>
      <c r="V272" s="108" t="s">
        <v>180</v>
      </c>
      <c r="W272" s="108"/>
      <c r="X272" s="108"/>
      <c r="Y272" s="108" t="s">
        <v>60</v>
      </c>
      <c r="Z272" s="108" t="s">
        <v>71</v>
      </c>
      <c r="AA272" s="111">
        <v>32330</v>
      </c>
      <c r="AB272" s="113">
        <f ca="1">DATEDIF(AA272,$C$3,"y")</f>
        <v>35</v>
      </c>
      <c r="AC272" s="108" t="s">
        <v>200</v>
      </c>
      <c r="AD272" s="129" t="s">
        <v>201</v>
      </c>
      <c r="AE272" s="108" t="s">
        <v>202</v>
      </c>
      <c r="AF272" s="108"/>
      <c r="AG272" s="130" t="s">
        <v>203</v>
      </c>
      <c r="AH272" s="114" t="s">
        <v>204</v>
      </c>
      <c r="AI272" s="115" t="s">
        <v>205</v>
      </c>
      <c r="AJ272" s="108" t="s">
        <v>189</v>
      </c>
      <c r="AK272" s="108" t="s">
        <v>206</v>
      </c>
      <c r="AL272" s="108" t="s">
        <v>207</v>
      </c>
      <c r="AM272" s="108" t="s">
        <v>208</v>
      </c>
      <c r="AN272" s="108"/>
      <c r="AO272" s="108"/>
      <c r="AP272" s="108"/>
      <c r="AQ272" s="108"/>
      <c r="AR272" s="108"/>
      <c r="AS272" s="108"/>
      <c r="AT272" s="108">
        <f>COUNTA(AL272:AO272)</f>
        <v>2</v>
      </c>
      <c r="AU272" s="108" t="str">
        <f>IF(AJ272="Menikah","K","TK")&amp;"/"&amp;AT272</f>
        <v>K/2</v>
      </c>
      <c r="AV272" s="131" t="s">
        <v>209</v>
      </c>
      <c r="AW272" s="113" t="s">
        <v>74</v>
      </c>
      <c r="AX272" s="108" t="s">
        <v>13</v>
      </c>
      <c r="AY272" s="108" t="s">
        <v>210</v>
      </c>
      <c r="AZ272" s="108" t="s">
        <v>211</v>
      </c>
      <c r="BA272" s="108">
        <v>2010</v>
      </c>
      <c r="BB272" s="108" t="s">
        <v>13</v>
      </c>
      <c r="BC272" s="108" t="s">
        <v>210</v>
      </c>
      <c r="BD272" s="108" t="s">
        <v>211</v>
      </c>
      <c r="BE272" s="108">
        <v>2010</v>
      </c>
      <c r="BF272" s="116">
        <v>52718</v>
      </c>
      <c r="BG272" s="116">
        <v>53083</v>
      </c>
      <c r="BH272" s="113"/>
      <c r="BI272" s="108"/>
      <c r="BJ272" s="194"/>
      <c r="BK272" s="111">
        <v>44294</v>
      </c>
      <c r="BL272" s="111">
        <v>44322</v>
      </c>
      <c r="BM272" s="111">
        <v>44585</v>
      </c>
      <c r="BN272" s="111"/>
      <c r="BO272" s="108"/>
      <c r="BP272" s="108"/>
      <c r="BQ272" s="108"/>
      <c r="BR272" s="108"/>
      <c r="BS272" s="108"/>
      <c r="BT272" s="108"/>
      <c r="BU272" s="108"/>
      <c r="BV272" s="108"/>
      <c r="BW272" s="108"/>
      <c r="BX272" s="108"/>
      <c r="BY272" s="108"/>
      <c r="BZ272" s="108" t="e">
        <f>VLOOKUP(C272,[1]Sertifikasi!$B$4:$I$19,8,0)</f>
        <v>#N/A</v>
      </c>
    </row>
    <row r="273" spans="1:78" ht="11.25" customHeight="1">
      <c r="A273" s="108"/>
      <c r="B273" s="108">
        <v>80</v>
      </c>
      <c r="C273" s="108" t="s">
        <v>616</v>
      </c>
      <c r="D273" s="109">
        <v>642001068</v>
      </c>
      <c r="E273" s="131">
        <v>1710003987552</v>
      </c>
      <c r="F273" s="131"/>
      <c r="G273" s="108" t="s">
        <v>71</v>
      </c>
      <c r="H273" s="108" t="s">
        <v>71</v>
      </c>
      <c r="I273" s="111">
        <v>42430</v>
      </c>
      <c r="J273" s="108">
        <v>7</v>
      </c>
      <c r="K273" s="108">
        <v>7</v>
      </c>
      <c r="L273" s="108" t="str">
        <f t="shared" si="8"/>
        <v>PKWT</v>
      </c>
      <c r="M273" s="108"/>
      <c r="N273" s="112">
        <v>45291</v>
      </c>
      <c r="O273" s="108"/>
      <c r="P273" s="108" t="s">
        <v>213</v>
      </c>
      <c r="Q273" s="210" t="s">
        <v>4102</v>
      </c>
      <c r="R273" s="108" t="s">
        <v>2085</v>
      </c>
      <c r="S273" s="108" t="s">
        <v>33</v>
      </c>
      <c r="T273" s="108" t="s">
        <v>83</v>
      </c>
      <c r="U273" s="108" t="s">
        <v>214</v>
      </c>
      <c r="V273" s="108" t="s">
        <v>180</v>
      </c>
      <c r="W273" s="108" t="s">
        <v>617</v>
      </c>
      <c r="X273" s="108" t="s">
        <v>215</v>
      </c>
      <c r="Y273" s="108" t="s">
        <v>216</v>
      </c>
      <c r="Z273" s="108" t="s">
        <v>71</v>
      </c>
      <c r="AA273" s="111">
        <v>31940</v>
      </c>
      <c r="AB273" s="113">
        <v>36</v>
      </c>
      <c r="AC273" s="108" t="s">
        <v>618</v>
      </c>
      <c r="AD273" s="129" t="s">
        <v>619</v>
      </c>
      <c r="AE273" s="108" t="s">
        <v>620</v>
      </c>
      <c r="AF273" s="108" t="s">
        <v>621</v>
      </c>
      <c r="AG273" s="108" t="s">
        <v>622</v>
      </c>
      <c r="AH273" s="114" t="s">
        <v>623</v>
      </c>
      <c r="AI273" s="115">
        <v>16006272054</v>
      </c>
      <c r="AJ273" s="108" t="s">
        <v>189</v>
      </c>
      <c r="AK273" s="108" t="s">
        <v>624</v>
      </c>
      <c r="AL273" s="108" t="s">
        <v>625</v>
      </c>
      <c r="AM273" s="108"/>
      <c r="AN273" s="108"/>
      <c r="AO273" s="108"/>
      <c r="AP273" s="108"/>
      <c r="AQ273" s="108"/>
      <c r="AR273" s="108"/>
      <c r="AS273" s="108"/>
      <c r="AT273" s="108">
        <v>1</v>
      </c>
      <c r="AU273" s="108" t="s">
        <v>225</v>
      </c>
      <c r="AV273" s="115">
        <v>0</v>
      </c>
      <c r="AW273" s="108" t="s">
        <v>74</v>
      </c>
      <c r="AX273" s="108" t="s">
        <v>391</v>
      </c>
      <c r="AY273" s="108" t="s">
        <v>450</v>
      </c>
      <c r="AZ273" s="108" t="s">
        <v>626</v>
      </c>
      <c r="BA273" s="108">
        <v>2005</v>
      </c>
      <c r="BB273" s="108" t="s">
        <v>391</v>
      </c>
      <c r="BC273" s="108" t="s">
        <v>450</v>
      </c>
      <c r="BD273" s="108" t="s">
        <v>626</v>
      </c>
      <c r="BE273" s="108">
        <v>2005</v>
      </c>
      <c r="BF273" s="116"/>
      <c r="BG273" s="116"/>
      <c r="BH273" s="108" t="s">
        <v>228</v>
      </c>
      <c r="BI273" s="108">
        <v>36</v>
      </c>
      <c r="BJ273" s="108">
        <v>44</v>
      </c>
      <c r="BK273" s="111">
        <v>44308</v>
      </c>
      <c r="BL273" s="111">
        <v>44336</v>
      </c>
      <c r="BM273" s="111">
        <v>44601</v>
      </c>
      <c r="BN273" s="111"/>
      <c r="BO273" s="108">
        <v>43467</v>
      </c>
      <c r="BP273" s="108">
        <v>43830</v>
      </c>
      <c r="BQ273" s="108" t="s">
        <v>627</v>
      </c>
      <c r="BR273" s="108" t="s">
        <v>628</v>
      </c>
      <c r="BS273" s="108"/>
      <c r="BT273" s="108"/>
      <c r="BU273" s="108"/>
      <c r="BV273" s="108"/>
      <c r="BW273" s="108"/>
      <c r="BX273" s="108"/>
      <c r="BY273" s="108"/>
      <c r="BZ273" s="108" t="e">
        <f>VLOOKUP(C273,[1]Sertifikasi!$B$4:$I$19,8,0)</f>
        <v>#N/A</v>
      </c>
    </row>
    <row r="274" spans="1:78" ht="11.25" customHeight="1">
      <c r="A274" s="108"/>
      <c r="B274" s="108">
        <v>203</v>
      </c>
      <c r="C274" s="108" t="s">
        <v>2035</v>
      </c>
      <c r="D274" s="109">
        <v>642002079</v>
      </c>
      <c r="E274" s="131">
        <v>1710006361318</v>
      </c>
      <c r="F274" s="131"/>
      <c r="G274" s="108" t="s">
        <v>1789</v>
      </c>
      <c r="H274" s="108" t="s">
        <v>1789</v>
      </c>
      <c r="I274" s="111">
        <v>43885</v>
      </c>
      <c r="J274" s="108">
        <v>3</v>
      </c>
      <c r="K274" s="108">
        <v>7</v>
      </c>
      <c r="L274" s="108" t="str">
        <f t="shared" si="8"/>
        <v>PKWT</v>
      </c>
      <c r="M274" s="108"/>
      <c r="N274" s="112">
        <v>45291</v>
      </c>
      <c r="O274" s="108"/>
      <c r="P274" s="108" t="s">
        <v>213</v>
      </c>
      <c r="Q274" s="210" t="s">
        <v>4102</v>
      </c>
      <c r="R274" s="108" t="s">
        <v>259</v>
      </c>
      <c r="S274" s="108" t="s">
        <v>262</v>
      </c>
      <c r="T274" s="108" t="s">
        <v>432</v>
      </c>
      <c r="U274" s="108" t="s">
        <v>199</v>
      </c>
      <c r="V274" s="108" t="s">
        <v>180</v>
      </c>
      <c r="W274" s="108"/>
      <c r="X274" s="108"/>
      <c r="Y274" s="108" t="s">
        <v>216</v>
      </c>
      <c r="Z274" s="108" t="s">
        <v>2036</v>
      </c>
      <c r="AA274" s="111">
        <v>33525</v>
      </c>
      <c r="AB274" s="113">
        <v>31</v>
      </c>
      <c r="AC274" s="108" t="s">
        <v>2037</v>
      </c>
      <c r="AD274" s="129" t="s">
        <v>2038</v>
      </c>
      <c r="AE274" s="108" t="s">
        <v>2039</v>
      </c>
      <c r="AF274" s="108"/>
      <c r="AG274" s="108" t="s">
        <v>2040</v>
      </c>
      <c r="AH274" s="114" t="s">
        <v>2041</v>
      </c>
      <c r="AI274" s="115">
        <v>20024319772</v>
      </c>
      <c r="AJ274" s="108" t="s">
        <v>189</v>
      </c>
      <c r="AK274" s="108" t="s">
        <v>2042</v>
      </c>
      <c r="AL274" s="108"/>
      <c r="AM274" s="108"/>
      <c r="AN274" s="108"/>
      <c r="AO274" s="108"/>
      <c r="AP274" s="108"/>
      <c r="AQ274" s="108"/>
      <c r="AR274" s="108"/>
      <c r="AS274" s="108"/>
      <c r="AT274" s="108">
        <v>0</v>
      </c>
      <c r="AU274" s="108" t="s">
        <v>390</v>
      </c>
      <c r="AV274" s="115"/>
      <c r="AW274" s="108" t="s">
        <v>74</v>
      </c>
      <c r="AX274" s="108" t="s">
        <v>16</v>
      </c>
      <c r="AY274" s="108" t="s">
        <v>331</v>
      </c>
      <c r="AZ274" s="108" t="s">
        <v>2043</v>
      </c>
      <c r="BA274" s="108">
        <v>2010</v>
      </c>
      <c r="BB274" s="108" t="s">
        <v>16</v>
      </c>
      <c r="BC274" s="108" t="s">
        <v>331</v>
      </c>
      <c r="BD274" s="108" t="s">
        <v>2043</v>
      </c>
      <c r="BE274" s="108">
        <v>2010</v>
      </c>
      <c r="BF274" s="116"/>
      <c r="BG274" s="116"/>
      <c r="BH274" s="108"/>
      <c r="BI274" s="108"/>
      <c r="BJ274" s="108">
        <v>41</v>
      </c>
      <c r="BK274" s="111"/>
      <c r="BL274" s="111"/>
      <c r="BM274" s="111"/>
      <c r="BN274" s="111"/>
      <c r="BO274" s="108"/>
      <c r="BP274" s="108"/>
      <c r="BQ274" s="108"/>
      <c r="BR274" s="108"/>
      <c r="BS274" s="108"/>
      <c r="BT274" s="108"/>
      <c r="BU274" s="108"/>
      <c r="BV274" s="108"/>
      <c r="BW274" s="108"/>
      <c r="BX274" s="108"/>
      <c r="BY274" s="108"/>
      <c r="BZ274" s="108" t="e">
        <f>VLOOKUP(C274,[1]Sertifikasi!$B$4:$I$19,8,0)</f>
        <v>#N/A</v>
      </c>
    </row>
    <row r="275" spans="1:78" ht="11.25" customHeight="1">
      <c r="A275" s="108"/>
      <c r="B275" s="108">
        <v>191</v>
      </c>
      <c r="C275" s="108" t="s">
        <v>2588</v>
      </c>
      <c r="D275" s="109">
        <v>642201135</v>
      </c>
      <c r="E275" s="131">
        <v>1710011622761</v>
      </c>
      <c r="F275" s="131"/>
      <c r="G275" s="108" t="s">
        <v>259</v>
      </c>
      <c r="H275" s="108" t="s">
        <v>259</v>
      </c>
      <c r="I275" s="111">
        <v>44578</v>
      </c>
      <c r="J275" s="108">
        <v>1</v>
      </c>
      <c r="K275" s="108">
        <v>8</v>
      </c>
      <c r="L275" s="108" t="str">
        <f t="shared" si="8"/>
        <v>PKWT</v>
      </c>
      <c r="M275" s="108"/>
      <c r="N275" s="112">
        <v>45291</v>
      </c>
      <c r="O275" s="108"/>
      <c r="P275" s="108" t="s">
        <v>213</v>
      </c>
      <c r="Q275" s="210" t="s">
        <v>4102</v>
      </c>
      <c r="R275" s="108" t="s">
        <v>259</v>
      </c>
      <c r="S275" s="108" t="s">
        <v>262</v>
      </c>
      <c r="T275" s="108" t="s">
        <v>89</v>
      </c>
      <c r="U275" s="108" t="s">
        <v>199</v>
      </c>
      <c r="V275" s="108" t="s">
        <v>180</v>
      </c>
      <c r="W275" s="108"/>
      <c r="X275" s="108"/>
      <c r="Y275" s="108" t="s">
        <v>216</v>
      </c>
      <c r="Z275" s="108" t="s">
        <v>71</v>
      </c>
      <c r="AA275" s="111">
        <v>35761</v>
      </c>
      <c r="AB275" s="113">
        <v>25</v>
      </c>
      <c r="AC275" s="108" t="s">
        <v>2589</v>
      </c>
      <c r="AD275" s="129" t="s">
        <v>2590</v>
      </c>
      <c r="AE275" s="108" t="s">
        <v>2591</v>
      </c>
      <c r="AF275" s="108"/>
      <c r="AG275" s="108" t="s">
        <v>2592</v>
      </c>
      <c r="AH275" s="114" t="s">
        <v>2593</v>
      </c>
      <c r="AI275" s="115">
        <v>22017333620</v>
      </c>
      <c r="AJ275" s="108" t="s">
        <v>255</v>
      </c>
      <c r="AK275" s="108"/>
      <c r="AL275" s="108"/>
      <c r="AM275" s="108"/>
      <c r="AN275" s="108"/>
      <c r="AO275" s="108"/>
      <c r="AP275" s="108"/>
      <c r="AQ275" s="108"/>
      <c r="AR275" s="108"/>
      <c r="AS275" s="108"/>
      <c r="AT275" s="108">
        <v>0</v>
      </c>
      <c r="AU275" s="108" t="s">
        <v>304</v>
      </c>
      <c r="AV275" s="115"/>
      <c r="AW275" s="108" t="s">
        <v>74</v>
      </c>
      <c r="AX275" s="108" t="s">
        <v>16</v>
      </c>
      <c r="AY275" s="108" t="s">
        <v>226</v>
      </c>
      <c r="AZ275" s="108" t="s">
        <v>2594</v>
      </c>
      <c r="BA275" s="108">
        <v>2016</v>
      </c>
      <c r="BB275" s="108" t="s">
        <v>16</v>
      </c>
      <c r="BC275" s="108" t="s">
        <v>226</v>
      </c>
      <c r="BD275" s="108" t="s">
        <v>2594</v>
      </c>
      <c r="BE275" s="108">
        <v>2016</v>
      </c>
      <c r="BF275" s="116"/>
      <c r="BG275" s="116"/>
      <c r="BH275" s="108"/>
      <c r="BI275" s="108"/>
      <c r="BJ275" s="108">
        <v>42</v>
      </c>
      <c r="BK275" s="111"/>
      <c r="BL275" s="111"/>
      <c r="BM275" s="111"/>
      <c r="BN275" s="111"/>
      <c r="BO275" s="108"/>
      <c r="BP275" s="108"/>
      <c r="BQ275" s="108"/>
      <c r="BR275" s="108" t="s">
        <v>2595</v>
      </c>
      <c r="BS275" s="108"/>
      <c r="BT275" s="108"/>
      <c r="BU275" s="108"/>
      <c r="BV275" s="108"/>
      <c r="BW275" s="108"/>
      <c r="BX275" s="108"/>
      <c r="BY275" s="108"/>
      <c r="BZ275" s="108" t="e">
        <f>VLOOKUP(C275,[1]Sertifikasi!$B$4:$I$19,8,0)</f>
        <v>#N/A</v>
      </c>
    </row>
    <row r="276" spans="1:78" ht="11.25" customHeight="1">
      <c r="A276" s="108"/>
      <c r="B276" s="108">
        <v>253</v>
      </c>
      <c r="C276" s="108" t="s">
        <v>1621</v>
      </c>
      <c r="D276" s="109">
        <v>641810190</v>
      </c>
      <c r="E276" s="131">
        <v>1710004810696</v>
      </c>
      <c r="F276" s="131"/>
      <c r="G276" s="108" t="s">
        <v>259</v>
      </c>
      <c r="H276" s="108" t="s">
        <v>259</v>
      </c>
      <c r="I276" s="111">
        <v>43395</v>
      </c>
      <c r="J276" s="108">
        <v>4</v>
      </c>
      <c r="K276" s="108">
        <v>11</v>
      </c>
      <c r="L276" s="108" t="str">
        <f t="shared" si="8"/>
        <v>PKWT</v>
      </c>
      <c r="M276" s="108"/>
      <c r="N276" s="112">
        <v>45291</v>
      </c>
      <c r="O276" s="108"/>
      <c r="P276" s="108" t="s">
        <v>213</v>
      </c>
      <c r="Q276" s="210" t="s">
        <v>4102</v>
      </c>
      <c r="R276" s="108" t="s">
        <v>259</v>
      </c>
      <c r="S276" s="108" t="s">
        <v>33</v>
      </c>
      <c r="T276" s="108" t="s">
        <v>432</v>
      </c>
      <c r="U276" s="108" t="s">
        <v>199</v>
      </c>
      <c r="V276" s="108" t="s">
        <v>180</v>
      </c>
      <c r="W276" s="108" t="s">
        <v>263</v>
      </c>
      <c r="X276" s="108" t="s">
        <v>215</v>
      </c>
      <c r="Y276" s="108" t="s">
        <v>216</v>
      </c>
      <c r="Z276" s="108" t="s">
        <v>259</v>
      </c>
      <c r="AA276" s="111">
        <v>33188</v>
      </c>
      <c r="AB276" s="113">
        <v>32</v>
      </c>
      <c r="AC276" s="108" t="s">
        <v>1622</v>
      </c>
      <c r="AD276" s="129" t="s">
        <v>1623</v>
      </c>
      <c r="AE276" s="108" t="s">
        <v>1624</v>
      </c>
      <c r="AF276" s="108"/>
      <c r="AG276" s="108" t="s">
        <v>1625</v>
      </c>
      <c r="AH276" s="114" t="s">
        <v>1626</v>
      </c>
      <c r="AI276" s="115">
        <v>18099947667</v>
      </c>
      <c r="AJ276" s="108" t="s">
        <v>189</v>
      </c>
      <c r="AK276" s="108" t="s">
        <v>1627</v>
      </c>
      <c r="AL276" s="108" t="s">
        <v>1628</v>
      </c>
      <c r="AM276" s="108"/>
      <c r="AN276" s="108"/>
      <c r="AO276" s="108"/>
      <c r="AP276" s="108"/>
      <c r="AQ276" s="108"/>
      <c r="AR276" s="108"/>
      <c r="AS276" s="108"/>
      <c r="AT276" s="108">
        <v>1</v>
      </c>
      <c r="AU276" s="108" t="s">
        <v>225</v>
      </c>
      <c r="AV276" s="115">
        <v>0</v>
      </c>
      <c r="AW276" s="108" t="s">
        <v>74</v>
      </c>
      <c r="AX276" s="108" t="s">
        <v>12</v>
      </c>
      <c r="AY276" s="108" t="s">
        <v>226</v>
      </c>
      <c r="AZ276" s="108" t="s">
        <v>1199</v>
      </c>
      <c r="BA276" s="108">
        <v>2016</v>
      </c>
      <c r="BB276" s="108" t="s">
        <v>12</v>
      </c>
      <c r="BC276" s="108" t="s">
        <v>226</v>
      </c>
      <c r="BD276" s="108" t="s">
        <v>1199</v>
      </c>
      <c r="BE276" s="108">
        <v>2016</v>
      </c>
      <c r="BF276" s="116"/>
      <c r="BG276" s="116"/>
      <c r="BH276" s="108" t="s">
        <v>394</v>
      </c>
      <c r="BI276" s="108">
        <v>42</v>
      </c>
      <c r="BJ276" s="108">
        <v>43</v>
      </c>
      <c r="BK276" s="111"/>
      <c r="BL276" s="111"/>
      <c r="BM276" s="111"/>
      <c r="BN276" s="111"/>
      <c r="BO276" s="108"/>
      <c r="BP276" s="108"/>
      <c r="BQ276" s="108"/>
      <c r="BR276" s="108"/>
      <c r="BS276" s="108"/>
      <c r="BT276" s="108"/>
      <c r="BU276" s="108"/>
      <c r="BV276" s="108"/>
      <c r="BW276" s="108"/>
      <c r="BX276" s="108"/>
      <c r="BY276" s="108"/>
      <c r="BZ276" s="108" t="str">
        <f>VLOOKUP(C276,[1]Sertifikasi!$B$4:$I$19,8,0)</f>
        <v>Pembinaan Dan Sertifikasi Calon Ahli K3 Umum</v>
      </c>
    </row>
    <row r="277" spans="1:78" ht="11.25" customHeight="1">
      <c r="A277" s="108"/>
      <c r="B277" s="108">
        <v>56</v>
      </c>
      <c r="C277" s="108" t="s">
        <v>2101</v>
      </c>
      <c r="D277" s="109">
        <v>642003087</v>
      </c>
      <c r="E277" s="131">
        <v>1440009032522</v>
      </c>
      <c r="F277" s="131"/>
      <c r="G277" s="108" t="s">
        <v>71</v>
      </c>
      <c r="H277" s="108" t="s">
        <v>71</v>
      </c>
      <c r="I277" s="111">
        <v>43905</v>
      </c>
      <c r="J277" s="108">
        <v>3</v>
      </c>
      <c r="K277" s="108">
        <v>6</v>
      </c>
      <c r="L277" s="108" t="str">
        <f t="shared" si="8"/>
        <v>PKWT</v>
      </c>
      <c r="M277" s="108"/>
      <c r="N277" s="112">
        <v>45291</v>
      </c>
      <c r="O277" s="108"/>
      <c r="P277" s="108" t="s">
        <v>2102</v>
      </c>
      <c r="Q277" s="210" t="s">
        <v>4100</v>
      </c>
      <c r="R277" s="108" t="s">
        <v>4099</v>
      </c>
      <c r="S277" s="108" t="s">
        <v>232</v>
      </c>
      <c r="T277" s="108" t="s">
        <v>1498</v>
      </c>
      <c r="U277" s="108" t="s">
        <v>276</v>
      </c>
      <c r="V277" s="108" t="s">
        <v>180</v>
      </c>
      <c r="W277" s="108"/>
      <c r="X277" s="108"/>
      <c r="Y277" s="108" t="s">
        <v>216</v>
      </c>
      <c r="Z277" s="108" t="s">
        <v>444</v>
      </c>
      <c r="AA277" s="111">
        <v>32788</v>
      </c>
      <c r="AB277" s="113">
        <v>34</v>
      </c>
      <c r="AC277" s="108" t="s">
        <v>2103</v>
      </c>
      <c r="AD277" s="129" t="s">
        <v>2104</v>
      </c>
      <c r="AE277" s="108" t="s">
        <v>2105</v>
      </c>
      <c r="AF277" s="108"/>
      <c r="AG277" s="108" t="s">
        <v>2106</v>
      </c>
      <c r="AH277" s="114" t="s">
        <v>2107</v>
      </c>
      <c r="AI277" s="115">
        <v>20029482799</v>
      </c>
      <c r="AJ277" s="108" t="s">
        <v>255</v>
      </c>
      <c r="AK277" s="108"/>
      <c r="AL277" s="108"/>
      <c r="AM277" s="108"/>
      <c r="AN277" s="108"/>
      <c r="AO277" s="108"/>
      <c r="AP277" s="108"/>
      <c r="AQ277" s="108"/>
      <c r="AR277" s="108"/>
      <c r="AS277" s="108"/>
      <c r="AT277" s="108">
        <v>0</v>
      </c>
      <c r="AU277" s="108" t="s">
        <v>304</v>
      </c>
      <c r="AV277" s="115"/>
      <c r="AW277" s="108" t="s">
        <v>74</v>
      </c>
      <c r="AX277" s="108" t="s">
        <v>12</v>
      </c>
      <c r="AY277" s="108" t="s">
        <v>2108</v>
      </c>
      <c r="AZ277" s="108" t="s">
        <v>2109</v>
      </c>
      <c r="BA277" s="108">
        <v>2016</v>
      </c>
      <c r="BB277" s="108" t="s">
        <v>12</v>
      </c>
      <c r="BC277" s="108" t="s">
        <v>2108</v>
      </c>
      <c r="BD277" s="108" t="s">
        <v>211</v>
      </c>
      <c r="BE277" s="108">
        <v>2016</v>
      </c>
      <c r="BF277" s="116"/>
      <c r="BG277" s="116"/>
      <c r="BH277" s="108"/>
      <c r="BI277" s="108"/>
      <c r="BJ277" s="108">
        <v>41</v>
      </c>
      <c r="BK277" s="111">
        <v>44294</v>
      </c>
      <c r="BL277" s="111">
        <v>44322</v>
      </c>
      <c r="BM277" s="111">
        <v>44672</v>
      </c>
      <c r="BN277" s="111"/>
      <c r="BO277" s="108"/>
      <c r="BP277" s="108"/>
      <c r="BQ277" s="108"/>
      <c r="BR277" s="108"/>
      <c r="BS277" s="108"/>
      <c r="BT277" s="108"/>
      <c r="BU277" s="108"/>
      <c r="BV277" s="108"/>
      <c r="BW277" s="108"/>
      <c r="BX277" s="108"/>
      <c r="BY277" s="108"/>
      <c r="BZ277" s="108" t="e">
        <f>VLOOKUP(C277,[1]Sertifikasi!$B$4:$I$19,8,0)</f>
        <v>#N/A</v>
      </c>
    </row>
    <row r="278" spans="1:78" ht="11.25" customHeight="1">
      <c r="A278" s="108"/>
      <c r="B278" s="108">
        <v>76</v>
      </c>
      <c r="C278" s="108" t="s">
        <v>740</v>
      </c>
      <c r="D278" s="109">
        <v>642001056</v>
      </c>
      <c r="E278" s="131">
        <v>1710003986901</v>
      </c>
      <c r="F278" s="131"/>
      <c r="G278" s="108" t="s">
        <v>71</v>
      </c>
      <c r="H278" s="108" t="s">
        <v>71</v>
      </c>
      <c r="I278" s="111">
        <v>42522</v>
      </c>
      <c r="J278" s="108">
        <v>7</v>
      </c>
      <c r="K278" s="108">
        <v>4</v>
      </c>
      <c r="L278" s="108" t="str">
        <f t="shared" si="8"/>
        <v>PKWT</v>
      </c>
      <c r="M278" s="108"/>
      <c r="N278" s="112">
        <v>45291</v>
      </c>
      <c r="O278" s="108"/>
      <c r="P278" s="108" t="s">
        <v>213</v>
      </c>
      <c r="Q278" s="210" t="s">
        <v>4102</v>
      </c>
      <c r="R278" s="108" t="s">
        <v>2085</v>
      </c>
      <c r="S278" s="108" t="s">
        <v>2085</v>
      </c>
      <c r="T278" s="108" t="s">
        <v>82</v>
      </c>
      <c r="U278" s="108" t="s">
        <v>214</v>
      </c>
      <c r="V278" s="108" t="s">
        <v>180</v>
      </c>
      <c r="W278" s="108" t="s">
        <v>83</v>
      </c>
      <c r="X278" s="108" t="s">
        <v>215</v>
      </c>
      <c r="Y278" s="108" t="s">
        <v>216</v>
      </c>
      <c r="Z278" s="108" t="s">
        <v>71</v>
      </c>
      <c r="AA278" s="111">
        <v>29391</v>
      </c>
      <c r="AB278" s="113">
        <v>43</v>
      </c>
      <c r="AC278" s="108" t="s">
        <v>741</v>
      </c>
      <c r="AD278" s="129" t="s">
        <v>742</v>
      </c>
      <c r="AE278" s="108" t="s">
        <v>743</v>
      </c>
      <c r="AF278" s="108"/>
      <c r="AG278" s="108" t="s">
        <v>744</v>
      </c>
      <c r="AH278" s="114" t="s">
        <v>745</v>
      </c>
      <c r="AI278" s="115">
        <v>16040373553</v>
      </c>
      <c r="AJ278" s="108" t="s">
        <v>189</v>
      </c>
      <c r="AK278" s="108" t="s">
        <v>746</v>
      </c>
      <c r="AL278" s="108" t="s">
        <v>747</v>
      </c>
      <c r="AM278" s="108"/>
      <c r="AN278" s="108"/>
      <c r="AO278" s="108"/>
      <c r="AP278" s="108"/>
      <c r="AQ278" s="108"/>
      <c r="AR278" s="108"/>
      <c r="AS278" s="108"/>
      <c r="AT278" s="108">
        <v>1</v>
      </c>
      <c r="AU278" s="108" t="s">
        <v>225</v>
      </c>
      <c r="AV278" s="115">
        <v>0</v>
      </c>
      <c r="AW278" s="108" t="s">
        <v>74</v>
      </c>
      <c r="AX278" s="108" t="s">
        <v>16</v>
      </c>
      <c r="AY278" s="108" t="s">
        <v>331</v>
      </c>
      <c r="AZ278" s="108" t="s">
        <v>286</v>
      </c>
      <c r="BA278" s="108">
        <v>1998</v>
      </c>
      <c r="BB278" s="108" t="s">
        <v>287</v>
      </c>
      <c r="BC278" s="108" t="s">
        <v>331</v>
      </c>
      <c r="BD278" s="108" t="s">
        <v>286</v>
      </c>
      <c r="BE278" s="108">
        <v>1998</v>
      </c>
      <c r="BF278" s="116"/>
      <c r="BG278" s="116"/>
      <c r="BH278" s="108" t="s">
        <v>241</v>
      </c>
      <c r="BI278" s="108">
        <v>29</v>
      </c>
      <c r="BJ278" s="108">
        <v>39</v>
      </c>
      <c r="BK278" s="111"/>
      <c r="BL278" s="111"/>
      <c r="BM278" s="111">
        <v>44601</v>
      </c>
      <c r="BN278" s="111"/>
      <c r="BO278" s="108">
        <v>43467</v>
      </c>
      <c r="BP278" s="108">
        <v>43830</v>
      </c>
      <c r="BQ278" s="108" t="s">
        <v>748</v>
      </c>
      <c r="BR278" s="108" t="s">
        <v>749</v>
      </c>
      <c r="BS278" s="108"/>
      <c r="BT278" s="108"/>
      <c r="BU278" s="108"/>
      <c r="BV278" s="108"/>
      <c r="BW278" s="108"/>
      <c r="BX278" s="108"/>
      <c r="BY278" s="108"/>
      <c r="BZ278" s="108" t="e">
        <f>VLOOKUP(C278,[1]Sertifikasi!$B$4:$I$19,8,0)</f>
        <v>#N/A</v>
      </c>
    </row>
    <row r="279" spans="1:78" ht="11.25" customHeight="1">
      <c r="A279" s="108"/>
      <c r="B279" s="108">
        <v>19</v>
      </c>
      <c r="C279" s="108" t="s">
        <v>1400</v>
      </c>
      <c r="D279" s="109">
        <v>999200040</v>
      </c>
      <c r="E279" s="131">
        <v>1440001095121</v>
      </c>
      <c r="F279" s="131"/>
      <c r="G279" s="113" t="s">
        <v>33</v>
      </c>
      <c r="H279" s="108" t="s">
        <v>71</v>
      </c>
      <c r="I279" s="111">
        <v>43312</v>
      </c>
      <c r="J279" s="108">
        <f ca="1">DATEDIF(I279,$C$3,"y")</f>
        <v>5</v>
      </c>
      <c r="K279" s="108">
        <f ca="1">DATEDIF(I279,$C$3,"ym")</f>
        <v>3</v>
      </c>
      <c r="L279" s="108" t="str">
        <f t="shared" si="8"/>
        <v>Organik</v>
      </c>
      <c r="M279" s="108" t="s">
        <v>1401</v>
      </c>
      <c r="N279" s="112">
        <v>33909</v>
      </c>
      <c r="O279" s="108" t="s">
        <v>261</v>
      </c>
      <c r="P279" s="108" t="s">
        <v>6</v>
      </c>
      <c r="Q279" s="210" t="s">
        <v>4100</v>
      </c>
      <c r="R279" s="108" t="s">
        <v>4099</v>
      </c>
      <c r="S279" s="108"/>
      <c r="T279" s="108" t="s">
        <v>361</v>
      </c>
      <c r="U279" s="108" t="s">
        <v>362</v>
      </c>
      <c r="V279" s="108" t="s">
        <v>180</v>
      </c>
      <c r="W279" s="108"/>
      <c r="X279" s="108"/>
      <c r="Y279" s="108" t="s">
        <v>59</v>
      </c>
      <c r="Z279" s="108" t="s">
        <v>71</v>
      </c>
      <c r="AA279" s="111">
        <v>26235</v>
      </c>
      <c r="AB279" s="113">
        <f ca="1">DATEDIF(AA279,$C$3,"y")</f>
        <v>52</v>
      </c>
      <c r="AC279" s="108" t="s">
        <v>1402</v>
      </c>
      <c r="AD279" s="129" t="s">
        <v>1403</v>
      </c>
      <c r="AE279" s="108" t="s">
        <v>1404</v>
      </c>
      <c r="AF279" s="108"/>
      <c r="AG279" s="108" t="s">
        <v>1405</v>
      </c>
      <c r="AH279" s="114" t="s">
        <v>1406</v>
      </c>
      <c r="AI279" s="115" t="s">
        <v>1407</v>
      </c>
      <c r="AJ279" s="108" t="s">
        <v>189</v>
      </c>
      <c r="AK279" s="108" t="s">
        <v>1408</v>
      </c>
      <c r="AL279" s="108" t="s">
        <v>1409</v>
      </c>
      <c r="AM279" s="108" t="s">
        <v>1410</v>
      </c>
      <c r="AN279" s="108" t="s">
        <v>1411</v>
      </c>
      <c r="AO279" s="108"/>
      <c r="AP279" s="108"/>
      <c r="AQ279" s="108"/>
      <c r="AR279" s="108"/>
      <c r="AS279" s="108"/>
      <c r="AT279" s="108">
        <f>COUNTA(AL279:AO279)</f>
        <v>3</v>
      </c>
      <c r="AU279" s="108" t="str">
        <f>IF(AJ279="Menikah","K","TK")&amp;"/"&amp;AT279</f>
        <v>K/3</v>
      </c>
      <c r="AV279" s="131">
        <v>478300011621000</v>
      </c>
      <c r="AW279" s="113" t="s">
        <v>74</v>
      </c>
      <c r="AX279" s="108" t="s">
        <v>16</v>
      </c>
      <c r="AY279" s="108" t="s">
        <v>226</v>
      </c>
      <c r="AZ279" s="108" t="s">
        <v>1412</v>
      </c>
      <c r="BA279" s="108">
        <v>1991</v>
      </c>
      <c r="BB279" s="108" t="s">
        <v>16</v>
      </c>
      <c r="BC279" s="108" t="s">
        <v>226</v>
      </c>
      <c r="BD279" s="108" t="s">
        <v>1412</v>
      </c>
      <c r="BE279" s="108">
        <v>1991</v>
      </c>
      <c r="BF279" s="116">
        <v>46327</v>
      </c>
      <c r="BG279" s="116">
        <v>46692</v>
      </c>
      <c r="BH279" s="108"/>
      <c r="BI279" s="108"/>
      <c r="BJ279" s="108">
        <v>39</v>
      </c>
      <c r="BK279" s="111">
        <v>44294</v>
      </c>
      <c r="BL279" s="111">
        <v>44322</v>
      </c>
      <c r="BM279" s="111">
        <v>44585</v>
      </c>
      <c r="BN279" s="111"/>
      <c r="BO279" s="108"/>
      <c r="BP279" s="108"/>
      <c r="BQ279" s="108"/>
      <c r="BR279" s="108"/>
      <c r="BS279" s="108"/>
      <c r="BT279" s="108"/>
      <c r="BU279" s="108"/>
      <c r="BV279" s="108"/>
      <c r="BW279" s="108"/>
      <c r="BX279" s="108"/>
      <c r="BY279" s="108"/>
      <c r="BZ279" s="108" t="e">
        <f>VLOOKUP(C279,[1]Sertifikasi!$B$4:$I$19,8,0)</f>
        <v>#N/A</v>
      </c>
    </row>
    <row r="280" spans="1:78" ht="11.25" customHeight="1">
      <c r="A280" s="108"/>
      <c r="B280" s="108">
        <v>254</v>
      </c>
      <c r="C280" s="108" t="s">
        <v>1140</v>
      </c>
      <c r="D280" s="109">
        <v>642001033</v>
      </c>
      <c r="E280" s="131">
        <v>1710003986919</v>
      </c>
      <c r="F280" s="131"/>
      <c r="G280" s="108" t="s">
        <v>71</v>
      </c>
      <c r="H280" s="108" t="s">
        <v>71</v>
      </c>
      <c r="I280" s="111">
        <v>42919</v>
      </c>
      <c r="J280" s="108">
        <v>6</v>
      </c>
      <c r="K280" s="108">
        <v>3</v>
      </c>
      <c r="L280" s="108" t="str">
        <f t="shared" si="8"/>
        <v>PKWT</v>
      </c>
      <c r="M280" s="108"/>
      <c r="N280" s="112">
        <v>45291</v>
      </c>
      <c r="O280" s="108"/>
      <c r="P280" s="108" t="s">
        <v>213</v>
      </c>
      <c r="Q280" s="210" t="s">
        <v>4102</v>
      </c>
      <c r="R280" s="108" t="s">
        <v>259</v>
      </c>
      <c r="S280" s="108" t="s">
        <v>33</v>
      </c>
      <c r="T280" s="108" t="s">
        <v>432</v>
      </c>
      <c r="U280" s="108" t="s">
        <v>199</v>
      </c>
      <c r="V280" s="108" t="s">
        <v>180</v>
      </c>
      <c r="W280" s="108"/>
      <c r="X280" s="108" t="s">
        <v>215</v>
      </c>
      <c r="Y280" s="108" t="s">
        <v>216</v>
      </c>
      <c r="Z280" s="108" t="s">
        <v>71</v>
      </c>
      <c r="AA280" s="111">
        <v>32057</v>
      </c>
      <c r="AB280" s="113">
        <v>36</v>
      </c>
      <c r="AC280" s="108" t="s">
        <v>1141</v>
      </c>
      <c r="AD280" s="129" t="s">
        <v>1142</v>
      </c>
      <c r="AE280" s="108" t="s">
        <v>1143</v>
      </c>
      <c r="AF280" s="108"/>
      <c r="AG280" s="108" t="s">
        <v>1144</v>
      </c>
      <c r="AH280" s="114" t="s">
        <v>1145</v>
      </c>
      <c r="AI280" s="115">
        <v>17043907728</v>
      </c>
      <c r="AJ280" s="108" t="s">
        <v>189</v>
      </c>
      <c r="AK280" s="108" t="s">
        <v>1146</v>
      </c>
      <c r="AL280" s="108" t="s">
        <v>1147</v>
      </c>
      <c r="AM280" s="108"/>
      <c r="AN280" s="108"/>
      <c r="AO280" s="108"/>
      <c r="AP280" s="108"/>
      <c r="AQ280" s="108"/>
      <c r="AR280" s="108"/>
      <c r="AS280" s="108"/>
      <c r="AT280" s="108">
        <v>1</v>
      </c>
      <c r="AU280" s="108" t="s">
        <v>225</v>
      </c>
      <c r="AV280" s="115">
        <v>0</v>
      </c>
      <c r="AW280" s="108" t="s">
        <v>74</v>
      </c>
      <c r="AX280" s="108" t="s">
        <v>16</v>
      </c>
      <c r="AY280" s="108" t="s">
        <v>210</v>
      </c>
      <c r="AZ280" s="108" t="s">
        <v>1148</v>
      </c>
      <c r="BA280" s="108">
        <v>2005</v>
      </c>
      <c r="BB280" s="108" t="s">
        <v>287</v>
      </c>
      <c r="BC280" s="108" t="s">
        <v>210</v>
      </c>
      <c r="BD280" s="108" t="s">
        <v>1148</v>
      </c>
      <c r="BE280" s="108">
        <v>2005</v>
      </c>
      <c r="BF280" s="116"/>
      <c r="BG280" s="116"/>
      <c r="BH280" s="108" t="s">
        <v>345</v>
      </c>
      <c r="BI280" s="108">
        <v>34</v>
      </c>
      <c r="BJ280" s="108">
        <v>40</v>
      </c>
      <c r="BK280" s="111"/>
      <c r="BL280" s="111"/>
      <c r="BM280" s="111"/>
      <c r="BN280" s="111"/>
      <c r="BO280" s="108">
        <v>43467</v>
      </c>
      <c r="BP280" s="108">
        <v>43830</v>
      </c>
      <c r="BQ280" s="108" t="s">
        <v>1149</v>
      </c>
      <c r="BR280" s="108" t="e">
        <v>#REF!</v>
      </c>
      <c r="BS280" s="108"/>
      <c r="BT280" s="108"/>
      <c r="BU280" s="108"/>
      <c r="BV280" s="108"/>
      <c r="BW280" s="108"/>
      <c r="BX280" s="108"/>
      <c r="BY280" s="108"/>
      <c r="BZ280" s="108" t="e">
        <f>VLOOKUP(C280,[1]Sertifikasi!$B$4:$I$19,8,0)</f>
        <v>#N/A</v>
      </c>
    </row>
    <row r="281" spans="1:78" ht="11.25" customHeight="1">
      <c r="A281" s="108"/>
      <c r="B281" s="108">
        <v>25</v>
      </c>
      <c r="C281" s="135" t="s">
        <v>815</v>
      </c>
      <c r="D281" s="109">
        <v>971800024</v>
      </c>
      <c r="E281" s="131">
        <v>1710005144392</v>
      </c>
      <c r="F281" s="131"/>
      <c r="G281" s="113" t="s">
        <v>71</v>
      </c>
      <c r="H281" s="108" t="s">
        <v>71</v>
      </c>
      <c r="I281" s="111">
        <v>42736</v>
      </c>
      <c r="J281" s="108">
        <f ca="1">DATEDIF(I281,$C$3,"y")</f>
        <v>6</v>
      </c>
      <c r="K281" s="108">
        <f ca="1">DATEDIF(I281,$C$3,"ym")</f>
        <v>10</v>
      </c>
      <c r="L281" s="108" t="str">
        <f t="shared" si="8"/>
        <v>Tetap</v>
      </c>
      <c r="M281" s="194"/>
      <c r="N281" s="112">
        <v>42767</v>
      </c>
      <c r="O281" s="111"/>
      <c r="P281" s="108" t="s">
        <v>5</v>
      </c>
      <c r="Q281" s="210" t="s">
        <v>4100</v>
      </c>
      <c r="R281" s="108" t="s">
        <v>4099</v>
      </c>
      <c r="S281" s="108" t="s">
        <v>674</v>
      </c>
      <c r="T281" s="108" t="s">
        <v>674</v>
      </c>
      <c r="U281" s="108" t="s">
        <v>674</v>
      </c>
      <c r="V281" s="108" t="s">
        <v>247</v>
      </c>
      <c r="W281" s="108"/>
      <c r="X281" s="108"/>
      <c r="Y281" s="108" t="s">
        <v>59</v>
      </c>
      <c r="Z281" s="108" t="s">
        <v>816</v>
      </c>
      <c r="AA281" s="111">
        <v>28123</v>
      </c>
      <c r="AB281" s="113">
        <f ca="1">DATEDIF(AA281,$C$3,"y")</f>
        <v>46</v>
      </c>
      <c r="AC281" s="108" t="s">
        <v>817</v>
      </c>
      <c r="AD281" s="129" t="s">
        <v>818</v>
      </c>
      <c r="AE281" s="108" t="s">
        <v>819</v>
      </c>
      <c r="AF281" s="108"/>
      <c r="AG281" s="130" t="s">
        <v>820</v>
      </c>
      <c r="AH281" s="114" t="s">
        <v>821</v>
      </c>
      <c r="AI281" s="115" t="s">
        <v>822</v>
      </c>
      <c r="AJ281" s="108" t="s">
        <v>189</v>
      </c>
      <c r="AK281" s="108" t="s">
        <v>823</v>
      </c>
      <c r="AL281" s="108" t="s">
        <v>824</v>
      </c>
      <c r="AM281" s="108" t="s">
        <v>825</v>
      </c>
      <c r="AN281" s="108"/>
      <c r="AO281" s="108"/>
      <c r="AP281" s="108"/>
      <c r="AQ281" s="108"/>
      <c r="AR281" s="108"/>
      <c r="AS281" s="108"/>
      <c r="AT281" s="108">
        <f>COUNTA(AL281:AO281)</f>
        <v>2</v>
      </c>
      <c r="AU281" s="108" t="str">
        <f>IF(AJ281="Menikah","K","TK")&amp;"/"&amp;AT281</f>
        <v>K/2</v>
      </c>
      <c r="AV281" s="131" t="s">
        <v>826</v>
      </c>
      <c r="AW281" s="113" t="s">
        <v>76</v>
      </c>
      <c r="AX281" s="108" t="s">
        <v>11</v>
      </c>
      <c r="AY281" s="108" t="s">
        <v>226</v>
      </c>
      <c r="AZ281" s="108" t="s">
        <v>827</v>
      </c>
      <c r="BA281" s="108">
        <v>1999</v>
      </c>
      <c r="BB281" s="108" t="s">
        <v>11</v>
      </c>
      <c r="BC281" s="108" t="s">
        <v>226</v>
      </c>
      <c r="BD281" s="108" t="s">
        <v>827</v>
      </c>
      <c r="BE281" s="108">
        <v>1999</v>
      </c>
      <c r="BF281" s="205">
        <v>47880</v>
      </c>
      <c r="BG281" s="116">
        <v>48212</v>
      </c>
      <c r="BH281" s="113"/>
      <c r="BI281" s="108"/>
      <c r="BJ281" s="207"/>
      <c r="BK281" s="111">
        <v>44294</v>
      </c>
      <c r="BL281" s="111">
        <v>44322</v>
      </c>
      <c r="BM281" s="111">
        <v>44581</v>
      </c>
      <c r="BN281" s="111"/>
      <c r="BO281" s="108"/>
      <c r="BP281" s="108"/>
      <c r="BQ281" s="108"/>
      <c r="BR281" s="108"/>
      <c r="BS281" s="108"/>
      <c r="BT281" s="108"/>
      <c r="BU281" s="108"/>
      <c r="BV281" s="108"/>
      <c r="BW281" s="108"/>
      <c r="BX281" s="108"/>
      <c r="BY281" s="108"/>
      <c r="BZ281" s="108" t="e">
        <f>VLOOKUP(C281,[1]Sertifikasi!$B$4:$I$19,8,0)</f>
        <v>#N/A</v>
      </c>
    </row>
    <row r="282" spans="1:78" ht="11.25" customHeight="1">
      <c r="A282" s="108"/>
      <c r="B282" s="108">
        <v>105</v>
      </c>
      <c r="C282" s="108" t="s">
        <v>4115</v>
      </c>
      <c r="D282" s="109">
        <v>971700006</v>
      </c>
      <c r="E282" s="131">
        <v>1710004029057</v>
      </c>
      <c r="F282" s="131">
        <v>2507231480</v>
      </c>
      <c r="G282" s="108" t="s">
        <v>71</v>
      </c>
      <c r="H282" s="108" t="s">
        <v>71</v>
      </c>
      <c r="I282" s="111">
        <v>42095</v>
      </c>
      <c r="J282" s="108">
        <v>8</v>
      </c>
      <c r="K282" s="108">
        <v>6</v>
      </c>
      <c r="L282" s="108" t="str">
        <f t="shared" si="8"/>
        <v>Tetap</v>
      </c>
      <c r="M282" s="108" t="s">
        <v>333</v>
      </c>
      <c r="N282" s="112">
        <v>42767</v>
      </c>
      <c r="O282" s="108"/>
      <c r="P282" s="108" t="s">
        <v>311</v>
      </c>
      <c r="Q282" s="210" t="s">
        <v>4102</v>
      </c>
      <c r="R282" s="108" t="s">
        <v>33</v>
      </c>
      <c r="S282" s="108" t="s">
        <v>232</v>
      </c>
      <c r="T282" s="108" t="s">
        <v>199</v>
      </c>
      <c r="U282" s="108" t="s">
        <v>199</v>
      </c>
      <c r="V282" s="108" t="s">
        <v>180</v>
      </c>
      <c r="W282" s="108" t="s">
        <v>277</v>
      </c>
      <c r="X282" s="108" t="s">
        <v>215</v>
      </c>
      <c r="Y282" s="108" t="s">
        <v>216</v>
      </c>
      <c r="Z282" s="108" t="s">
        <v>71</v>
      </c>
      <c r="AA282" s="111">
        <v>27630</v>
      </c>
      <c r="AB282" s="113">
        <v>48</v>
      </c>
      <c r="AC282" s="108" t="s">
        <v>334</v>
      </c>
      <c r="AD282" s="129" t="s">
        <v>335</v>
      </c>
      <c r="AE282" s="108" t="s">
        <v>336</v>
      </c>
      <c r="AF282" s="108"/>
      <c r="AG282" s="108" t="s">
        <v>337</v>
      </c>
      <c r="AH282" s="114" t="s">
        <v>338</v>
      </c>
      <c r="AI282" s="115">
        <v>16006272351</v>
      </c>
      <c r="AJ282" s="108" t="s">
        <v>189</v>
      </c>
      <c r="AK282" s="108" t="s">
        <v>339</v>
      </c>
      <c r="AL282" s="108" t="s">
        <v>340</v>
      </c>
      <c r="AM282" s="108" t="s">
        <v>341</v>
      </c>
      <c r="AN282" s="108" t="s">
        <v>342</v>
      </c>
      <c r="AO282" s="108"/>
      <c r="AP282" s="108"/>
      <c r="AQ282" s="108"/>
      <c r="AR282" s="108"/>
      <c r="AS282" s="108"/>
      <c r="AT282" s="108">
        <v>3</v>
      </c>
      <c r="AU282" s="108" t="s">
        <v>343</v>
      </c>
      <c r="AV282" s="115">
        <v>0</v>
      </c>
      <c r="AW282" s="108" t="s">
        <v>74</v>
      </c>
      <c r="AX282" s="108" t="s">
        <v>16</v>
      </c>
      <c r="AY282" s="108" t="s">
        <v>285</v>
      </c>
      <c r="AZ282" s="108" t="s">
        <v>344</v>
      </c>
      <c r="BA282" s="108">
        <v>1994</v>
      </c>
      <c r="BB282" s="108" t="s">
        <v>287</v>
      </c>
      <c r="BC282" s="108" t="s">
        <v>285</v>
      </c>
      <c r="BD282" s="108" t="s">
        <v>344</v>
      </c>
      <c r="BE282" s="108">
        <v>1994</v>
      </c>
      <c r="BF282" s="116">
        <v>47880</v>
      </c>
      <c r="BG282" s="116">
        <v>48245</v>
      </c>
      <c r="BH282" s="108" t="s">
        <v>345</v>
      </c>
      <c r="BI282" s="108">
        <v>30</v>
      </c>
      <c r="BJ282" s="108">
        <v>41</v>
      </c>
      <c r="BK282" s="111">
        <v>44293</v>
      </c>
      <c r="BL282" s="111">
        <v>44322</v>
      </c>
      <c r="BM282" s="111"/>
      <c r="BN282" s="111"/>
      <c r="BO282" s="108"/>
      <c r="BP282" s="108"/>
      <c r="BQ282" s="108"/>
      <c r="BR282" s="108"/>
      <c r="BS282" s="108"/>
      <c r="BT282" s="108"/>
      <c r="BU282" s="108"/>
      <c r="BV282" s="108"/>
      <c r="BW282" s="108"/>
      <c r="BX282" s="108"/>
      <c r="BY282" s="108"/>
      <c r="BZ282" s="108" t="e">
        <f>VLOOKUP(C282,[1]Sertifikasi!$B$4:$I$19,8,0)</f>
        <v>#N/A</v>
      </c>
    </row>
    <row r="283" spans="1:78" ht="11.25" customHeight="1">
      <c r="A283" s="108"/>
      <c r="B283" s="108">
        <v>255</v>
      </c>
      <c r="C283" s="108" t="s">
        <v>1897</v>
      </c>
      <c r="D283" s="109">
        <v>641907272</v>
      </c>
      <c r="E283" s="131">
        <v>1710005658458</v>
      </c>
      <c r="F283" s="131"/>
      <c r="G283" s="108" t="s">
        <v>259</v>
      </c>
      <c r="H283" s="108" t="s">
        <v>259</v>
      </c>
      <c r="I283" s="111">
        <v>43647</v>
      </c>
      <c r="J283" s="108">
        <v>4</v>
      </c>
      <c r="K283" s="108">
        <v>3</v>
      </c>
      <c r="L283" s="108" t="str">
        <f t="shared" si="8"/>
        <v>PKWT</v>
      </c>
      <c r="M283" s="108"/>
      <c r="N283" s="112">
        <v>45291</v>
      </c>
      <c r="O283" s="108"/>
      <c r="P283" s="108" t="s">
        <v>213</v>
      </c>
      <c r="Q283" s="210" t="s">
        <v>4102</v>
      </c>
      <c r="R283" s="108" t="s">
        <v>259</v>
      </c>
      <c r="S283" s="108" t="s">
        <v>33</v>
      </c>
      <c r="T283" s="108" t="s">
        <v>432</v>
      </c>
      <c r="U283" s="108" t="s">
        <v>199</v>
      </c>
      <c r="V283" s="108" t="s">
        <v>180</v>
      </c>
      <c r="W283" s="108"/>
      <c r="X283" s="108" t="s">
        <v>215</v>
      </c>
      <c r="Y283" s="108" t="s">
        <v>216</v>
      </c>
      <c r="Z283" s="108" t="s">
        <v>1898</v>
      </c>
      <c r="AA283" s="111">
        <v>32937</v>
      </c>
      <c r="AB283" s="113">
        <v>33</v>
      </c>
      <c r="AC283" s="108" t="s">
        <v>1899</v>
      </c>
      <c r="AD283" s="129" t="s">
        <v>1900</v>
      </c>
      <c r="AE283" s="108" t="s">
        <v>1901</v>
      </c>
      <c r="AF283" s="108"/>
      <c r="AG283" s="108" t="s">
        <v>1902</v>
      </c>
      <c r="AH283" s="114" t="s">
        <v>1903</v>
      </c>
      <c r="AI283" s="115">
        <v>19047644190</v>
      </c>
      <c r="AJ283" s="108" t="s">
        <v>189</v>
      </c>
      <c r="AK283" s="108"/>
      <c r="AL283" s="108"/>
      <c r="AM283" s="108"/>
      <c r="AN283" s="108"/>
      <c r="AO283" s="108"/>
      <c r="AP283" s="108"/>
      <c r="AQ283" s="108"/>
      <c r="AR283" s="108"/>
      <c r="AS283" s="108"/>
      <c r="AT283" s="108">
        <v>0</v>
      </c>
      <c r="AU283" s="108" t="s">
        <v>390</v>
      </c>
      <c r="AV283" s="115">
        <v>0</v>
      </c>
      <c r="AW283" s="108" t="s">
        <v>74</v>
      </c>
      <c r="AX283" s="108" t="s">
        <v>16</v>
      </c>
      <c r="AY283" s="108" t="s">
        <v>226</v>
      </c>
      <c r="AZ283" s="108" t="s">
        <v>1904</v>
      </c>
      <c r="BA283" s="108">
        <v>2008</v>
      </c>
      <c r="BB283" s="108" t="s">
        <v>16</v>
      </c>
      <c r="BC283" s="108" t="s">
        <v>226</v>
      </c>
      <c r="BD283" s="108" t="s">
        <v>1904</v>
      </c>
      <c r="BE283" s="108">
        <v>2008</v>
      </c>
      <c r="BF283" s="116"/>
      <c r="BG283" s="116"/>
      <c r="BH283" s="108" t="s">
        <v>241</v>
      </c>
      <c r="BI283" s="108">
        <v>31</v>
      </c>
      <c r="BJ283" s="108">
        <v>42</v>
      </c>
      <c r="BK283" s="111"/>
      <c r="BL283" s="111"/>
      <c r="BM283" s="111"/>
      <c r="BN283" s="111"/>
      <c r="BO283" s="108"/>
      <c r="BP283" s="108"/>
      <c r="BQ283" s="108"/>
      <c r="BR283" s="108"/>
      <c r="BS283" s="108"/>
      <c r="BT283" s="108"/>
      <c r="BU283" s="108"/>
      <c r="BV283" s="108"/>
      <c r="BW283" s="108"/>
      <c r="BX283" s="108"/>
      <c r="BY283" s="108"/>
      <c r="BZ283" s="108" t="e">
        <f>VLOOKUP(C283,[1]Sertifikasi!$B$4:$I$19,8,0)</f>
        <v>#N/A</v>
      </c>
    </row>
    <row r="284" spans="1:78" ht="11.25" customHeight="1">
      <c r="A284" s="108"/>
      <c r="B284" s="108">
        <v>192</v>
      </c>
      <c r="C284" s="108" t="s">
        <v>2596</v>
      </c>
      <c r="D284" s="109">
        <v>642201136</v>
      </c>
      <c r="E284" s="131">
        <v>1200011799215</v>
      </c>
      <c r="F284" s="131"/>
      <c r="G284" s="108" t="s">
        <v>259</v>
      </c>
      <c r="H284" s="108" t="s">
        <v>259</v>
      </c>
      <c r="I284" s="111">
        <v>44578</v>
      </c>
      <c r="J284" s="108">
        <v>1</v>
      </c>
      <c r="K284" s="108">
        <v>8</v>
      </c>
      <c r="L284" s="108" t="str">
        <f t="shared" ref="L284:L315" si="9">IF(LEFT(D284,2)="99","Organik",IF(LEFT(D284,2)="97","Tetap",IF(LEFT(D284,2)="75","Capeg",IF(LEFT(D284,2)="64","PKWT","Resign"))))</f>
        <v>PKWT</v>
      </c>
      <c r="M284" s="108"/>
      <c r="N284" s="112">
        <v>45291</v>
      </c>
      <c r="O284" s="108"/>
      <c r="P284" s="108" t="s">
        <v>213</v>
      </c>
      <c r="Q284" s="210" t="s">
        <v>4102</v>
      </c>
      <c r="R284" s="108" t="s">
        <v>259</v>
      </c>
      <c r="S284" s="108" t="s">
        <v>262</v>
      </c>
      <c r="T284" s="108" t="s">
        <v>89</v>
      </c>
      <c r="U284" s="108" t="s">
        <v>199</v>
      </c>
      <c r="V284" s="108" t="s">
        <v>180</v>
      </c>
      <c r="W284" s="108"/>
      <c r="X284" s="108"/>
      <c r="Y284" s="108" t="s">
        <v>216</v>
      </c>
      <c r="Z284" s="108" t="s">
        <v>259</v>
      </c>
      <c r="AA284" s="111">
        <v>34494</v>
      </c>
      <c r="AB284" s="113">
        <v>29</v>
      </c>
      <c r="AC284" s="108" t="s">
        <v>2597</v>
      </c>
      <c r="AD284" s="129" t="s">
        <v>2598</v>
      </c>
      <c r="AE284" s="108" t="s">
        <v>2599</v>
      </c>
      <c r="AF284" s="108"/>
      <c r="AG284" s="108" t="s">
        <v>2600</v>
      </c>
      <c r="AH284" s="114" t="s">
        <v>2601</v>
      </c>
      <c r="AI284" s="115">
        <v>22017333745</v>
      </c>
      <c r="AJ284" s="108" t="s">
        <v>189</v>
      </c>
      <c r="AK284" s="108"/>
      <c r="AL284" s="108" t="s">
        <v>2602</v>
      </c>
      <c r="AM284" s="108"/>
      <c r="AN284" s="108"/>
      <c r="AO284" s="108"/>
      <c r="AP284" s="108"/>
      <c r="AQ284" s="108"/>
      <c r="AR284" s="108"/>
      <c r="AS284" s="108"/>
      <c r="AT284" s="108">
        <v>1</v>
      </c>
      <c r="AU284" s="108" t="s">
        <v>225</v>
      </c>
      <c r="AV284" s="115"/>
      <c r="AW284" s="108" t="s">
        <v>74</v>
      </c>
      <c r="AX284" s="108" t="s">
        <v>16</v>
      </c>
      <c r="AY284" s="108" t="s">
        <v>2603</v>
      </c>
      <c r="AZ284" s="108" t="s">
        <v>2604</v>
      </c>
      <c r="BA284" s="108">
        <v>2013</v>
      </c>
      <c r="BB284" s="108" t="s">
        <v>16</v>
      </c>
      <c r="BC284" s="108" t="s">
        <v>2603</v>
      </c>
      <c r="BD284" s="108" t="s">
        <v>2604</v>
      </c>
      <c r="BE284" s="108">
        <v>2013</v>
      </c>
      <c r="BF284" s="116"/>
      <c r="BG284" s="116"/>
      <c r="BH284" s="108"/>
      <c r="BI284" s="108"/>
      <c r="BJ284" s="108">
        <v>42</v>
      </c>
      <c r="BK284" s="111"/>
      <c r="BL284" s="111">
        <v>44405</v>
      </c>
      <c r="BM284" s="111"/>
      <c r="BN284" s="111"/>
      <c r="BO284" s="108"/>
      <c r="BP284" s="108"/>
      <c r="BQ284" s="108"/>
      <c r="BR284" s="108" t="s">
        <v>2605</v>
      </c>
      <c r="BS284" s="108"/>
      <c r="BT284" s="108"/>
      <c r="BU284" s="108"/>
      <c r="BV284" s="108"/>
      <c r="BW284" s="108"/>
      <c r="BX284" s="108"/>
      <c r="BY284" s="108"/>
      <c r="BZ284" s="108" t="e">
        <f>VLOOKUP(C284,[1]Sertifikasi!$B$4:$I$19,8,0)</f>
        <v>#N/A</v>
      </c>
    </row>
    <row r="285" spans="1:78" ht="11.25" customHeight="1">
      <c r="A285" s="108"/>
      <c r="B285" s="108">
        <v>108</v>
      </c>
      <c r="C285" s="108" t="s">
        <v>2296</v>
      </c>
      <c r="D285" s="109">
        <v>642101097</v>
      </c>
      <c r="E285" s="131">
        <v>1710000713431</v>
      </c>
      <c r="F285" s="131"/>
      <c r="G285" s="113" t="s">
        <v>71</v>
      </c>
      <c r="H285" s="108" t="s">
        <v>71</v>
      </c>
      <c r="I285" s="111">
        <v>44200</v>
      </c>
      <c r="J285" s="108">
        <f ca="1">DATEDIF(I285,$C$3,"y")</f>
        <v>2</v>
      </c>
      <c r="K285" s="108">
        <f ca="1">DATEDIF(I285,$C$3,"ym")</f>
        <v>10</v>
      </c>
      <c r="L285" s="108" t="str">
        <f t="shared" si="9"/>
        <v>PKWT</v>
      </c>
      <c r="M285" s="108"/>
      <c r="N285" s="112">
        <v>45294</v>
      </c>
      <c r="O285" s="108"/>
      <c r="P285" s="108" t="s">
        <v>261</v>
      </c>
      <c r="Q285" s="210" t="s">
        <v>4100</v>
      </c>
      <c r="R285" s="210" t="s">
        <v>2085</v>
      </c>
      <c r="S285" s="108" t="s">
        <v>2281</v>
      </c>
      <c r="T285" s="108" t="s">
        <v>214</v>
      </c>
      <c r="U285" s="108" t="s">
        <v>214</v>
      </c>
      <c r="V285" s="108" t="s">
        <v>180</v>
      </c>
      <c r="W285" s="108"/>
      <c r="X285" s="108"/>
      <c r="Y285" s="108" t="s">
        <v>60</v>
      </c>
      <c r="Z285" s="108" t="s">
        <v>71</v>
      </c>
      <c r="AA285" s="111">
        <v>34511</v>
      </c>
      <c r="AB285" s="113">
        <f ca="1">DATEDIF(AA285,$C$3,"y")</f>
        <v>29</v>
      </c>
      <c r="AC285" s="108" t="s">
        <v>2297</v>
      </c>
      <c r="AD285" s="129" t="s">
        <v>2298</v>
      </c>
      <c r="AE285" s="108" t="s">
        <v>2299</v>
      </c>
      <c r="AF285" s="108"/>
      <c r="AG285" s="130" t="s">
        <v>2300</v>
      </c>
      <c r="AH285" s="136" t="s">
        <v>2301</v>
      </c>
      <c r="AI285" s="115">
        <v>15010091914</v>
      </c>
      <c r="AJ285" s="108" t="s">
        <v>189</v>
      </c>
      <c r="AK285" s="108" t="s">
        <v>2302</v>
      </c>
      <c r="AL285" s="108"/>
      <c r="AM285" s="108"/>
      <c r="AN285" s="108"/>
      <c r="AO285" s="108"/>
      <c r="AP285" s="108"/>
      <c r="AQ285" s="108"/>
      <c r="AR285" s="108"/>
      <c r="AS285" s="108"/>
      <c r="AT285" s="108">
        <f>COUNTA(AL285:AO285)</f>
        <v>0</v>
      </c>
      <c r="AU285" s="108" t="str">
        <f>IF(AJ285="Menikah","K","TK")&amp;"/"&amp;AT285</f>
        <v>K/0</v>
      </c>
      <c r="AV285" s="131"/>
      <c r="AW285" s="113" t="s">
        <v>74</v>
      </c>
      <c r="AX285" s="108" t="s">
        <v>16</v>
      </c>
      <c r="AY285" s="108" t="s">
        <v>539</v>
      </c>
      <c r="AZ285" s="108" t="s">
        <v>2303</v>
      </c>
      <c r="BA285" s="108"/>
      <c r="BB285" s="108" t="s">
        <v>12</v>
      </c>
      <c r="BC285" s="108" t="s">
        <v>671</v>
      </c>
      <c r="BD285" s="108" t="s">
        <v>1029</v>
      </c>
      <c r="BE285" s="108"/>
      <c r="BF285" s="116"/>
      <c r="BG285" s="116"/>
      <c r="BH285" s="108"/>
      <c r="BI285" s="108"/>
      <c r="BJ285" s="194"/>
      <c r="BK285" s="111" t="s">
        <v>795</v>
      </c>
      <c r="BL285" s="111" t="s">
        <v>795</v>
      </c>
      <c r="BM285" s="208"/>
      <c r="BN285" s="111"/>
      <c r="BO285" s="108"/>
      <c r="BP285" s="108"/>
      <c r="BQ285" s="108"/>
      <c r="BR285" s="108"/>
      <c r="BS285" s="108"/>
      <c r="BT285" s="108"/>
      <c r="BU285" s="108"/>
      <c r="BV285" s="108"/>
      <c r="BW285" s="108"/>
      <c r="BX285" s="108"/>
      <c r="BY285" s="108"/>
      <c r="BZ285" s="108" t="e">
        <f>VLOOKUP(C285,[1]Sertifikasi!$B$4:$I$19,8,0)</f>
        <v>#N/A</v>
      </c>
    </row>
    <row r="286" spans="1:78" ht="11.25" customHeight="1">
      <c r="A286" s="108"/>
      <c r="B286" s="108">
        <v>26</v>
      </c>
      <c r="C286" s="108" t="s">
        <v>1507</v>
      </c>
      <c r="D286" s="109">
        <v>971900043</v>
      </c>
      <c r="E286" s="131">
        <v>1710004667732</v>
      </c>
      <c r="F286" s="131">
        <v>7190880348</v>
      </c>
      <c r="G286" s="113" t="s">
        <v>71</v>
      </c>
      <c r="H286" s="108" t="s">
        <v>71</v>
      </c>
      <c r="I286" s="111">
        <v>43346</v>
      </c>
      <c r="J286" s="108">
        <f ca="1">DATEDIF(I286,$C$3,"y")</f>
        <v>5</v>
      </c>
      <c r="K286" s="108">
        <f ca="1">DATEDIF(I286,$C$3,"ym")</f>
        <v>2</v>
      </c>
      <c r="L286" s="108" t="str">
        <f t="shared" si="9"/>
        <v>Tetap</v>
      </c>
      <c r="M286" s="108" t="s">
        <v>273</v>
      </c>
      <c r="N286" s="111">
        <v>43789</v>
      </c>
      <c r="O286" s="111"/>
      <c r="P286" s="108" t="s">
        <v>261</v>
      </c>
      <c r="Q286" s="210" t="s">
        <v>4100</v>
      </c>
      <c r="R286" s="108" t="s">
        <v>4099</v>
      </c>
      <c r="S286" s="108" t="s">
        <v>674</v>
      </c>
      <c r="T286" s="108" t="s">
        <v>674</v>
      </c>
      <c r="U286" s="108" t="s">
        <v>674</v>
      </c>
      <c r="V286" s="108" t="s">
        <v>247</v>
      </c>
      <c r="W286" s="108"/>
      <c r="X286" s="108"/>
      <c r="Y286" s="108" t="s">
        <v>59</v>
      </c>
      <c r="Z286" s="108" t="s">
        <v>71</v>
      </c>
      <c r="AA286" s="111">
        <v>33465</v>
      </c>
      <c r="AB286" s="113">
        <f ca="1">DATEDIF(AA286,$C$3,"y")</f>
        <v>32</v>
      </c>
      <c r="AC286" s="108" t="s">
        <v>1508</v>
      </c>
      <c r="AD286" s="129" t="s">
        <v>1509</v>
      </c>
      <c r="AE286" s="108" t="s">
        <v>1510</v>
      </c>
      <c r="AF286" s="108"/>
      <c r="AG286" s="130" t="s">
        <v>1511</v>
      </c>
      <c r="AH286" s="114" t="s">
        <v>1512</v>
      </c>
      <c r="AI286" s="115" t="s">
        <v>1513</v>
      </c>
      <c r="AJ286" s="108" t="s">
        <v>189</v>
      </c>
      <c r="AK286" s="108"/>
      <c r="AL286" s="108"/>
      <c r="AM286" s="108"/>
      <c r="AN286" s="108"/>
      <c r="AO286" s="108"/>
      <c r="AP286" s="108"/>
      <c r="AQ286" s="108"/>
      <c r="AR286" s="108"/>
      <c r="AS286" s="108"/>
      <c r="AT286" s="108">
        <f>COUNTA(AL286:AO286)</f>
        <v>0</v>
      </c>
      <c r="AU286" s="108" t="str">
        <f>IF(AJ286="Menikah","K","TK")&amp;"/"&amp;AT286</f>
        <v>K/0</v>
      </c>
      <c r="AV286" s="131" t="s">
        <v>1514</v>
      </c>
      <c r="AW286" s="113" t="s">
        <v>74</v>
      </c>
      <c r="AX286" s="108" t="s">
        <v>12</v>
      </c>
      <c r="AY286" s="108" t="s">
        <v>256</v>
      </c>
      <c r="AZ286" s="108" t="s">
        <v>839</v>
      </c>
      <c r="BA286" s="108">
        <v>2013</v>
      </c>
      <c r="BB286" s="108" t="s">
        <v>12</v>
      </c>
      <c r="BC286" s="108" t="s">
        <v>256</v>
      </c>
      <c r="BD286" s="108" t="s">
        <v>839</v>
      </c>
      <c r="BE286" s="108">
        <v>2013</v>
      </c>
      <c r="BF286" s="111">
        <v>54016</v>
      </c>
      <c r="BG286" s="116">
        <v>54381</v>
      </c>
      <c r="BH286" s="113"/>
      <c r="BI286" s="108"/>
      <c r="BJ286" s="207"/>
      <c r="BK286" s="111">
        <v>44294</v>
      </c>
      <c r="BL286" s="111">
        <v>44322</v>
      </c>
      <c r="BM286" s="111">
        <v>44585</v>
      </c>
      <c r="BN286" s="111"/>
      <c r="BO286" s="108"/>
      <c r="BP286" s="108"/>
      <c r="BQ286" s="108"/>
      <c r="BR286" s="108"/>
      <c r="BS286" s="108"/>
      <c r="BT286" s="108"/>
      <c r="BU286" s="108"/>
      <c r="BV286" s="108"/>
      <c r="BW286" s="108"/>
      <c r="BX286" s="108"/>
      <c r="BY286" s="108"/>
      <c r="BZ286" s="108" t="e">
        <f>VLOOKUP(C286,[1]Sertifikasi!$B$4:$I$19,8,0)</f>
        <v>#N/A</v>
      </c>
    </row>
    <row r="287" spans="1:78" ht="11.25" customHeight="1">
      <c r="A287" s="108"/>
      <c r="B287" s="108">
        <v>296</v>
      </c>
      <c r="C287" s="108" t="s">
        <v>1427</v>
      </c>
      <c r="D287" s="109">
        <v>641808174</v>
      </c>
      <c r="E287" s="131">
        <v>1710004607027</v>
      </c>
      <c r="F287" s="131"/>
      <c r="G287" s="108" t="s">
        <v>575</v>
      </c>
      <c r="H287" s="108" t="s">
        <v>575</v>
      </c>
      <c r="I287" s="111">
        <v>43325</v>
      </c>
      <c r="J287" s="108">
        <v>5</v>
      </c>
      <c r="K287" s="108">
        <v>1</v>
      </c>
      <c r="L287" s="108" t="str">
        <f t="shared" si="9"/>
        <v>PKWT</v>
      </c>
      <c r="M287" s="108"/>
      <c r="N287" s="112">
        <v>45515</v>
      </c>
      <c r="O287" s="108"/>
      <c r="P287" s="108" t="s">
        <v>213</v>
      </c>
      <c r="Q287" s="210" t="s">
        <v>4102</v>
      </c>
      <c r="R287" s="108" t="s">
        <v>575</v>
      </c>
      <c r="S287" s="108" t="s">
        <v>262</v>
      </c>
      <c r="T287" s="108" t="s">
        <v>92</v>
      </c>
      <c r="U287" s="108" t="s">
        <v>276</v>
      </c>
      <c r="V287" s="108" t="s">
        <v>180</v>
      </c>
      <c r="W287" s="108" t="s">
        <v>263</v>
      </c>
      <c r="X287" s="108" t="s">
        <v>215</v>
      </c>
      <c r="Y287" s="108" t="s">
        <v>216</v>
      </c>
      <c r="Z287" s="108" t="s">
        <v>575</v>
      </c>
      <c r="AA287" s="111">
        <v>34344</v>
      </c>
      <c r="AB287" s="113">
        <v>29</v>
      </c>
      <c r="AC287" s="108" t="s">
        <v>1428</v>
      </c>
      <c r="AD287" s="129" t="s">
        <v>1429</v>
      </c>
      <c r="AE287" s="108" t="s">
        <v>1430</v>
      </c>
      <c r="AF287" s="108"/>
      <c r="AG287" s="108" t="s">
        <v>1431</v>
      </c>
      <c r="AH287" s="114" t="s">
        <v>1432</v>
      </c>
      <c r="AI287" s="115">
        <v>18070554029</v>
      </c>
      <c r="AJ287" s="108" t="s">
        <v>189</v>
      </c>
      <c r="AK287" s="108" t="s">
        <v>1433</v>
      </c>
      <c r="AL287" s="108"/>
      <c r="AM287" s="108"/>
      <c r="AN287" s="108"/>
      <c r="AO287" s="108"/>
      <c r="AP287" s="108"/>
      <c r="AQ287" s="108"/>
      <c r="AR287" s="108"/>
      <c r="AS287" s="108"/>
      <c r="AT287" s="108">
        <v>0</v>
      </c>
      <c r="AU287" s="108" t="s">
        <v>390</v>
      </c>
      <c r="AV287" s="115">
        <v>0</v>
      </c>
      <c r="AW287" s="108" t="s">
        <v>74</v>
      </c>
      <c r="AX287" s="108" t="s">
        <v>12</v>
      </c>
      <c r="AY287" s="108" t="s">
        <v>210</v>
      </c>
      <c r="AZ287" s="108" t="s">
        <v>1434</v>
      </c>
      <c r="BA287" s="108">
        <v>2016</v>
      </c>
      <c r="BB287" s="108" t="s">
        <v>12</v>
      </c>
      <c r="BC287" s="108" t="s">
        <v>210</v>
      </c>
      <c r="BD287" s="108" t="s">
        <v>1434</v>
      </c>
      <c r="BE287" s="108">
        <v>2016</v>
      </c>
      <c r="BF287" s="116"/>
      <c r="BG287" s="116"/>
      <c r="BH287" s="108" t="s">
        <v>228</v>
      </c>
      <c r="BI287" s="108">
        <v>32</v>
      </c>
      <c r="BJ287" s="195">
        <v>42</v>
      </c>
      <c r="BK287" s="111"/>
      <c r="BL287" s="111"/>
      <c r="BM287" s="111"/>
      <c r="BN287" s="111"/>
      <c r="BO287" s="108"/>
      <c r="BP287" s="108"/>
      <c r="BQ287" s="108"/>
      <c r="BR287" s="108"/>
      <c r="BS287" s="108"/>
      <c r="BT287" s="108"/>
      <c r="BU287" s="108"/>
      <c r="BV287" s="108"/>
      <c r="BW287" s="108"/>
      <c r="BX287" s="108"/>
      <c r="BY287" s="108"/>
      <c r="BZ287" s="108" t="str">
        <f>VLOOKUP(C287,[1]Sertifikasi!$B$4:$I$19,8,0)</f>
        <v>Pembinaan Dan Sertifikasi Calon Ahli K3 Umum</v>
      </c>
    </row>
    <row r="288" spans="1:78" ht="11.25" customHeight="1">
      <c r="A288" s="108"/>
      <c r="B288" s="108">
        <v>95</v>
      </c>
      <c r="C288" s="108" t="s">
        <v>462</v>
      </c>
      <c r="D288" s="109">
        <v>642001011</v>
      </c>
      <c r="E288" s="131">
        <v>1710003988089</v>
      </c>
      <c r="F288" s="131"/>
      <c r="G288" s="108" t="s">
        <v>71</v>
      </c>
      <c r="H288" s="108" t="s">
        <v>71</v>
      </c>
      <c r="I288" s="111">
        <v>42217</v>
      </c>
      <c r="J288" s="108">
        <v>8</v>
      </c>
      <c r="K288" s="108">
        <v>2</v>
      </c>
      <c r="L288" s="108" t="str">
        <f t="shared" si="9"/>
        <v>PKWT</v>
      </c>
      <c r="M288" s="108"/>
      <c r="N288" s="112">
        <v>45291</v>
      </c>
      <c r="O288" s="108"/>
      <c r="P288" s="108" t="s">
        <v>213</v>
      </c>
      <c r="Q288" s="210" t="s">
        <v>4102</v>
      </c>
      <c r="R288" s="108" t="s">
        <v>2085</v>
      </c>
      <c r="S288" s="108" t="s">
        <v>33</v>
      </c>
      <c r="T288" s="108" t="s">
        <v>95</v>
      </c>
      <c r="U288" s="108" t="s">
        <v>214</v>
      </c>
      <c r="V288" s="108" t="s">
        <v>180</v>
      </c>
      <c r="W288" s="108"/>
      <c r="X288" s="108" t="s">
        <v>215</v>
      </c>
      <c r="Y288" s="108" t="s">
        <v>216</v>
      </c>
      <c r="Z288" s="108" t="s">
        <v>71</v>
      </c>
      <c r="AA288" s="111">
        <v>27959</v>
      </c>
      <c r="AB288" s="113">
        <v>47</v>
      </c>
      <c r="AC288" s="108" t="s">
        <v>463</v>
      </c>
      <c r="AD288" s="129" t="s">
        <v>464</v>
      </c>
      <c r="AE288" s="108" t="s">
        <v>465</v>
      </c>
      <c r="AF288" s="108"/>
      <c r="AG288" s="108" t="s">
        <v>466</v>
      </c>
      <c r="AH288" s="114" t="s">
        <v>467</v>
      </c>
      <c r="AI288" s="115">
        <v>16006272096</v>
      </c>
      <c r="AJ288" s="108" t="s">
        <v>189</v>
      </c>
      <c r="AK288" s="108" t="s">
        <v>468</v>
      </c>
      <c r="AL288" s="108" t="s">
        <v>469</v>
      </c>
      <c r="AM288" s="108" t="s">
        <v>470</v>
      </c>
      <c r="AN288" s="108"/>
      <c r="AO288" s="108"/>
      <c r="AP288" s="108"/>
      <c r="AQ288" s="108"/>
      <c r="AR288" s="108"/>
      <c r="AS288" s="108"/>
      <c r="AT288" s="108">
        <v>2</v>
      </c>
      <c r="AU288" s="108" t="s">
        <v>330</v>
      </c>
      <c r="AV288" s="115">
        <v>0</v>
      </c>
      <c r="AW288" s="108" t="s">
        <v>74</v>
      </c>
      <c r="AX288" s="108" t="s">
        <v>16</v>
      </c>
      <c r="AY288" s="108" t="s">
        <v>226</v>
      </c>
      <c r="AZ288" s="108" t="s">
        <v>471</v>
      </c>
      <c r="BA288" s="108">
        <v>1995</v>
      </c>
      <c r="BB288" s="108" t="s">
        <v>287</v>
      </c>
      <c r="BC288" s="108" t="s">
        <v>226</v>
      </c>
      <c r="BD288" s="108" t="s">
        <v>471</v>
      </c>
      <c r="BE288" s="108">
        <v>1995</v>
      </c>
      <c r="BF288" s="116"/>
      <c r="BG288" s="116"/>
      <c r="BH288" s="108" t="s">
        <v>241</v>
      </c>
      <c r="BI288" s="108">
        <v>28</v>
      </c>
      <c r="BJ288" s="108">
        <v>40</v>
      </c>
      <c r="BK288" s="111"/>
      <c r="BL288" s="111"/>
      <c r="BM288" s="111">
        <v>44601</v>
      </c>
      <c r="BN288" s="111"/>
      <c r="BO288" s="108">
        <v>43467</v>
      </c>
      <c r="BP288" s="108">
        <v>43830</v>
      </c>
      <c r="BQ288" s="108" t="s">
        <v>472</v>
      </c>
      <c r="BR288" s="108" t="s">
        <v>473</v>
      </c>
      <c r="BS288" s="108"/>
      <c r="BT288" s="108"/>
      <c r="BU288" s="108"/>
      <c r="BV288" s="108"/>
      <c r="BW288" s="108"/>
      <c r="BX288" s="108"/>
      <c r="BY288" s="108"/>
      <c r="BZ288" s="108" t="e">
        <f>VLOOKUP(C288,[1]Sertifikasi!$B$4:$I$19,8,0)</f>
        <v>#N/A</v>
      </c>
    </row>
    <row r="289" spans="1:78" ht="11.25" customHeight="1">
      <c r="A289" s="108"/>
      <c r="B289" s="108">
        <v>256</v>
      </c>
      <c r="C289" s="108" t="s">
        <v>1613</v>
      </c>
      <c r="D289" s="109">
        <v>641810192</v>
      </c>
      <c r="E289" s="131">
        <v>1710004810670</v>
      </c>
      <c r="F289" s="131"/>
      <c r="G289" s="108" t="s">
        <v>259</v>
      </c>
      <c r="H289" s="108" t="s">
        <v>259</v>
      </c>
      <c r="I289" s="111">
        <v>43395</v>
      </c>
      <c r="J289" s="108">
        <v>4</v>
      </c>
      <c r="K289" s="108">
        <v>11</v>
      </c>
      <c r="L289" s="108" t="str">
        <f t="shared" si="9"/>
        <v>PKWT</v>
      </c>
      <c r="M289" s="108"/>
      <c r="N289" s="112">
        <v>45291</v>
      </c>
      <c r="O289" s="108"/>
      <c r="P289" s="108" t="s">
        <v>213</v>
      </c>
      <c r="Q289" s="210" t="s">
        <v>4102</v>
      </c>
      <c r="R289" s="108" t="s">
        <v>259</v>
      </c>
      <c r="S289" s="108" t="s">
        <v>33</v>
      </c>
      <c r="T289" s="108" t="s">
        <v>432</v>
      </c>
      <c r="U289" s="108" t="s">
        <v>199</v>
      </c>
      <c r="V289" s="108" t="s">
        <v>180</v>
      </c>
      <c r="W289" s="108"/>
      <c r="X289" s="108" t="s">
        <v>215</v>
      </c>
      <c r="Y289" s="108" t="s">
        <v>216</v>
      </c>
      <c r="Z289" s="108" t="s">
        <v>1614</v>
      </c>
      <c r="AA289" s="111">
        <v>34983</v>
      </c>
      <c r="AB289" s="113">
        <v>27</v>
      </c>
      <c r="AC289" s="108" t="s">
        <v>1615</v>
      </c>
      <c r="AD289" s="129" t="s">
        <v>1616</v>
      </c>
      <c r="AE289" s="108" t="s">
        <v>1617</v>
      </c>
      <c r="AF289" s="108"/>
      <c r="AG289" s="108" t="s">
        <v>1618</v>
      </c>
      <c r="AH289" s="114" t="s">
        <v>1619</v>
      </c>
      <c r="AI289" s="115">
        <v>18099947493</v>
      </c>
      <c r="AJ289" s="108" t="s">
        <v>255</v>
      </c>
      <c r="AK289" s="108"/>
      <c r="AL289" s="108"/>
      <c r="AM289" s="108"/>
      <c r="AN289" s="108"/>
      <c r="AO289" s="108"/>
      <c r="AP289" s="108"/>
      <c r="AQ289" s="108"/>
      <c r="AR289" s="108"/>
      <c r="AS289" s="108"/>
      <c r="AT289" s="108">
        <v>0</v>
      </c>
      <c r="AU289" s="108" t="s">
        <v>304</v>
      </c>
      <c r="AV289" s="115">
        <v>0</v>
      </c>
      <c r="AW289" s="108" t="s">
        <v>74</v>
      </c>
      <c r="AX289" s="108" t="s">
        <v>16</v>
      </c>
      <c r="AY289" s="108" t="s">
        <v>331</v>
      </c>
      <c r="AZ289" s="108" t="s">
        <v>1620</v>
      </c>
      <c r="BA289" s="108">
        <v>2014</v>
      </c>
      <c r="BB289" s="108" t="s">
        <v>287</v>
      </c>
      <c r="BC289" s="108" t="s">
        <v>331</v>
      </c>
      <c r="BD289" s="108" t="s">
        <v>1620</v>
      </c>
      <c r="BE289" s="108">
        <v>2014</v>
      </c>
      <c r="BF289" s="116"/>
      <c r="BG289" s="116"/>
      <c r="BH289" s="108" t="s">
        <v>345</v>
      </c>
      <c r="BI289" s="108">
        <v>31</v>
      </c>
      <c r="BJ289" s="108">
        <v>42</v>
      </c>
      <c r="BK289" s="111">
        <v>44294</v>
      </c>
      <c r="BL289" s="111">
        <v>44322</v>
      </c>
      <c r="BM289" s="111"/>
      <c r="BN289" s="111"/>
      <c r="BO289" s="108"/>
      <c r="BP289" s="108"/>
      <c r="BQ289" s="108"/>
      <c r="BR289" s="108"/>
      <c r="BS289" s="108"/>
      <c r="BT289" s="108"/>
      <c r="BU289" s="108"/>
      <c r="BV289" s="108"/>
      <c r="BW289" s="108"/>
      <c r="BX289" s="108"/>
      <c r="BY289" s="108"/>
      <c r="BZ289" s="108" t="e">
        <f>VLOOKUP(C289,[1]Sertifikasi!$B$4:$I$19,8,0)</f>
        <v>#N/A</v>
      </c>
    </row>
    <row r="290" spans="1:78" ht="11.25" customHeight="1">
      <c r="A290" s="108"/>
      <c r="B290" s="108">
        <v>89</v>
      </c>
      <c r="C290" s="108" t="s">
        <v>2370</v>
      </c>
      <c r="D290" s="109">
        <v>642102103</v>
      </c>
      <c r="E290" s="131">
        <v>1710000376239</v>
      </c>
      <c r="F290" s="131"/>
      <c r="G290" s="108" t="s">
        <v>71</v>
      </c>
      <c r="H290" s="108" t="s">
        <v>71</v>
      </c>
      <c r="I290" s="111">
        <v>44242</v>
      </c>
      <c r="J290" s="108">
        <v>2</v>
      </c>
      <c r="K290" s="108">
        <v>7</v>
      </c>
      <c r="L290" s="108" t="str">
        <f t="shared" si="9"/>
        <v>PKWT</v>
      </c>
      <c r="M290" s="108"/>
      <c r="N290" s="112">
        <v>45336</v>
      </c>
      <c r="O290" s="108"/>
      <c r="P290" s="108" t="s">
        <v>213</v>
      </c>
      <c r="Q290" s="210" t="s">
        <v>4102</v>
      </c>
      <c r="R290" s="108" t="s">
        <v>2085</v>
      </c>
      <c r="S290" s="108" t="s">
        <v>232</v>
      </c>
      <c r="T290" s="108" t="s">
        <v>214</v>
      </c>
      <c r="U290" s="108" t="s">
        <v>214</v>
      </c>
      <c r="V290" s="108" t="s">
        <v>180</v>
      </c>
      <c r="W290" s="108" t="s">
        <v>617</v>
      </c>
      <c r="X290" s="108"/>
      <c r="Y290" s="108" t="s">
        <v>216</v>
      </c>
      <c r="Z290" s="108" t="s">
        <v>182</v>
      </c>
      <c r="AA290" s="111">
        <v>31812</v>
      </c>
      <c r="AB290" s="113">
        <v>36</v>
      </c>
      <c r="AC290" s="108" t="s">
        <v>2371</v>
      </c>
      <c r="AD290" s="129" t="s">
        <v>2372</v>
      </c>
      <c r="AE290" s="108" t="s">
        <v>2373</v>
      </c>
      <c r="AF290" s="108"/>
      <c r="AG290" s="108" t="s">
        <v>2374</v>
      </c>
      <c r="AH290" s="114" t="s">
        <v>2375</v>
      </c>
      <c r="AI290" s="115">
        <v>21013284761</v>
      </c>
      <c r="AJ290" s="108" t="s">
        <v>189</v>
      </c>
      <c r="AK290" s="108" t="s">
        <v>2376</v>
      </c>
      <c r="AL290" s="108" t="s">
        <v>2377</v>
      </c>
      <c r="AM290" s="108" t="s">
        <v>2378</v>
      </c>
      <c r="AN290" s="108"/>
      <c r="AO290" s="108"/>
      <c r="AP290" s="108"/>
      <c r="AQ290" s="108"/>
      <c r="AR290" s="108"/>
      <c r="AS290" s="108"/>
      <c r="AT290" s="108">
        <v>2</v>
      </c>
      <c r="AU290" s="108" t="s">
        <v>330</v>
      </c>
      <c r="AV290" s="115"/>
      <c r="AW290" s="108" t="s">
        <v>74</v>
      </c>
      <c r="AX290" s="108" t="s">
        <v>16</v>
      </c>
      <c r="AY290" s="108" t="s">
        <v>226</v>
      </c>
      <c r="AZ290" s="108" t="s">
        <v>306</v>
      </c>
      <c r="BA290" s="108">
        <v>2006</v>
      </c>
      <c r="BB290" s="108" t="s">
        <v>16</v>
      </c>
      <c r="BC290" s="108" t="s">
        <v>226</v>
      </c>
      <c r="BD290" s="108" t="s">
        <v>306</v>
      </c>
      <c r="BE290" s="108">
        <v>2006</v>
      </c>
      <c r="BF290" s="116"/>
      <c r="BG290" s="116"/>
      <c r="BH290" s="108" t="s">
        <v>345</v>
      </c>
      <c r="BI290" s="108">
        <v>40</v>
      </c>
      <c r="BJ290" s="108">
        <v>41</v>
      </c>
      <c r="BK290" s="111"/>
      <c r="BL290" s="111"/>
      <c r="BM290" s="111">
        <v>44601</v>
      </c>
      <c r="BN290" s="111"/>
      <c r="BO290" s="108"/>
      <c r="BP290" s="108"/>
      <c r="BQ290" s="108"/>
      <c r="BR290" s="108" t="s">
        <v>2379</v>
      </c>
      <c r="BS290" s="108"/>
      <c r="BT290" s="108"/>
      <c r="BU290" s="108"/>
      <c r="BV290" s="108"/>
      <c r="BW290" s="108"/>
      <c r="BX290" s="108"/>
      <c r="BY290" s="108"/>
      <c r="BZ290" s="108" t="e">
        <f>VLOOKUP(C290,[1]Sertifikasi!$B$4:$I$19,8,0)</f>
        <v>#N/A</v>
      </c>
    </row>
    <row r="291" spans="1:78" ht="11.25" customHeight="1">
      <c r="A291" s="108"/>
      <c r="B291" s="108">
        <v>5</v>
      </c>
      <c r="C291" s="108" t="s">
        <v>2219</v>
      </c>
      <c r="D291" s="109">
        <v>999800030</v>
      </c>
      <c r="E291" s="131">
        <v>1440011135446</v>
      </c>
      <c r="F291" s="131"/>
      <c r="G291" s="113" t="s">
        <v>33</v>
      </c>
      <c r="H291" s="108" t="s">
        <v>71</v>
      </c>
      <c r="I291" s="111">
        <v>43987</v>
      </c>
      <c r="J291" s="108">
        <f ca="1">DATEDIF(I291,$C$3,"y")</f>
        <v>3</v>
      </c>
      <c r="K291" s="108">
        <f ca="1">DATEDIF(I291,$C$3,"ym")</f>
        <v>5</v>
      </c>
      <c r="L291" s="108" t="str">
        <f t="shared" si="9"/>
        <v>Organik</v>
      </c>
      <c r="M291" s="108" t="s">
        <v>1401</v>
      </c>
      <c r="N291" s="112">
        <v>36039</v>
      </c>
      <c r="O291" s="108" t="s">
        <v>261</v>
      </c>
      <c r="P291" s="108" t="s">
        <v>261</v>
      </c>
      <c r="Q291" s="210" t="s">
        <v>4100</v>
      </c>
      <c r="R291" s="108" t="s">
        <v>85</v>
      </c>
      <c r="S291" s="108" t="s">
        <v>85</v>
      </c>
      <c r="T291" s="108" t="s">
        <v>361</v>
      </c>
      <c r="U291" s="108" t="s">
        <v>362</v>
      </c>
      <c r="V291" s="108" t="s">
        <v>180</v>
      </c>
      <c r="W291" s="108"/>
      <c r="X291" s="108"/>
      <c r="Y291" s="108" t="s">
        <v>59</v>
      </c>
      <c r="Z291" s="108" t="s">
        <v>71</v>
      </c>
      <c r="AA291" s="111">
        <v>25757</v>
      </c>
      <c r="AB291" s="113">
        <f ca="1">DATEDIF(AA291,$C$3,"y")</f>
        <v>53</v>
      </c>
      <c r="AC291" s="108" t="s">
        <v>2220</v>
      </c>
      <c r="AD291" s="129" t="s">
        <v>2221</v>
      </c>
      <c r="AE291" s="108" t="s">
        <v>2222</v>
      </c>
      <c r="AF291" s="108"/>
      <c r="AG291" s="108" t="s">
        <v>2223</v>
      </c>
      <c r="AH291" s="114" t="s">
        <v>2224</v>
      </c>
      <c r="AI291" s="115" t="s">
        <v>2225</v>
      </c>
      <c r="AJ291" s="108" t="s">
        <v>189</v>
      </c>
      <c r="AK291" s="108" t="s">
        <v>2226</v>
      </c>
      <c r="AL291" s="108" t="s">
        <v>2227</v>
      </c>
      <c r="AM291" s="108"/>
      <c r="AN291" s="108"/>
      <c r="AO291" s="108"/>
      <c r="AP291" s="108"/>
      <c r="AQ291" s="108"/>
      <c r="AR291" s="108"/>
      <c r="AS291" s="108"/>
      <c r="AT291" s="108">
        <f>COUNTA(AL291:AO291)</f>
        <v>1</v>
      </c>
      <c r="AU291" s="108" t="str">
        <f>IF(AJ291="Menikah","K","TK")&amp;"/"&amp;AT291</f>
        <v>K/1</v>
      </c>
      <c r="AV291" s="131" t="s">
        <v>2228</v>
      </c>
      <c r="AW291" s="113" t="s">
        <v>74</v>
      </c>
      <c r="AX291" s="108" t="s">
        <v>16</v>
      </c>
      <c r="AY291" s="108" t="s">
        <v>2206</v>
      </c>
      <c r="AZ291" s="108" t="s">
        <v>2229</v>
      </c>
      <c r="BA291" s="108">
        <v>1990</v>
      </c>
      <c r="BB291" s="108" t="s">
        <v>16</v>
      </c>
      <c r="BC291" s="108" t="s">
        <v>2206</v>
      </c>
      <c r="BD291" s="108" t="s">
        <v>2229</v>
      </c>
      <c r="BE291" s="108">
        <v>1990</v>
      </c>
      <c r="BF291" s="116">
        <v>45870</v>
      </c>
      <c r="BG291" s="116" t="s">
        <v>2230</v>
      </c>
      <c r="BH291" s="108"/>
      <c r="BI291" s="108"/>
      <c r="BJ291" s="108">
        <v>40</v>
      </c>
      <c r="BK291" s="111">
        <v>44294</v>
      </c>
      <c r="BL291" s="111">
        <v>44322</v>
      </c>
      <c r="BM291" s="111">
        <v>44585</v>
      </c>
      <c r="BN291" s="111"/>
      <c r="BO291" s="108"/>
      <c r="BP291" s="108"/>
      <c r="BQ291" s="108"/>
      <c r="BR291" s="108"/>
      <c r="BS291" s="108"/>
      <c r="BT291" s="108"/>
      <c r="BU291" s="108"/>
      <c r="BV291" s="108"/>
      <c r="BW291" s="108"/>
      <c r="BX291" s="108"/>
      <c r="BY291" s="108"/>
      <c r="BZ291" s="108" t="e">
        <f>VLOOKUP(C291,[1]Sertifikasi!$B$4:$I$19,8,0)</f>
        <v>#N/A</v>
      </c>
    </row>
    <row r="292" spans="1:78" ht="11.25" customHeight="1">
      <c r="A292" s="108"/>
      <c r="B292" s="108">
        <v>107</v>
      </c>
      <c r="C292" s="108" t="s">
        <v>2194</v>
      </c>
      <c r="D292" s="109">
        <v>999800090</v>
      </c>
      <c r="E292" s="131">
        <v>1440001099685</v>
      </c>
      <c r="F292" s="131">
        <v>7174352288</v>
      </c>
      <c r="G292" s="113" t="s">
        <v>33</v>
      </c>
      <c r="H292" s="108" t="s">
        <v>71</v>
      </c>
      <c r="I292" s="111">
        <v>43987</v>
      </c>
      <c r="J292" s="108">
        <f ca="1">DATEDIF(I292,$C$3,"y")</f>
        <v>3</v>
      </c>
      <c r="K292" s="108">
        <f ca="1">DATEDIF(I292,$C$3,"ym")</f>
        <v>5</v>
      </c>
      <c r="L292" s="108" t="str">
        <f t="shared" si="9"/>
        <v>Organik</v>
      </c>
      <c r="M292" s="108" t="s">
        <v>1401</v>
      </c>
      <c r="N292" s="112">
        <v>36312</v>
      </c>
      <c r="O292" s="108" t="s">
        <v>261</v>
      </c>
      <c r="P292" s="108" t="s">
        <v>261</v>
      </c>
      <c r="Q292" s="210" t="s">
        <v>4102</v>
      </c>
      <c r="R292" s="108" t="s">
        <v>33</v>
      </c>
      <c r="S292" s="108" t="s">
        <v>232</v>
      </c>
      <c r="T292" s="108" t="s">
        <v>1498</v>
      </c>
      <c r="U292" s="108" t="s">
        <v>199</v>
      </c>
      <c r="V292" s="108" t="s">
        <v>180</v>
      </c>
      <c r="W292" s="108" t="s">
        <v>22</v>
      </c>
      <c r="X292" s="108"/>
      <c r="Y292" s="108" t="s">
        <v>59</v>
      </c>
      <c r="Z292" s="108" t="s">
        <v>1499</v>
      </c>
      <c r="AA292" s="111">
        <v>26382</v>
      </c>
      <c r="AB292" s="113">
        <f ca="1">DATEDIF(AA292,$C$3,"y")</f>
        <v>51</v>
      </c>
      <c r="AC292" s="108" t="s">
        <v>2195</v>
      </c>
      <c r="AD292" s="129" t="s">
        <v>2196</v>
      </c>
      <c r="AE292" s="108" t="s">
        <v>2197</v>
      </c>
      <c r="AF292" s="108"/>
      <c r="AG292" s="108" t="s">
        <v>2198</v>
      </c>
      <c r="AH292" s="114" t="s">
        <v>2199</v>
      </c>
      <c r="AI292" s="115" t="s">
        <v>2200</v>
      </c>
      <c r="AJ292" s="108" t="s">
        <v>189</v>
      </c>
      <c r="AK292" s="108" t="s">
        <v>2201</v>
      </c>
      <c r="AL292" s="108" t="s">
        <v>2202</v>
      </c>
      <c r="AM292" s="108" t="s">
        <v>2203</v>
      </c>
      <c r="AN292" s="108"/>
      <c r="AO292" s="108"/>
      <c r="AP292" s="108" t="s">
        <v>2204</v>
      </c>
      <c r="AQ292" s="108"/>
      <c r="AR292" s="108"/>
      <c r="AS292" s="108"/>
      <c r="AT292" s="108">
        <f>COUNTA(AL292:AO292)</f>
        <v>2</v>
      </c>
      <c r="AU292" s="108" t="str">
        <f>IF(AJ292="Menikah","K","TK")&amp;"/"&amp;AT292</f>
        <v>K/2</v>
      </c>
      <c r="AV292" s="131" t="s">
        <v>2205</v>
      </c>
      <c r="AW292" s="113" t="s">
        <v>74</v>
      </c>
      <c r="AX292" s="108" t="s">
        <v>16</v>
      </c>
      <c r="AY292" s="108" t="s">
        <v>2206</v>
      </c>
      <c r="AZ292" s="108" t="s">
        <v>2207</v>
      </c>
      <c r="BA292" s="108">
        <v>1991</v>
      </c>
      <c r="BB292" s="108" t="s">
        <v>16</v>
      </c>
      <c r="BC292" s="108" t="s">
        <v>2206</v>
      </c>
      <c r="BD292" s="108" t="s">
        <v>2207</v>
      </c>
      <c r="BE292" s="108">
        <v>1991</v>
      </c>
      <c r="BF292" s="116">
        <v>46478</v>
      </c>
      <c r="BG292" s="116">
        <v>46844</v>
      </c>
      <c r="BH292" s="108"/>
      <c r="BI292" s="108"/>
      <c r="BJ292" s="108">
        <v>40</v>
      </c>
      <c r="BK292" s="111">
        <v>44294</v>
      </c>
      <c r="BL292" s="111">
        <v>44322</v>
      </c>
      <c r="BM292" s="111">
        <v>44662</v>
      </c>
      <c r="BN292" s="111"/>
      <c r="BO292" s="108"/>
      <c r="BP292" s="108"/>
      <c r="BQ292" s="108"/>
      <c r="BR292" s="108"/>
      <c r="BS292" s="108"/>
      <c r="BT292" s="108"/>
      <c r="BU292" s="108"/>
      <c r="BV292" s="108"/>
      <c r="BW292" s="108"/>
      <c r="BX292" s="108"/>
      <c r="BY292" s="108"/>
      <c r="BZ292" s="108" t="e">
        <f>VLOOKUP(C292,[1]Sertifikasi!$B$4:$I$19,8,0)</f>
        <v>#N/A</v>
      </c>
    </row>
    <row r="293" spans="1:78" ht="11.25" customHeight="1">
      <c r="A293" s="108"/>
      <c r="B293" s="108">
        <v>143</v>
      </c>
      <c r="C293" s="108" t="s">
        <v>1326</v>
      </c>
      <c r="D293" s="109">
        <v>641807168</v>
      </c>
      <c r="E293" s="131">
        <v>1710004387539</v>
      </c>
      <c r="F293" s="131"/>
      <c r="G293" s="108" t="s">
        <v>71</v>
      </c>
      <c r="H293" s="108" t="s">
        <v>71</v>
      </c>
      <c r="I293" s="111">
        <v>43282</v>
      </c>
      <c r="J293" s="108">
        <v>5</v>
      </c>
      <c r="K293" s="108">
        <v>3</v>
      </c>
      <c r="L293" s="108" t="str">
        <f t="shared" si="9"/>
        <v>PKWT</v>
      </c>
      <c r="M293" s="108"/>
      <c r="N293" s="112">
        <v>45291</v>
      </c>
      <c r="O293" s="108"/>
      <c r="P293" s="108" t="s">
        <v>213</v>
      </c>
      <c r="Q293" s="210" t="s">
        <v>4102</v>
      </c>
      <c r="R293" s="108" t="s">
        <v>409</v>
      </c>
      <c r="S293" s="108" t="s">
        <v>33</v>
      </c>
      <c r="T293" s="108" t="s">
        <v>88</v>
      </c>
      <c r="U293" s="108" t="s">
        <v>199</v>
      </c>
      <c r="V293" s="108" t="s">
        <v>180</v>
      </c>
      <c r="W293" s="108"/>
      <c r="X293" s="108" t="s">
        <v>215</v>
      </c>
      <c r="Y293" s="108" t="s">
        <v>216</v>
      </c>
      <c r="Z293" s="108" t="s">
        <v>182</v>
      </c>
      <c r="AA293" s="111">
        <v>34189</v>
      </c>
      <c r="AB293" s="113">
        <v>30</v>
      </c>
      <c r="AC293" s="108" t="s">
        <v>1327</v>
      </c>
      <c r="AD293" s="129" t="s">
        <v>1328</v>
      </c>
      <c r="AE293" s="108" t="s">
        <v>1329</v>
      </c>
      <c r="AF293" s="108"/>
      <c r="AG293" s="108" t="s">
        <v>1330</v>
      </c>
      <c r="AH293" s="114" t="s">
        <v>1331</v>
      </c>
      <c r="AI293" s="115">
        <v>18056172002</v>
      </c>
      <c r="AJ293" s="108" t="s">
        <v>255</v>
      </c>
      <c r="AK293" s="108"/>
      <c r="AL293" s="108"/>
      <c r="AM293" s="108"/>
      <c r="AN293" s="108"/>
      <c r="AO293" s="108"/>
      <c r="AP293" s="108" t="s">
        <v>1332</v>
      </c>
      <c r="AQ293" s="108" t="s">
        <v>1333</v>
      </c>
      <c r="AR293" s="108"/>
      <c r="AS293" s="108"/>
      <c r="AT293" s="108">
        <v>0</v>
      </c>
      <c r="AU293" s="108" t="s">
        <v>304</v>
      </c>
      <c r="AV293" s="115">
        <v>0</v>
      </c>
      <c r="AW293" s="108" t="s">
        <v>74</v>
      </c>
      <c r="AX293" s="108" t="s">
        <v>16</v>
      </c>
      <c r="AY293" s="108" t="s">
        <v>226</v>
      </c>
      <c r="AZ293" s="108" t="s">
        <v>1334</v>
      </c>
      <c r="BA293" s="108">
        <v>2011</v>
      </c>
      <c r="BB293" s="108" t="s">
        <v>287</v>
      </c>
      <c r="BC293" s="108" t="s">
        <v>226</v>
      </c>
      <c r="BD293" s="108" t="s">
        <v>1334</v>
      </c>
      <c r="BE293" s="108">
        <v>2011</v>
      </c>
      <c r="BF293" s="116"/>
      <c r="BG293" s="116"/>
      <c r="BH293" s="108" t="s">
        <v>228</v>
      </c>
      <c r="BI293" s="108">
        <v>31</v>
      </c>
      <c r="BJ293" s="108">
        <v>42</v>
      </c>
      <c r="BK293" s="111">
        <v>44293</v>
      </c>
      <c r="BL293" s="111">
        <v>44322</v>
      </c>
      <c r="BM293" s="111"/>
      <c r="BN293" s="111"/>
      <c r="BO293" s="108"/>
      <c r="BP293" s="108"/>
      <c r="BQ293" s="108"/>
      <c r="BR293" s="108"/>
      <c r="BS293" s="108"/>
      <c r="BT293" s="108"/>
      <c r="BU293" s="108"/>
      <c r="BV293" s="108"/>
      <c r="BW293" s="108"/>
      <c r="BX293" s="108"/>
      <c r="BY293" s="108"/>
      <c r="BZ293" s="108" t="e">
        <f>VLOOKUP(C293,[1]Sertifikasi!$B$4:$I$19,8,0)</f>
        <v>#N/A</v>
      </c>
    </row>
    <row r="294" spans="1:78" ht="11.25" customHeight="1">
      <c r="A294" s="108"/>
      <c r="B294" s="108">
        <v>257</v>
      </c>
      <c r="C294" s="108" t="s">
        <v>879</v>
      </c>
      <c r="D294" s="109">
        <v>642001050</v>
      </c>
      <c r="E294" s="131">
        <v>1710004034438</v>
      </c>
      <c r="F294" s="131"/>
      <c r="G294" s="108" t="s">
        <v>71</v>
      </c>
      <c r="H294" s="108" t="s">
        <v>71</v>
      </c>
      <c r="I294" s="111">
        <v>42767</v>
      </c>
      <c r="J294" s="108">
        <v>6</v>
      </c>
      <c r="K294" s="108">
        <v>8</v>
      </c>
      <c r="L294" s="108" t="str">
        <f t="shared" si="9"/>
        <v>PKWT</v>
      </c>
      <c r="M294" s="108"/>
      <c r="N294" s="112">
        <v>45291</v>
      </c>
      <c r="O294" s="108"/>
      <c r="P294" s="108" t="s">
        <v>213</v>
      </c>
      <c r="Q294" s="210" t="s">
        <v>4102</v>
      </c>
      <c r="R294" s="108" t="s">
        <v>259</v>
      </c>
      <c r="S294" s="108" t="s">
        <v>33</v>
      </c>
      <c r="T294" s="108" t="s">
        <v>432</v>
      </c>
      <c r="U294" s="108" t="s">
        <v>199</v>
      </c>
      <c r="V294" s="108" t="s">
        <v>180</v>
      </c>
      <c r="W294" s="108" t="s">
        <v>263</v>
      </c>
      <c r="X294" s="108" t="s">
        <v>215</v>
      </c>
      <c r="Y294" s="108" t="s">
        <v>216</v>
      </c>
      <c r="Z294" s="108" t="s">
        <v>182</v>
      </c>
      <c r="AA294" s="111">
        <v>32852</v>
      </c>
      <c r="AB294" s="113">
        <v>33</v>
      </c>
      <c r="AC294" s="108" t="s">
        <v>880</v>
      </c>
      <c r="AD294" s="129" t="s">
        <v>881</v>
      </c>
      <c r="AE294" s="108" t="s">
        <v>882</v>
      </c>
      <c r="AF294" s="108"/>
      <c r="AG294" s="108" t="s">
        <v>883</v>
      </c>
      <c r="AH294" s="114" t="s">
        <v>884</v>
      </c>
      <c r="AI294" s="115">
        <v>17028637746</v>
      </c>
      <c r="AJ294" s="108" t="s">
        <v>189</v>
      </c>
      <c r="AK294" s="108" t="s">
        <v>885</v>
      </c>
      <c r="AL294" s="108" t="s">
        <v>886</v>
      </c>
      <c r="AM294" s="108"/>
      <c r="AN294" s="108"/>
      <c r="AO294" s="108"/>
      <c r="AP294" s="108"/>
      <c r="AQ294" s="108"/>
      <c r="AR294" s="108"/>
      <c r="AS294" s="108"/>
      <c r="AT294" s="108">
        <v>1</v>
      </c>
      <c r="AU294" s="108" t="s">
        <v>225</v>
      </c>
      <c r="AV294" s="115">
        <v>0</v>
      </c>
      <c r="AW294" s="108" t="s">
        <v>74</v>
      </c>
      <c r="AX294" s="108" t="s">
        <v>16</v>
      </c>
      <c r="AY294" s="108" t="s">
        <v>331</v>
      </c>
      <c r="AZ294" s="108" t="s">
        <v>887</v>
      </c>
      <c r="BA294" s="108">
        <v>2008</v>
      </c>
      <c r="BB294" s="108" t="s">
        <v>287</v>
      </c>
      <c r="BC294" s="108" t="s">
        <v>331</v>
      </c>
      <c r="BD294" s="108" t="s">
        <v>887</v>
      </c>
      <c r="BE294" s="108">
        <v>2008</v>
      </c>
      <c r="BF294" s="116"/>
      <c r="BG294" s="116"/>
      <c r="BH294" s="108" t="s">
        <v>228</v>
      </c>
      <c r="BI294" s="108">
        <v>36</v>
      </c>
      <c r="BJ294" s="108">
        <v>42</v>
      </c>
      <c r="BK294" s="111"/>
      <c r="BL294" s="111"/>
      <c r="BM294" s="111">
        <v>44689</v>
      </c>
      <c r="BN294" s="111"/>
      <c r="BO294" s="108">
        <v>43467</v>
      </c>
      <c r="BP294" s="108">
        <v>43830</v>
      </c>
      <c r="BQ294" s="108" t="s">
        <v>888</v>
      </c>
      <c r="BR294" s="108" t="s">
        <v>889</v>
      </c>
      <c r="BS294" s="108"/>
      <c r="BT294" s="108"/>
      <c r="BU294" s="108"/>
      <c r="BV294" s="108"/>
      <c r="BW294" s="108"/>
      <c r="BX294" s="108"/>
      <c r="BY294" s="108"/>
      <c r="BZ294" s="108" t="e">
        <f>VLOOKUP(C294,[1]Sertifikasi!$B$4:$I$19,8,0)</f>
        <v>#N/A</v>
      </c>
    </row>
    <row r="295" spans="1:78" ht="11.25" customHeight="1">
      <c r="A295" s="108"/>
      <c r="B295" s="108">
        <v>258</v>
      </c>
      <c r="C295" s="108" t="s">
        <v>564</v>
      </c>
      <c r="D295" s="109">
        <v>642001007</v>
      </c>
      <c r="E295" s="131">
        <v>1710004029107</v>
      </c>
      <c r="F295" s="131"/>
      <c r="G295" s="108" t="s">
        <v>71</v>
      </c>
      <c r="H295" s="108" t="s">
        <v>71</v>
      </c>
      <c r="I295" s="111">
        <v>42401</v>
      </c>
      <c r="J295" s="108">
        <v>7</v>
      </c>
      <c r="K295" s="108">
        <v>8</v>
      </c>
      <c r="L295" s="108" t="str">
        <f t="shared" si="9"/>
        <v>PKWT</v>
      </c>
      <c r="M295" s="108"/>
      <c r="N295" s="112">
        <v>45291</v>
      </c>
      <c r="O295" s="108"/>
      <c r="P295" s="108" t="s">
        <v>213</v>
      </c>
      <c r="Q295" s="210" t="s">
        <v>4102</v>
      </c>
      <c r="R295" s="108" t="s">
        <v>259</v>
      </c>
      <c r="S295" s="108" t="s">
        <v>33</v>
      </c>
      <c r="T295" s="108" t="s">
        <v>432</v>
      </c>
      <c r="U295" s="108" t="s">
        <v>199</v>
      </c>
      <c r="V295" s="108" t="s">
        <v>180</v>
      </c>
      <c r="W295" s="108" t="s">
        <v>277</v>
      </c>
      <c r="X295" s="108" t="s">
        <v>215</v>
      </c>
      <c r="Y295" s="108" t="s">
        <v>216</v>
      </c>
      <c r="Z295" s="108" t="s">
        <v>71</v>
      </c>
      <c r="AA295" s="111">
        <v>32368</v>
      </c>
      <c r="AB295" s="113">
        <v>35</v>
      </c>
      <c r="AC295" s="108" t="s">
        <v>565</v>
      </c>
      <c r="AD295" s="129" t="s">
        <v>566</v>
      </c>
      <c r="AE295" s="108" t="s">
        <v>567</v>
      </c>
      <c r="AF295" s="108"/>
      <c r="AG295" s="108" t="s">
        <v>568</v>
      </c>
      <c r="AH295" s="114" t="s">
        <v>569</v>
      </c>
      <c r="AI295" s="115">
        <v>16006272088</v>
      </c>
      <c r="AJ295" s="108" t="s">
        <v>189</v>
      </c>
      <c r="AK295" s="108" t="s">
        <v>570</v>
      </c>
      <c r="AL295" s="108" t="s">
        <v>571</v>
      </c>
      <c r="AM295" s="108"/>
      <c r="AN295" s="108"/>
      <c r="AO295" s="108"/>
      <c r="AP295" s="108"/>
      <c r="AQ295" s="108"/>
      <c r="AR295" s="108"/>
      <c r="AS295" s="108"/>
      <c r="AT295" s="108">
        <v>1</v>
      </c>
      <c r="AU295" s="108" t="s">
        <v>225</v>
      </c>
      <c r="AV295" s="115">
        <v>0</v>
      </c>
      <c r="AW295" s="108" t="s">
        <v>74</v>
      </c>
      <c r="AX295" s="108" t="s">
        <v>16</v>
      </c>
      <c r="AY295" s="108" t="s">
        <v>331</v>
      </c>
      <c r="AZ295" s="108" t="s">
        <v>418</v>
      </c>
      <c r="BA295" s="108">
        <v>2007</v>
      </c>
      <c r="BB295" s="108" t="s">
        <v>287</v>
      </c>
      <c r="BC295" s="108" t="s">
        <v>331</v>
      </c>
      <c r="BD295" s="108" t="s">
        <v>418</v>
      </c>
      <c r="BE295" s="108">
        <v>2007</v>
      </c>
      <c r="BF295" s="116"/>
      <c r="BG295" s="116"/>
      <c r="BH295" s="108" t="s">
        <v>241</v>
      </c>
      <c r="BI295" s="108">
        <v>31</v>
      </c>
      <c r="BJ295" s="108">
        <v>41</v>
      </c>
      <c r="BK295" s="111"/>
      <c r="BL295" s="111"/>
      <c r="BM295" s="111">
        <v>44797</v>
      </c>
      <c r="BN295" s="111"/>
      <c r="BO295" s="108">
        <v>43467</v>
      </c>
      <c r="BP295" s="108">
        <v>43830</v>
      </c>
      <c r="BQ295" s="108" t="s">
        <v>572</v>
      </c>
      <c r="BR295" s="108" t="s">
        <v>573</v>
      </c>
      <c r="BS295" s="108"/>
      <c r="BT295" s="108"/>
      <c r="BU295" s="108"/>
      <c r="BV295" s="108"/>
      <c r="BW295" s="108"/>
      <c r="BX295" s="108"/>
      <c r="BY295" s="108"/>
      <c r="BZ295" s="108" t="e">
        <f>VLOOKUP(C295,[1]Sertifikasi!$B$4:$I$19,8,0)</f>
        <v>#N/A</v>
      </c>
    </row>
    <row r="296" spans="1:78" ht="11.25" customHeight="1">
      <c r="A296" s="108"/>
      <c r="B296" s="108">
        <v>144</v>
      </c>
      <c r="C296" s="108" t="s">
        <v>407</v>
      </c>
      <c r="D296" s="109">
        <v>971900032</v>
      </c>
      <c r="E296" s="131">
        <v>1710003988055</v>
      </c>
      <c r="F296" s="131"/>
      <c r="G296" s="108" t="s">
        <v>71</v>
      </c>
      <c r="H296" s="108" t="s">
        <v>71</v>
      </c>
      <c r="I296" s="111">
        <v>42125</v>
      </c>
      <c r="J296" s="108">
        <v>8</v>
      </c>
      <c r="K296" s="108">
        <v>5</v>
      </c>
      <c r="L296" s="108" t="str">
        <f t="shared" si="9"/>
        <v>Tetap</v>
      </c>
      <c r="M296" s="108" t="s">
        <v>408</v>
      </c>
      <c r="N296" s="112">
        <v>43647</v>
      </c>
      <c r="O296" s="108"/>
      <c r="P296" s="108" t="s">
        <v>311</v>
      </c>
      <c r="Q296" s="210" t="s">
        <v>4102</v>
      </c>
      <c r="R296" s="108" t="s">
        <v>409</v>
      </c>
      <c r="S296" s="108" t="s">
        <v>33</v>
      </c>
      <c r="T296" s="108" t="s">
        <v>88</v>
      </c>
      <c r="U296" s="108" t="s">
        <v>199</v>
      </c>
      <c r="V296" s="108" t="s">
        <v>180</v>
      </c>
      <c r="W296" s="108" t="s">
        <v>277</v>
      </c>
      <c r="X296" s="108" t="s">
        <v>215</v>
      </c>
      <c r="Y296" s="108" t="s">
        <v>216</v>
      </c>
      <c r="Z296" s="108" t="s">
        <v>410</v>
      </c>
      <c r="AA296" s="111">
        <v>34277</v>
      </c>
      <c r="AB296" s="113">
        <v>29</v>
      </c>
      <c r="AC296" s="108" t="s">
        <v>411</v>
      </c>
      <c r="AD296" s="129" t="s">
        <v>412</v>
      </c>
      <c r="AE296" s="108" t="s">
        <v>413</v>
      </c>
      <c r="AF296" s="108"/>
      <c r="AG296" s="108" t="s">
        <v>414</v>
      </c>
      <c r="AH296" s="114" t="s">
        <v>415</v>
      </c>
      <c r="AI296" s="115">
        <v>16006272302</v>
      </c>
      <c r="AJ296" s="108" t="s">
        <v>189</v>
      </c>
      <c r="AK296" s="108" t="s">
        <v>416</v>
      </c>
      <c r="AL296" s="108" t="s">
        <v>417</v>
      </c>
      <c r="AM296" s="108"/>
      <c r="AN296" s="108"/>
      <c r="AO296" s="108"/>
      <c r="AP296" s="108"/>
      <c r="AQ296" s="108"/>
      <c r="AR296" s="108"/>
      <c r="AS296" s="108"/>
      <c r="AT296" s="108">
        <v>1</v>
      </c>
      <c r="AU296" s="108" t="s">
        <v>225</v>
      </c>
      <c r="AV296" s="115">
        <v>0</v>
      </c>
      <c r="AW296" s="108" t="s">
        <v>74</v>
      </c>
      <c r="AX296" s="108" t="s">
        <v>16</v>
      </c>
      <c r="AY296" s="108" t="s">
        <v>331</v>
      </c>
      <c r="AZ296" s="108" t="s">
        <v>418</v>
      </c>
      <c r="BA296" s="108">
        <v>2012</v>
      </c>
      <c r="BB296" s="108" t="s">
        <v>12</v>
      </c>
      <c r="BC296" s="108" t="s">
        <v>226</v>
      </c>
      <c r="BD296" s="108" t="s">
        <v>419</v>
      </c>
      <c r="BE296" s="108">
        <v>2012</v>
      </c>
      <c r="BF296" s="116">
        <v>54605</v>
      </c>
      <c r="BG296" s="116">
        <v>54970</v>
      </c>
      <c r="BH296" s="108" t="s">
        <v>420</v>
      </c>
      <c r="BI296" s="108">
        <v>30</v>
      </c>
      <c r="BJ296" s="108">
        <v>40</v>
      </c>
      <c r="BK296" s="111"/>
      <c r="BL296" s="111"/>
      <c r="BM296" s="111">
        <v>44674</v>
      </c>
      <c r="BN296" s="111"/>
      <c r="BO296" s="108"/>
      <c r="BP296" s="108"/>
      <c r="BQ296" s="108"/>
      <c r="BR296" s="108"/>
      <c r="BS296" s="108"/>
      <c r="BT296" s="108"/>
      <c r="BU296" s="108"/>
      <c r="BV296" s="108"/>
      <c r="BW296" s="108"/>
      <c r="BX296" s="108" t="s">
        <v>22</v>
      </c>
      <c r="BY296" s="108"/>
      <c r="BZ296" s="108" t="e">
        <f>VLOOKUP(C296,[1]Sertifikasi!$B$4:$I$19,8,0)</f>
        <v>#N/A</v>
      </c>
    </row>
    <row r="297" spans="1:78" ht="11.25" customHeight="1">
      <c r="A297" s="108"/>
      <c r="B297" s="108">
        <v>112</v>
      </c>
      <c r="C297" s="108" t="s">
        <v>1750</v>
      </c>
      <c r="D297" s="109">
        <v>641907249</v>
      </c>
      <c r="E297" s="131">
        <v>1710005658037</v>
      </c>
      <c r="F297" s="131"/>
      <c r="G297" s="108" t="s">
        <v>37</v>
      </c>
      <c r="H297" s="108" t="s">
        <v>37</v>
      </c>
      <c r="I297" s="111">
        <v>43647</v>
      </c>
      <c r="J297" s="108">
        <v>4</v>
      </c>
      <c r="K297" s="108">
        <v>3</v>
      </c>
      <c r="L297" s="108" t="str">
        <f t="shared" si="9"/>
        <v>PKWT</v>
      </c>
      <c r="M297" s="108"/>
      <c r="N297" s="112">
        <v>45291</v>
      </c>
      <c r="O297" s="108"/>
      <c r="P297" s="108" t="s">
        <v>213</v>
      </c>
      <c r="Q297" s="210" t="s">
        <v>4102</v>
      </c>
      <c r="R297" s="108" t="s">
        <v>36</v>
      </c>
      <c r="S297" s="108" t="s">
        <v>275</v>
      </c>
      <c r="T297" s="108" t="s">
        <v>87</v>
      </c>
      <c r="U297" s="108" t="s">
        <v>276</v>
      </c>
      <c r="V297" s="108" t="s">
        <v>180</v>
      </c>
      <c r="W297" s="108"/>
      <c r="X297" s="108" t="s">
        <v>215</v>
      </c>
      <c r="Y297" s="108" t="s">
        <v>216</v>
      </c>
      <c r="Z297" s="108" t="s">
        <v>1751</v>
      </c>
      <c r="AA297" s="111">
        <v>34184</v>
      </c>
      <c r="AB297" s="113">
        <v>30</v>
      </c>
      <c r="AC297" s="108" t="s">
        <v>1752</v>
      </c>
      <c r="AD297" s="129" t="s">
        <v>1753</v>
      </c>
      <c r="AE297" s="108" t="s">
        <v>1754</v>
      </c>
      <c r="AF297" s="108"/>
      <c r="AG297" s="108" t="s">
        <v>1755</v>
      </c>
      <c r="AH297" s="114" t="s">
        <v>1756</v>
      </c>
      <c r="AI297" s="115">
        <v>19047644000</v>
      </c>
      <c r="AJ297" s="108" t="s">
        <v>255</v>
      </c>
      <c r="AK297" s="108"/>
      <c r="AL297" s="108"/>
      <c r="AM297" s="108"/>
      <c r="AN297" s="108"/>
      <c r="AO297" s="108" t="s">
        <v>1757</v>
      </c>
      <c r="AP297" s="108" t="s">
        <v>1758</v>
      </c>
      <c r="AQ297" s="108" t="s">
        <v>1759</v>
      </c>
      <c r="AR297" s="108"/>
      <c r="AS297" s="108"/>
      <c r="AT297" s="108">
        <v>1</v>
      </c>
      <c r="AU297" s="108" t="s">
        <v>646</v>
      </c>
      <c r="AV297" s="115">
        <v>0</v>
      </c>
      <c r="AW297" s="108" t="s">
        <v>74</v>
      </c>
      <c r="AX297" s="108" t="s">
        <v>16</v>
      </c>
      <c r="AY297" s="108" t="s">
        <v>210</v>
      </c>
      <c r="AZ297" s="108" t="s">
        <v>1760</v>
      </c>
      <c r="BA297" s="108">
        <v>2012</v>
      </c>
      <c r="BB297" s="108" t="s">
        <v>12</v>
      </c>
      <c r="BC297" s="108" t="s">
        <v>210</v>
      </c>
      <c r="BD297" s="108" t="s">
        <v>1761</v>
      </c>
      <c r="BE297" s="108">
        <v>2012</v>
      </c>
      <c r="BF297" s="116"/>
      <c r="BG297" s="116"/>
      <c r="BH297" s="108" t="s">
        <v>241</v>
      </c>
      <c r="BI297" s="108">
        <v>32</v>
      </c>
      <c r="BJ297" s="108">
        <v>41</v>
      </c>
      <c r="BK297" s="111"/>
      <c r="BL297" s="111">
        <v>44715</v>
      </c>
      <c r="BM297" s="111"/>
      <c r="BN297" s="111"/>
      <c r="BO297" s="108"/>
      <c r="BP297" s="108"/>
      <c r="BQ297" s="108"/>
      <c r="BR297" s="108"/>
      <c r="BS297" s="108"/>
      <c r="BT297" s="108"/>
      <c r="BU297" s="108"/>
      <c r="BV297" s="108"/>
      <c r="BW297" s="108"/>
      <c r="BX297" s="108"/>
      <c r="BY297" s="108"/>
      <c r="BZ297" s="108" t="e">
        <f>VLOOKUP(C297,[1]Sertifikasi!$B$4:$I$19,8,0)</f>
        <v>#N/A</v>
      </c>
    </row>
    <row r="298" spans="1:78" ht="11.25" customHeight="1">
      <c r="A298" s="108"/>
      <c r="B298" s="108">
        <v>259</v>
      </c>
      <c r="C298" s="108" t="s">
        <v>505</v>
      </c>
      <c r="D298" s="109">
        <v>642001010</v>
      </c>
      <c r="E298" s="131">
        <v>1710004029602</v>
      </c>
      <c r="F298" s="131"/>
      <c r="G298" s="108" t="s">
        <v>71</v>
      </c>
      <c r="H298" s="108" t="s">
        <v>71</v>
      </c>
      <c r="I298" s="111">
        <v>42248</v>
      </c>
      <c r="J298" s="108">
        <v>8</v>
      </c>
      <c r="K298" s="108">
        <v>1</v>
      </c>
      <c r="L298" s="108" t="str">
        <f t="shared" si="9"/>
        <v>PKWT</v>
      </c>
      <c r="M298" s="108"/>
      <c r="N298" s="112">
        <v>45291</v>
      </c>
      <c r="O298" s="108"/>
      <c r="P298" s="108" t="s">
        <v>213</v>
      </c>
      <c r="Q298" s="210" t="s">
        <v>4102</v>
      </c>
      <c r="R298" s="108" t="s">
        <v>259</v>
      </c>
      <c r="S298" s="108" t="s">
        <v>33</v>
      </c>
      <c r="T298" s="108" t="s">
        <v>432</v>
      </c>
      <c r="U298" s="108" t="s">
        <v>199</v>
      </c>
      <c r="V298" s="108" t="s">
        <v>180</v>
      </c>
      <c r="W298" s="108" t="s">
        <v>263</v>
      </c>
      <c r="X298" s="108" t="s">
        <v>215</v>
      </c>
      <c r="Y298" s="108" t="s">
        <v>216</v>
      </c>
      <c r="Z298" s="108" t="s">
        <v>71</v>
      </c>
      <c r="AA298" s="111">
        <v>30317</v>
      </c>
      <c r="AB298" s="113">
        <v>40</v>
      </c>
      <c r="AC298" s="108" t="s">
        <v>506</v>
      </c>
      <c r="AD298" s="129" t="s">
        <v>507</v>
      </c>
      <c r="AE298" s="108" t="s">
        <v>508</v>
      </c>
      <c r="AF298" s="108"/>
      <c r="AG298" s="108" t="s">
        <v>509</v>
      </c>
      <c r="AH298" s="114" t="s">
        <v>510</v>
      </c>
      <c r="AI298" s="115">
        <v>16006272229</v>
      </c>
      <c r="AJ298" s="108" t="s">
        <v>189</v>
      </c>
      <c r="AK298" s="108" t="s">
        <v>511</v>
      </c>
      <c r="AL298" s="108" t="s">
        <v>512</v>
      </c>
      <c r="AM298" s="108" t="s">
        <v>513</v>
      </c>
      <c r="AN298" s="108" t="s">
        <v>514</v>
      </c>
      <c r="AO298" s="108"/>
      <c r="AP298" s="108"/>
      <c r="AQ298" s="108"/>
      <c r="AR298" s="108"/>
      <c r="AS298" s="108"/>
      <c r="AT298" s="108">
        <v>3</v>
      </c>
      <c r="AU298" s="108" t="s">
        <v>343</v>
      </c>
      <c r="AV298" s="115">
        <v>0</v>
      </c>
      <c r="AW298" s="108" t="s">
        <v>74</v>
      </c>
      <c r="AX298" s="108" t="s">
        <v>16</v>
      </c>
      <c r="AY298" s="108" t="s">
        <v>210</v>
      </c>
      <c r="AZ298" s="108" t="s">
        <v>286</v>
      </c>
      <c r="BA298" s="108">
        <v>2002</v>
      </c>
      <c r="BB298" s="108" t="s">
        <v>287</v>
      </c>
      <c r="BC298" s="108" t="s">
        <v>210</v>
      </c>
      <c r="BD298" s="108" t="s">
        <v>286</v>
      </c>
      <c r="BE298" s="108">
        <v>2002</v>
      </c>
      <c r="BF298" s="116"/>
      <c r="BG298" s="116"/>
      <c r="BH298" s="108" t="s">
        <v>345</v>
      </c>
      <c r="BI298" s="108">
        <v>32</v>
      </c>
      <c r="BJ298" s="108">
        <v>42</v>
      </c>
      <c r="BK298" s="111"/>
      <c r="BL298" s="111"/>
      <c r="BM298" s="111">
        <v>44674</v>
      </c>
      <c r="BN298" s="111"/>
      <c r="BO298" s="108">
        <v>43467</v>
      </c>
      <c r="BP298" s="108">
        <v>43830</v>
      </c>
      <c r="BQ298" s="108" t="s">
        <v>515</v>
      </c>
      <c r="BR298" s="108" t="s">
        <v>516</v>
      </c>
      <c r="BS298" s="108"/>
      <c r="BT298" s="108"/>
      <c r="BU298" s="108"/>
      <c r="BV298" s="108"/>
      <c r="BW298" s="108"/>
      <c r="BX298" s="108"/>
      <c r="BY298" s="108"/>
      <c r="BZ298" s="108" t="e">
        <f>VLOOKUP(C298,[1]Sertifikasi!$B$4:$I$19,8,0)</f>
        <v>#N/A</v>
      </c>
    </row>
    <row r="299" spans="1:78" ht="11.25" customHeight="1">
      <c r="A299" s="108"/>
      <c r="B299" s="108">
        <v>57</v>
      </c>
      <c r="C299" s="108" t="s">
        <v>2854</v>
      </c>
      <c r="D299" s="109">
        <v>642301178</v>
      </c>
      <c r="E299" s="131">
        <v>1710010758608</v>
      </c>
      <c r="F299" s="131"/>
      <c r="G299" s="108" t="s">
        <v>71</v>
      </c>
      <c r="H299" s="108" t="s">
        <v>71</v>
      </c>
      <c r="I299" s="111">
        <v>44927</v>
      </c>
      <c r="J299" s="108">
        <v>0</v>
      </c>
      <c r="K299" s="108">
        <v>9</v>
      </c>
      <c r="L299" s="108" t="str">
        <f t="shared" si="9"/>
        <v>PKWT</v>
      </c>
      <c r="M299" s="108"/>
      <c r="N299" s="112">
        <v>45291</v>
      </c>
      <c r="O299" s="108"/>
      <c r="P299" s="108" t="s">
        <v>213</v>
      </c>
      <c r="Q299" s="210" t="s">
        <v>4100</v>
      </c>
      <c r="R299" s="108" t="s">
        <v>4099</v>
      </c>
      <c r="S299" s="108" t="s">
        <v>232</v>
      </c>
      <c r="T299" s="108" t="s">
        <v>1498</v>
      </c>
      <c r="U299" s="108" t="s">
        <v>276</v>
      </c>
      <c r="V299" s="108" t="s">
        <v>180</v>
      </c>
      <c r="W299" s="108"/>
      <c r="X299" s="108"/>
      <c r="Y299" s="108" t="s">
        <v>216</v>
      </c>
      <c r="Z299" s="108" t="s">
        <v>1169</v>
      </c>
      <c r="AA299" s="111">
        <v>36641</v>
      </c>
      <c r="AB299" s="113">
        <v>23</v>
      </c>
      <c r="AC299" s="108" t="s">
        <v>2855</v>
      </c>
      <c r="AD299" s="129" t="s">
        <v>2856</v>
      </c>
      <c r="AE299" s="108" t="s">
        <v>2857</v>
      </c>
      <c r="AF299" s="108"/>
      <c r="AG299" s="108" t="s">
        <v>2858</v>
      </c>
      <c r="AH299" s="114" t="s">
        <v>2859</v>
      </c>
      <c r="AI299" s="115">
        <v>23009096605</v>
      </c>
      <c r="AJ299" s="108" t="s">
        <v>255</v>
      </c>
      <c r="AK299" s="108"/>
      <c r="AL299" s="108"/>
      <c r="AM299" s="108"/>
      <c r="AN299" s="108"/>
      <c r="AO299" s="108"/>
      <c r="AP299" s="108"/>
      <c r="AQ299" s="108"/>
      <c r="AR299" s="108"/>
      <c r="AS299" s="108"/>
      <c r="AT299" s="108">
        <v>0</v>
      </c>
      <c r="AU299" s="108" t="s">
        <v>304</v>
      </c>
      <c r="AV299" s="115"/>
      <c r="AW299" s="108" t="s">
        <v>74</v>
      </c>
      <c r="AX299" s="108" t="s">
        <v>13</v>
      </c>
      <c r="AY299" s="108" t="s">
        <v>2860</v>
      </c>
      <c r="AZ299" s="108" t="s">
        <v>2472</v>
      </c>
      <c r="BA299" s="108"/>
      <c r="BB299" s="108" t="s">
        <v>13</v>
      </c>
      <c r="BC299" s="108" t="s">
        <v>2860</v>
      </c>
      <c r="BD299" s="108" t="s">
        <v>2472</v>
      </c>
      <c r="BE299" s="108"/>
      <c r="BF299" s="116"/>
      <c r="BG299" s="116"/>
      <c r="BH299" s="108"/>
      <c r="BI299" s="108"/>
      <c r="BJ299" s="108">
        <v>43</v>
      </c>
      <c r="BK299" s="111"/>
      <c r="BL299" s="111"/>
      <c r="BM299" s="111">
        <v>44672</v>
      </c>
      <c r="BN299" s="111"/>
      <c r="BO299" s="108"/>
      <c r="BP299" s="108"/>
      <c r="BQ299" s="108"/>
      <c r="BR299" s="108"/>
      <c r="BS299" s="108"/>
      <c r="BT299" s="108"/>
      <c r="BU299" s="108"/>
      <c r="BV299" s="108"/>
      <c r="BW299" s="108"/>
      <c r="BX299" s="108"/>
      <c r="BY299" s="108"/>
      <c r="BZ299" s="108" t="e">
        <f>VLOOKUP(C299,[1]Sertifikasi!$B$4:$I$19,8,0)</f>
        <v>#N/A</v>
      </c>
    </row>
    <row r="300" spans="1:78" ht="11.25" customHeight="1">
      <c r="A300" s="108"/>
      <c r="B300" s="108">
        <v>260</v>
      </c>
      <c r="C300" s="108" t="s">
        <v>3061</v>
      </c>
      <c r="D300" s="109">
        <v>642307130</v>
      </c>
      <c r="E300" s="131">
        <v>1560021505617</v>
      </c>
      <c r="F300" s="131"/>
      <c r="G300" s="108" t="s">
        <v>71</v>
      </c>
      <c r="H300" s="108" t="s">
        <v>1898</v>
      </c>
      <c r="I300" s="111">
        <v>45204</v>
      </c>
      <c r="J300" s="108">
        <v>0</v>
      </c>
      <c r="K300" s="108">
        <v>0</v>
      </c>
      <c r="L300" s="108" t="str">
        <f t="shared" si="9"/>
        <v>PKWT</v>
      </c>
      <c r="M300" s="108"/>
      <c r="N300" s="112">
        <v>45291</v>
      </c>
      <c r="O300" s="108"/>
      <c r="P300" s="108" t="s">
        <v>213</v>
      </c>
      <c r="Q300" s="210" t="s">
        <v>4102</v>
      </c>
      <c r="R300" s="108" t="s">
        <v>259</v>
      </c>
      <c r="S300" s="108" t="s">
        <v>33</v>
      </c>
      <c r="T300" s="108" t="s">
        <v>432</v>
      </c>
      <c r="U300" s="108" t="s">
        <v>199</v>
      </c>
      <c r="V300" s="108" t="s">
        <v>180</v>
      </c>
      <c r="W300" s="108" t="s">
        <v>277</v>
      </c>
      <c r="X300" s="108"/>
      <c r="Y300" s="108" t="s">
        <v>216</v>
      </c>
      <c r="Z300" s="108" t="s">
        <v>1898</v>
      </c>
      <c r="AA300" s="111">
        <v>37384</v>
      </c>
      <c r="AB300" s="113">
        <v>21</v>
      </c>
      <c r="AC300" s="108" t="s">
        <v>3062</v>
      </c>
      <c r="AD300" s="129" t="s">
        <v>3063</v>
      </c>
      <c r="AE300" s="108" t="s">
        <v>3064</v>
      </c>
      <c r="AF300" s="108"/>
      <c r="AG300" s="108" t="s">
        <v>3065</v>
      </c>
      <c r="AH300" s="114" t="s">
        <v>2917</v>
      </c>
      <c r="AI300" s="115">
        <v>23156731301</v>
      </c>
      <c r="AJ300" s="108" t="s">
        <v>255</v>
      </c>
      <c r="AK300" s="108"/>
      <c r="AL300" s="108"/>
      <c r="AM300" s="108"/>
      <c r="AN300" s="108"/>
      <c r="AO300" s="108"/>
      <c r="AP300" s="108"/>
      <c r="AQ300" s="108"/>
      <c r="AR300" s="108"/>
      <c r="AS300" s="108"/>
      <c r="AT300" s="108">
        <v>0</v>
      </c>
      <c r="AU300" s="108" t="s">
        <v>304</v>
      </c>
      <c r="AV300" s="115"/>
      <c r="AW300" s="108" t="s">
        <v>74</v>
      </c>
      <c r="AX300" s="108" t="s">
        <v>13</v>
      </c>
      <c r="AY300" s="108" t="s">
        <v>2789</v>
      </c>
      <c r="AZ300" s="108" t="s">
        <v>2472</v>
      </c>
      <c r="BA300" s="108">
        <v>2023</v>
      </c>
      <c r="BB300" s="108" t="s">
        <v>13</v>
      </c>
      <c r="BC300" s="108" t="s">
        <v>2789</v>
      </c>
      <c r="BD300" s="108" t="s">
        <v>2472</v>
      </c>
      <c r="BE300" s="108">
        <v>2023</v>
      </c>
      <c r="BF300" s="116"/>
      <c r="BG300" s="116"/>
      <c r="BH300" s="108"/>
      <c r="BI300" s="108"/>
      <c r="BJ300" s="108"/>
      <c r="BK300" s="111"/>
      <c r="BL300" s="111"/>
      <c r="BM300" s="111"/>
      <c r="BN300" s="111"/>
      <c r="BO300" s="108"/>
      <c r="BP300" s="108"/>
      <c r="BQ300" s="108"/>
      <c r="BR300" s="108"/>
      <c r="BS300" s="108"/>
      <c r="BT300" s="108"/>
      <c r="BU300" s="108"/>
      <c r="BV300" s="108"/>
      <c r="BW300" s="108"/>
      <c r="BX300" s="108"/>
      <c r="BY300" s="108"/>
      <c r="BZ300" s="108" t="e">
        <f>VLOOKUP(C300,[1]Sertifikasi!$B$4:$I$19,8,0)</f>
        <v>#N/A</v>
      </c>
    </row>
    <row r="301" spans="1:78" ht="11.25" customHeight="1">
      <c r="A301" s="108"/>
      <c r="B301" s="108">
        <v>145</v>
      </c>
      <c r="C301" s="108" t="s">
        <v>1081</v>
      </c>
      <c r="D301" s="109">
        <v>642001029</v>
      </c>
      <c r="E301" s="131">
        <v>1710003987081</v>
      </c>
      <c r="F301" s="131"/>
      <c r="G301" s="108" t="s">
        <v>71</v>
      </c>
      <c r="H301" s="108" t="s">
        <v>71</v>
      </c>
      <c r="I301" s="111">
        <v>42919</v>
      </c>
      <c r="J301" s="108">
        <v>6</v>
      </c>
      <c r="K301" s="108">
        <v>3</v>
      </c>
      <c r="L301" s="108" t="str">
        <f t="shared" si="9"/>
        <v>PKWT</v>
      </c>
      <c r="M301" s="108"/>
      <c r="N301" s="112">
        <v>45291</v>
      </c>
      <c r="O301" s="108"/>
      <c r="P301" s="108" t="s">
        <v>213</v>
      </c>
      <c r="Q301" s="210" t="s">
        <v>4102</v>
      </c>
      <c r="R301" s="108" t="s">
        <v>409</v>
      </c>
      <c r="S301" s="108" t="s">
        <v>33</v>
      </c>
      <c r="T301" s="108" t="s">
        <v>88</v>
      </c>
      <c r="U301" s="108" t="s">
        <v>199</v>
      </c>
      <c r="V301" s="108" t="s">
        <v>180</v>
      </c>
      <c r="W301" s="108"/>
      <c r="X301" s="108" t="s">
        <v>215</v>
      </c>
      <c r="Y301" s="108" t="s">
        <v>216</v>
      </c>
      <c r="Z301" s="108" t="s">
        <v>71</v>
      </c>
      <c r="AA301" s="111">
        <v>32838</v>
      </c>
      <c r="AB301" s="113">
        <v>33</v>
      </c>
      <c r="AC301" s="108" t="s">
        <v>1082</v>
      </c>
      <c r="AD301" s="129" t="s">
        <v>1083</v>
      </c>
      <c r="AE301" s="108" t="s">
        <v>1084</v>
      </c>
      <c r="AF301" s="108"/>
      <c r="AG301" s="108" t="s">
        <v>1085</v>
      </c>
      <c r="AH301" s="114" t="s">
        <v>1086</v>
      </c>
      <c r="AI301" s="115">
        <v>18024053276</v>
      </c>
      <c r="AJ301" s="108" t="s">
        <v>255</v>
      </c>
      <c r="AK301" s="108"/>
      <c r="AL301" s="108"/>
      <c r="AM301" s="108"/>
      <c r="AN301" s="108"/>
      <c r="AO301" s="108"/>
      <c r="AP301" s="108"/>
      <c r="AQ301" s="108"/>
      <c r="AR301" s="108"/>
      <c r="AS301" s="108"/>
      <c r="AT301" s="108">
        <v>0</v>
      </c>
      <c r="AU301" s="108" t="s">
        <v>304</v>
      </c>
      <c r="AV301" s="115">
        <v>0</v>
      </c>
      <c r="AW301" s="108" t="s">
        <v>74</v>
      </c>
      <c r="AX301" s="108" t="s">
        <v>16</v>
      </c>
      <c r="AY301" s="108" t="s">
        <v>926</v>
      </c>
      <c r="AZ301" s="108" t="s">
        <v>306</v>
      </c>
      <c r="BA301" s="108"/>
      <c r="BB301" s="108" t="s">
        <v>287</v>
      </c>
      <c r="BC301" s="108" t="s">
        <v>926</v>
      </c>
      <c r="BD301" s="108" t="s">
        <v>306</v>
      </c>
      <c r="BE301" s="108"/>
      <c r="BF301" s="116"/>
      <c r="BG301" s="116"/>
      <c r="BH301" s="108" t="s">
        <v>241</v>
      </c>
      <c r="BI301" s="108">
        <v>29</v>
      </c>
      <c r="BJ301" s="108">
        <v>40</v>
      </c>
      <c r="BK301" s="111"/>
      <c r="BL301" s="111"/>
      <c r="BM301" s="111"/>
      <c r="BN301" s="111"/>
      <c r="BO301" s="108">
        <v>43467</v>
      </c>
      <c r="BP301" s="108">
        <v>43830</v>
      </c>
      <c r="BQ301" s="108" t="s">
        <v>1087</v>
      </c>
      <c r="BR301" s="108" t="s">
        <v>1088</v>
      </c>
      <c r="BS301" s="108"/>
      <c r="BT301" s="108"/>
      <c r="BU301" s="108"/>
      <c r="BV301" s="108"/>
      <c r="BW301" s="108"/>
      <c r="BX301" s="108"/>
      <c r="BY301" s="108"/>
      <c r="BZ301" s="108" t="e">
        <f>VLOOKUP(C301,[1]Sertifikasi!$B$4:$I$19,8,0)</f>
        <v>#N/A</v>
      </c>
    </row>
    <row r="302" spans="1:78" ht="11.25" customHeight="1">
      <c r="A302" s="108"/>
      <c r="B302" s="108">
        <v>106</v>
      </c>
      <c r="C302" s="108" t="s">
        <v>346</v>
      </c>
      <c r="D302" s="109">
        <v>971700007</v>
      </c>
      <c r="E302" s="131">
        <v>1710004029032</v>
      </c>
      <c r="F302" s="131"/>
      <c r="G302" s="108" t="s">
        <v>71</v>
      </c>
      <c r="H302" s="108" t="s">
        <v>71</v>
      </c>
      <c r="I302" s="111">
        <v>42095</v>
      </c>
      <c r="J302" s="108">
        <v>8</v>
      </c>
      <c r="K302" s="108">
        <v>6</v>
      </c>
      <c r="L302" s="108" t="str">
        <f t="shared" si="9"/>
        <v>Tetap</v>
      </c>
      <c r="M302" s="108" t="s">
        <v>347</v>
      </c>
      <c r="N302" s="112">
        <v>42767</v>
      </c>
      <c r="O302" s="108"/>
      <c r="P302" s="108" t="s">
        <v>311</v>
      </c>
      <c r="Q302" s="210" t="s">
        <v>4102</v>
      </c>
      <c r="R302" s="108" t="s">
        <v>33</v>
      </c>
      <c r="S302" s="108" t="s">
        <v>232</v>
      </c>
      <c r="T302" s="108" t="s">
        <v>199</v>
      </c>
      <c r="U302" s="108" t="s">
        <v>199</v>
      </c>
      <c r="V302" s="108" t="s">
        <v>180</v>
      </c>
      <c r="W302" s="108" t="s">
        <v>277</v>
      </c>
      <c r="X302" s="108" t="s">
        <v>215</v>
      </c>
      <c r="Y302" s="108" t="s">
        <v>216</v>
      </c>
      <c r="Z302" s="108" t="s">
        <v>71</v>
      </c>
      <c r="AA302" s="111">
        <v>27917</v>
      </c>
      <c r="AB302" s="113">
        <v>47</v>
      </c>
      <c r="AC302" s="108" t="s">
        <v>348</v>
      </c>
      <c r="AD302" s="129" t="s">
        <v>349</v>
      </c>
      <c r="AE302" s="108" t="s">
        <v>350</v>
      </c>
      <c r="AF302" s="108"/>
      <c r="AG302" s="108" t="s">
        <v>351</v>
      </c>
      <c r="AH302" s="114" t="s">
        <v>352</v>
      </c>
      <c r="AI302" s="115">
        <v>16006272260</v>
      </c>
      <c r="AJ302" s="108" t="s">
        <v>189</v>
      </c>
      <c r="AK302" s="108" t="s">
        <v>353</v>
      </c>
      <c r="AL302" s="108" t="s">
        <v>354</v>
      </c>
      <c r="AM302" s="108" t="s">
        <v>355</v>
      </c>
      <c r="AN302" s="108" t="s">
        <v>356</v>
      </c>
      <c r="AO302" s="108"/>
      <c r="AP302" s="108"/>
      <c r="AQ302" s="108"/>
      <c r="AR302" s="108"/>
      <c r="AS302" s="108"/>
      <c r="AT302" s="108">
        <v>3</v>
      </c>
      <c r="AU302" s="108" t="s">
        <v>343</v>
      </c>
      <c r="AV302" s="115">
        <v>0</v>
      </c>
      <c r="AW302" s="108" t="s">
        <v>74</v>
      </c>
      <c r="AX302" s="108" t="s">
        <v>16</v>
      </c>
      <c r="AY302" s="108" t="s">
        <v>226</v>
      </c>
      <c r="AZ302" s="108" t="s">
        <v>357</v>
      </c>
      <c r="BA302" s="108">
        <v>1994</v>
      </c>
      <c r="BB302" s="108" t="s">
        <v>287</v>
      </c>
      <c r="BC302" s="108" t="s">
        <v>226</v>
      </c>
      <c r="BD302" s="108" t="s">
        <v>357</v>
      </c>
      <c r="BE302" s="108">
        <v>1994</v>
      </c>
      <c r="BF302" s="116">
        <v>47880</v>
      </c>
      <c r="BG302" s="116">
        <v>48245</v>
      </c>
      <c r="BH302" s="108" t="s">
        <v>241</v>
      </c>
      <c r="BI302" s="108">
        <v>33</v>
      </c>
      <c r="BJ302" s="108">
        <v>41</v>
      </c>
      <c r="BK302" s="111">
        <v>44293</v>
      </c>
      <c r="BL302" s="111">
        <v>44322</v>
      </c>
      <c r="BM302" s="111">
        <v>44601</v>
      </c>
      <c r="BN302" s="111"/>
      <c r="BO302" s="108"/>
      <c r="BP302" s="108"/>
      <c r="BQ302" s="108"/>
      <c r="BR302" s="108"/>
      <c r="BS302" s="108"/>
      <c r="BT302" s="108"/>
      <c r="BU302" s="108"/>
      <c r="BV302" s="108"/>
      <c r="BW302" s="108"/>
      <c r="BX302" s="108"/>
      <c r="BY302" s="108"/>
      <c r="BZ302" s="108" t="e">
        <f>VLOOKUP(C302,[1]Sertifikasi!$B$4:$I$19,8,0)</f>
        <v>#N/A</v>
      </c>
    </row>
    <row r="303" spans="1:78" ht="11.25" customHeight="1">
      <c r="A303" s="108"/>
      <c r="B303" s="108">
        <v>90</v>
      </c>
      <c r="C303" s="108" t="s">
        <v>2380</v>
      </c>
      <c r="D303" s="109">
        <v>642102104</v>
      </c>
      <c r="E303" s="131">
        <v>1710000376494</v>
      </c>
      <c r="F303" s="131"/>
      <c r="G303" s="108" t="s">
        <v>71</v>
      </c>
      <c r="H303" s="108" t="s">
        <v>71</v>
      </c>
      <c r="I303" s="111">
        <v>44242</v>
      </c>
      <c r="J303" s="108">
        <v>2</v>
      </c>
      <c r="K303" s="108">
        <v>7</v>
      </c>
      <c r="L303" s="108" t="str">
        <f t="shared" si="9"/>
        <v>PKWT</v>
      </c>
      <c r="M303" s="108"/>
      <c r="N303" s="112">
        <v>45336</v>
      </c>
      <c r="O303" s="108"/>
      <c r="P303" s="108" t="s">
        <v>213</v>
      </c>
      <c r="Q303" s="210" t="s">
        <v>4102</v>
      </c>
      <c r="R303" s="108" t="s">
        <v>2085</v>
      </c>
      <c r="S303" s="108" t="s">
        <v>232</v>
      </c>
      <c r="T303" s="108" t="s">
        <v>214</v>
      </c>
      <c r="U303" s="108" t="s">
        <v>214</v>
      </c>
      <c r="V303" s="108" t="s">
        <v>180</v>
      </c>
      <c r="W303" s="108" t="s">
        <v>617</v>
      </c>
      <c r="X303" s="108"/>
      <c r="Y303" s="108" t="s">
        <v>216</v>
      </c>
      <c r="Z303" s="108" t="s">
        <v>71</v>
      </c>
      <c r="AA303" s="111">
        <v>32762</v>
      </c>
      <c r="AB303" s="113">
        <v>34</v>
      </c>
      <c r="AC303" s="108" t="s">
        <v>2381</v>
      </c>
      <c r="AD303" s="129" t="s">
        <v>2382</v>
      </c>
      <c r="AE303" s="108" t="s">
        <v>2383</v>
      </c>
      <c r="AF303" s="108"/>
      <c r="AG303" s="108" t="s">
        <v>2384</v>
      </c>
      <c r="AH303" s="114" t="s">
        <v>2385</v>
      </c>
      <c r="AI303" s="115">
        <v>21013284753</v>
      </c>
      <c r="AJ303" s="108" t="s">
        <v>255</v>
      </c>
      <c r="AK303" s="108"/>
      <c r="AL303" s="108"/>
      <c r="AM303" s="108"/>
      <c r="AN303" s="108"/>
      <c r="AO303" s="108" t="s">
        <v>2386</v>
      </c>
      <c r="AP303" s="108" t="s">
        <v>2387</v>
      </c>
      <c r="AQ303" s="108" t="s">
        <v>2388</v>
      </c>
      <c r="AR303" s="108"/>
      <c r="AS303" s="108"/>
      <c r="AT303" s="108">
        <v>1</v>
      </c>
      <c r="AU303" s="108" t="s">
        <v>646</v>
      </c>
      <c r="AV303" s="115"/>
      <c r="AW303" s="108" t="s">
        <v>74</v>
      </c>
      <c r="AX303" s="108" t="s">
        <v>16</v>
      </c>
      <c r="AY303" s="108" t="s">
        <v>226</v>
      </c>
      <c r="AZ303" s="108" t="s">
        <v>306</v>
      </c>
      <c r="BA303" s="108">
        <v>2008</v>
      </c>
      <c r="BB303" s="108" t="s">
        <v>16</v>
      </c>
      <c r="BC303" s="108" t="s">
        <v>226</v>
      </c>
      <c r="BD303" s="108" t="s">
        <v>306</v>
      </c>
      <c r="BE303" s="108">
        <v>2008</v>
      </c>
      <c r="BF303" s="116"/>
      <c r="BG303" s="116"/>
      <c r="BH303" s="108" t="s">
        <v>394</v>
      </c>
      <c r="BI303" s="108" t="s">
        <v>2389</v>
      </c>
      <c r="BJ303" s="108">
        <v>40</v>
      </c>
      <c r="BK303" s="111"/>
      <c r="BL303" s="111" t="s">
        <v>22</v>
      </c>
      <c r="BM303" s="111">
        <v>44601</v>
      </c>
      <c r="BN303" s="111"/>
      <c r="BO303" s="108"/>
      <c r="BP303" s="108"/>
      <c r="BQ303" s="108"/>
      <c r="BR303" s="108" t="s">
        <v>2390</v>
      </c>
      <c r="BS303" s="108"/>
      <c r="BT303" s="108"/>
      <c r="BU303" s="108"/>
      <c r="BV303" s="108"/>
      <c r="BW303" s="108"/>
      <c r="BX303" s="108"/>
      <c r="BY303" s="108"/>
      <c r="BZ303" s="108" t="e">
        <f>VLOOKUP(C303,[1]Sertifikasi!$B$4:$I$19,8,0)</f>
        <v>#N/A</v>
      </c>
    </row>
    <row r="304" spans="1:78" ht="11.25" customHeight="1">
      <c r="A304" s="108"/>
      <c r="B304" s="108">
        <v>322</v>
      </c>
      <c r="C304" s="108" t="s">
        <v>981</v>
      </c>
      <c r="D304" s="109">
        <v>642001038</v>
      </c>
      <c r="E304" s="131">
        <v>1710004034446</v>
      </c>
      <c r="F304" s="131"/>
      <c r="G304" s="108" t="s">
        <v>71</v>
      </c>
      <c r="H304" s="108" t="s">
        <v>71</v>
      </c>
      <c r="I304" s="111">
        <v>42857</v>
      </c>
      <c r="J304" s="108">
        <v>6</v>
      </c>
      <c r="K304" s="108">
        <v>5</v>
      </c>
      <c r="L304" s="108" t="str">
        <f t="shared" si="9"/>
        <v>PKWT</v>
      </c>
      <c r="M304" s="108"/>
      <c r="N304" s="112">
        <v>45291</v>
      </c>
      <c r="O304" s="108"/>
      <c r="P304" s="108" t="s">
        <v>213</v>
      </c>
      <c r="Q304" s="210" t="s">
        <v>4102</v>
      </c>
      <c r="R304" s="108" t="s">
        <v>475</v>
      </c>
      <c r="S304" s="108" t="s">
        <v>476</v>
      </c>
      <c r="T304" s="108" t="s">
        <v>99</v>
      </c>
      <c r="U304" s="108" t="s">
        <v>276</v>
      </c>
      <c r="V304" s="108" t="s">
        <v>180</v>
      </c>
      <c r="W304" s="108"/>
      <c r="X304" s="108" t="s">
        <v>215</v>
      </c>
      <c r="Y304" s="108" t="s">
        <v>216</v>
      </c>
      <c r="Z304" s="108" t="s">
        <v>182</v>
      </c>
      <c r="AA304" s="111">
        <v>34444</v>
      </c>
      <c r="AB304" s="113">
        <v>29</v>
      </c>
      <c r="AC304" s="108" t="s">
        <v>982</v>
      </c>
      <c r="AD304" s="129" t="s">
        <v>983</v>
      </c>
      <c r="AE304" s="108" t="s">
        <v>984</v>
      </c>
      <c r="AF304" s="108"/>
      <c r="AG304" s="108" t="s">
        <v>985</v>
      </c>
      <c r="AH304" s="114" t="s">
        <v>986</v>
      </c>
      <c r="AI304" s="115">
        <v>17043907660</v>
      </c>
      <c r="AJ304" s="108" t="s">
        <v>255</v>
      </c>
      <c r="AK304" s="108"/>
      <c r="AL304" s="108"/>
      <c r="AM304" s="108"/>
      <c r="AN304" s="108"/>
      <c r="AO304" s="108"/>
      <c r="AP304" s="108"/>
      <c r="AQ304" s="108"/>
      <c r="AR304" s="108"/>
      <c r="AS304" s="108"/>
      <c r="AT304" s="108">
        <v>0</v>
      </c>
      <c r="AU304" s="108" t="s">
        <v>304</v>
      </c>
      <c r="AV304" s="115">
        <v>0</v>
      </c>
      <c r="AW304" s="108" t="s">
        <v>74</v>
      </c>
      <c r="AX304" s="108" t="s">
        <v>16</v>
      </c>
      <c r="AY304" s="108" t="s">
        <v>226</v>
      </c>
      <c r="AZ304" s="108" t="s">
        <v>987</v>
      </c>
      <c r="BA304" s="108">
        <v>2013</v>
      </c>
      <c r="BB304" s="108" t="s">
        <v>287</v>
      </c>
      <c r="BC304" s="108" t="s">
        <v>226</v>
      </c>
      <c r="BD304" s="108" t="s">
        <v>988</v>
      </c>
      <c r="BE304" s="108">
        <v>2013</v>
      </c>
      <c r="BF304" s="116"/>
      <c r="BG304" s="116"/>
      <c r="BH304" s="108" t="s">
        <v>241</v>
      </c>
      <c r="BI304" s="108">
        <v>31</v>
      </c>
      <c r="BJ304" s="108">
        <v>41</v>
      </c>
      <c r="BK304" s="111">
        <v>44365</v>
      </c>
      <c r="BL304" s="111">
        <v>44404</v>
      </c>
      <c r="BM304" s="111"/>
      <c r="BN304" s="111"/>
      <c r="BO304" s="108">
        <v>43467</v>
      </c>
      <c r="BP304" s="108">
        <v>43830</v>
      </c>
      <c r="BQ304" s="108" t="s">
        <v>989</v>
      </c>
      <c r="BR304" s="108" t="s">
        <v>990</v>
      </c>
      <c r="BS304" s="108"/>
      <c r="BT304" s="108"/>
      <c r="BU304" s="108"/>
      <c r="BV304" s="108"/>
      <c r="BW304" s="108"/>
      <c r="BX304" s="108"/>
      <c r="BY304" s="108"/>
      <c r="BZ304" s="108" t="e">
        <f>VLOOKUP(C304,[1]Sertifikasi!$B$4:$I$19,8,0)</f>
        <v>#N/A</v>
      </c>
    </row>
    <row r="305" spans="1:78" ht="11.25" customHeight="1">
      <c r="A305" s="108"/>
      <c r="B305" s="108">
        <v>65</v>
      </c>
      <c r="C305" s="108" t="s">
        <v>2208</v>
      </c>
      <c r="D305" s="109">
        <v>991700039</v>
      </c>
      <c r="E305" s="131">
        <v>1710000416662</v>
      </c>
      <c r="F305" s="131">
        <v>7184022197</v>
      </c>
      <c r="G305" s="113" t="s">
        <v>33</v>
      </c>
      <c r="H305" s="108" t="s">
        <v>71</v>
      </c>
      <c r="I305" s="111">
        <v>43987</v>
      </c>
      <c r="J305" s="108">
        <f ca="1">DATEDIF(I305,$C$3,"y")</f>
        <v>3</v>
      </c>
      <c r="K305" s="108">
        <f ca="1">DATEDIF(I305,$C$3,"ym")</f>
        <v>5</v>
      </c>
      <c r="L305" s="108" t="str">
        <f t="shared" si="9"/>
        <v>Organik</v>
      </c>
      <c r="M305" s="108" t="s">
        <v>1401</v>
      </c>
      <c r="N305" s="112">
        <v>42767</v>
      </c>
      <c r="O305" s="108" t="s">
        <v>261</v>
      </c>
      <c r="P305" s="108" t="s">
        <v>261</v>
      </c>
      <c r="Q305" s="210" t="s">
        <v>4100</v>
      </c>
      <c r="R305" s="210" t="s">
        <v>4099</v>
      </c>
      <c r="S305" s="108"/>
      <c r="T305" s="108" t="s">
        <v>854</v>
      </c>
      <c r="U305" s="108" t="s">
        <v>199</v>
      </c>
      <c r="V305" s="108" t="s">
        <v>180</v>
      </c>
      <c r="W305" s="108"/>
      <c r="X305" s="108"/>
      <c r="Y305" s="108" t="s">
        <v>59</v>
      </c>
      <c r="Z305" s="108" t="s">
        <v>71</v>
      </c>
      <c r="AA305" s="111">
        <v>32270</v>
      </c>
      <c r="AB305" s="113">
        <f ca="1">DATEDIF(AA305,$C$3,"y")</f>
        <v>35</v>
      </c>
      <c r="AC305" s="108" t="s">
        <v>2209</v>
      </c>
      <c r="AD305" s="129" t="s">
        <v>2210</v>
      </c>
      <c r="AE305" s="108" t="s">
        <v>2211</v>
      </c>
      <c r="AF305" s="108"/>
      <c r="AG305" s="130" t="s">
        <v>2212</v>
      </c>
      <c r="AH305" s="114" t="s">
        <v>2213</v>
      </c>
      <c r="AI305" s="115">
        <v>14022429386</v>
      </c>
      <c r="AJ305" s="108" t="s">
        <v>189</v>
      </c>
      <c r="AK305" s="108" t="s">
        <v>2214</v>
      </c>
      <c r="AL305" s="108" t="s">
        <v>2215</v>
      </c>
      <c r="AM305" s="108" t="s">
        <v>2216</v>
      </c>
      <c r="AN305" s="108"/>
      <c r="AO305" s="108"/>
      <c r="AP305" s="108"/>
      <c r="AQ305" s="108"/>
      <c r="AR305" s="108"/>
      <c r="AS305" s="108"/>
      <c r="AT305" s="108">
        <f>COUNTA(AL305:AO305)</f>
        <v>2</v>
      </c>
      <c r="AU305" s="108" t="str">
        <f>IF(AJ305="Menikah","K","TK")&amp;"/"&amp;AT305</f>
        <v>K/2</v>
      </c>
      <c r="AV305" s="131" t="s">
        <v>2217</v>
      </c>
      <c r="AW305" s="113" t="s">
        <v>74</v>
      </c>
      <c r="AX305" s="108" t="s">
        <v>16</v>
      </c>
      <c r="AY305" s="108" t="s">
        <v>210</v>
      </c>
      <c r="AZ305" s="108" t="s">
        <v>2218</v>
      </c>
      <c r="BA305" s="108">
        <v>2006</v>
      </c>
      <c r="BB305" s="108" t="s">
        <v>16</v>
      </c>
      <c r="BC305" s="108" t="s">
        <v>210</v>
      </c>
      <c r="BD305" s="108" t="s">
        <v>2218</v>
      </c>
      <c r="BE305" s="108">
        <v>2006</v>
      </c>
      <c r="BF305" s="116">
        <v>48000</v>
      </c>
      <c r="BG305" s="116">
        <v>48366</v>
      </c>
      <c r="BH305" s="108"/>
      <c r="BI305" s="108"/>
      <c r="BJ305" s="108">
        <v>40</v>
      </c>
      <c r="BK305" s="111">
        <v>44294</v>
      </c>
      <c r="BL305" s="111">
        <v>44322</v>
      </c>
      <c r="BM305" s="111">
        <v>44672</v>
      </c>
      <c r="BN305" s="111"/>
      <c r="BO305" s="108"/>
      <c r="BP305" s="108"/>
      <c r="BQ305" s="108"/>
      <c r="BR305" s="108"/>
      <c r="BS305" s="108"/>
      <c r="BT305" s="108"/>
      <c r="BU305" s="108"/>
      <c r="BV305" s="108"/>
      <c r="BW305" s="108"/>
      <c r="BX305" s="108"/>
      <c r="BY305" s="108"/>
      <c r="BZ305" s="108" t="e">
        <f>VLOOKUP(C305,[1]Sertifikasi!$B$4:$I$19,8,0)</f>
        <v>#N/A</v>
      </c>
    </row>
    <row r="306" spans="1:78" ht="11.25" customHeight="1">
      <c r="A306" s="108"/>
      <c r="B306" s="108">
        <v>297</v>
      </c>
      <c r="C306" s="108" t="s">
        <v>2835</v>
      </c>
      <c r="D306" s="109">
        <v>642201174</v>
      </c>
      <c r="E306" s="131">
        <v>1710011618611</v>
      </c>
      <c r="F306" s="131"/>
      <c r="G306" s="108" t="s">
        <v>71</v>
      </c>
      <c r="H306" s="108" t="s">
        <v>71</v>
      </c>
      <c r="I306" s="111">
        <v>44719</v>
      </c>
      <c r="J306" s="108">
        <v>1</v>
      </c>
      <c r="K306" s="108">
        <v>4</v>
      </c>
      <c r="L306" s="108" t="str">
        <f t="shared" si="9"/>
        <v>PKWT</v>
      </c>
      <c r="M306" s="108"/>
      <c r="N306" s="112">
        <v>45449</v>
      </c>
      <c r="O306" s="108"/>
      <c r="P306" s="108" t="s">
        <v>213</v>
      </c>
      <c r="Q306" s="210" t="s">
        <v>4102</v>
      </c>
      <c r="R306" s="108" t="s">
        <v>575</v>
      </c>
      <c r="S306" s="108" t="s">
        <v>262</v>
      </c>
      <c r="T306" s="108" t="s">
        <v>92</v>
      </c>
      <c r="U306" s="108" t="s">
        <v>276</v>
      </c>
      <c r="V306" s="108" t="s">
        <v>180</v>
      </c>
      <c r="W306" s="108"/>
      <c r="X306" s="108"/>
      <c r="Y306" s="108" t="s">
        <v>216</v>
      </c>
      <c r="Z306" s="108" t="s">
        <v>71</v>
      </c>
      <c r="AA306" s="111">
        <v>36508</v>
      </c>
      <c r="AB306" s="113">
        <v>23</v>
      </c>
      <c r="AC306" s="108" t="s">
        <v>2836</v>
      </c>
      <c r="AD306" s="129" t="s">
        <v>2837</v>
      </c>
      <c r="AE306" s="108" t="s">
        <v>2838</v>
      </c>
      <c r="AF306" s="108"/>
      <c r="AG306" s="108" t="s">
        <v>2839</v>
      </c>
      <c r="AH306" s="114" t="s">
        <v>2840</v>
      </c>
      <c r="AI306" s="115">
        <v>22063660660</v>
      </c>
      <c r="AJ306" s="108" t="s">
        <v>255</v>
      </c>
      <c r="AK306" s="108"/>
      <c r="AL306" s="108"/>
      <c r="AM306" s="108"/>
      <c r="AN306" s="108"/>
      <c r="AO306" s="108"/>
      <c r="AP306" s="108"/>
      <c r="AQ306" s="108"/>
      <c r="AR306" s="108"/>
      <c r="AS306" s="108"/>
      <c r="AT306" s="108">
        <v>0</v>
      </c>
      <c r="AU306" s="108" t="s">
        <v>304</v>
      </c>
      <c r="AV306" s="115"/>
      <c r="AW306" s="108" t="s">
        <v>74</v>
      </c>
      <c r="AX306" s="108" t="s">
        <v>16</v>
      </c>
      <c r="AY306" s="108" t="s">
        <v>226</v>
      </c>
      <c r="AZ306" s="108" t="s">
        <v>306</v>
      </c>
      <c r="BA306" s="108"/>
      <c r="BB306" s="108" t="s">
        <v>16</v>
      </c>
      <c r="BC306" s="108" t="s">
        <v>226</v>
      </c>
      <c r="BD306" s="108" t="s">
        <v>306</v>
      </c>
      <c r="BE306" s="108"/>
      <c r="BF306" s="116"/>
      <c r="BG306" s="116"/>
      <c r="BH306" s="108"/>
      <c r="BI306" s="108"/>
      <c r="BJ306" s="108">
        <v>42</v>
      </c>
      <c r="BK306" s="111"/>
      <c r="BL306" s="111"/>
      <c r="BM306" s="111"/>
      <c r="BN306" s="111"/>
      <c r="BO306" s="108"/>
      <c r="BP306" s="108"/>
      <c r="BQ306" s="108"/>
      <c r="BR306" s="108" t="s">
        <v>2841</v>
      </c>
      <c r="BS306" s="108"/>
      <c r="BT306" s="108"/>
      <c r="BU306" s="108"/>
      <c r="BV306" s="108"/>
      <c r="BW306" s="108"/>
      <c r="BX306" s="108"/>
      <c r="BY306" s="108"/>
      <c r="BZ306" s="108" t="e">
        <f>VLOOKUP(C306,[1]Sertifikasi!$B$4:$I$19,8,0)</f>
        <v>#N/A</v>
      </c>
    </row>
    <row r="307" spans="1:78" ht="11.25" customHeight="1">
      <c r="A307" s="108"/>
      <c r="B307" s="108">
        <v>193</v>
      </c>
      <c r="C307" s="108" t="s">
        <v>2606</v>
      </c>
      <c r="D307" s="109">
        <v>642201131</v>
      </c>
      <c r="E307" s="131">
        <v>1180011311841</v>
      </c>
      <c r="F307" s="131"/>
      <c r="G307" s="108" t="s">
        <v>259</v>
      </c>
      <c r="H307" s="108" t="s">
        <v>259</v>
      </c>
      <c r="I307" s="111">
        <v>44578</v>
      </c>
      <c r="J307" s="108">
        <v>1</v>
      </c>
      <c r="K307" s="108">
        <v>8</v>
      </c>
      <c r="L307" s="108" t="str">
        <f t="shared" si="9"/>
        <v>PKWT</v>
      </c>
      <c r="M307" s="108"/>
      <c r="N307" s="112">
        <v>45291</v>
      </c>
      <c r="O307" s="108"/>
      <c r="P307" s="108" t="s">
        <v>213</v>
      </c>
      <c r="Q307" s="210" t="s">
        <v>4102</v>
      </c>
      <c r="R307" s="108" t="s">
        <v>259</v>
      </c>
      <c r="S307" s="108" t="s">
        <v>262</v>
      </c>
      <c r="T307" s="108" t="s">
        <v>89</v>
      </c>
      <c r="U307" s="108" t="s">
        <v>199</v>
      </c>
      <c r="V307" s="108" t="s">
        <v>180</v>
      </c>
      <c r="W307" s="108"/>
      <c r="X307" s="108"/>
      <c r="Y307" s="108" t="s">
        <v>216</v>
      </c>
      <c r="Z307" s="108" t="s">
        <v>259</v>
      </c>
      <c r="AA307" s="111">
        <v>35117</v>
      </c>
      <c r="AB307" s="113">
        <v>27</v>
      </c>
      <c r="AC307" s="108" t="s">
        <v>2607</v>
      </c>
      <c r="AD307" s="129" t="s">
        <v>2608</v>
      </c>
      <c r="AE307" s="108" t="s">
        <v>2609</v>
      </c>
      <c r="AF307" s="108"/>
      <c r="AG307" s="108" t="s">
        <v>2610</v>
      </c>
      <c r="AH307" s="114" t="s">
        <v>2611</v>
      </c>
      <c r="AI307" s="115">
        <v>22017333547</v>
      </c>
      <c r="AJ307" s="108" t="s">
        <v>189</v>
      </c>
      <c r="AK307" s="108" t="s">
        <v>2612</v>
      </c>
      <c r="AL307" s="108" t="s">
        <v>2613</v>
      </c>
      <c r="AM307" s="108"/>
      <c r="AN307" s="108"/>
      <c r="AO307" s="108"/>
      <c r="AP307" s="108"/>
      <c r="AQ307" s="108"/>
      <c r="AR307" s="108"/>
      <c r="AS307" s="108"/>
      <c r="AT307" s="108">
        <v>1</v>
      </c>
      <c r="AU307" s="108" t="s">
        <v>225</v>
      </c>
      <c r="AV307" s="115"/>
      <c r="AW307" s="108" t="s">
        <v>74</v>
      </c>
      <c r="AX307" s="108" t="s">
        <v>16</v>
      </c>
      <c r="AY307" s="108" t="s">
        <v>1988</v>
      </c>
      <c r="AZ307" s="108" t="s">
        <v>2614</v>
      </c>
      <c r="BA307" s="108">
        <v>2014</v>
      </c>
      <c r="BB307" s="108" t="s">
        <v>16</v>
      </c>
      <c r="BC307" s="108" t="s">
        <v>1988</v>
      </c>
      <c r="BD307" s="108" t="s">
        <v>2614</v>
      </c>
      <c r="BE307" s="108">
        <v>2014</v>
      </c>
      <c r="BF307" s="116"/>
      <c r="BG307" s="116"/>
      <c r="BH307" s="108"/>
      <c r="BI307" s="108"/>
      <c r="BJ307" s="108">
        <v>42</v>
      </c>
      <c r="BK307" s="111"/>
      <c r="BL307" s="111"/>
      <c r="BM307" s="111">
        <v>44673</v>
      </c>
      <c r="BN307" s="111"/>
      <c r="BO307" s="108"/>
      <c r="BP307" s="108"/>
      <c r="BQ307" s="108"/>
      <c r="BR307" s="108" t="s">
        <v>2615</v>
      </c>
      <c r="BS307" s="108"/>
      <c r="BT307" s="108"/>
      <c r="BU307" s="108"/>
      <c r="BV307" s="108"/>
      <c r="BW307" s="108"/>
      <c r="BX307" s="108"/>
      <c r="BY307" s="108"/>
      <c r="BZ307" s="108" t="e">
        <f>VLOOKUP(C307,[1]Sertifikasi!$B$4:$I$19,8,0)</f>
        <v>#N/A</v>
      </c>
    </row>
    <row r="308" spans="1:78" ht="11.25" customHeight="1">
      <c r="A308" s="108"/>
      <c r="B308" s="108">
        <v>146</v>
      </c>
      <c r="C308" s="108" t="s">
        <v>421</v>
      </c>
      <c r="D308" s="109">
        <v>971700008</v>
      </c>
      <c r="E308" s="131">
        <v>1710004040955</v>
      </c>
      <c r="F308" s="131"/>
      <c r="G308" s="108" t="s">
        <v>71</v>
      </c>
      <c r="H308" s="108" t="s">
        <v>422</v>
      </c>
      <c r="I308" s="111">
        <v>42125</v>
      </c>
      <c r="J308" s="108">
        <v>8</v>
      </c>
      <c r="K308" s="108">
        <v>5</v>
      </c>
      <c r="L308" s="108" t="str">
        <f t="shared" si="9"/>
        <v>Tetap</v>
      </c>
      <c r="M308" s="108" t="s">
        <v>423</v>
      </c>
      <c r="N308" s="112">
        <v>42767</v>
      </c>
      <c r="O308" s="108"/>
      <c r="P308" s="108" t="s">
        <v>311</v>
      </c>
      <c r="Q308" s="210" t="s">
        <v>4102</v>
      </c>
      <c r="R308" s="108" t="s">
        <v>409</v>
      </c>
      <c r="S308" s="108" t="s">
        <v>33</v>
      </c>
      <c r="T308" s="108" t="s">
        <v>88</v>
      </c>
      <c r="U308" s="108" t="s">
        <v>199</v>
      </c>
      <c r="V308" s="108" t="s">
        <v>180</v>
      </c>
      <c r="W308" s="108" t="s">
        <v>277</v>
      </c>
      <c r="X308" s="108" t="s">
        <v>215</v>
      </c>
      <c r="Y308" s="108" t="s">
        <v>216</v>
      </c>
      <c r="Z308" s="108" t="s">
        <v>409</v>
      </c>
      <c r="AA308" s="111">
        <v>32407</v>
      </c>
      <c r="AB308" s="113">
        <v>35</v>
      </c>
      <c r="AC308" s="108" t="s">
        <v>424</v>
      </c>
      <c r="AD308" s="129" t="s">
        <v>425</v>
      </c>
      <c r="AE308" s="108" t="s">
        <v>426</v>
      </c>
      <c r="AF308" s="108"/>
      <c r="AG308" s="108" t="s">
        <v>427</v>
      </c>
      <c r="AH308" s="114" t="s">
        <v>428</v>
      </c>
      <c r="AI308" s="115">
        <v>16006272013</v>
      </c>
      <c r="AJ308" s="108" t="s">
        <v>189</v>
      </c>
      <c r="AK308" s="108" t="s">
        <v>429</v>
      </c>
      <c r="AL308" s="108" t="s">
        <v>430</v>
      </c>
      <c r="AM308" s="108"/>
      <c r="AN308" s="108"/>
      <c r="AO308" s="108"/>
      <c r="AP308" s="108"/>
      <c r="AQ308" s="108"/>
      <c r="AR308" s="108"/>
      <c r="AS308" s="108"/>
      <c r="AT308" s="108">
        <v>1</v>
      </c>
      <c r="AU308" s="108" t="s">
        <v>225</v>
      </c>
      <c r="AV308" s="115">
        <v>901350165525000</v>
      </c>
      <c r="AW308" s="108" t="s">
        <v>74</v>
      </c>
      <c r="AX308" s="108" t="s">
        <v>13</v>
      </c>
      <c r="AY308" s="108" t="s">
        <v>226</v>
      </c>
      <c r="AZ308" s="108" t="s">
        <v>211</v>
      </c>
      <c r="BA308" s="108">
        <v>2011</v>
      </c>
      <c r="BB308" s="108" t="s">
        <v>13</v>
      </c>
      <c r="BC308" s="108" t="s">
        <v>226</v>
      </c>
      <c r="BD308" s="108" t="s">
        <v>211</v>
      </c>
      <c r="BE308" s="108">
        <v>2011</v>
      </c>
      <c r="BF308" s="116">
        <v>52628</v>
      </c>
      <c r="BG308" s="116">
        <v>52993</v>
      </c>
      <c r="BH308" s="108" t="s">
        <v>241</v>
      </c>
      <c r="BI308" s="108">
        <v>30</v>
      </c>
      <c r="BJ308" s="108">
        <v>42</v>
      </c>
      <c r="BK308" s="111">
        <v>44294</v>
      </c>
      <c r="BL308" s="111">
        <v>44322</v>
      </c>
      <c r="BM308" s="111"/>
      <c r="BN308" s="111"/>
      <c r="BO308" s="108"/>
      <c r="BP308" s="108"/>
      <c r="BQ308" s="108"/>
      <c r="BR308" s="108"/>
      <c r="BS308" s="108"/>
      <c r="BT308" s="108"/>
      <c r="BU308" s="108"/>
      <c r="BV308" s="108"/>
      <c r="BW308" s="108"/>
      <c r="BX308" s="108"/>
      <c r="BY308" s="108"/>
      <c r="BZ308" s="108" t="e">
        <f>VLOOKUP(C308,[1]Sertifikasi!$B$4:$I$19,8,0)</f>
        <v>#N/A</v>
      </c>
    </row>
    <row r="309" spans="1:78" ht="11.25" customHeight="1">
      <c r="A309" s="108"/>
      <c r="B309" s="108">
        <v>91</v>
      </c>
      <c r="C309" s="108" t="s">
        <v>2084</v>
      </c>
      <c r="D309" s="109">
        <v>642002085</v>
      </c>
      <c r="E309" s="131">
        <v>1710003987743</v>
      </c>
      <c r="F309" s="131"/>
      <c r="G309" s="108" t="s">
        <v>71</v>
      </c>
      <c r="H309" s="108" t="s">
        <v>71</v>
      </c>
      <c r="I309" s="111">
        <v>43892</v>
      </c>
      <c r="J309" s="108">
        <v>3</v>
      </c>
      <c r="K309" s="108">
        <v>7</v>
      </c>
      <c r="L309" s="108" t="str">
        <f t="shared" si="9"/>
        <v>PKWT</v>
      </c>
      <c r="M309" s="108"/>
      <c r="N309" s="112">
        <v>45291</v>
      </c>
      <c r="O309" s="108"/>
      <c r="P309" s="108" t="s">
        <v>213</v>
      </c>
      <c r="Q309" s="210" t="s">
        <v>4102</v>
      </c>
      <c r="R309" s="108" t="s">
        <v>2085</v>
      </c>
      <c r="S309" s="108" t="s">
        <v>232</v>
      </c>
      <c r="T309" s="108" t="s">
        <v>214</v>
      </c>
      <c r="U309" s="108" t="s">
        <v>214</v>
      </c>
      <c r="V309" s="108" t="s">
        <v>180</v>
      </c>
      <c r="W309" s="108" t="s">
        <v>277</v>
      </c>
      <c r="X309" s="108"/>
      <c r="Y309" s="108" t="s">
        <v>216</v>
      </c>
      <c r="Z309" s="108" t="s">
        <v>71</v>
      </c>
      <c r="AA309" s="111">
        <v>34519</v>
      </c>
      <c r="AB309" s="113">
        <v>29</v>
      </c>
      <c r="AC309" s="108" t="s">
        <v>2086</v>
      </c>
      <c r="AD309" s="129" t="s">
        <v>2087</v>
      </c>
      <c r="AE309" s="108" t="s">
        <v>2088</v>
      </c>
      <c r="AF309" s="108"/>
      <c r="AG309" s="108" t="s">
        <v>2089</v>
      </c>
      <c r="AH309" s="114" t="s">
        <v>2090</v>
      </c>
      <c r="AI309" s="115">
        <v>17028637795</v>
      </c>
      <c r="AJ309" s="108" t="s">
        <v>189</v>
      </c>
      <c r="AK309" s="108" t="s">
        <v>2091</v>
      </c>
      <c r="AL309" s="108" t="s">
        <v>2092</v>
      </c>
      <c r="AM309" s="108"/>
      <c r="AN309" s="108"/>
      <c r="AO309" s="108"/>
      <c r="AP309" s="108"/>
      <c r="AQ309" s="108"/>
      <c r="AR309" s="108"/>
      <c r="AS309" s="108"/>
      <c r="AT309" s="108">
        <v>1</v>
      </c>
      <c r="AU309" s="108" t="s">
        <v>225</v>
      </c>
      <c r="AV309" s="115"/>
      <c r="AW309" s="108" t="s">
        <v>74</v>
      </c>
      <c r="AX309" s="108" t="s">
        <v>13</v>
      </c>
      <c r="AY309" s="108" t="s">
        <v>331</v>
      </c>
      <c r="AZ309" s="108" t="s">
        <v>482</v>
      </c>
      <c r="BA309" s="108">
        <v>2016</v>
      </c>
      <c r="BB309" s="108" t="s">
        <v>13</v>
      </c>
      <c r="BC309" s="108" t="s">
        <v>331</v>
      </c>
      <c r="BD309" s="108" t="s">
        <v>482</v>
      </c>
      <c r="BE309" s="108">
        <v>2016</v>
      </c>
      <c r="BF309" s="116"/>
      <c r="BG309" s="116"/>
      <c r="BH309" s="108" t="s">
        <v>345</v>
      </c>
      <c r="BI309" s="108" t="s">
        <v>345</v>
      </c>
      <c r="BJ309" s="108">
        <v>42</v>
      </c>
      <c r="BK309" s="111">
        <v>44293</v>
      </c>
      <c r="BL309" s="111">
        <v>44322</v>
      </c>
      <c r="BM309" s="111">
        <v>44600</v>
      </c>
      <c r="BN309" s="111"/>
      <c r="BO309" s="108"/>
      <c r="BP309" s="108"/>
      <c r="BQ309" s="108"/>
      <c r="BR309" s="108"/>
      <c r="BS309" s="108"/>
      <c r="BT309" s="108"/>
      <c r="BU309" s="108"/>
      <c r="BV309" s="108"/>
      <c r="BW309" s="108"/>
      <c r="BX309" s="108"/>
      <c r="BY309" s="108"/>
      <c r="BZ309" s="108" t="e">
        <f>VLOOKUP(C309,[1]Sertifikasi!$B$4:$I$19,8,0)</f>
        <v>#N/A</v>
      </c>
    </row>
    <row r="310" spans="1:78" ht="11.25" customHeight="1">
      <c r="A310" s="108"/>
      <c r="B310" s="108">
        <v>92</v>
      </c>
      <c r="C310" s="108" t="s">
        <v>2391</v>
      </c>
      <c r="D310" s="109">
        <v>642105110</v>
      </c>
      <c r="E310" s="131" t="s">
        <v>2392</v>
      </c>
      <c r="F310" s="131"/>
      <c r="G310" s="108" t="s">
        <v>71</v>
      </c>
      <c r="H310" s="108" t="s">
        <v>71</v>
      </c>
      <c r="I310" s="111">
        <v>44319</v>
      </c>
      <c r="J310" s="108">
        <v>2</v>
      </c>
      <c r="K310" s="108">
        <v>5</v>
      </c>
      <c r="L310" s="108" t="str">
        <f t="shared" si="9"/>
        <v>PKWT</v>
      </c>
      <c r="M310" s="108"/>
      <c r="N310" s="112">
        <v>45414</v>
      </c>
      <c r="O310" s="108"/>
      <c r="P310" s="108" t="s">
        <v>213</v>
      </c>
      <c r="Q310" s="210" t="s">
        <v>4102</v>
      </c>
      <c r="R310" s="108" t="s">
        <v>2085</v>
      </c>
      <c r="S310" s="108" t="s">
        <v>232</v>
      </c>
      <c r="T310" s="108" t="s">
        <v>214</v>
      </c>
      <c r="U310" s="108" t="s">
        <v>214</v>
      </c>
      <c r="V310" s="108" t="s">
        <v>180</v>
      </c>
      <c r="W310" s="108" t="s">
        <v>83</v>
      </c>
      <c r="X310" s="108"/>
      <c r="Y310" s="108" t="s">
        <v>216</v>
      </c>
      <c r="Z310" s="108" t="s">
        <v>639</v>
      </c>
      <c r="AA310" s="111">
        <v>32433</v>
      </c>
      <c r="AB310" s="113">
        <v>34</v>
      </c>
      <c r="AC310" s="108" t="s">
        <v>2393</v>
      </c>
      <c r="AD310" s="129" t="s">
        <v>2394</v>
      </c>
      <c r="AE310" s="108">
        <v>89665487696</v>
      </c>
      <c r="AF310" s="108"/>
      <c r="AG310" s="108" t="s">
        <v>2395</v>
      </c>
      <c r="AH310" s="114" t="s">
        <v>2396</v>
      </c>
      <c r="AI310" s="115">
        <v>12040754710</v>
      </c>
      <c r="AJ310" s="108" t="s">
        <v>189</v>
      </c>
      <c r="AK310" s="108" t="s">
        <v>2397</v>
      </c>
      <c r="AL310" s="108" t="s">
        <v>2398</v>
      </c>
      <c r="AM310" s="108" t="s">
        <v>2399</v>
      </c>
      <c r="AN310" s="108"/>
      <c r="AO310" s="108"/>
      <c r="AP310" s="108"/>
      <c r="AQ310" s="108"/>
      <c r="AR310" s="108"/>
      <c r="AS310" s="108"/>
      <c r="AT310" s="108">
        <v>2</v>
      </c>
      <c r="AU310" s="108" t="s">
        <v>330</v>
      </c>
      <c r="AV310" s="115"/>
      <c r="AW310" s="108" t="s">
        <v>74</v>
      </c>
      <c r="AX310" s="108" t="s">
        <v>16</v>
      </c>
      <c r="AY310" s="108" t="s">
        <v>226</v>
      </c>
      <c r="AZ310" s="108" t="s">
        <v>647</v>
      </c>
      <c r="BA310" s="108"/>
      <c r="BB310" s="108" t="s">
        <v>16</v>
      </c>
      <c r="BC310" s="108" t="s">
        <v>226</v>
      </c>
      <c r="BD310" s="108" t="s">
        <v>647</v>
      </c>
      <c r="BE310" s="108"/>
      <c r="BF310" s="116"/>
      <c r="BG310" s="116"/>
      <c r="BH310" s="108" t="s">
        <v>241</v>
      </c>
      <c r="BI310" s="108"/>
      <c r="BJ310" s="108">
        <v>40</v>
      </c>
      <c r="BK310" s="111"/>
      <c r="BL310" s="111"/>
      <c r="BM310" s="111">
        <v>44601</v>
      </c>
      <c r="BN310" s="111"/>
      <c r="BO310" s="108"/>
      <c r="BP310" s="108"/>
      <c r="BQ310" s="108"/>
      <c r="BR310" s="108" t="s">
        <v>2400</v>
      </c>
      <c r="BS310" s="108"/>
      <c r="BT310" s="108"/>
      <c r="BU310" s="108"/>
      <c r="BV310" s="108"/>
      <c r="BW310" s="108"/>
      <c r="BX310" s="108"/>
      <c r="BY310" s="108"/>
      <c r="BZ310" s="108" t="e">
        <f>VLOOKUP(C310,[1]Sertifikasi!$B$4:$I$19,8,0)</f>
        <v>#N/A</v>
      </c>
    </row>
    <row r="311" spans="1:78" ht="11.25" customHeight="1">
      <c r="A311" s="108"/>
      <c r="B311" s="108">
        <v>194</v>
      </c>
      <c r="C311" s="108" t="s">
        <v>2804</v>
      </c>
      <c r="D311" s="109">
        <v>642201169</v>
      </c>
      <c r="E311" s="131">
        <v>1710001953952</v>
      </c>
      <c r="F311" s="131"/>
      <c r="G311" s="108" t="s">
        <v>71</v>
      </c>
      <c r="H311" s="108" t="s">
        <v>71</v>
      </c>
      <c r="I311" s="111">
        <v>44702</v>
      </c>
      <c r="J311" s="108">
        <v>1</v>
      </c>
      <c r="K311" s="108">
        <v>4</v>
      </c>
      <c r="L311" s="108" t="str">
        <f t="shared" si="9"/>
        <v>PKWT</v>
      </c>
      <c r="M311" s="108"/>
      <c r="N311" s="112">
        <v>45432</v>
      </c>
      <c r="O311" s="108"/>
      <c r="P311" s="108" t="s">
        <v>213</v>
      </c>
      <c r="Q311" s="210" t="s">
        <v>4102</v>
      </c>
      <c r="R311" s="108" t="s">
        <v>259</v>
      </c>
      <c r="S311" s="108" t="s">
        <v>262</v>
      </c>
      <c r="T311" s="108" t="s">
        <v>89</v>
      </c>
      <c r="U311" s="108" t="s">
        <v>199</v>
      </c>
      <c r="V311" s="108" t="s">
        <v>180</v>
      </c>
      <c r="W311" s="108"/>
      <c r="X311" s="108"/>
      <c r="Y311" s="108" t="s">
        <v>216</v>
      </c>
      <c r="Z311" s="108" t="s">
        <v>71</v>
      </c>
      <c r="AA311" s="111">
        <v>35975</v>
      </c>
      <c r="AB311" s="113">
        <v>25</v>
      </c>
      <c r="AC311" s="108" t="s">
        <v>2805</v>
      </c>
      <c r="AD311" s="199" t="s">
        <v>2806</v>
      </c>
      <c r="AE311" s="108" t="s">
        <v>2807</v>
      </c>
      <c r="AF311" s="108"/>
      <c r="AG311" s="108" t="s">
        <v>2808</v>
      </c>
      <c r="AH311" s="114" t="s">
        <v>2809</v>
      </c>
      <c r="AI311" s="115">
        <v>22063660769</v>
      </c>
      <c r="AJ311" s="108" t="s">
        <v>255</v>
      </c>
      <c r="AK311" s="108"/>
      <c r="AL311" s="108"/>
      <c r="AM311" s="108"/>
      <c r="AN311" s="108"/>
      <c r="AO311" s="108"/>
      <c r="AP311" s="108"/>
      <c r="AQ311" s="108"/>
      <c r="AR311" s="108"/>
      <c r="AS311" s="108"/>
      <c r="AT311" s="108">
        <v>0</v>
      </c>
      <c r="AU311" s="108" t="s">
        <v>304</v>
      </c>
      <c r="AV311" s="115"/>
      <c r="AW311" s="108" t="s">
        <v>74</v>
      </c>
      <c r="AX311" s="108" t="s">
        <v>16</v>
      </c>
      <c r="AY311" s="108" t="s">
        <v>331</v>
      </c>
      <c r="AZ311" s="108" t="s">
        <v>1237</v>
      </c>
      <c r="BA311" s="108">
        <v>2016</v>
      </c>
      <c r="BB311" s="108" t="s">
        <v>16</v>
      </c>
      <c r="BC311" s="108" t="s">
        <v>331</v>
      </c>
      <c r="BD311" s="108" t="s">
        <v>1237</v>
      </c>
      <c r="BE311" s="108">
        <v>2016</v>
      </c>
      <c r="BF311" s="116"/>
      <c r="BG311" s="116"/>
      <c r="BH311" s="108"/>
      <c r="BI311" s="108"/>
      <c r="BJ311" s="108">
        <v>43</v>
      </c>
      <c r="BK311" s="111"/>
      <c r="BL311" s="111"/>
      <c r="BM311" s="111">
        <v>44600</v>
      </c>
      <c r="BN311" s="111"/>
      <c r="BO311" s="108"/>
      <c r="BP311" s="108"/>
      <c r="BQ311" s="108"/>
      <c r="BR311" s="108" t="s">
        <v>2810</v>
      </c>
      <c r="BS311" s="108"/>
      <c r="BT311" s="108"/>
      <c r="BU311" s="108"/>
      <c r="BV311" s="108"/>
      <c r="BW311" s="108"/>
      <c r="BX311" s="108"/>
      <c r="BY311" s="108"/>
      <c r="BZ311" s="108" t="e">
        <f>VLOOKUP(C311,[1]Sertifikasi!$B$4:$I$19,8,0)</f>
        <v>#N/A</v>
      </c>
    </row>
    <row r="312" spans="1:78" ht="11.25" customHeight="1">
      <c r="A312" s="108"/>
      <c r="B312" s="108">
        <v>147</v>
      </c>
      <c r="C312" s="108" t="s">
        <v>4116</v>
      </c>
      <c r="D312" s="109">
        <v>642201165</v>
      </c>
      <c r="E312" s="261">
        <v>1380020870718</v>
      </c>
      <c r="F312" s="131"/>
      <c r="G312" s="108" t="s">
        <v>409</v>
      </c>
      <c r="H312" s="108" t="s">
        <v>409</v>
      </c>
      <c r="I312" s="111">
        <v>44699</v>
      </c>
      <c r="J312" s="108">
        <v>1</v>
      </c>
      <c r="K312" s="108">
        <v>4</v>
      </c>
      <c r="L312" s="108" t="str">
        <f t="shared" si="9"/>
        <v>PKWT</v>
      </c>
      <c r="M312" s="108"/>
      <c r="N312" s="112">
        <v>45429</v>
      </c>
      <c r="O312" s="108"/>
      <c r="P312" s="108" t="s">
        <v>213</v>
      </c>
      <c r="Q312" s="210" t="s">
        <v>4102</v>
      </c>
      <c r="R312" s="108" t="s">
        <v>409</v>
      </c>
      <c r="S312" s="108" t="s">
        <v>33</v>
      </c>
      <c r="T312" s="108" t="s">
        <v>88</v>
      </c>
      <c r="U312" s="108" t="s">
        <v>199</v>
      </c>
      <c r="V312" s="108" t="s">
        <v>180</v>
      </c>
      <c r="W312" s="108"/>
      <c r="X312" s="108"/>
      <c r="Y312" s="108" t="s">
        <v>216</v>
      </c>
      <c r="Z312" s="195" t="s">
        <v>2761</v>
      </c>
      <c r="AA312" s="111">
        <v>37001</v>
      </c>
      <c r="AB312" s="113">
        <v>22</v>
      </c>
      <c r="AC312" s="195" t="s">
        <v>2762</v>
      </c>
      <c r="AD312" s="199" t="s">
        <v>2763</v>
      </c>
      <c r="AE312" s="195" t="s">
        <v>2764</v>
      </c>
      <c r="AF312" s="108"/>
      <c r="AG312" s="195" t="s">
        <v>2765</v>
      </c>
      <c r="AH312" s="203" t="s">
        <v>2766</v>
      </c>
      <c r="AI312" s="204">
        <v>22063660736</v>
      </c>
      <c r="AJ312" s="108" t="s">
        <v>255</v>
      </c>
      <c r="AK312" s="195"/>
      <c r="AL312" s="108"/>
      <c r="AM312" s="108"/>
      <c r="AN312" s="108"/>
      <c r="AO312" s="108"/>
      <c r="AP312" s="108"/>
      <c r="AQ312" s="108"/>
      <c r="AR312" s="108"/>
      <c r="AS312" s="108"/>
      <c r="AT312" s="108">
        <v>0</v>
      </c>
      <c r="AU312" s="108" t="s">
        <v>304</v>
      </c>
      <c r="AV312" s="204"/>
      <c r="AW312" s="108" t="s">
        <v>74</v>
      </c>
      <c r="AX312" s="195" t="s">
        <v>16</v>
      </c>
      <c r="AY312" s="195" t="s">
        <v>331</v>
      </c>
      <c r="AZ312" s="108" t="s">
        <v>2767</v>
      </c>
      <c r="BA312" s="108">
        <v>2020</v>
      </c>
      <c r="BB312" s="108" t="s">
        <v>16</v>
      </c>
      <c r="BC312" s="195" t="s">
        <v>331</v>
      </c>
      <c r="BD312" s="195" t="s">
        <v>2768</v>
      </c>
      <c r="BE312" s="195">
        <v>2020</v>
      </c>
      <c r="BF312" s="116"/>
      <c r="BG312" s="116"/>
      <c r="BH312" s="108"/>
      <c r="BI312" s="108"/>
      <c r="BJ312" s="108">
        <v>40</v>
      </c>
      <c r="BK312" s="111"/>
      <c r="BL312" s="111"/>
      <c r="BM312" s="111"/>
      <c r="BN312" s="111"/>
      <c r="BO312" s="108"/>
      <c r="BP312" s="108"/>
      <c r="BQ312" s="108"/>
      <c r="BR312" s="108" t="s">
        <v>2769</v>
      </c>
      <c r="BS312" s="108"/>
      <c r="BT312" s="108"/>
      <c r="BU312" s="108"/>
      <c r="BV312" s="108"/>
      <c r="BW312" s="108"/>
      <c r="BX312" s="108"/>
      <c r="BY312" s="108"/>
      <c r="BZ312" s="108" t="e">
        <f>VLOOKUP(C312,[1]Sertifikasi!$B$4:$I$19,8,0)</f>
        <v>#N/A</v>
      </c>
    </row>
    <row r="313" spans="1:78" ht="11.25" customHeight="1">
      <c r="A313" s="108"/>
      <c r="B313" s="108">
        <v>27</v>
      </c>
      <c r="C313" s="108" t="s">
        <v>2252</v>
      </c>
      <c r="D313" s="109">
        <v>991900020</v>
      </c>
      <c r="E313" s="131">
        <v>1710004774199</v>
      </c>
      <c r="F313" s="131">
        <v>7173607851</v>
      </c>
      <c r="G313" s="113" t="s">
        <v>33</v>
      </c>
      <c r="H313" s="108" t="s">
        <v>71</v>
      </c>
      <c r="I313" s="111">
        <v>43987</v>
      </c>
      <c r="J313" s="108">
        <f ca="1">DATEDIF(I313,$C$3,"y")</f>
        <v>3</v>
      </c>
      <c r="K313" s="108">
        <f ca="1">DATEDIF(I313,$C$3,"ym")</f>
        <v>5</v>
      </c>
      <c r="L313" s="108" t="str">
        <f t="shared" si="9"/>
        <v>Organik</v>
      </c>
      <c r="M313" s="108" t="s">
        <v>1401</v>
      </c>
      <c r="N313" s="112">
        <v>43556</v>
      </c>
      <c r="O313" s="108" t="s">
        <v>261</v>
      </c>
      <c r="P313" s="108" t="s">
        <v>261</v>
      </c>
      <c r="Q313" s="210" t="s">
        <v>4100</v>
      </c>
      <c r="R313" s="108" t="s">
        <v>4099</v>
      </c>
      <c r="S313" s="108" t="s">
        <v>674</v>
      </c>
      <c r="T313" s="108" t="s">
        <v>674</v>
      </c>
      <c r="U313" s="108" t="s">
        <v>674</v>
      </c>
      <c r="V313" s="108" t="s">
        <v>247</v>
      </c>
      <c r="W313" s="108"/>
      <c r="X313" s="108"/>
      <c r="Y313" s="108" t="s">
        <v>60</v>
      </c>
      <c r="Z313" s="108" t="s">
        <v>2253</v>
      </c>
      <c r="AA313" s="111">
        <v>33971</v>
      </c>
      <c r="AB313" s="113">
        <f ca="1">DATEDIF(AA313,$C$3,"y")</f>
        <v>30</v>
      </c>
      <c r="AC313" s="108" t="s">
        <v>2254</v>
      </c>
      <c r="AD313" s="129" t="s">
        <v>2255</v>
      </c>
      <c r="AE313" s="108" t="s">
        <v>2256</v>
      </c>
      <c r="AF313" s="108"/>
      <c r="AG313" s="108" t="s">
        <v>2257</v>
      </c>
      <c r="AH313" s="114" t="s">
        <v>2258</v>
      </c>
      <c r="AI313" s="115" t="s">
        <v>2259</v>
      </c>
      <c r="AJ313" s="108" t="s">
        <v>255</v>
      </c>
      <c r="AK313" s="108"/>
      <c r="AL313" s="108"/>
      <c r="AM313" s="108"/>
      <c r="AN313" s="108"/>
      <c r="AO313" s="108"/>
      <c r="AP313" s="108"/>
      <c r="AQ313" s="108"/>
      <c r="AR313" s="108"/>
      <c r="AS313" s="108"/>
      <c r="AT313" s="108">
        <f>COUNTA(AL313:AO313)</f>
        <v>0</v>
      </c>
      <c r="AU313" s="108" t="str">
        <f>IF(AJ313="Menikah","K","TK")&amp;"/"&amp;AT313</f>
        <v>TK/0</v>
      </c>
      <c r="AV313" s="131" t="s">
        <v>2260</v>
      </c>
      <c r="AW313" s="113" t="s">
        <v>74</v>
      </c>
      <c r="AX313" s="108" t="s">
        <v>12</v>
      </c>
      <c r="AY313" s="108" t="s">
        <v>1017</v>
      </c>
      <c r="AZ313" s="108" t="s">
        <v>193</v>
      </c>
      <c r="BA313" s="108"/>
      <c r="BB313" s="108" t="s">
        <v>12</v>
      </c>
      <c r="BC313" s="108" t="s">
        <v>1017</v>
      </c>
      <c r="BD313" s="108" t="s">
        <v>193</v>
      </c>
      <c r="BE313" s="108"/>
      <c r="BF313" s="116">
        <v>54089</v>
      </c>
      <c r="BG313" s="116">
        <v>54455</v>
      </c>
      <c r="BH313" s="108"/>
      <c r="BI313" s="108"/>
      <c r="BJ313" s="194"/>
      <c r="BK313" s="111">
        <v>44294</v>
      </c>
      <c r="BL313" s="111">
        <v>44322</v>
      </c>
      <c r="BM313" s="111">
        <v>44585</v>
      </c>
      <c r="BN313" s="111"/>
      <c r="BO313" s="108"/>
      <c r="BP313" s="108"/>
      <c r="BQ313" s="108"/>
      <c r="BR313" s="108"/>
      <c r="BS313" s="108"/>
      <c r="BT313" s="108"/>
      <c r="BU313" s="108"/>
      <c r="BV313" s="108"/>
      <c r="BW313" s="108"/>
      <c r="BX313" s="108"/>
      <c r="BY313" s="108"/>
      <c r="BZ313" s="108" t="e">
        <f>VLOOKUP(C313,[1]Sertifikasi!$B$4:$I$19,8,0)</f>
        <v>#N/A</v>
      </c>
    </row>
    <row r="314" spans="1:78" ht="11.25" customHeight="1">
      <c r="A314" s="108"/>
      <c r="B314" s="108">
        <v>54</v>
      </c>
      <c r="C314" s="108" t="s">
        <v>1725</v>
      </c>
      <c r="D314" s="109">
        <v>972000050</v>
      </c>
      <c r="E314" s="131">
        <v>1710005074813</v>
      </c>
      <c r="F314" s="131"/>
      <c r="G314" s="113" t="s">
        <v>71</v>
      </c>
      <c r="H314" s="108" t="s">
        <v>71</v>
      </c>
      <c r="I314" s="111">
        <v>43468</v>
      </c>
      <c r="J314" s="108">
        <f ca="1">DATEDIF(I314,$C$3,"y")</f>
        <v>4</v>
      </c>
      <c r="K314" s="108">
        <f ca="1">DATEDIF(I314,$C$3,"ym")</f>
        <v>10</v>
      </c>
      <c r="L314" s="108" t="str">
        <f t="shared" si="9"/>
        <v>Tetap</v>
      </c>
      <c r="M314" s="108" t="s">
        <v>587</v>
      </c>
      <c r="N314" s="112">
        <v>43899</v>
      </c>
      <c r="O314" s="111"/>
      <c r="P314" s="108" t="s">
        <v>6</v>
      </c>
      <c r="Q314" s="210" t="s">
        <v>4100</v>
      </c>
      <c r="R314" s="108" t="s">
        <v>4099</v>
      </c>
      <c r="S314" s="108" t="s">
        <v>784</v>
      </c>
      <c r="T314" s="108" t="s">
        <v>784</v>
      </c>
      <c r="U314" s="108" t="s">
        <v>785</v>
      </c>
      <c r="V314" s="108" t="s">
        <v>247</v>
      </c>
      <c r="W314" s="108"/>
      <c r="X314" s="108"/>
      <c r="Y314" s="108" t="s">
        <v>60</v>
      </c>
      <c r="Z314" s="108" t="s">
        <v>71</v>
      </c>
      <c r="AA314" s="111">
        <v>35312</v>
      </c>
      <c r="AB314" s="113">
        <f ca="1">DATEDIF(AA314,$C$3,"y")</f>
        <v>27</v>
      </c>
      <c r="AC314" s="108" t="s">
        <v>1726</v>
      </c>
      <c r="AD314" s="129" t="s">
        <v>1727</v>
      </c>
      <c r="AE314" s="108" t="s">
        <v>1728</v>
      </c>
      <c r="AF314" s="108"/>
      <c r="AG314" s="130" t="s">
        <v>1729</v>
      </c>
      <c r="AH314" s="136" t="s">
        <v>1730</v>
      </c>
      <c r="AI314" s="115" t="s">
        <v>1731</v>
      </c>
      <c r="AJ314" s="108" t="s">
        <v>189</v>
      </c>
      <c r="AK314" s="108"/>
      <c r="AL314" s="108"/>
      <c r="AM314" s="108"/>
      <c r="AN314" s="108"/>
      <c r="AO314" s="108"/>
      <c r="AP314" s="108"/>
      <c r="AQ314" s="108"/>
      <c r="AR314" s="108"/>
      <c r="AS314" s="108"/>
      <c r="AT314" s="108">
        <f>COUNTA(AL314:AO314)</f>
        <v>0</v>
      </c>
      <c r="AU314" s="108" t="str">
        <f>IF(AJ314="Menikah","K","TK")&amp;"/"&amp;AT314</f>
        <v>K/0</v>
      </c>
      <c r="AV314" s="131"/>
      <c r="AW314" s="113" t="s">
        <v>74</v>
      </c>
      <c r="AX314" s="108" t="s">
        <v>12</v>
      </c>
      <c r="AY314" s="108" t="s">
        <v>1732</v>
      </c>
      <c r="AZ314" s="108" t="s">
        <v>1029</v>
      </c>
      <c r="BA314" s="108">
        <v>2014</v>
      </c>
      <c r="BB314" s="108" t="s">
        <v>12</v>
      </c>
      <c r="BC314" s="108" t="s">
        <v>1732</v>
      </c>
      <c r="BD314" s="108" t="s">
        <v>1029</v>
      </c>
      <c r="BE314" s="108">
        <v>2014</v>
      </c>
      <c r="BF314" s="116">
        <v>55587</v>
      </c>
      <c r="BG314" s="116">
        <v>55952</v>
      </c>
      <c r="BH314" s="132"/>
      <c r="BI314" s="108"/>
      <c r="BJ314" s="194"/>
      <c r="BK314" s="111">
        <v>44294</v>
      </c>
      <c r="BL314" s="111">
        <v>44322</v>
      </c>
      <c r="BM314" s="111">
        <v>44601</v>
      </c>
      <c r="BN314" s="111"/>
      <c r="BO314" s="108"/>
      <c r="BP314" s="108"/>
      <c r="BQ314" s="108"/>
      <c r="BR314" s="108"/>
      <c r="BS314" s="108"/>
      <c r="BT314" s="108"/>
      <c r="BU314" s="108"/>
      <c r="BV314" s="108"/>
      <c r="BW314" s="108"/>
      <c r="BX314" s="108"/>
      <c r="BY314" s="108"/>
      <c r="BZ314" s="108" t="e">
        <f>VLOOKUP(C314,[1]Sertifikasi!$B$4:$I$19,8,0)</f>
        <v>#N/A</v>
      </c>
    </row>
    <row r="315" spans="1:78" ht="11.25" customHeight="1">
      <c r="A315" s="108"/>
      <c r="B315" s="108">
        <v>298</v>
      </c>
      <c r="C315" s="108" t="s">
        <v>4117</v>
      </c>
      <c r="D315" s="109">
        <v>642201160</v>
      </c>
      <c r="E315" s="131"/>
      <c r="F315" s="131">
        <v>1038639583</v>
      </c>
      <c r="G315" s="108" t="s">
        <v>575</v>
      </c>
      <c r="H315" s="108" t="s">
        <v>575</v>
      </c>
      <c r="I315" s="111">
        <v>44698</v>
      </c>
      <c r="J315" s="108">
        <v>1</v>
      </c>
      <c r="K315" s="108">
        <v>4</v>
      </c>
      <c r="L315" s="108" t="str">
        <f t="shared" si="9"/>
        <v>PKWT</v>
      </c>
      <c r="M315" s="108"/>
      <c r="N315" s="112">
        <v>45428</v>
      </c>
      <c r="O315" s="108"/>
      <c r="P315" s="108" t="s">
        <v>213</v>
      </c>
      <c r="Q315" s="210" t="s">
        <v>4102</v>
      </c>
      <c r="R315" s="108" t="s">
        <v>575</v>
      </c>
      <c r="S315" s="108" t="s">
        <v>262</v>
      </c>
      <c r="T315" s="108" t="s">
        <v>92</v>
      </c>
      <c r="U315" s="108" t="s">
        <v>276</v>
      </c>
      <c r="V315" s="108" t="s">
        <v>180</v>
      </c>
      <c r="W315" s="108"/>
      <c r="X315" s="108"/>
      <c r="Y315" s="108" t="s">
        <v>216</v>
      </c>
      <c r="Z315" s="108" t="s">
        <v>575</v>
      </c>
      <c r="AA315" s="111">
        <v>35550</v>
      </c>
      <c r="AB315" s="113">
        <v>26</v>
      </c>
      <c r="AC315" s="108" t="s">
        <v>2720</v>
      </c>
      <c r="AD315" s="129" t="s">
        <v>2721</v>
      </c>
      <c r="AE315" s="108" t="s">
        <v>2722</v>
      </c>
      <c r="AF315" s="108"/>
      <c r="AG315" s="108" t="s">
        <v>2723</v>
      </c>
      <c r="AH315" s="114" t="s">
        <v>2724</v>
      </c>
      <c r="AI315" s="115">
        <v>22063660694</v>
      </c>
      <c r="AJ315" s="108" t="s">
        <v>255</v>
      </c>
      <c r="AK315" s="108"/>
      <c r="AL315" s="108"/>
      <c r="AM315" s="108"/>
      <c r="AN315" s="108"/>
      <c r="AO315" s="108"/>
      <c r="AP315" s="108"/>
      <c r="AQ315" s="108"/>
      <c r="AR315" s="108"/>
      <c r="AS315" s="108"/>
      <c r="AT315" s="108">
        <v>0</v>
      </c>
      <c r="AU315" s="108" t="s">
        <v>304</v>
      </c>
      <c r="AV315" s="115"/>
      <c r="AW315" s="108" t="s">
        <v>74</v>
      </c>
      <c r="AX315" s="108" t="s">
        <v>16</v>
      </c>
      <c r="AY315" s="108" t="s">
        <v>2523</v>
      </c>
      <c r="AZ315" s="108" t="s">
        <v>2725</v>
      </c>
      <c r="BA315" s="108">
        <v>2017</v>
      </c>
      <c r="BB315" s="108" t="s">
        <v>16</v>
      </c>
      <c r="BC315" s="108" t="s">
        <v>2523</v>
      </c>
      <c r="BD315" s="108" t="s">
        <v>2725</v>
      </c>
      <c r="BE315" s="108">
        <v>2017</v>
      </c>
      <c r="BF315" s="116"/>
      <c r="BG315" s="116"/>
      <c r="BH315" s="108"/>
      <c r="BI315" s="108"/>
      <c r="BJ315" s="108">
        <v>40</v>
      </c>
      <c r="BK315" s="111"/>
      <c r="BL315" s="111"/>
      <c r="BM315" s="111"/>
      <c r="BN315" s="111"/>
      <c r="BO315" s="108"/>
      <c r="BP315" s="108"/>
      <c r="BQ315" s="108"/>
      <c r="BR315" s="108" t="s">
        <v>2726</v>
      </c>
      <c r="BS315" s="108"/>
      <c r="BT315" s="108"/>
      <c r="BU315" s="108"/>
      <c r="BV315" s="108"/>
      <c r="BW315" s="108"/>
      <c r="BX315" s="108"/>
      <c r="BY315" s="108"/>
      <c r="BZ315" s="108" t="e">
        <f>VLOOKUP(C315,[1]Sertifikasi!$B$4:$I$19,8,0)</f>
        <v>#N/A</v>
      </c>
    </row>
    <row r="316" spans="1:78" ht="11.25" customHeight="1">
      <c r="A316" s="108"/>
      <c r="B316" s="108">
        <v>195</v>
      </c>
      <c r="C316" s="108" t="s">
        <v>2676</v>
      </c>
      <c r="D316" s="109">
        <v>642201154</v>
      </c>
      <c r="E316" s="131">
        <v>1710001957565</v>
      </c>
      <c r="F316" s="131"/>
      <c r="G316" s="108" t="s">
        <v>71</v>
      </c>
      <c r="H316" s="108" t="s">
        <v>71</v>
      </c>
      <c r="I316" s="111">
        <v>44579</v>
      </c>
      <c r="J316" s="108">
        <v>1</v>
      </c>
      <c r="K316" s="108">
        <v>8</v>
      </c>
      <c r="L316" s="108" t="str">
        <f t="shared" ref="L316:L329" si="10">IF(LEFT(D316,2)="99","Organik",IF(LEFT(D316,2)="97","Tetap",IF(LEFT(D316,2)="75","Capeg",IF(LEFT(D316,2)="64","PKWT","Resign"))))</f>
        <v>PKWT</v>
      </c>
      <c r="M316" s="108"/>
      <c r="N316" s="112">
        <v>45291</v>
      </c>
      <c r="O316" s="108"/>
      <c r="P316" s="108" t="s">
        <v>213</v>
      </c>
      <c r="Q316" s="210" t="s">
        <v>4102</v>
      </c>
      <c r="R316" s="108" t="s">
        <v>259</v>
      </c>
      <c r="S316" s="108" t="s">
        <v>262</v>
      </c>
      <c r="T316" s="108" t="s">
        <v>89</v>
      </c>
      <c r="U316" s="108" t="s">
        <v>199</v>
      </c>
      <c r="V316" s="108" t="s">
        <v>180</v>
      </c>
      <c r="W316" s="108"/>
      <c r="X316" s="108"/>
      <c r="Y316" s="108" t="s">
        <v>216</v>
      </c>
      <c r="Z316" s="108" t="s">
        <v>182</v>
      </c>
      <c r="AA316" s="111">
        <v>35988</v>
      </c>
      <c r="AB316" s="113">
        <v>25</v>
      </c>
      <c r="AC316" s="108" t="s">
        <v>2677</v>
      </c>
      <c r="AD316" s="129" t="s">
        <v>2678</v>
      </c>
      <c r="AE316" s="108" t="s">
        <v>2679</v>
      </c>
      <c r="AF316" s="108"/>
      <c r="AG316" s="108" t="s">
        <v>2680</v>
      </c>
      <c r="AH316" s="114" t="s">
        <v>2681</v>
      </c>
      <c r="AI316" s="115">
        <v>22017333760</v>
      </c>
      <c r="AJ316" s="108" t="s">
        <v>255</v>
      </c>
      <c r="AK316" s="108"/>
      <c r="AL316" s="108"/>
      <c r="AM316" s="108"/>
      <c r="AN316" s="108"/>
      <c r="AO316" s="108"/>
      <c r="AP316" s="108"/>
      <c r="AQ316" s="108"/>
      <c r="AR316" s="108"/>
      <c r="AS316" s="108"/>
      <c r="AT316" s="108">
        <v>0</v>
      </c>
      <c r="AU316" s="108" t="s">
        <v>304</v>
      </c>
      <c r="AV316" s="115"/>
      <c r="AW316" s="108" t="s">
        <v>74</v>
      </c>
      <c r="AX316" s="108" t="s">
        <v>16</v>
      </c>
      <c r="AY316" s="108" t="s">
        <v>1988</v>
      </c>
      <c r="AZ316" s="108" t="s">
        <v>1250</v>
      </c>
      <c r="BA316" s="108">
        <v>2016</v>
      </c>
      <c r="BB316" s="108" t="s">
        <v>16</v>
      </c>
      <c r="BC316" s="108" t="s">
        <v>1988</v>
      </c>
      <c r="BD316" s="108" t="s">
        <v>1250</v>
      </c>
      <c r="BE316" s="108">
        <v>2016</v>
      </c>
      <c r="BF316" s="116"/>
      <c r="BG316" s="116"/>
      <c r="BH316" s="108"/>
      <c r="BI316" s="108"/>
      <c r="BJ316" s="108">
        <v>41</v>
      </c>
      <c r="BK316" s="111"/>
      <c r="BL316" s="111"/>
      <c r="BM316" s="111">
        <v>44648</v>
      </c>
      <c r="BN316" s="111"/>
      <c r="BO316" s="108"/>
      <c r="BP316" s="108"/>
      <c r="BQ316" s="108"/>
      <c r="BR316" s="108" t="s">
        <v>2682</v>
      </c>
      <c r="BS316" s="108"/>
      <c r="BT316" s="108"/>
      <c r="BU316" s="108"/>
      <c r="BV316" s="108"/>
      <c r="BW316" s="108"/>
      <c r="BX316" s="108"/>
      <c r="BY316" s="108"/>
      <c r="BZ316" s="108" t="e">
        <f>VLOOKUP(C316,[1]Sertifikasi!$B$4:$I$19,8,0)</f>
        <v>#N/A</v>
      </c>
    </row>
    <row r="317" spans="1:78" ht="11.25" customHeight="1">
      <c r="A317" s="108"/>
      <c r="B317" s="108">
        <v>31</v>
      </c>
      <c r="C317" s="108" t="s">
        <v>1049</v>
      </c>
      <c r="D317" s="109">
        <v>642001034</v>
      </c>
      <c r="E317" s="131">
        <v>1710004040872</v>
      </c>
      <c r="F317" s="131"/>
      <c r="G317" s="113" t="s">
        <v>71</v>
      </c>
      <c r="H317" s="108" t="s">
        <v>71</v>
      </c>
      <c r="I317" s="111">
        <v>42919</v>
      </c>
      <c r="J317" s="108">
        <f ca="1">DATEDIF(I317,$C$3,"y")</f>
        <v>6</v>
      </c>
      <c r="K317" s="108">
        <f ca="1">DATEDIF(I317,$C$3,"ym")</f>
        <v>4</v>
      </c>
      <c r="L317" s="108" t="str">
        <f t="shared" si="10"/>
        <v>PKWT</v>
      </c>
      <c r="M317" s="108" t="s">
        <v>1050</v>
      </c>
      <c r="N317" s="112">
        <v>45291</v>
      </c>
      <c r="O317" s="111"/>
      <c r="P317" s="108" t="s">
        <v>261</v>
      </c>
      <c r="Q317" s="210" t="s">
        <v>4100</v>
      </c>
      <c r="R317" s="108" t="s">
        <v>4099</v>
      </c>
      <c r="S317" s="108" t="s">
        <v>854</v>
      </c>
      <c r="T317" s="108" t="s">
        <v>854</v>
      </c>
      <c r="U317" s="108" t="s">
        <v>199</v>
      </c>
      <c r="V317" s="108" t="s">
        <v>180</v>
      </c>
      <c r="W317" s="108"/>
      <c r="X317" s="108"/>
      <c r="Y317" s="108" t="s">
        <v>59</v>
      </c>
      <c r="Z317" s="108" t="s">
        <v>1051</v>
      </c>
      <c r="AA317" s="111">
        <v>34574</v>
      </c>
      <c r="AB317" s="113">
        <f ca="1">DATEDIF(AA317,$C$3,"y")</f>
        <v>29</v>
      </c>
      <c r="AC317" s="108" t="s">
        <v>1052</v>
      </c>
      <c r="AD317" s="129" t="s">
        <v>1053</v>
      </c>
      <c r="AE317" s="108" t="s">
        <v>1054</v>
      </c>
      <c r="AF317" s="108"/>
      <c r="AG317" s="108" t="s">
        <v>1055</v>
      </c>
      <c r="AH317" s="114" t="s">
        <v>1056</v>
      </c>
      <c r="AI317" s="131">
        <v>17043907868</v>
      </c>
      <c r="AJ317" s="108" t="s">
        <v>189</v>
      </c>
      <c r="AK317" s="108" t="s">
        <v>1057</v>
      </c>
      <c r="AL317" s="108"/>
      <c r="AM317" s="108"/>
      <c r="AN317" s="108"/>
      <c r="AO317" s="108"/>
      <c r="AP317" s="108"/>
      <c r="AQ317" s="108"/>
      <c r="AR317" s="108"/>
      <c r="AS317" s="108"/>
      <c r="AT317" s="108">
        <f>COUNTA(AL317:AO317)</f>
        <v>0</v>
      </c>
      <c r="AU317" s="108" t="str">
        <f>IF(AJ317="Menikah","K","TK")&amp;"/"&amp;AT317</f>
        <v>K/0</v>
      </c>
      <c r="AV317" s="131"/>
      <c r="AW317" s="113" t="s">
        <v>74</v>
      </c>
      <c r="AX317" s="108" t="s">
        <v>13</v>
      </c>
      <c r="AY317" s="108" t="s">
        <v>210</v>
      </c>
      <c r="AZ317" s="108" t="s">
        <v>211</v>
      </c>
      <c r="BA317" s="108">
        <v>2016</v>
      </c>
      <c r="BB317" s="108" t="s">
        <v>13</v>
      </c>
      <c r="BC317" s="108" t="s">
        <v>210</v>
      </c>
      <c r="BD317" s="108" t="s">
        <v>211</v>
      </c>
      <c r="BE317" s="108">
        <v>2016</v>
      </c>
      <c r="BF317" s="116"/>
      <c r="BG317" s="116"/>
      <c r="BH317" s="108" t="s">
        <v>345</v>
      </c>
      <c r="BI317" s="108">
        <v>38</v>
      </c>
      <c r="BJ317" s="108">
        <v>42</v>
      </c>
      <c r="BK317" s="111">
        <v>44294</v>
      </c>
      <c r="BL317" s="111">
        <v>44322</v>
      </c>
      <c r="BM317" s="111">
        <v>44601</v>
      </c>
      <c r="BN317" s="111"/>
      <c r="BO317" s="108"/>
      <c r="BP317" s="108"/>
      <c r="BQ317" s="108"/>
      <c r="BR317" s="108"/>
      <c r="BS317" s="108"/>
      <c r="BT317" s="108"/>
      <c r="BU317" s="108"/>
      <c r="BV317" s="108"/>
      <c r="BW317" s="108"/>
      <c r="BX317" s="108"/>
      <c r="BY317" s="108"/>
      <c r="BZ317" s="108" t="e">
        <f>VLOOKUP(C317,[1]Sertifikasi!$B$4:$I$19,8,0)</f>
        <v>#N/A</v>
      </c>
    </row>
    <row r="318" spans="1:78" ht="11.25" customHeight="1">
      <c r="A318" s="108"/>
      <c r="B318" s="108">
        <v>204</v>
      </c>
      <c r="C318" s="108" t="s">
        <v>4118</v>
      </c>
      <c r="D318" s="109">
        <v>642201172</v>
      </c>
      <c r="E318" s="131">
        <v>1710011477919</v>
      </c>
      <c r="F318" s="131"/>
      <c r="G318" s="108" t="s">
        <v>71</v>
      </c>
      <c r="H318" s="108" t="s">
        <v>71</v>
      </c>
      <c r="I318" s="111">
        <v>44702</v>
      </c>
      <c r="J318" s="108">
        <v>1</v>
      </c>
      <c r="K318" s="108">
        <v>4</v>
      </c>
      <c r="L318" s="108" t="str">
        <f t="shared" si="10"/>
        <v>PKWT</v>
      </c>
      <c r="M318" s="108"/>
      <c r="N318" s="112">
        <v>45433</v>
      </c>
      <c r="O318" s="108"/>
      <c r="P318" s="108" t="s">
        <v>213</v>
      </c>
      <c r="Q318" s="210" t="s">
        <v>4102</v>
      </c>
      <c r="R318" s="108" t="s">
        <v>259</v>
      </c>
      <c r="S318" s="108" t="s">
        <v>262</v>
      </c>
      <c r="T318" s="108" t="s">
        <v>432</v>
      </c>
      <c r="U318" s="108" t="s">
        <v>199</v>
      </c>
      <c r="V318" s="108" t="s">
        <v>180</v>
      </c>
      <c r="W318" s="108"/>
      <c r="X318" s="108"/>
      <c r="Y318" s="108" t="s">
        <v>216</v>
      </c>
      <c r="Z318" s="108" t="s">
        <v>71</v>
      </c>
      <c r="AA318" s="111">
        <v>36602</v>
      </c>
      <c r="AB318" s="113">
        <v>23</v>
      </c>
      <c r="AC318" s="108" t="s">
        <v>2811</v>
      </c>
      <c r="AD318" s="129" t="s">
        <v>2812</v>
      </c>
      <c r="AE318" s="108" t="s">
        <v>2813</v>
      </c>
      <c r="AF318" s="108"/>
      <c r="AG318" s="108" t="s">
        <v>2814</v>
      </c>
      <c r="AH318" s="114" t="s">
        <v>2815</v>
      </c>
      <c r="AI318" s="115">
        <v>22063660793</v>
      </c>
      <c r="AJ318" s="108" t="s">
        <v>255</v>
      </c>
      <c r="AK318" s="108"/>
      <c r="AL318" s="108"/>
      <c r="AM318" s="108"/>
      <c r="AN318" s="108"/>
      <c r="AO318" s="108"/>
      <c r="AP318" s="108"/>
      <c r="AQ318" s="108"/>
      <c r="AR318" s="108"/>
      <c r="AS318" s="108"/>
      <c r="AT318" s="108">
        <v>0</v>
      </c>
      <c r="AU318" s="108" t="s">
        <v>304</v>
      </c>
      <c r="AV318" s="115"/>
      <c r="AW318" s="108" t="s">
        <v>74</v>
      </c>
      <c r="AX318" s="108" t="s">
        <v>13</v>
      </c>
      <c r="AY318" s="108" t="s">
        <v>331</v>
      </c>
      <c r="AZ318" s="108" t="s">
        <v>482</v>
      </c>
      <c r="BA318" s="108">
        <v>2021</v>
      </c>
      <c r="BB318" s="108" t="s">
        <v>13</v>
      </c>
      <c r="BC318" s="108" t="s">
        <v>331</v>
      </c>
      <c r="BD318" s="108" t="s">
        <v>482</v>
      </c>
      <c r="BE318" s="108">
        <v>2021</v>
      </c>
      <c r="BF318" s="116"/>
      <c r="BG318" s="116"/>
      <c r="BH318" s="108"/>
      <c r="BI318" s="108"/>
      <c r="BJ318" s="108">
        <v>41</v>
      </c>
      <c r="BK318" s="111"/>
      <c r="BL318" s="111"/>
      <c r="BM318" s="111"/>
      <c r="BN318" s="111"/>
      <c r="BO318" s="108"/>
      <c r="BP318" s="108"/>
      <c r="BQ318" s="108"/>
      <c r="BR318" s="108" t="s">
        <v>2816</v>
      </c>
      <c r="BS318" s="108"/>
      <c r="BT318" s="108"/>
      <c r="BU318" s="108"/>
      <c r="BV318" s="108"/>
      <c r="BW318" s="108"/>
      <c r="BX318" s="108"/>
      <c r="BY318" s="108"/>
      <c r="BZ318" s="108" t="e">
        <f>VLOOKUP(C318,[1]Sertifikasi!$B$4:$I$19,8,0)</f>
        <v>#N/A</v>
      </c>
    </row>
    <row r="319" spans="1:78" ht="11.25" customHeight="1">
      <c r="A319" s="108"/>
      <c r="B319" s="108">
        <v>49</v>
      </c>
      <c r="C319" s="108" t="s">
        <v>2918</v>
      </c>
      <c r="D319" s="109">
        <v>642301187</v>
      </c>
      <c r="E319" s="131">
        <v>1710012923291</v>
      </c>
      <c r="F319" s="131"/>
      <c r="G319" s="108" t="s">
        <v>71</v>
      </c>
      <c r="H319" s="108" t="s">
        <v>71</v>
      </c>
      <c r="I319" s="111">
        <v>44931</v>
      </c>
      <c r="J319" s="108">
        <v>0</v>
      </c>
      <c r="K319" s="108">
        <v>9</v>
      </c>
      <c r="L319" s="108" t="str">
        <f t="shared" si="10"/>
        <v>PKWT</v>
      </c>
      <c r="M319" s="108"/>
      <c r="N319" s="112">
        <v>45291</v>
      </c>
      <c r="O319" s="108"/>
      <c r="P319" s="108" t="s">
        <v>213</v>
      </c>
      <c r="Q319" s="210" t="s">
        <v>4100</v>
      </c>
      <c r="R319" s="108" t="s">
        <v>4099</v>
      </c>
      <c r="S319" s="108" t="s">
        <v>899</v>
      </c>
      <c r="T319" s="108" t="s">
        <v>900</v>
      </c>
      <c r="U319" s="108" t="s">
        <v>362</v>
      </c>
      <c r="V319" s="108" t="s">
        <v>180</v>
      </c>
      <c r="W319" s="108" t="s">
        <v>277</v>
      </c>
      <c r="X319" s="108"/>
      <c r="Y319" s="108" t="s">
        <v>216</v>
      </c>
      <c r="Z319" s="108" t="s">
        <v>182</v>
      </c>
      <c r="AA319" s="111">
        <v>36395</v>
      </c>
      <c r="AB319" s="113">
        <v>24</v>
      </c>
      <c r="AC319" s="108" t="s">
        <v>2919</v>
      </c>
      <c r="AD319" s="129" t="s">
        <v>2920</v>
      </c>
      <c r="AE319" s="108" t="s">
        <v>2921</v>
      </c>
      <c r="AF319" s="108"/>
      <c r="AG319" s="108" t="s">
        <v>2922</v>
      </c>
      <c r="AH319" s="114" t="s">
        <v>2923</v>
      </c>
      <c r="AI319" s="115">
        <v>23009096712</v>
      </c>
      <c r="AJ319" s="108" t="s">
        <v>255</v>
      </c>
      <c r="AK319" s="108"/>
      <c r="AL319" s="108"/>
      <c r="AM319" s="108"/>
      <c r="AN319" s="108"/>
      <c r="AO319" s="108"/>
      <c r="AP319" s="108"/>
      <c r="AQ319" s="108"/>
      <c r="AR319" s="108"/>
      <c r="AS319" s="108"/>
      <c r="AT319" s="108">
        <v>0</v>
      </c>
      <c r="AU319" s="108" t="s">
        <v>304</v>
      </c>
      <c r="AV319" s="115"/>
      <c r="AW319" s="108" t="s">
        <v>74</v>
      </c>
      <c r="AX319" s="108" t="s">
        <v>13</v>
      </c>
      <c r="AY319" s="108" t="s">
        <v>2789</v>
      </c>
      <c r="AZ319" s="108" t="s">
        <v>2472</v>
      </c>
      <c r="BA319" s="108">
        <v>2020</v>
      </c>
      <c r="BB319" s="108" t="s">
        <v>13</v>
      </c>
      <c r="BC319" s="108" t="s">
        <v>2789</v>
      </c>
      <c r="BD319" s="108" t="s">
        <v>2472</v>
      </c>
      <c r="BE319" s="108">
        <v>2020</v>
      </c>
      <c r="BF319" s="116"/>
      <c r="BG319" s="116"/>
      <c r="BH319" s="108"/>
      <c r="BI319" s="108"/>
      <c r="BJ319" s="108">
        <v>43</v>
      </c>
      <c r="BK319" s="111"/>
      <c r="BL319" s="111"/>
      <c r="BM319" s="111">
        <v>44714</v>
      </c>
      <c r="BN319" s="111"/>
      <c r="BO319" s="108"/>
      <c r="BP319" s="108"/>
      <c r="BQ319" s="108"/>
      <c r="BR319" s="108"/>
      <c r="BS319" s="108"/>
      <c r="BT319" s="108"/>
      <c r="BU319" s="108"/>
      <c r="BV319" s="108"/>
      <c r="BW319" s="108"/>
      <c r="BX319" s="108"/>
      <c r="BY319" s="108"/>
      <c r="BZ319" s="108" t="e">
        <f>VLOOKUP(C319,[1]Sertifikasi!$B$4:$I$19,8,0)</f>
        <v>#N/A</v>
      </c>
    </row>
    <row r="320" spans="1:78" ht="11.25" customHeight="1">
      <c r="A320" s="108"/>
      <c r="B320" s="108">
        <v>261</v>
      </c>
      <c r="C320" s="108" t="s">
        <v>2893</v>
      </c>
      <c r="D320" s="109">
        <v>642301185</v>
      </c>
      <c r="E320" s="131">
        <v>1710012922319</v>
      </c>
      <c r="F320" s="131"/>
      <c r="G320" s="108" t="s">
        <v>71</v>
      </c>
      <c r="H320" s="108" t="s">
        <v>71</v>
      </c>
      <c r="I320" s="111">
        <v>44931</v>
      </c>
      <c r="J320" s="108">
        <v>0</v>
      </c>
      <c r="K320" s="108">
        <v>9</v>
      </c>
      <c r="L320" s="108" t="str">
        <f t="shared" si="10"/>
        <v>PKWT</v>
      </c>
      <c r="M320" s="108"/>
      <c r="N320" s="112">
        <v>45291</v>
      </c>
      <c r="O320" s="108"/>
      <c r="P320" s="108" t="s">
        <v>213</v>
      </c>
      <c r="Q320" s="210" t="s">
        <v>4100</v>
      </c>
      <c r="R320" s="108" t="s">
        <v>259</v>
      </c>
      <c r="S320" s="108" t="s">
        <v>33</v>
      </c>
      <c r="T320" s="108" t="s">
        <v>432</v>
      </c>
      <c r="U320" s="108" t="s">
        <v>199</v>
      </c>
      <c r="V320" s="108" t="s">
        <v>180</v>
      </c>
      <c r="W320" s="108" t="s">
        <v>263</v>
      </c>
      <c r="X320" s="108"/>
      <c r="Y320" s="108" t="s">
        <v>60</v>
      </c>
      <c r="Z320" s="108" t="s">
        <v>71</v>
      </c>
      <c r="AA320" s="111">
        <v>37103</v>
      </c>
      <c r="AB320" s="113">
        <v>22</v>
      </c>
      <c r="AC320" s="108" t="s">
        <v>2894</v>
      </c>
      <c r="AD320" s="129" t="s">
        <v>2895</v>
      </c>
      <c r="AE320" s="108" t="s">
        <v>2896</v>
      </c>
      <c r="AF320" s="108"/>
      <c r="AG320" s="108" t="s">
        <v>2897</v>
      </c>
      <c r="AH320" s="114" t="s">
        <v>2898</v>
      </c>
      <c r="AI320" s="115">
        <v>23009096670</v>
      </c>
      <c r="AJ320" s="108" t="s">
        <v>255</v>
      </c>
      <c r="AK320" s="108"/>
      <c r="AL320" s="108"/>
      <c r="AM320" s="108"/>
      <c r="AN320" s="108"/>
      <c r="AO320" s="108"/>
      <c r="AP320" s="108"/>
      <c r="AQ320" s="108"/>
      <c r="AR320" s="108"/>
      <c r="AS320" s="108"/>
      <c r="AT320" s="108">
        <v>0</v>
      </c>
      <c r="AU320" s="108" t="s">
        <v>304</v>
      </c>
      <c r="AV320" s="115"/>
      <c r="AW320" s="108" t="s">
        <v>74</v>
      </c>
      <c r="AX320" s="108" t="s">
        <v>13</v>
      </c>
      <c r="AY320" s="108" t="s">
        <v>2860</v>
      </c>
      <c r="AZ320" s="108" t="s">
        <v>2472</v>
      </c>
      <c r="BA320" s="108">
        <v>2022</v>
      </c>
      <c r="BB320" s="108" t="s">
        <v>13</v>
      </c>
      <c r="BC320" s="108" t="s">
        <v>2860</v>
      </c>
      <c r="BD320" s="108" t="s">
        <v>2472</v>
      </c>
      <c r="BE320" s="108">
        <v>2022</v>
      </c>
      <c r="BF320" s="116"/>
      <c r="BG320" s="116"/>
      <c r="BH320" s="108"/>
      <c r="BI320" s="108"/>
      <c r="BJ320" s="108">
        <v>38</v>
      </c>
      <c r="BK320" s="111"/>
      <c r="BL320" s="111"/>
      <c r="BM320" s="111"/>
      <c r="BN320" s="111"/>
      <c r="BO320" s="108"/>
      <c r="BP320" s="108"/>
      <c r="BQ320" s="108"/>
      <c r="BR320" s="108"/>
      <c r="BS320" s="108"/>
      <c r="BT320" s="108"/>
      <c r="BU320" s="108"/>
      <c r="BV320" s="108"/>
      <c r="BW320" s="108"/>
      <c r="BX320" s="108"/>
      <c r="BY320" s="108"/>
      <c r="BZ320" s="108" t="str">
        <f>VLOOKUP(C320,[1]Sertifikasi!$B$4:$I$19,8,0)</f>
        <v>Pembinaan Dan Sertifikasi Calon Ahli K3 Umum</v>
      </c>
    </row>
    <row r="321" spans="1:78" ht="11.25" customHeight="1">
      <c r="A321" s="108"/>
      <c r="B321" s="108">
        <v>299</v>
      </c>
      <c r="C321" s="108" t="s">
        <v>2425</v>
      </c>
      <c r="D321" s="109">
        <v>642109113</v>
      </c>
      <c r="E321" s="131">
        <v>1710001953895</v>
      </c>
      <c r="F321" s="131"/>
      <c r="G321" s="108" t="s">
        <v>71</v>
      </c>
      <c r="H321" s="108" t="s">
        <v>71</v>
      </c>
      <c r="I321" s="111">
        <v>44466</v>
      </c>
      <c r="J321" s="108">
        <v>2</v>
      </c>
      <c r="K321" s="108">
        <v>0</v>
      </c>
      <c r="L321" s="108" t="str">
        <f t="shared" si="10"/>
        <v>PKWT</v>
      </c>
      <c r="M321" s="108"/>
      <c r="N321" s="112">
        <v>45561</v>
      </c>
      <c r="O321" s="108"/>
      <c r="P321" s="108" t="s">
        <v>213</v>
      </c>
      <c r="Q321" s="210" t="s">
        <v>4102</v>
      </c>
      <c r="R321" s="108" t="s">
        <v>575</v>
      </c>
      <c r="S321" s="108" t="s">
        <v>262</v>
      </c>
      <c r="T321" s="108" t="s">
        <v>92</v>
      </c>
      <c r="U321" s="108" t="s">
        <v>276</v>
      </c>
      <c r="V321" s="108" t="s">
        <v>180</v>
      </c>
      <c r="W321" s="108"/>
      <c r="X321" s="108"/>
      <c r="Y321" s="108" t="s">
        <v>216</v>
      </c>
      <c r="Z321" s="108" t="s">
        <v>72</v>
      </c>
      <c r="AA321" s="111">
        <v>35904</v>
      </c>
      <c r="AB321" s="113">
        <v>25</v>
      </c>
      <c r="AC321" s="108" t="s">
        <v>2426</v>
      </c>
      <c r="AD321" s="129" t="s">
        <v>2427</v>
      </c>
      <c r="AE321" s="108" t="s">
        <v>2428</v>
      </c>
      <c r="AF321" s="108"/>
      <c r="AG321" s="108" t="s">
        <v>2429</v>
      </c>
      <c r="AH321" s="114" t="s">
        <v>2430</v>
      </c>
      <c r="AI321" s="115">
        <v>21076296108</v>
      </c>
      <c r="AJ321" s="108" t="s">
        <v>255</v>
      </c>
      <c r="AK321" s="108"/>
      <c r="AL321" s="108"/>
      <c r="AM321" s="108"/>
      <c r="AN321" s="108"/>
      <c r="AO321" s="108"/>
      <c r="AP321" s="108"/>
      <c r="AQ321" s="108"/>
      <c r="AR321" s="108"/>
      <c r="AS321" s="108"/>
      <c r="AT321" s="108">
        <v>0</v>
      </c>
      <c r="AU321" s="108" t="s">
        <v>304</v>
      </c>
      <c r="AV321" s="115"/>
      <c r="AW321" s="108" t="s">
        <v>74</v>
      </c>
      <c r="AX321" s="108" t="s">
        <v>16</v>
      </c>
      <c r="AY321" s="108" t="s">
        <v>226</v>
      </c>
      <c r="AZ321" s="108" t="s">
        <v>297</v>
      </c>
      <c r="BA321" s="108">
        <v>2016</v>
      </c>
      <c r="BB321" s="108" t="s">
        <v>16</v>
      </c>
      <c r="BC321" s="108" t="s">
        <v>226</v>
      </c>
      <c r="BD321" s="108" t="s">
        <v>297</v>
      </c>
      <c r="BE321" s="108">
        <v>2016</v>
      </c>
      <c r="BF321" s="116"/>
      <c r="BG321" s="116"/>
      <c r="BH321" s="108"/>
      <c r="BI321" s="108"/>
      <c r="BJ321" s="108">
        <v>39</v>
      </c>
      <c r="BK321" s="111"/>
      <c r="BL321" s="111"/>
      <c r="BM321" s="111"/>
      <c r="BN321" s="111"/>
      <c r="BO321" s="108"/>
      <c r="BP321" s="108"/>
      <c r="BQ321" s="108"/>
      <c r="BR321" s="108" t="s">
        <v>2431</v>
      </c>
      <c r="BS321" s="108"/>
      <c r="BT321" s="108"/>
      <c r="BU321" s="108"/>
      <c r="BV321" s="108"/>
      <c r="BW321" s="108"/>
      <c r="BX321" s="108"/>
      <c r="BY321" s="108"/>
      <c r="BZ321" s="108" t="e">
        <f>VLOOKUP(C321,[1]Sertifikasi!$B$4:$I$19,8,0)</f>
        <v>#N/A</v>
      </c>
    </row>
    <row r="322" spans="1:78" ht="11.25" customHeight="1">
      <c r="A322" s="108"/>
      <c r="B322" s="108">
        <v>50</v>
      </c>
      <c r="C322" s="108" t="s">
        <v>1733</v>
      </c>
      <c r="D322" s="109">
        <v>972000057</v>
      </c>
      <c r="E322" s="131">
        <v>1710005657955</v>
      </c>
      <c r="F322" s="131"/>
      <c r="G322" s="113" t="s">
        <v>71</v>
      </c>
      <c r="H322" s="108" t="s">
        <v>71</v>
      </c>
      <c r="I322" s="111">
        <v>43647</v>
      </c>
      <c r="J322" s="108">
        <f ca="1">DATEDIF(I322,$C$3,"y")</f>
        <v>4</v>
      </c>
      <c r="K322" s="108">
        <f ca="1">DATEDIF(I322,$C$3,"ym")</f>
        <v>4</v>
      </c>
      <c r="L322" s="108" t="str">
        <f t="shared" si="10"/>
        <v>Tetap</v>
      </c>
      <c r="M322" s="108" t="s">
        <v>1734</v>
      </c>
      <c r="N322" s="112">
        <v>43984</v>
      </c>
      <c r="O322" s="111"/>
      <c r="P322" s="108" t="s">
        <v>261</v>
      </c>
      <c r="Q322" s="210" t="s">
        <v>4100</v>
      </c>
      <c r="R322" s="108" t="s">
        <v>4099</v>
      </c>
      <c r="S322" s="108" t="s">
        <v>899</v>
      </c>
      <c r="T322" s="108" t="s">
        <v>900</v>
      </c>
      <c r="U322" s="108" t="s">
        <v>362</v>
      </c>
      <c r="V322" s="108" t="s">
        <v>180</v>
      </c>
      <c r="W322" s="108"/>
      <c r="X322" s="108"/>
      <c r="Y322" s="108" t="s">
        <v>59</v>
      </c>
      <c r="Z322" s="108" t="s">
        <v>830</v>
      </c>
      <c r="AA322" s="111">
        <v>35290</v>
      </c>
      <c r="AB322" s="113">
        <f ca="1">DATEDIF(AA322,$C$3,"y")</f>
        <v>27</v>
      </c>
      <c r="AC322" s="113" t="s">
        <v>1735</v>
      </c>
      <c r="AD322" s="129" t="s">
        <v>1736</v>
      </c>
      <c r="AE322" s="108" t="s">
        <v>1737</v>
      </c>
      <c r="AF322" s="108"/>
      <c r="AG322" s="130" t="s">
        <v>1738</v>
      </c>
      <c r="AH322" s="114" t="s">
        <v>1739</v>
      </c>
      <c r="AI322" s="115">
        <v>19047643515</v>
      </c>
      <c r="AJ322" s="108" t="s">
        <v>255</v>
      </c>
      <c r="AK322" s="108"/>
      <c r="AL322" s="108"/>
      <c r="AM322" s="108"/>
      <c r="AN322" s="108"/>
      <c r="AO322" s="108"/>
      <c r="AP322" s="108"/>
      <c r="AQ322" s="108"/>
      <c r="AR322" s="108"/>
      <c r="AS322" s="108"/>
      <c r="AT322" s="108">
        <f>COUNTA(AL322:AO322)</f>
        <v>0</v>
      </c>
      <c r="AU322" s="108" t="str">
        <f>IF(AJ322="Menikah","K","TK")&amp;"/"&amp;AT322</f>
        <v>TK/0</v>
      </c>
      <c r="AV322" s="131"/>
      <c r="AW322" s="113" t="s">
        <v>74</v>
      </c>
      <c r="AX322" s="108" t="s">
        <v>14</v>
      </c>
      <c r="AY322" s="108" t="s">
        <v>372</v>
      </c>
      <c r="AZ322" s="108" t="s">
        <v>1740</v>
      </c>
      <c r="BA322" s="108">
        <v>2017</v>
      </c>
      <c r="BB322" s="108" t="s">
        <v>14</v>
      </c>
      <c r="BC322" s="108" t="s">
        <v>372</v>
      </c>
      <c r="BD322" s="108" t="s">
        <v>1740</v>
      </c>
      <c r="BE322" s="108">
        <v>2017</v>
      </c>
      <c r="BF322" s="116">
        <v>55672</v>
      </c>
      <c r="BG322" s="116">
        <v>56037</v>
      </c>
      <c r="BH322" s="132"/>
      <c r="BI322" s="108"/>
      <c r="BJ322" s="108">
        <v>42</v>
      </c>
      <c r="BK322" s="111">
        <v>44259</v>
      </c>
      <c r="BL322" s="111">
        <v>44304</v>
      </c>
      <c r="BM322" s="111">
        <v>44585</v>
      </c>
      <c r="BN322" s="111"/>
      <c r="BO322" s="108"/>
      <c r="BP322" s="108"/>
      <c r="BQ322" s="108"/>
      <c r="BR322" s="108"/>
      <c r="BS322" s="108"/>
      <c r="BT322" s="108"/>
      <c r="BU322" s="108"/>
      <c r="BV322" s="108"/>
      <c r="BW322" s="108"/>
      <c r="BX322" s="108"/>
      <c r="BY322" s="108"/>
      <c r="BZ322" s="108" t="e">
        <f>VLOOKUP(C322,[1]Sertifikasi!$B$4:$I$19,8,0)</f>
        <v>#N/A</v>
      </c>
    </row>
    <row r="323" spans="1:78" ht="11.25" customHeight="1">
      <c r="A323" s="108"/>
      <c r="B323" s="108">
        <v>262</v>
      </c>
      <c r="C323" s="108" t="s">
        <v>1150</v>
      </c>
      <c r="D323" s="109">
        <v>642001031</v>
      </c>
      <c r="E323" s="131">
        <v>1710003988311</v>
      </c>
      <c r="F323" s="131"/>
      <c r="G323" s="108" t="s">
        <v>71</v>
      </c>
      <c r="H323" s="108" t="s">
        <v>71</v>
      </c>
      <c r="I323" s="111">
        <v>42919</v>
      </c>
      <c r="J323" s="108">
        <v>6</v>
      </c>
      <c r="K323" s="108">
        <v>3</v>
      </c>
      <c r="L323" s="108" t="str">
        <f t="shared" si="10"/>
        <v>PKWT</v>
      </c>
      <c r="M323" s="108"/>
      <c r="N323" s="112">
        <v>45291</v>
      </c>
      <c r="O323" s="108"/>
      <c r="P323" s="108" t="s">
        <v>213</v>
      </c>
      <c r="Q323" s="210" t="s">
        <v>4102</v>
      </c>
      <c r="R323" s="108" t="s">
        <v>259</v>
      </c>
      <c r="S323" s="108" t="s">
        <v>33</v>
      </c>
      <c r="T323" s="108" t="s">
        <v>432</v>
      </c>
      <c r="U323" s="108" t="s">
        <v>199</v>
      </c>
      <c r="V323" s="108" t="s">
        <v>180</v>
      </c>
      <c r="W323" s="108"/>
      <c r="X323" s="108" t="s">
        <v>215</v>
      </c>
      <c r="Y323" s="108" t="s">
        <v>216</v>
      </c>
      <c r="Z323" s="108" t="s">
        <v>71</v>
      </c>
      <c r="AA323" s="111">
        <v>35295</v>
      </c>
      <c r="AB323" s="113">
        <v>27</v>
      </c>
      <c r="AC323" s="108" t="s">
        <v>1151</v>
      </c>
      <c r="AD323" s="129" t="s">
        <v>1152</v>
      </c>
      <c r="AE323" s="108" t="s">
        <v>1153</v>
      </c>
      <c r="AF323" s="108"/>
      <c r="AG323" s="108" t="s">
        <v>1154</v>
      </c>
      <c r="AH323" s="114" t="s">
        <v>1155</v>
      </c>
      <c r="AI323" s="115">
        <v>18024053284</v>
      </c>
      <c r="AJ323" s="108" t="s">
        <v>189</v>
      </c>
      <c r="AK323" s="108"/>
      <c r="AL323" s="108"/>
      <c r="AM323" s="108"/>
      <c r="AN323" s="108"/>
      <c r="AO323" s="108"/>
      <c r="AP323" s="108"/>
      <c r="AQ323" s="108"/>
      <c r="AR323" s="108"/>
      <c r="AS323" s="108"/>
      <c r="AT323" s="108">
        <v>0</v>
      </c>
      <c r="AU323" s="108" t="s">
        <v>390</v>
      </c>
      <c r="AV323" s="115">
        <v>0</v>
      </c>
      <c r="AW323" s="108" t="s">
        <v>74</v>
      </c>
      <c r="AX323" s="108" t="s">
        <v>16</v>
      </c>
      <c r="AY323" s="108" t="s">
        <v>331</v>
      </c>
      <c r="AZ323" s="108" t="s">
        <v>1156</v>
      </c>
      <c r="BA323" s="108">
        <v>2016</v>
      </c>
      <c r="BB323" s="108" t="s">
        <v>287</v>
      </c>
      <c r="BC323" s="108" t="s">
        <v>331</v>
      </c>
      <c r="BD323" s="108" t="s">
        <v>1156</v>
      </c>
      <c r="BE323" s="108">
        <v>2016</v>
      </c>
      <c r="BF323" s="116"/>
      <c r="BG323" s="116"/>
      <c r="BH323" s="108" t="s">
        <v>241</v>
      </c>
      <c r="BI323" s="108">
        <v>30</v>
      </c>
      <c r="BJ323" s="108">
        <v>43</v>
      </c>
      <c r="BK323" s="111">
        <v>44293</v>
      </c>
      <c r="BL323" s="111">
        <v>44322</v>
      </c>
      <c r="BM323" s="111"/>
      <c r="BN323" s="111"/>
      <c r="BO323" s="108">
        <v>43467</v>
      </c>
      <c r="BP323" s="108">
        <v>43830</v>
      </c>
      <c r="BQ323" s="108" t="s">
        <v>1157</v>
      </c>
      <c r="BR323" s="108" t="s">
        <v>1158</v>
      </c>
      <c r="BS323" s="108"/>
      <c r="BT323" s="108"/>
      <c r="BU323" s="108"/>
      <c r="BV323" s="108"/>
      <c r="BW323" s="108"/>
      <c r="BX323" s="108"/>
      <c r="BY323" s="108"/>
      <c r="BZ323" s="108" t="e">
        <f>VLOOKUP(C323,[1]Sertifikasi!$B$4:$I$19,8,0)</f>
        <v>#N/A</v>
      </c>
    </row>
    <row r="324" spans="1:78" ht="11.25" customHeight="1">
      <c r="A324" s="108"/>
      <c r="B324" s="108">
        <v>41</v>
      </c>
      <c r="C324" s="108" t="s">
        <v>2110</v>
      </c>
      <c r="D324" s="109">
        <v>999500001</v>
      </c>
      <c r="E324" s="131">
        <v>1440001093159</v>
      </c>
      <c r="F324" s="131"/>
      <c r="G324" s="113" t="s">
        <v>33</v>
      </c>
      <c r="H324" s="108" t="s">
        <v>71</v>
      </c>
      <c r="I324" s="111">
        <v>43987</v>
      </c>
      <c r="J324" s="108">
        <f ca="1">DATEDIF(logut!I42,$C$3,"y")</f>
        <v>4</v>
      </c>
      <c r="K324" s="108">
        <f ca="1">DATEDIF(logut!I42,$C$3,"ym")</f>
        <v>4</v>
      </c>
      <c r="L324" s="108" t="str">
        <f t="shared" si="10"/>
        <v>Organik</v>
      </c>
      <c r="M324" s="108" t="s">
        <v>2111</v>
      </c>
      <c r="N324" s="112">
        <v>34820</v>
      </c>
      <c r="O324" s="108" t="s">
        <v>2112</v>
      </c>
      <c r="P324" s="108" t="s">
        <v>261</v>
      </c>
      <c r="Q324" s="210" t="s">
        <v>4100</v>
      </c>
      <c r="R324" s="108" t="s">
        <v>4099</v>
      </c>
      <c r="S324" s="108" t="s">
        <v>2113</v>
      </c>
      <c r="T324" s="108" t="s">
        <v>2113</v>
      </c>
      <c r="U324" s="108" t="s">
        <v>2113</v>
      </c>
      <c r="V324" s="108" t="s">
        <v>247</v>
      </c>
      <c r="W324" s="108"/>
      <c r="X324" s="108"/>
      <c r="Y324" s="108" t="s">
        <v>60</v>
      </c>
      <c r="Z324" s="108" t="s">
        <v>71</v>
      </c>
      <c r="AA324" s="111">
        <v>26489</v>
      </c>
      <c r="AB324" s="113">
        <f ca="1">DATEDIF(AA324,$C$3,"y")</f>
        <v>51</v>
      </c>
      <c r="AC324" s="108" t="s">
        <v>2114</v>
      </c>
      <c r="AD324" s="129" t="s">
        <v>2115</v>
      </c>
      <c r="AE324" s="108"/>
      <c r="AF324" s="108"/>
      <c r="AG324" s="140" t="s">
        <v>2116</v>
      </c>
      <c r="AH324" s="114" t="s">
        <v>2117</v>
      </c>
      <c r="AI324" s="115" t="s">
        <v>2118</v>
      </c>
      <c r="AJ324" s="108" t="s">
        <v>189</v>
      </c>
      <c r="AK324" s="108"/>
      <c r="AL324" s="108"/>
      <c r="AM324" s="108"/>
      <c r="AN324" s="108"/>
      <c r="AO324" s="108"/>
      <c r="AP324" s="108"/>
      <c r="AQ324" s="108"/>
      <c r="AR324" s="108"/>
      <c r="AS324" s="108"/>
      <c r="AT324" s="108">
        <f>COUNTA(AL324:AO324)</f>
        <v>0</v>
      </c>
      <c r="AU324" s="108" t="str">
        <f>IF(AJ324="Menikah","K","TK")&amp;"/"&amp;AT324</f>
        <v>K/0</v>
      </c>
      <c r="AV324" s="131">
        <v>478617210621000</v>
      </c>
      <c r="AW324" s="113" t="s">
        <v>76</v>
      </c>
      <c r="AX324" s="108" t="s">
        <v>16</v>
      </c>
      <c r="AY324" s="108"/>
      <c r="AZ324" s="108"/>
      <c r="BA324" s="108"/>
      <c r="BB324" s="108" t="s">
        <v>16</v>
      </c>
      <c r="BC324" s="108"/>
      <c r="BD324" s="108"/>
      <c r="BE324" s="108"/>
      <c r="BF324" s="116"/>
      <c r="BG324" s="116"/>
      <c r="BH324" s="108"/>
      <c r="BI324" s="108"/>
      <c r="BJ324" s="194"/>
      <c r="BK324" s="111"/>
      <c r="BL324" s="111"/>
      <c r="BM324" s="111">
        <v>44601</v>
      </c>
      <c r="BN324" s="111"/>
      <c r="BO324" s="108"/>
      <c r="BP324" s="108"/>
      <c r="BQ324" s="108"/>
      <c r="BR324" s="108"/>
      <c r="BS324" s="108"/>
      <c r="BT324" s="108"/>
      <c r="BU324" s="108"/>
      <c r="BV324" s="108"/>
      <c r="BW324" s="108"/>
      <c r="BX324" s="108"/>
      <c r="BY324" s="108"/>
      <c r="BZ324" s="108" t="e">
        <f>VLOOKUP(C324,[1]Sertifikasi!$B$4:$I$19,8,0)</f>
        <v>#N/A</v>
      </c>
    </row>
    <row r="325" spans="1:78" ht="11.25" customHeight="1">
      <c r="A325" s="108"/>
      <c r="B325" s="108">
        <v>148</v>
      </c>
      <c r="C325" s="108" t="s">
        <v>1221</v>
      </c>
      <c r="D325" s="109">
        <v>641805144</v>
      </c>
      <c r="E325" s="131">
        <v>1710004257807</v>
      </c>
      <c r="F325" s="131"/>
      <c r="G325" s="108" t="s">
        <v>71</v>
      </c>
      <c r="H325" s="108" t="s">
        <v>71</v>
      </c>
      <c r="I325" s="111">
        <v>43227</v>
      </c>
      <c r="J325" s="108">
        <v>5</v>
      </c>
      <c r="K325" s="108">
        <v>5</v>
      </c>
      <c r="L325" s="108" t="str">
        <f t="shared" si="10"/>
        <v>PKWT</v>
      </c>
      <c r="M325" s="108"/>
      <c r="N325" s="112">
        <v>45417</v>
      </c>
      <c r="O325" s="108"/>
      <c r="P325" s="108" t="s">
        <v>213</v>
      </c>
      <c r="Q325" s="210" t="s">
        <v>4102</v>
      </c>
      <c r="R325" s="108" t="s">
        <v>409</v>
      </c>
      <c r="S325" s="108" t="s">
        <v>33</v>
      </c>
      <c r="T325" s="108" t="s">
        <v>88</v>
      </c>
      <c r="U325" s="108" t="s">
        <v>199</v>
      </c>
      <c r="V325" s="108" t="s">
        <v>180</v>
      </c>
      <c r="W325" s="108"/>
      <c r="X325" s="108" t="s">
        <v>215</v>
      </c>
      <c r="Y325" s="108" t="s">
        <v>216</v>
      </c>
      <c r="Z325" s="108" t="s">
        <v>72</v>
      </c>
      <c r="AA325" s="111">
        <v>36000</v>
      </c>
      <c r="AB325" s="113">
        <v>25</v>
      </c>
      <c r="AC325" s="108" t="s">
        <v>1222</v>
      </c>
      <c r="AD325" s="129" t="s">
        <v>1223</v>
      </c>
      <c r="AE325" s="108" t="s">
        <v>1224</v>
      </c>
      <c r="AF325" s="108"/>
      <c r="AG325" s="108" t="s">
        <v>1225</v>
      </c>
      <c r="AH325" s="114" t="s">
        <v>1226</v>
      </c>
      <c r="AI325" s="115">
        <v>18035613530</v>
      </c>
      <c r="AJ325" s="108" t="s">
        <v>255</v>
      </c>
      <c r="AK325" s="108"/>
      <c r="AL325" s="108"/>
      <c r="AM325" s="108"/>
      <c r="AN325" s="108"/>
      <c r="AO325" s="108"/>
      <c r="AP325" s="108"/>
      <c r="AQ325" s="108"/>
      <c r="AR325" s="108"/>
      <c r="AS325" s="108"/>
      <c r="AT325" s="108">
        <v>0</v>
      </c>
      <c r="AU325" s="108" t="s">
        <v>304</v>
      </c>
      <c r="AV325" s="115">
        <v>0</v>
      </c>
      <c r="AW325" s="108" t="s">
        <v>74</v>
      </c>
      <c r="AX325" s="108" t="s">
        <v>16</v>
      </c>
      <c r="AY325" s="108" t="s">
        <v>331</v>
      </c>
      <c r="AZ325" s="108" t="s">
        <v>1227</v>
      </c>
      <c r="BA325" s="108">
        <v>2018</v>
      </c>
      <c r="BB325" s="108" t="s">
        <v>287</v>
      </c>
      <c r="BC325" s="108" t="s">
        <v>331</v>
      </c>
      <c r="BD325" s="108" t="s">
        <v>1227</v>
      </c>
      <c r="BE325" s="108">
        <v>2018</v>
      </c>
      <c r="BF325" s="116"/>
      <c r="BG325" s="116"/>
      <c r="BH325" s="108" t="s">
        <v>241</v>
      </c>
      <c r="BI325" s="108">
        <v>30</v>
      </c>
      <c r="BJ325" s="108">
        <v>40</v>
      </c>
      <c r="BK325" s="111">
        <v>44293</v>
      </c>
      <c r="BL325" s="111">
        <v>44322</v>
      </c>
      <c r="BM325" s="111"/>
      <c r="BN325" s="111"/>
      <c r="BO325" s="108"/>
      <c r="BP325" s="108"/>
      <c r="BQ325" s="108"/>
      <c r="BR325" s="108"/>
      <c r="BS325" s="108"/>
      <c r="BT325" s="108"/>
      <c r="BU325" s="108"/>
      <c r="BV325" s="108"/>
      <c r="BW325" s="108"/>
      <c r="BX325" s="108"/>
      <c r="BY325" s="108"/>
      <c r="BZ325" s="108" t="e">
        <f>VLOOKUP(C325,[1]Sertifikasi!$B$4:$I$19,8,0)</f>
        <v>#N/A</v>
      </c>
    </row>
    <row r="326" spans="1:78" ht="11.25" customHeight="1">
      <c r="A326" s="108"/>
      <c r="B326" s="108">
        <v>149</v>
      </c>
      <c r="C326" s="108" t="s">
        <v>2827</v>
      </c>
      <c r="D326" s="109">
        <v>642201175</v>
      </c>
      <c r="E326" s="131">
        <v>1710011722942</v>
      </c>
      <c r="F326" s="131"/>
      <c r="G326" s="108" t="s">
        <v>71</v>
      </c>
      <c r="H326" s="108" t="s">
        <v>71</v>
      </c>
      <c r="I326" s="111">
        <v>44719</v>
      </c>
      <c r="J326" s="108">
        <v>1</v>
      </c>
      <c r="K326" s="108">
        <v>4</v>
      </c>
      <c r="L326" s="108" t="str">
        <f t="shared" si="10"/>
        <v>PKWT</v>
      </c>
      <c r="M326" s="108"/>
      <c r="N326" s="112">
        <v>45449</v>
      </c>
      <c r="O326" s="108"/>
      <c r="P326" s="108" t="s">
        <v>213</v>
      </c>
      <c r="Q326" s="210" t="s">
        <v>4102</v>
      </c>
      <c r="R326" s="108" t="s">
        <v>409</v>
      </c>
      <c r="S326" s="108" t="s">
        <v>33</v>
      </c>
      <c r="T326" s="108" t="s">
        <v>88</v>
      </c>
      <c r="U326" s="108" t="s">
        <v>199</v>
      </c>
      <c r="V326" s="108" t="s">
        <v>180</v>
      </c>
      <c r="W326" s="108"/>
      <c r="X326" s="108"/>
      <c r="Y326" s="108" t="s">
        <v>216</v>
      </c>
      <c r="Z326" s="108" t="s">
        <v>433</v>
      </c>
      <c r="AA326" s="111">
        <v>37670</v>
      </c>
      <c r="AB326" s="113">
        <v>20</v>
      </c>
      <c r="AC326" s="108" t="s">
        <v>2828</v>
      </c>
      <c r="AD326" s="129" t="s">
        <v>2829</v>
      </c>
      <c r="AE326" s="108" t="s">
        <v>2830</v>
      </c>
      <c r="AF326" s="108"/>
      <c r="AG326" s="108" t="s">
        <v>2831</v>
      </c>
      <c r="AH326" s="114" t="s">
        <v>2832</v>
      </c>
      <c r="AI326" s="115">
        <v>22063660819</v>
      </c>
      <c r="AJ326" s="108" t="s">
        <v>255</v>
      </c>
      <c r="AK326" s="108"/>
      <c r="AL326" s="108"/>
      <c r="AM326" s="108"/>
      <c r="AN326" s="108"/>
      <c r="AO326" s="108"/>
      <c r="AP326" s="108"/>
      <c r="AQ326" s="108"/>
      <c r="AR326" s="108"/>
      <c r="AS326" s="108"/>
      <c r="AT326" s="108">
        <v>0</v>
      </c>
      <c r="AU326" s="108" t="s">
        <v>304</v>
      </c>
      <c r="AV326" s="115"/>
      <c r="AW326" s="108" t="s">
        <v>74</v>
      </c>
      <c r="AX326" s="108" t="s">
        <v>16</v>
      </c>
      <c r="AY326" s="108" t="s">
        <v>331</v>
      </c>
      <c r="AZ326" s="108" t="s">
        <v>2833</v>
      </c>
      <c r="BA326" s="108"/>
      <c r="BB326" s="108" t="s">
        <v>16</v>
      </c>
      <c r="BC326" s="108" t="s">
        <v>331</v>
      </c>
      <c r="BD326" s="108" t="s">
        <v>2833</v>
      </c>
      <c r="BE326" s="108"/>
      <c r="BF326" s="116"/>
      <c r="BG326" s="116"/>
      <c r="BH326" s="108"/>
      <c r="BI326" s="108"/>
      <c r="BJ326" s="108">
        <v>40</v>
      </c>
      <c r="BK326" s="111"/>
      <c r="BL326" s="111"/>
      <c r="BM326" s="111"/>
      <c r="BN326" s="111"/>
      <c r="BO326" s="108"/>
      <c r="BP326" s="108"/>
      <c r="BQ326" s="108"/>
      <c r="BR326" s="108" t="s">
        <v>2834</v>
      </c>
      <c r="BS326" s="108"/>
      <c r="BT326" s="108"/>
      <c r="BU326" s="108"/>
      <c r="BV326" s="108"/>
      <c r="BW326" s="108"/>
      <c r="BX326" s="108"/>
      <c r="BY326" s="108"/>
      <c r="BZ326" s="108" t="e">
        <f>VLOOKUP(C326,[1]Sertifikasi!$B$4:$I$19,8,0)</f>
        <v>#N/A</v>
      </c>
    </row>
    <row r="327" spans="1:78" ht="11.25" customHeight="1">
      <c r="A327" s="108"/>
      <c r="B327" s="108">
        <v>150</v>
      </c>
      <c r="C327" s="108" t="s">
        <v>1803</v>
      </c>
      <c r="D327" s="109">
        <v>641907254</v>
      </c>
      <c r="E327" s="131">
        <v>1710005657880</v>
      </c>
      <c r="F327" s="131"/>
      <c r="G327" s="108" t="s">
        <v>1804</v>
      </c>
      <c r="H327" s="108" t="s">
        <v>1804</v>
      </c>
      <c r="I327" s="111">
        <v>43647</v>
      </c>
      <c r="J327" s="108">
        <v>4</v>
      </c>
      <c r="K327" s="108">
        <v>3</v>
      </c>
      <c r="L327" s="108" t="str">
        <f t="shared" si="10"/>
        <v>PKWT</v>
      </c>
      <c r="M327" s="108"/>
      <c r="N327" s="112">
        <v>45291</v>
      </c>
      <c r="O327" s="108"/>
      <c r="P327" s="108" t="s">
        <v>213</v>
      </c>
      <c r="Q327" s="210" t="s">
        <v>4102</v>
      </c>
      <c r="R327" s="108" t="s">
        <v>409</v>
      </c>
      <c r="S327" s="108" t="s">
        <v>33</v>
      </c>
      <c r="T327" s="108" t="s">
        <v>88</v>
      </c>
      <c r="U327" s="108" t="s">
        <v>199</v>
      </c>
      <c r="V327" s="108" t="s">
        <v>180</v>
      </c>
      <c r="W327" s="108"/>
      <c r="X327" s="108" t="s">
        <v>215</v>
      </c>
      <c r="Y327" s="108" t="s">
        <v>216</v>
      </c>
      <c r="Z327" s="108" t="s">
        <v>639</v>
      </c>
      <c r="AA327" s="111">
        <v>34829</v>
      </c>
      <c r="AB327" s="113">
        <v>28</v>
      </c>
      <c r="AC327" s="108" t="s">
        <v>1805</v>
      </c>
      <c r="AD327" s="129" t="s">
        <v>1806</v>
      </c>
      <c r="AE327" s="108" t="s">
        <v>1807</v>
      </c>
      <c r="AF327" s="108"/>
      <c r="AG327" s="108" t="s">
        <v>1808</v>
      </c>
      <c r="AH327" s="114" t="s">
        <v>1809</v>
      </c>
      <c r="AI327" s="115">
        <v>19047644158</v>
      </c>
      <c r="AJ327" s="108" t="s">
        <v>189</v>
      </c>
      <c r="AK327" s="108" t="s">
        <v>1810</v>
      </c>
      <c r="AL327" s="108" t="s">
        <v>1811</v>
      </c>
      <c r="AM327" s="108"/>
      <c r="AN327" s="108"/>
      <c r="AO327" s="108"/>
      <c r="AP327" s="108"/>
      <c r="AQ327" s="108"/>
      <c r="AR327" s="108"/>
      <c r="AS327" s="108"/>
      <c r="AT327" s="108">
        <v>1</v>
      </c>
      <c r="AU327" s="108" t="s">
        <v>225</v>
      </c>
      <c r="AV327" s="115">
        <v>0</v>
      </c>
      <c r="AW327" s="108" t="s">
        <v>74</v>
      </c>
      <c r="AX327" s="108" t="s">
        <v>16</v>
      </c>
      <c r="AY327" s="108" t="s">
        <v>331</v>
      </c>
      <c r="AZ327" s="108" t="s">
        <v>1812</v>
      </c>
      <c r="BA327" s="108">
        <v>2013</v>
      </c>
      <c r="BB327" s="108" t="s">
        <v>287</v>
      </c>
      <c r="BC327" s="108" t="s">
        <v>331</v>
      </c>
      <c r="BD327" s="108" t="s">
        <v>1812</v>
      </c>
      <c r="BE327" s="108">
        <v>2013</v>
      </c>
      <c r="BF327" s="116"/>
      <c r="BG327" s="116"/>
      <c r="BH327" s="108" t="s">
        <v>345</v>
      </c>
      <c r="BI327" s="108">
        <v>29</v>
      </c>
      <c r="BJ327" s="108">
        <v>40</v>
      </c>
      <c r="BK327" s="111">
        <v>44400</v>
      </c>
      <c r="BL327" s="111"/>
      <c r="BM327" s="111">
        <v>44868</v>
      </c>
      <c r="BN327" s="111"/>
      <c r="BO327" s="108"/>
      <c r="BP327" s="108"/>
      <c r="BQ327" s="108"/>
      <c r="BR327" s="108"/>
      <c r="BS327" s="108"/>
      <c r="BT327" s="108"/>
      <c r="BU327" s="108"/>
      <c r="BV327" s="108"/>
      <c r="BW327" s="108"/>
      <c r="BX327" s="108"/>
      <c r="BY327" s="108"/>
      <c r="BZ327" s="108" t="e">
        <f>VLOOKUP(C327,[1]Sertifikasi!$B$4:$I$19,8,0)</f>
        <v>#N/A</v>
      </c>
    </row>
    <row r="328" spans="1:78" ht="11.25" customHeight="1">
      <c r="A328" s="108"/>
      <c r="B328" s="108">
        <v>263</v>
      </c>
      <c r="C328" s="108" t="s">
        <v>2899</v>
      </c>
      <c r="D328" s="109">
        <v>642301181</v>
      </c>
      <c r="E328" s="131">
        <v>1710012918747</v>
      </c>
      <c r="F328" s="131"/>
      <c r="G328" s="108" t="s">
        <v>71</v>
      </c>
      <c r="H328" s="108" t="s">
        <v>71</v>
      </c>
      <c r="I328" s="111">
        <v>44931</v>
      </c>
      <c r="J328" s="108">
        <v>0</v>
      </c>
      <c r="K328" s="108">
        <v>9</v>
      </c>
      <c r="L328" s="108" t="str">
        <f t="shared" si="10"/>
        <v>PKWT</v>
      </c>
      <c r="M328" s="108"/>
      <c r="N328" s="112">
        <v>45291</v>
      </c>
      <c r="O328" s="108"/>
      <c r="P328" s="108" t="s">
        <v>213</v>
      </c>
      <c r="Q328" s="210" t="s">
        <v>4102</v>
      </c>
      <c r="R328" s="108" t="s">
        <v>259</v>
      </c>
      <c r="S328" s="108" t="s">
        <v>33</v>
      </c>
      <c r="T328" s="108" t="s">
        <v>432</v>
      </c>
      <c r="U328" s="108" t="s">
        <v>199</v>
      </c>
      <c r="V328" s="108" t="s">
        <v>180</v>
      </c>
      <c r="W328" s="108" t="s">
        <v>263</v>
      </c>
      <c r="X328" s="108"/>
      <c r="Y328" s="108" t="s">
        <v>216</v>
      </c>
      <c r="Z328" s="108" t="s">
        <v>433</v>
      </c>
      <c r="AA328" s="111">
        <v>36891</v>
      </c>
      <c r="AB328" s="113">
        <v>22</v>
      </c>
      <c r="AC328" s="108" t="s">
        <v>2900</v>
      </c>
      <c r="AD328" s="129" t="s">
        <v>2901</v>
      </c>
      <c r="AE328" s="108" t="s">
        <v>2902</v>
      </c>
      <c r="AF328" s="108"/>
      <c r="AG328" s="108" t="s">
        <v>2903</v>
      </c>
      <c r="AH328" s="114" t="s">
        <v>2904</v>
      </c>
      <c r="AI328" s="115">
        <v>23009096688</v>
      </c>
      <c r="AJ328" s="108" t="s">
        <v>255</v>
      </c>
      <c r="AK328" s="108"/>
      <c r="AL328" s="108"/>
      <c r="AM328" s="108"/>
      <c r="AN328" s="108"/>
      <c r="AO328" s="108"/>
      <c r="AP328" s="108"/>
      <c r="AQ328" s="108"/>
      <c r="AR328" s="108"/>
      <c r="AS328" s="108"/>
      <c r="AT328" s="108">
        <v>0</v>
      </c>
      <c r="AU328" s="108" t="s">
        <v>304</v>
      </c>
      <c r="AV328" s="115"/>
      <c r="AW328" s="108" t="s">
        <v>74</v>
      </c>
      <c r="AX328" s="108" t="s">
        <v>13</v>
      </c>
      <c r="AY328" s="108" t="s">
        <v>2905</v>
      </c>
      <c r="AZ328" s="108" t="s">
        <v>2472</v>
      </c>
      <c r="BA328" s="108">
        <v>2022</v>
      </c>
      <c r="BB328" s="108" t="s">
        <v>13</v>
      </c>
      <c r="BC328" s="108" t="s">
        <v>2905</v>
      </c>
      <c r="BD328" s="108" t="s">
        <v>2472</v>
      </c>
      <c r="BE328" s="108">
        <v>2022</v>
      </c>
      <c r="BF328" s="116"/>
      <c r="BG328" s="116"/>
      <c r="BH328" s="108"/>
      <c r="BI328" s="108"/>
      <c r="BJ328" s="108">
        <v>41</v>
      </c>
      <c r="BK328" s="111"/>
      <c r="BL328" s="111"/>
      <c r="BM328" s="111"/>
      <c r="BN328" s="111"/>
      <c r="BO328" s="108"/>
      <c r="BP328" s="108"/>
      <c r="BQ328" s="108"/>
      <c r="BR328" s="108"/>
      <c r="BS328" s="108"/>
      <c r="BT328" s="108"/>
      <c r="BU328" s="108"/>
      <c r="BV328" s="108"/>
      <c r="BW328" s="108"/>
      <c r="BX328" s="108"/>
      <c r="BY328" s="108"/>
      <c r="BZ328" s="108" t="str">
        <f>VLOOKUP(C328,[1]Sertifikasi!$B$4:$I$19,8,0)</f>
        <v>Pembinaan Dan Sertifikasi Calon Ahli K3 Umum</v>
      </c>
    </row>
    <row r="329" spans="1:78" ht="11.25" customHeight="1">
      <c r="A329" s="108"/>
      <c r="B329" s="108">
        <v>113</v>
      </c>
      <c r="C329" s="108" t="s">
        <v>1762</v>
      </c>
      <c r="D329" s="109">
        <v>641907250</v>
      </c>
      <c r="E329" s="131">
        <v>1710005657716</v>
      </c>
      <c r="F329" s="131"/>
      <c r="G329" s="108" t="s">
        <v>36</v>
      </c>
      <c r="H329" s="108" t="s">
        <v>36</v>
      </c>
      <c r="I329" s="111">
        <v>43647</v>
      </c>
      <c r="J329" s="108">
        <v>4</v>
      </c>
      <c r="K329" s="108">
        <v>3</v>
      </c>
      <c r="L329" s="108" t="str">
        <f t="shared" si="10"/>
        <v>PKWT</v>
      </c>
      <c r="M329" s="108"/>
      <c r="N329" s="112">
        <v>45291</v>
      </c>
      <c r="O329" s="108"/>
      <c r="P329" s="108" t="s">
        <v>213</v>
      </c>
      <c r="Q329" s="210" t="s">
        <v>4102</v>
      </c>
      <c r="R329" s="108" t="s">
        <v>36</v>
      </c>
      <c r="S329" s="108" t="s">
        <v>275</v>
      </c>
      <c r="T329" s="108" t="s">
        <v>87</v>
      </c>
      <c r="U329" s="108" t="s">
        <v>276</v>
      </c>
      <c r="V329" s="108" t="s">
        <v>180</v>
      </c>
      <c r="W329" s="108"/>
      <c r="X329" s="108" t="s">
        <v>215</v>
      </c>
      <c r="Y329" s="108" t="s">
        <v>216</v>
      </c>
      <c r="Z329" s="108" t="s">
        <v>1763</v>
      </c>
      <c r="AA329" s="111">
        <v>35837</v>
      </c>
      <c r="AB329" s="113">
        <v>25</v>
      </c>
      <c r="AC329" s="108" t="s">
        <v>1764</v>
      </c>
      <c r="AD329" s="129" t="s">
        <v>1765</v>
      </c>
      <c r="AE329" s="108" t="s">
        <v>1766</v>
      </c>
      <c r="AF329" s="108"/>
      <c r="AG329" s="108" t="s">
        <v>1767</v>
      </c>
      <c r="AH329" s="114" t="s">
        <v>1768</v>
      </c>
      <c r="AI329" s="115">
        <v>19047643945</v>
      </c>
      <c r="AJ329" s="108" t="s">
        <v>189</v>
      </c>
      <c r="AK329" s="108" t="s">
        <v>1769</v>
      </c>
      <c r="AL329" s="108" t="s">
        <v>1770</v>
      </c>
      <c r="AM329" s="108"/>
      <c r="AN329" s="108"/>
      <c r="AO329" s="108"/>
      <c r="AP329" s="108"/>
      <c r="AQ329" s="108"/>
      <c r="AR329" s="108"/>
      <c r="AS329" s="108"/>
      <c r="AT329" s="108">
        <v>1</v>
      </c>
      <c r="AU329" s="108" t="s">
        <v>225</v>
      </c>
      <c r="AV329" s="115">
        <v>0</v>
      </c>
      <c r="AW329" s="108" t="s">
        <v>74</v>
      </c>
      <c r="AX329" s="108" t="s">
        <v>16</v>
      </c>
      <c r="AY329" s="108" t="s">
        <v>331</v>
      </c>
      <c r="AZ329" s="108" t="s">
        <v>1771</v>
      </c>
      <c r="BA329" s="108">
        <v>2016</v>
      </c>
      <c r="BB329" s="108" t="s">
        <v>287</v>
      </c>
      <c r="BC329" s="108" t="s">
        <v>331</v>
      </c>
      <c r="BD329" s="108" t="s">
        <v>1771</v>
      </c>
      <c r="BE329" s="108">
        <v>2016</v>
      </c>
      <c r="BF329" s="116"/>
      <c r="BG329" s="116"/>
      <c r="BH329" s="108" t="s">
        <v>345</v>
      </c>
      <c r="BI329" s="108">
        <v>29</v>
      </c>
      <c r="BJ329" s="108">
        <v>40</v>
      </c>
      <c r="BK329" s="111"/>
      <c r="BL329" s="111">
        <v>44590</v>
      </c>
      <c r="BM329" s="111"/>
      <c r="BN329" s="111"/>
      <c r="BO329" s="108"/>
      <c r="BP329" s="108"/>
      <c r="BQ329" s="108"/>
      <c r="BR329" s="108"/>
      <c r="BS329" s="108"/>
      <c r="BT329" s="108"/>
      <c r="BU329" s="108"/>
      <c r="BV329" s="108"/>
      <c r="BW329" s="108"/>
      <c r="BX329" s="108"/>
      <c r="BY329" s="108"/>
      <c r="BZ329" s="108" t="e">
        <f>VLOOKUP(C329,[1]Sertifikasi!$B$4:$I$19,8,0)</f>
        <v>#N/A</v>
      </c>
    </row>
    <row r="330" spans="1:78" ht="11.25" customHeight="1">
      <c r="A330" s="108"/>
      <c r="B330" s="108"/>
      <c r="C330" s="108"/>
      <c r="D330" s="109"/>
      <c r="E330" s="131"/>
      <c r="F330" s="131"/>
      <c r="G330" s="108"/>
      <c r="H330" s="108"/>
      <c r="I330" s="111"/>
      <c r="J330" s="108"/>
      <c r="K330" s="108"/>
      <c r="L330" s="108"/>
      <c r="M330" s="108"/>
      <c r="N330" s="112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11"/>
      <c r="AB330" s="113"/>
      <c r="AC330" s="108"/>
      <c r="AD330" s="108"/>
      <c r="AE330" s="108"/>
      <c r="AF330" s="108"/>
      <c r="AG330" s="108"/>
      <c r="AH330" s="114"/>
      <c r="AI330" s="115"/>
      <c r="AJ330" s="108"/>
      <c r="AK330" s="108"/>
      <c r="AL330" s="108"/>
      <c r="AM330" s="108"/>
      <c r="AN330" s="108"/>
      <c r="AO330" s="108"/>
      <c r="AP330" s="108"/>
      <c r="AQ330" s="108"/>
      <c r="AR330" s="108"/>
      <c r="AS330" s="108"/>
      <c r="AT330" s="108"/>
      <c r="AU330" s="108"/>
      <c r="AV330" s="115"/>
      <c r="AW330" s="108"/>
      <c r="AX330" s="108"/>
      <c r="AY330" s="108"/>
      <c r="AZ330" s="108"/>
      <c r="BA330" s="108"/>
      <c r="BB330" s="108"/>
      <c r="BC330" s="108"/>
      <c r="BD330" s="108"/>
      <c r="BE330" s="108"/>
      <c r="BF330" s="116"/>
      <c r="BG330" s="116"/>
      <c r="BH330" s="108"/>
      <c r="BI330" s="108"/>
      <c r="BJ330" s="108"/>
      <c r="BK330" s="111"/>
      <c r="BL330" s="111"/>
      <c r="BM330" s="111"/>
      <c r="BN330" s="111"/>
      <c r="BO330" s="108"/>
      <c r="BP330" s="108"/>
      <c r="BQ330" s="108"/>
      <c r="BR330" s="108"/>
      <c r="BS330" s="108"/>
      <c r="BT330" s="108"/>
      <c r="BU330" s="108"/>
      <c r="BV330" s="108"/>
      <c r="BW330" s="108"/>
      <c r="BX330" s="108"/>
      <c r="BY330" s="108"/>
      <c r="BZ330" s="108"/>
    </row>
  </sheetData>
  <autoFilter ref="A4:BZ4" xr:uid="{00000000-0009-0000-0000-000002000000}">
    <sortState xmlns:xlrd2="http://schemas.microsoft.com/office/spreadsheetml/2017/richdata2" ref="A5:BZ329">
      <sortCondition ref="C4"/>
    </sortState>
  </autoFilter>
  <conditionalFormatting sqref="C1:C199 C201:C215 C217:C330">
    <cfRule type="duplicateValues" dxfId="7" priority="15"/>
    <cfRule type="duplicateValues" dxfId="6" priority="25"/>
    <cfRule type="duplicateValues" dxfId="5" priority="28"/>
  </conditionalFormatting>
  <conditionalFormatting sqref="C1:C199 C201:C215 C217:C1048576">
    <cfRule type="duplicateValues" dxfId="4" priority="6"/>
    <cfRule type="duplicateValues" dxfId="3" priority="16"/>
  </conditionalFormatting>
  <conditionalFormatting sqref="C197:C220">
    <cfRule type="duplicateValues" dxfId="2" priority="39"/>
  </conditionalFormatting>
  <hyperlinks>
    <hyperlink ref="AG121" r:id="rId1" xr:uid="{00000000-0004-0000-0200-000000000000}"/>
    <hyperlink ref="AG272" r:id="rId2" xr:uid="{00000000-0004-0000-0200-000001000000}"/>
    <hyperlink ref="AG34" r:id="rId3" xr:uid="{00000000-0004-0000-0200-000002000000}"/>
    <hyperlink ref="AG171" r:id="rId4" xr:uid="{00000000-0004-0000-0200-000003000000}"/>
    <hyperlink ref="AG94" r:id="rId5" xr:uid="{00000000-0004-0000-0200-000004000000}"/>
    <hyperlink ref="AG260" r:id="rId6" xr:uid="{00000000-0004-0000-0200-000005000000}"/>
    <hyperlink ref="AG144" r:id="rId7" xr:uid="{00000000-0004-0000-0200-000006000000}"/>
    <hyperlink ref="AG75" r:id="rId8" xr:uid="{00000000-0004-0000-0200-000007000000}"/>
    <hyperlink ref="AG235" r:id="rId9" xr:uid="{00000000-0004-0000-0200-000008000000}"/>
    <hyperlink ref="AG173" r:id="rId10" xr:uid="{00000000-0004-0000-0200-000009000000}"/>
    <hyperlink ref="AG281" r:id="rId11" xr:uid="{00000000-0004-0000-0200-00000A000000}"/>
    <hyperlink ref="AG254" r:id="rId12" xr:uid="{00000000-0004-0000-0200-00000B000000}"/>
    <hyperlink ref="AG111" r:id="rId13" xr:uid="{00000000-0004-0000-0200-00000C000000}"/>
    <hyperlink ref="AG86" r:id="rId14" xr:uid="{00000000-0004-0000-0200-00000D000000}"/>
    <hyperlink ref="AG132" r:id="rId15" xr:uid="{00000000-0004-0000-0200-00000E000000}"/>
    <hyperlink ref="AG193" r:id="rId16" xr:uid="{00000000-0004-0000-0200-00000F000000}"/>
    <hyperlink ref="AG99" r:id="rId17" xr:uid="{00000000-0004-0000-0200-000010000000}"/>
    <hyperlink ref="AG233" r:id="rId18" xr:uid="{00000000-0004-0000-0200-000011000000}"/>
    <hyperlink ref="AG135" r:id="rId19" xr:uid="{00000000-0004-0000-0200-000012000000}"/>
    <hyperlink ref="AH135" r:id="rId20" xr:uid="{00000000-0004-0000-0200-000013000000}"/>
    <hyperlink ref="AG238" r:id="rId21" xr:uid="{00000000-0004-0000-0200-000014000000}"/>
    <hyperlink ref="AG27" r:id="rId22" xr:uid="{00000000-0004-0000-0200-000015000000}"/>
    <hyperlink ref="AG256" r:id="rId23" xr:uid="{00000000-0004-0000-0200-000016000000}"/>
    <hyperlink ref="AG88" r:id="rId24" xr:uid="{00000000-0004-0000-0200-000017000000}"/>
    <hyperlink ref="AG156" r:id="rId25" xr:uid="{00000000-0004-0000-0200-000018000000}"/>
    <hyperlink ref="AG286" r:id="rId26" xr:uid="{00000000-0004-0000-0200-000019000000}"/>
    <hyperlink ref="AG270" r:id="rId27" xr:uid="{00000000-0004-0000-0200-00001A000000}"/>
    <hyperlink ref="AG73" r:id="rId28" xr:uid="{00000000-0004-0000-0200-00001B000000}"/>
    <hyperlink ref="AG226" r:id="rId29" xr:uid="{00000000-0004-0000-0200-00001C000000}"/>
    <hyperlink ref="AG314" r:id="rId30" xr:uid="{00000000-0004-0000-0200-00001D000000}"/>
    <hyperlink ref="AG322" r:id="rId31" xr:uid="{00000000-0004-0000-0200-00001E000000}"/>
    <hyperlink ref="AG146" r:id="rId32" xr:uid="{00000000-0004-0000-0200-00001F000000}"/>
    <hyperlink ref="AG268" r:id="rId33" xr:uid="{00000000-0004-0000-0200-000020000000}"/>
    <hyperlink ref="AG134" r:id="rId34" xr:uid="{00000000-0004-0000-0200-000021000000}"/>
    <hyperlink ref="AG305" r:id="rId35" xr:uid="{00000000-0004-0000-0200-000022000000}"/>
    <hyperlink ref="AG285" r:id="rId36" xr:uid="{00000000-0004-0000-0200-000023000000}"/>
    <hyperlink ref="AG60" r:id="rId37" xr:uid="{00000000-0004-0000-0200-000024000000}"/>
  </hyperlinks>
  <pageMargins left="0.7" right="0.7" top="0.75" bottom="0.75" header="0" footer="0"/>
  <pageSetup paperSize="9" orientation="portrait" r:id="rId3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92D050"/>
  </sheetPr>
  <dimension ref="A1:CB110"/>
  <sheetViews>
    <sheetView tabSelected="1" workbookViewId="0">
      <pane xSplit="3" ySplit="3" topLeftCell="D76" activePane="bottomRight" state="frozen"/>
      <selection activeCell="AD263" sqref="AD263"/>
      <selection pane="topRight" activeCell="AD263" sqref="AD263"/>
      <selection pane="bottomLeft" activeCell="AD263" sqref="AD263"/>
      <selection pane="bottomRight" activeCell="AD263" sqref="AD263"/>
    </sheetView>
  </sheetViews>
  <sheetFormatPr defaultColWidth="14.42578125" defaultRowHeight="15" customHeight="1"/>
  <cols>
    <col min="1" max="1" width="2.5703125" customWidth="1"/>
    <col min="2" max="2" width="4.140625" customWidth="1"/>
    <col min="3" max="3" width="30.28515625" customWidth="1"/>
    <col min="4" max="4" width="10.7109375" customWidth="1"/>
    <col min="5" max="5" width="16.140625" customWidth="1"/>
    <col min="6" max="6" width="11.85546875" customWidth="1"/>
    <col min="7" max="7" width="15.28515625" customWidth="1"/>
    <col min="8" max="8" width="13.42578125" customWidth="1"/>
    <col min="9" max="9" width="15.28515625" customWidth="1"/>
    <col min="10" max="10" width="14.85546875" customWidth="1"/>
    <col min="11" max="11" width="21.42578125" customWidth="1"/>
    <col min="12" max="12" width="21.140625" customWidth="1"/>
    <col min="13" max="13" width="18.5703125" customWidth="1"/>
    <col min="14" max="14" width="20" customWidth="1"/>
    <col min="15" max="15" width="28.7109375" customWidth="1"/>
    <col min="16" max="16" width="13.42578125" customWidth="1"/>
    <col min="17" max="17" width="17" customWidth="1"/>
    <col min="18" max="18" width="20.7109375" customWidth="1"/>
    <col min="19" max="19" width="23.5703125" customWidth="1"/>
    <col min="20" max="20" width="24" customWidth="1"/>
    <col min="21" max="21" width="16.42578125" customWidth="1"/>
    <col min="22" max="22" width="29.140625" customWidth="1"/>
    <col min="23" max="23" width="12.7109375" customWidth="1"/>
    <col min="24" max="24" width="16.5703125" customWidth="1"/>
    <col min="25" max="25" width="18.85546875" customWidth="1"/>
    <col min="26" max="26" width="11.42578125" customWidth="1"/>
    <col min="27" max="27" width="8.85546875" customWidth="1"/>
    <col min="28" max="28" width="13.85546875" customWidth="1"/>
    <col min="29" max="29" width="10.85546875" customWidth="1"/>
    <col min="30" max="30" width="17.140625" customWidth="1"/>
    <col min="31" max="31" width="15.5703125" customWidth="1"/>
    <col min="32" max="32" width="16.28515625" customWidth="1"/>
    <col min="33" max="33" width="11.28515625" customWidth="1"/>
    <col min="34" max="34" width="14" bestFit="1" customWidth="1"/>
    <col min="35" max="35" width="17.28515625" bestFit="1" customWidth="1"/>
    <col min="36" max="36" width="22.7109375" customWidth="1"/>
    <col min="37" max="37" width="21.5703125" customWidth="1"/>
    <col min="38" max="38" width="15.140625" customWidth="1"/>
    <col min="39" max="39" width="17.140625" customWidth="1"/>
    <col min="40" max="40" width="12.5703125" customWidth="1"/>
    <col min="41" max="41" width="15" customWidth="1"/>
    <col min="42" max="42" width="13.85546875" customWidth="1"/>
    <col min="44" max="44" width="13.140625" customWidth="1"/>
    <col min="45" max="45" width="12.7109375" customWidth="1"/>
    <col min="46" max="46" width="13.5703125" customWidth="1"/>
    <col min="47" max="47" width="12.5703125" customWidth="1"/>
    <col min="48" max="48" width="10.5703125" customWidth="1"/>
    <col min="49" max="49" width="13.5703125" customWidth="1"/>
    <col min="50" max="50" width="19.140625" customWidth="1"/>
    <col min="51" max="51" width="32.42578125" customWidth="1"/>
    <col min="52" max="52" width="13.85546875" customWidth="1"/>
    <col min="53" max="53" width="15.28515625" customWidth="1"/>
    <col min="54" max="54" width="16.42578125" customWidth="1"/>
    <col min="55" max="55" width="18" customWidth="1"/>
    <col min="56" max="56" width="13.85546875" customWidth="1"/>
    <col min="57" max="57" width="9.140625" customWidth="1"/>
    <col min="58" max="58" width="11.140625" customWidth="1"/>
    <col min="59" max="59" width="8.28515625" customWidth="1"/>
    <col min="60" max="60" width="9.5703125" customWidth="1"/>
    <col min="61" max="61" width="9.85546875" customWidth="1"/>
    <col min="62" max="62" width="7.140625" customWidth="1"/>
    <col min="63" max="63" width="7.42578125" customWidth="1"/>
    <col min="64" max="64" width="8.140625" customWidth="1"/>
    <col min="65" max="65" width="18.140625" customWidth="1"/>
    <col min="66" max="67" width="9.140625" customWidth="1"/>
    <col min="68" max="68" width="15.42578125" customWidth="1"/>
    <col min="69" max="69" width="11.42578125" customWidth="1"/>
    <col min="70" max="70" width="8.140625" customWidth="1"/>
    <col min="71" max="71" width="8.28515625" customWidth="1"/>
    <col min="72" max="72" width="9.140625" customWidth="1"/>
    <col min="73" max="73" width="14.140625" customWidth="1"/>
    <col min="74" max="75" width="9.140625" customWidth="1"/>
  </cols>
  <sheetData>
    <row r="1" spans="1:80" ht="11.25" customHeight="1">
      <c r="A1" s="147"/>
      <c r="B1" s="108"/>
      <c r="C1" s="108"/>
      <c r="D1" s="109"/>
      <c r="E1" s="113"/>
      <c r="F1" s="115"/>
      <c r="G1" s="108"/>
      <c r="H1" s="108"/>
      <c r="I1" s="111"/>
      <c r="J1" s="113"/>
      <c r="K1" s="108"/>
      <c r="L1" s="108"/>
      <c r="M1" s="108"/>
      <c r="N1" s="111"/>
      <c r="O1" s="111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11"/>
      <c r="AA1" s="108"/>
      <c r="AB1" s="111"/>
      <c r="AC1" s="108"/>
      <c r="AD1" s="108"/>
      <c r="AE1" s="108"/>
      <c r="AF1" s="108"/>
      <c r="AG1" s="115"/>
      <c r="AH1" s="115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48"/>
      <c r="BF1" s="108"/>
      <c r="BG1" s="108"/>
      <c r="BH1" s="108"/>
      <c r="BI1" s="108"/>
      <c r="BJ1" s="108"/>
      <c r="BK1" s="108"/>
      <c r="BL1" s="108"/>
      <c r="BM1" s="108"/>
      <c r="BN1" s="149"/>
      <c r="BO1" s="149"/>
      <c r="BP1" s="108"/>
      <c r="BQ1" s="108"/>
      <c r="BR1" s="149"/>
      <c r="BS1" s="149"/>
      <c r="BT1" s="108"/>
      <c r="BU1" s="108"/>
      <c r="BV1" s="111"/>
      <c r="BW1" s="111"/>
      <c r="BX1" s="147"/>
      <c r="BY1" s="150"/>
      <c r="BZ1" s="147"/>
      <c r="CA1" s="147"/>
      <c r="CB1" s="147"/>
    </row>
    <row r="2" spans="1:80" ht="11.25" customHeight="1">
      <c r="A2" s="147"/>
      <c r="B2" s="108"/>
      <c r="C2" s="151">
        <f ca="1">TODAY()</f>
        <v>45246</v>
      </c>
      <c r="D2" s="109"/>
      <c r="E2" s="113"/>
      <c r="F2" s="131"/>
      <c r="G2" s="108"/>
      <c r="H2" s="108"/>
      <c r="I2" s="111"/>
      <c r="J2" s="113"/>
      <c r="K2" s="108"/>
      <c r="L2" s="108"/>
      <c r="M2" s="108"/>
      <c r="N2" s="111"/>
      <c r="O2" s="111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11"/>
      <c r="AA2" s="108"/>
      <c r="AB2" s="111"/>
      <c r="AC2" s="108"/>
      <c r="AD2" s="108"/>
      <c r="AE2" s="108"/>
      <c r="AF2" s="109"/>
      <c r="AG2" s="115"/>
      <c r="AH2" s="131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48"/>
      <c r="BF2" s="108"/>
      <c r="BG2" s="108"/>
      <c r="BH2" s="108"/>
      <c r="BI2" s="108"/>
      <c r="BJ2" s="108"/>
      <c r="BK2" s="108"/>
      <c r="BL2" s="108"/>
      <c r="BM2" s="108"/>
      <c r="BN2" s="149"/>
      <c r="BO2" s="149"/>
      <c r="BP2" s="108"/>
      <c r="BQ2" s="108"/>
      <c r="BR2" s="149"/>
      <c r="BS2" s="149"/>
      <c r="BT2" s="108"/>
      <c r="BU2" s="108"/>
      <c r="BV2" s="111"/>
      <c r="BW2" s="111"/>
      <c r="BX2" s="147"/>
      <c r="BY2" s="150"/>
      <c r="BZ2" s="147"/>
      <c r="CA2" s="147"/>
      <c r="CB2" s="147"/>
    </row>
    <row r="3" spans="1:80" ht="39" customHeight="1">
      <c r="A3" s="147"/>
      <c r="B3" s="152" t="s">
        <v>1</v>
      </c>
      <c r="C3" s="152" t="s">
        <v>105</v>
      </c>
      <c r="D3" s="152" t="s">
        <v>106</v>
      </c>
      <c r="E3" s="153" t="s">
        <v>107</v>
      </c>
      <c r="F3" s="154" t="s">
        <v>108</v>
      </c>
      <c r="G3" s="152" t="s">
        <v>109</v>
      </c>
      <c r="H3" s="152" t="s">
        <v>110</v>
      </c>
      <c r="I3" s="152" t="s">
        <v>3112</v>
      </c>
      <c r="J3" s="154" t="s">
        <v>3113</v>
      </c>
      <c r="K3" s="152" t="s">
        <v>3114</v>
      </c>
      <c r="L3" s="152" t="s">
        <v>114</v>
      </c>
      <c r="M3" s="152" t="s">
        <v>3115</v>
      </c>
      <c r="N3" s="155" t="s">
        <v>116</v>
      </c>
      <c r="O3" s="155" t="s">
        <v>117</v>
      </c>
      <c r="P3" s="152" t="s">
        <v>118</v>
      </c>
      <c r="Q3" s="152" t="s">
        <v>53</v>
      </c>
      <c r="R3" s="152" t="s">
        <v>119</v>
      </c>
      <c r="S3" s="152" t="s">
        <v>120</v>
      </c>
      <c r="T3" s="152" t="s">
        <v>121</v>
      </c>
      <c r="U3" s="152" t="s">
        <v>122</v>
      </c>
      <c r="V3" s="152" t="s">
        <v>123</v>
      </c>
      <c r="W3" s="152" t="s">
        <v>124</v>
      </c>
      <c r="X3" s="152" t="s">
        <v>125</v>
      </c>
      <c r="Y3" s="152" t="s">
        <v>126</v>
      </c>
      <c r="Z3" s="155" t="s">
        <v>127</v>
      </c>
      <c r="AA3" s="152" t="s">
        <v>128</v>
      </c>
      <c r="AB3" s="152" t="s">
        <v>129</v>
      </c>
      <c r="AC3" s="152" t="s">
        <v>130</v>
      </c>
      <c r="AD3" s="152" t="s">
        <v>131</v>
      </c>
      <c r="AE3" s="152" t="s">
        <v>132</v>
      </c>
      <c r="AF3" s="152" t="s">
        <v>3116</v>
      </c>
      <c r="AG3" s="156" t="s">
        <v>134</v>
      </c>
      <c r="AH3" s="154" t="s">
        <v>135</v>
      </c>
      <c r="AI3" s="152" t="s">
        <v>136</v>
      </c>
      <c r="AJ3" s="152" t="s">
        <v>137</v>
      </c>
      <c r="AK3" s="152" t="s">
        <v>138</v>
      </c>
      <c r="AL3" s="152" t="s">
        <v>139</v>
      </c>
      <c r="AM3" s="152" t="s">
        <v>140</v>
      </c>
      <c r="AN3" s="152" t="s">
        <v>141</v>
      </c>
      <c r="AO3" s="152" t="s">
        <v>142</v>
      </c>
      <c r="AP3" s="152" t="s">
        <v>143</v>
      </c>
      <c r="AQ3" s="152" t="s">
        <v>144</v>
      </c>
      <c r="AR3" s="152" t="s">
        <v>145</v>
      </c>
      <c r="AS3" s="152" t="s">
        <v>146</v>
      </c>
      <c r="AT3" s="152" t="s">
        <v>147</v>
      </c>
      <c r="AU3" s="152" t="s">
        <v>148</v>
      </c>
      <c r="AV3" s="152" t="s">
        <v>149</v>
      </c>
      <c r="AW3" s="152" t="s">
        <v>150</v>
      </c>
      <c r="AX3" s="152" t="s">
        <v>151</v>
      </c>
      <c r="AY3" s="152" t="s">
        <v>152</v>
      </c>
      <c r="AZ3" s="152" t="s">
        <v>153</v>
      </c>
      <c r="BA3" s="152" t="s">
        <v>154</v>
      </c>
      <c r="BB3" s="152" t="s">
        <v>155</v>
      </c>
      <c r="BC3" s="152" t="s">
        <v>156</v>
      </c>
      <c r="BD3" s="152" t="s">
        <v>153</v>
      </c>
      <c r="BE3" s="152" t="s">
        <v>157</v>
      </c>
      <c r="BF3" s="152" t="s">
        <v>158</v>
      </c>
      <c r="BG3" s="152" t="s">
        <v>3117</v>
      </c>
      <c r="BH3" s="152" t="s">
        <v>3118</v>
      </c>
      <c r="BI3" s="152" t="s">
        <v>3119</v>
      </c>
      <c r="BJ3" s="157" t="s">
        <v>162</v>
      </c>
      <c r="BK3" s="157" t="s">
        <v>163</v>
      </c>
      <c r="BL3" s="158" t="s">
        <v>164</v>
      </c>
      <c r="BM3" s="152" t="s">
        <v>165</v>
      </c>
      <c r="BN3" s="159" t="s">
        <v>166</v>
      </c>
      <c r="BO3" s="159" t="s">
        <v>167</v>
      </c>
      <c r="BP3" s="152" t="s">
        <v>168</v>
      </c>
      <c r="BQ3" s="152" t="s">
        <v>169</v>
      </c>
      <c r="BR3" s="159" t="s">
        <v>170</v>
      </c>
      <c r="BS3" s="159" t="s">
        <v>171</v>
      </c>
      <c r="BT3" s="152" t="s">
        <v>172</v>
      </c>
      <c r="BU3" s="152" t="s">
        <v>173</v>
      </c>
      <c r="BV3" s="155" t="s">
        <v>174</v>
      </c>
      <c r="BW3" s="155" t="s">
        <v>175</v>
      </c>
      <c r="BX3" s="152" t="s">
        <v>176</v>
      </c>
      <c r="BY3" s="155" t="s">
        <v>3120</v>
      </c>
      <c r="BZ3" s="152" t="s">
        <v>3121</v>
      </c>
      <c r="CA3" s="152" t="s">
        <v>3122</v>
      </c>
      <c r="CB3" s="147"/>
    </row>
    <row r="4" spans="1:80" ht="11.25" customHeight="1">
      <c r="A4" s="147"/>
      <c r="B4" s="108">
        <v>1</v>
      </c>
      <c r="C4" s="108" t="s">
        <v>3123</v>
      </c>
      <c r="D4" s="109">
        <v>971500001</v>
      </c>
      <c r="E4" s="113">
        <v>1710003934802</v>
      </c>
      <c r="F4" s="160"/>
      <c r="G4" s="108" t="s">
        <v>71</v>
      </c>
      <c r="H4" s="108" t="s">
        <v>71</v>
      </c>
      <c r="I4" s="111">
        <v>41884</v>
      </c>
      <c r="J4" s="113">
        <f t="shared" ref="J4:J105" si="0">DATEDIF(I4,BY4,"y")</f>
        <v>5</v>
      </c>
      <c r="K4" s="108">
        <f t="shared" ref="K4:K105" si="1">DATEDIF(I4,BY4,"yM")</f>
        <v>7</v>
      </c>
      <c r="L4" s="108" t="str">
        <f t="shared" ref="L4:L105" si="2">IF(LEFT(D4,2)="97","Tetap",IF(LEFT(D4,2)="75","Capeg",IF(LEFT(D4,2)="64","PKWT",IF(LEFT(D4,2)="99","Organik","Resign"))))</f>
        <v>Tetap</v>
      </c>
      <c r="M4" s="108"/>
      <c r="N4" s="150"/>
      <c r="O4" s="111"/>
      <c r="P4" s="108" t="s">
        <v>261</v>
      </c>
      <c r="Q4" s="108" t="s">
        <v>197</v>
      </c>
      <c r="R4" s="108"/>
      <c r="S4" s="108"/>
      <c r="T4" s="108"/>
      <c r="U4" s="108"/>
      <c r="V4" s="108"/>
      <c r="W4" s="108"/>
      <c r="X4" s="108" t="s">
        <v>60</v>
      </c>
      <c r="Y4" s="161" t="s">
        <v>3124</v>
      </c>
      <c r="Z4" s="111">
        <v>29922</v>
      </c>
      <c r="AA4" s="108">
        <f t="shared" ref="AA4:AA109" ca="1" si="3">DATEDIF(Z4,$C$2,"y")</f>
        <v>41</v>
      </c>
      <c r="AB4" s="108" t="s">
        <v>3125</v>
      </c>
      <c r="AC4" s="108" t="s">
        <v>3126</v>
      </c>
      <c r="AD4" s="108" t="s">
        <v>3127</v>
      </c>
      <c r="AE4" s="108"/>
      <c r="AF4" s="147"/>
      <c r="AG4" s="160"/>
      <c r="AH4" s="115"/>
      <c r="AI4" s="108" t="s">
        <v>255</v>
      </c>
      <c r="AJ4" s="108"/>
      <c r="AK4" s="108"/>
      <c r="AL4" s="108"/>
      <c r="AM4" s="108"/>
      <c r="AN4" s="108"/>
      <c r="AO4" s="108"/>
      <c r="AP4" s="108"/>
      <c r="AQ4" s="108"/>
      <c r="AR4" s="108"/>
      <c r="AS4" s="147"/>
      <c r="AT4" s="147"/>
      <c r="AU4" s="147"/>
      <c r="AV4" s="108" t="s">
        <v>74</v>
      </c>
      <c r="AW4" s="108" t="s">
        <v>12</v>
      </c>
      <c r="AX4" s="108" t="s">
        <v>3128</v>
      </c>
      <c r="AY4" s="108"/>
      <c r="AZ4" s="108"/>
      <c r="BA4" s="108" t="s">
        <v>12</v>
      </c>
      <c r="BB4" s="108" t="s">
        <v>3128</v>
      </c>
      <c r="BC4" s="108"/>
      <c r="BD4" s="108"/>
      <c r="BE4" s="108"/>
      <c r="BF4" s="108"/>
      <c r="BG4" s="108"/>
      <c r="BH4" s="147"/>
      <c r="BI4" s="147"/>
      <c r="BJ4" s="108"/>
      <c r="BK4" s="108"/>
      <c r="BL4" s="108"/>
      <c r="BM4" s="108"/>
      <c r="BN4" s="149"/>
      <c r="BO4" s="149"/>
      <c r="BP4" s="108"/>
      <c r="BQ4" s="108"/>
      <c r="BR4" s="149"/>
      <c r="BS4" s="149"/>
      <c r="BT4" s="108"/>
      <c r="BU4" s="108"/>
      <c r="BV4" s="111"/>
      <c r="BW4" s="111"/>
      <c r="BX4" s="108"/>
      <c r="BY4" s="111">
        <v>43948</v>
      </c>
      <c r="BZ4" s="108" t="s">
        <v>3129</v>
      </c>
      <c r="CA4" s="108" t="s">
        <v>3130</v>
      </c>
      <c r="CB4" s="147" t="e">
        <f>VLOOKUP(C4,[1]Sertifikasi!$B$4:$I$19,8,0)</f>
        <v>#N/A</v>
      </c>
    </row>
    <row r="5" spans="1:80" ht="11.25" customHeight="1">
      <c r="A5" s="147"/>
      <c r="B5" s="108">
        <v>2</v>
      </c>
      <c r="C5" s="108" t="s">
        <v>3131</v>
      </c>
      <c r="D5" s="109">
        <v>641805150</v>
      </c>
      <c r="E5" s="113">
        <v>1710004257765</v>
      </c>
      <c r="F5" s="160"/>
      <c r="G5" s="108" t="s">
        <v>71</v>
      </c>
      <c r="H5" s="108" t="s">
        <v>842</v>
      </c>
      <c r="I5" s="111">
        <v>43227</v>
      </c>
      <c r="J5" s="113">
        <f t="shared" si="0"/>
        <v>2</v>
      </c>
      <c r="K5" s="108">
        <f t="shared" si="1"/>
        <v>1</v>
      </c>
      <c r="L5" s="108" t="str">
        <f t="shared" si="2"/>
        <v>PKWT</v>
      </c>
      <c r="M5" s="108"/>
      <c r="N5" s="111">
        <v>43957</v>
      </c>
      <c r="O5" s="147"/>
      <c r="P5" s="108" t="s">
        <v>213</v>
      </c>
      <c r="Q5" s="108" t="s">
        <v>1276</v>
      </c>
      <c r="R5" s="108" t="s">
        <v>275</v>
      </c>
      <c r="S5" s="108" t="s">
        <v>3132</v>
      </c>
      <c r="T5" s="108"/>
      <c r="U5" s="162"/>
      <c r="V5" s="162"/>
      <c r="W5" s="147"/>
      <c r="X5" s="147" t="s">
        <v>59</v>
      </c>
      <c r="Y5" s="108" t="s">
        <v>842</v>
      </c>
      <c r="Z5" s="111">
        <v>32741</v>
      </c>
      <c r="AA5" s="108">
        <f t="shared" ca="1" si="3"/>
        <v>34</v>
      </c>
      <c r="AB5" s="108" t="s">
        <v>3133</v>
      </c>
      <c r="AC5" s="108" t="s">
        <v>3134</v>
      </c>
      <c r="AD5" s="109" t="s">
        <v>3135</v>
      </c>
      <c r="AE5" s="147"/>
      <c r="AF5" s="147"/>
      <c r="AG5" s="115" t="s">
        <v>3136</v>
      </c>
      <c r="AH5" s="131">
        <v>18035613472</v>
      </c>
      <c r="AI5" s="108" t="s">
        <v>255</v>
      </c>
      <c r="AJ5" s="108"/>
      <c r="AK5" s="108"/>
      <c r="AL5" s="108"/>
      <c r="AM5" s="108"/>
      <c r="AN5" s="108"/>
      <c r="AO5" s="108"/>
      <c r="AP5" s="108"/>
      <c r="AQ5" s="108"/>
      <c r="AR5" s="108"/>
      <c r="AS5" s="147"/>
      <c r="AT5" s="147"/>
      <c r="AU5" s="147"/>
      <c r="AV5" s="108" t="s">
        <v>74</v>
      </c>
      <c r="AW5" s="108" t="s">
        <v>287</v>
      </c>
      <c r="AX5" s="108" t="s">
        <v>3137</v>
      </c>
      <c r="AY5" s="108"/>
      <c r="AZ5" s="108"/>
      <c r="BA5" s="108" t="s">
        <v>287</v>
      </c>
      <c r="BB5" s="108" t="s">
        <v>3137</v>
      </c>
      <c r="BC5" s="108"/>
      <c r="BD5" s="108"/>
      <c r="BE5" s="108"/>
      <c r="BF5" s="108"/>
      <c r="BG5" s="108"/>
      <c r="BH5" s="147"/>
      <c r="BI5" s="147"/>
      <c r="BJ5" s="108"/>
      <c r="BK5" s="108"/>
      <c r="BL5" s="108"/>
      <c r="BM5" s="108"/>
      <c r="BN5" s="149"/>
      <c r="BO5" s="149"/>
      <c r="BP5" s="108"/>
      <c r="BQ5" s="108"/>
      <c r="BR5" s="149"/>
      <c r="BS5" s="149"/>
      <c r="BT5" s="108"/>
      <c r="BU5" s="108"/>
      <c r="BV5" s="111"/>
      <c r="BW5" s="111"/>
      <c r="BX5" s="108"/>
      <c r="BY5" s="111">
        <v>44012</v>
      </c>
      <c r="BZ5" s="108" t="s">
        <v>3138</v>
      </c>
      <c r="CA5" s="108" t="s">
        <v>3139</v>
      </c>
      <c r="CB5" s="147" t="e">
        <f>VLOOKUP(C5,[1]Sertifikasi!$B$4:$I$19,8,0)</f>
        <v>#N/A</v>
      </c>
    </row>
    <row r="6" spans="1:80" ht="11.25" customHeight="1">
      <c r="A6" s="147"/>
      <c r="B6" s="108">
        <v>3</v>
      </c>
      <c r="C6" s="108" t="s">
        <v>3140</v>
      </c>
      <c r="D6" s="109">
        <v>642001001</v>
      </c>
      <c r="E6" s="113">
        <v>1710004029370</v>
      </c>
      <c r="F6" s="160"/>
      <c r="G6" s="108" t="s">
        <v>71</v>
      </c>
      <c r="H6" s="108" t="s">
        <v>71</v>
      </c>
      <c r="I6" s="116">
        <v>42125</v>
      </c>
      <c r="J6" s="113">
        <f t="shared" si="0"/>
        <v>5</v>
      </c>
      <c r="K6" s="108">
        <f t="shared" si="1"/>
        <v>2</v>
      </c>
      <c r="L6" s="108" t="str">
        <f t="shared" si="2"/>
        <v>PKWT</v>
      </c>
      <c r="M6" s="108"/>
      <c r="N6" s="111">
        <v>44196</v>
      </c>
      <c r="O6" s="147"/>
      <c r="P6" s="108" t="s">
        <v>213</v>
      </c>
      <c r="Q6" s="108" t="s">
        <v>259</v>
      </c>
      <c r="R6" s="108" t="s">
        <v>262</v>
      </c>
      <c r="S6" s="108" t="s">
        <v>89</v>
      </c>
      <c r="T6" s="108"/>
      <c r="U6" s="162"/>
      <c r="V6" s="108" t="s">
        <v>277</v>
      </c>
      <c r="W6" s="147"/>
      <c r="X6" s="147" t="s">
        <v>59</v>
      </c>
      <c r="Y6" s="108" t="s">
        <v>71</v>
      </c>
      <c r="Z6" s="111">
        <v>28277</v>
      </c>
      <c r="AA6" s="108">
        <f t="shared" ca="1" si="3"/>
        <v>46</v>
      </c>
      <c r="AB6" s="131">
        <v>3519030107770010</v>
      </c>
      <c r="AC6" s="108" t="s">
        <v>3141</v>
      </c>
      <c r="AD6" s="109" t="s">
        <v>3142</v>
      </c>
      <c r="AE6" s="147"/>
      <c r="AF6" s="147"/>
      <c r="AG6" s="115" t="s">
        <v>3143</v>
      </c>
      <c r="AH6" s="131">
        <v>16006272401</v>
      </c>
      <c r="AI6" s="108" t="s">
        <v>189</v>
      </c>
      <c r="AJ6" s="108"/>
      <c r="AK6" s="108"/>
      <c r="AL6" s="108"/>
      <c r="AM6" s="108"/>
      <c r="AN6" s="163"/>
      <c r="AO6" s="163"/>
      <c r="AP6" s="163"/>
      <c r="AQ6" s="163"/>
      <c r="AR6" s="163"/>
      <c r="AS6" s="147"/>
      <c r="AT6" s="147"/>
      <c r="AU6" s="147"/>
      <c r="AV6" s="108" t="s">
        <v>74</v>
      </c>
      <c r="AW6" s="108" t="s">
        <v>287</v>
      </c>
      <c r="AX6" s="108" t="s">
        <v>3137</v>
      </c>
      <c r="AY6" s="108"/>
      <c r="AZ6" s="108"/>
      <c r="BA6" s="108" t="s">
        <v>287</v>
      </c>
      <c r="BB6" s="108" t="s">
        <v>3137</v>
      </c>
      <c r="BC6" s="108"/>
      <c r="BD6" s="108"/>
      <c r="BE6" s="108"/>
      <c r="BF6" s="108"/>
      <c r="BG6" s="108"/>
      <c r="BH6" s="147"/>
      <c r="BI6" s="147"/>
      <c r="BJ6" s="108"/>
      <c r="BK6" s="108"/>
      <c r="BL6" s="108"/>
      <c r="BM6" s="108"/>
      <c r="BN6" s="149"/>
      <c r="BO6" s="149"/>
      <c r="BP6" s="108"/>
      <c r="BQ6" s="108"/>
      <c r="BR6" s="149"/>
      <c r="BS6" s="149"/>
      <c r="BT6" s="108"/>
      <c r="BU6" s="108"/>
      <c r="BV6" s="111"/>
      <c r="BW6" s="111"/>
      <c r="BX6" s="108"/>
      <c r="BY6" s="111">
        <v>44043</v>
      </c>
      <c r="BZ6" s="108" t="s">
        <v>3144</v>
      </c>
      <c r="CA6" s="108" t="s">
        <v>3145</v>
      </c>
      <c r="CB6" s="147" t="e">
        <f>VLOOKUP(C6,[1]Sertifikasi!$B$4:$I$19,8,0)</f>
        <v>#N/A</v>
      </c>
    </row>
    <row r="7" spans="1:80" ht="11.25" customHeight="1">
      <c r="A7" s="147"/>
      <c r="B7" s="108">
        <v>4</v>
      </c>
      <c r="C7" s="108" t="s">
        <v>3146</v>
      </c>
      <c r="D7" s="109">
        <v>642002082</v>
      </c>
      <c r="E7" s="113">
        <v>1710006361201</v>
      </c>
      <c r="F7" s="160"/>
      <c r="G7" s="108" t="s">
        <v>36</v>
      </c>
      <c r="H7" s="108" t="s">
        <v>36</v>
      </c>
      <c r="I7" s="111">
        <v>43891</v>
      </c>
      <c r="J7" s="113">
        <f t="shared" si="0"/>
        <v>0</v>
      </c>
      <c r="K7" s="108">
        <f t="shared" si="1"/>
        <v>6</v>
      </c>
      <c r="L7" s="108" t="str">
        <f t="shared" si="2"/>
        <v>PKWT</v>
      </c>
      <c r="M7" s="108"/>
      <c r="N7" s="111">
        <v>44255</v>
      </c>
      <c r="O7" s="147"/>
      <c r="P7" s="108" t="s">
        <v>213</v>
      </c>
      <c r="Q7" s="108" t="s">
        <v>36</v>
      </c>
      <c r="R7" s="108" t="s">
        <v>275</v>
      </c>
      <c r="S7" s="108" t="s">
        <v>87</v>
      </c>
      <c r="T7" s="108"/>
      <c r="U7" s="108"/>
      <c r="V7" s="108"/>
      <c r="W7" s="147"/>
      <c r="X7" s="147" t="s">
        <v>59</v>
      </c>
      <c r="Y7" s="108" t="s">
        <v>3147</v>
      </c>
      <c r="Z7" s="111">
        <v>35682</v>
      </c>
      <c r="AA7" s="108">
        <f t="shared" ca="1" si="3"/>
        <v>26</v>
      </c>
      <c r="AB7" s="108" t="s">
        <v>3148</v>
      </c>
      <c r="AC7" s="108" t="s">
        <v>3149</v>
      </c>
      <c r="AD7" s="109" t="s">
        <v>3150</v>
      </c>
      <c r="AE7" s="147"/>
      <c r="AF7" s="147"/>
      <c r="AG7" s="115"/>
      <c r="AH7" s="131"/>
      <c r="AI7" s="108" t="s">
        <v>255</v>
      </c>
      <c r="AJ7" s="108"/>
      <c r="AK7" s="108"/>
      <c r="AL7" s="108"/>
      <c r="AM7" s="108"/>
      <c r="AN7" s="108"/>
      <c r="AO7" s="108"/>
      <c r="AP7" s="108"/>
      <c r="AQ7" s="108"/>
      <c r="AR7" s="108"/>
      <c r="AS7" s="147"/>
      <c r="AT7" s="147"/>
      <c r="AU7" s="147"/>
      <c r="AV7" s="108" t="s">
        <v>74</v>
      </c>
      <c r="AW7" s="108" t="s">
        <v>13</v>
      </c>
      <c r="AX7" s="108" t="s">
        <v>3151</v>
      </c>
      <c r="AY7" s="108"/>
      <c r="AZ7" s="108"/>
      <c r="BA7" s="108" t="s">
        <v>13</v>
      </c>
      <c r="BB7" s="108" t="s">
        <v>3151</v>
      </c>
      <c r="BC7" s="108"/>
      <c r="BD7" s="108"/>
      <c r="BE7" s="108"/>
      <c r="BF7" s="108"/>
      <c r="BG7" s="108"/>
      <c r="BH7" s="147"/>
      <c r="BI7" s="147"/>
      <c r="BJ7" s="108"/>
      <c r="BK7" s="108"/>
      <c r="BL7" s="108"/>
      <c r="BM7" s="108"/>
      <c r="BN7" s="149"/>
      <c r="BO7" s="149"/>
      <c r="BP7" s="108"/>
      <c r="BQ7" s="108"/>
      <c r="BR7" s="149"/>
      <c r="BS7" s="149"/>
      <c r="BT7" s="108"/>
      <c r="BU7" s="108"/>
      <c r="BV7" s="111"/>
      <c r="BW7" s="111"/>
      <c r="BX7" s="108"/>
      <c r="BY7" s="111">
        <v>44104</v>
      </c>
      <c r="BZ7" s="108" t="s">
        <v>3144</v>
      </c>
      <c r="CA7" s="108"/>
      <c r="CB7" s="147" t="e">
        <f>VLOOKUP(C7,[1]Sertifikasi!$B$4:$I$19,8,0)</f>
        <v>#N/A</v>
      </c>
    </row>
    <row r="8" spans="1:80" ht="11.25" customHeight="1">
      <c r="A8" s="147"/>
      <c r="B8" s="108">
        <v>5</v>
      </c>
      <c r="C8" s="108" t="s">
        <v>3152</v>
      </c>
      <c r="D8" s="109">
        <v>641810200</v>
      </c>
      <c r="E8" s="113">
        <v>1710004810902</v>
      </c>
      <c r="F8" s="160"/>
      <c r="G8" s="108" t="s">
        <v>575</v>
      </c>
      <c r="H8" s="108" t="s">
        <v>575</v>
      </c>
      <c r="I8" s="111">
        <v>43395</v>
      </c>
      <c r="J8" s="113">
        <f t="shared" si="0"/>
        <v>2</v>
      </c>
      <c r="K8" s="108">
        <f t="shared" si="1"/>
        <v>0</v>
      </c>
      <c r="L8" s="108" t="str">
        <f t="shared" si="2"/>
        <v>PKWT</v>
      </c>
      <c r="M8" s="108"/>
      <c r="N8" s="111">
        <v>44125</v>
      </c>
      <c r="O8" s="147"/>
      <c r="P8" s="108" t="s">
        <v>213</v>
      </c>
      <c r="Q8" s="108" t="s">
        <v>575</v>
      </c>
      <c r="R8" s="108" t="s">
        <v>262</v>
      </c>
      <c r="S8" s="108" t="s">
        <v>92</v>
      </c>
      <c r="T8" s="108"/>
      <c r="U8" s="162"/>
      <c r="V8" s="162"/>
      <c r="W8" s="147"/>
      <c r="X8" s="147" t="s">
        <v>59</v>
      </c>
      <c r="Y8" s="108" t="s">
        <v>575</v>
      </c>
      <c r="Z8" s="111">
        <v>32280</v>
      </c>
      <c r="AA8" s="108">
        <f t="shared" ca="1" si="3"/>
        <v>35</v>
      </c>
      <c r="AB8" s="108" t="s">
        <v>3153</v>
      </c>
      <c r="AC8" s="108" t="s">
        <v>3154</v>
      </c>
      <c r="AD8" s="109" t="s">
        <v>3155</v>
      </c>
      <c r="AE8" s="147"/>
      <c r="AF8" s="147"/>
      <c r="AG8" s="115" t="s">
        <v>3156</v>
      </c>
      <c r="AH8" s="115">
        <v>18099947550</v>
      </c>
      <c r="AI8" s="108" t="s">
        <v>189</v>
      </c>
      <c r="AJ8" s="108"/>
      <c r="AK8" s="108"/>
      <c r="AL8" s="108"/>
      <c r="AM8" s="108"/>
      <c r="AN8" s="163"/>
      <c r="AO8" s="163"/>
      <c r="AP8" s="163"/>
      <c r="AQ8" s="163"/>
      <c r="AR8" s="163"/>
      <c r="AS8" s="147"/>
      <c r="AT8" s="147"/>
      <c r="AU8" s="147"/>
      <c r="AV8" s="108" t="s">
        <v>74</v>
      </c>
      <c r="AW8" s="108" t="s">
        <v>287</v>
      </c>
      <c r="AX8" s="108" t="s">
        <v>3137</v>
      </c>
      <c r="AY8" s="108"/>
      <c r="AZ8" s="108"/>
      <c r="BA8" s="108" t="s">
        <v>287</v>
      </c>
      <c r="BB8" s="108" t="s">
        <v>3137</v>
      </c>
      <c r="BC8" s="108"/>
      <c r="BD8" s="108"/>
      <c r="BE8" s="108"/>
      <c r="BF8" s="108"/>
      <c r="BG8" s="108"/>
      <c r="BH8" s="147"/>
      <c r="BI8" s="147"/>
      <c r="BJ8" s="108"/>
      <c r="BK8" s="108"/>
      <c r="BL8" s="108"/>
      <c r="BM8" s="108"/>
      <c r="BN8" s="149"/>
      <c r="BO8" s="149"/>
      <c r="BP8" s="108"/>
      <c r="BQ8" s="108"/>
      <c r="BR8" s="149"/>
      <c r="BS8" s="149"/>
      <c r="BT8" s="108"/>
      <c r="BU8" s="108"/>
      <c r="BV8" s="111"/>
      <c r="BW8" s="111"/>
      <c r="BX8" s="108"/>
      <c r="BY8" s="111">
        <v>44135</v>
      </c>
      <c r="BZ8" s="108" t="s">
        <v>3138</v>
      </c>
      <c r="CA8" s="108" t="s">
        <v>3157</v>
      </c>
      <c r="CB8" s="147" t="e">
        <f>VLOOKUP(C8,[1]Sertifikasi!$B$4:$I$19,8,0)</f>
        <v>#N/A</v>
      </c>
    </row>
    <row r="9" spans="1:80" ht="11.25" customHeight="1">
      <c r="A9" s="147"/>
      <c r="B9" s="108">
        <v>6</v>
      </c>
      <c r="C9" s="108" t="s">
        <v>3158</v>
      </c>
      <c r="D9" s="109">
        <v>641907280</v>
      </c>
      <c r="E9" s="113">
        <v>1710004028976</v>
      </c>
      <c r="F9" s="160"/>
      <c r="G9" s="113" t="s">
        <v>71</v>
      </c>
      <c r="H9" s="108" t="s">
        <v>409</v>
      </c>
      <c r="I9" s="111">
        <v>43678</v>
      </c>
      <c r="J9" s="113">
        <f t="shared" si="0"/>
        <v>1</v>
      </c>
      <c r="K9" s="108">
        <f t="shared" si="1"/>
        <v>2</v>
      </c>
      <c r="L9" s="108" t="str">
        <f t="shared" si="2"/>
        <v>PKWT</v>
      </c>
      <c r="M9" s="108"/>
      <c r="N9" s="111">
        <v>44196</v>
      </c>
      <c r="O9" s="147"/>
      <c r="P9" s="108" t="s">
        <v>261</v>
      </c>
      <c r="Q9" s="108" t="s">
        <v>33</v>
      </c>
      <c r="R9" s="108" t="s">
        <v>3159</v>
      </c>
      <c r="S9" s="108" t="s">
        <v>3159</v>
      </c>
      <c r="T9" s="108" t="s">
        <v>180</v>
      </c>
      <c r="U9" s="108"/>
      <c r="V9" s="108" t="s">
        <v>277</v>
      </c>
      <c r="W9" s="108"/>
      <c r="X9" s="108" t="s">
        <v>59</v>
      </c>
      <c r="Y9" s="108" t="s">
        <v>71</v>
      </c>
      <c r="Z9" s="111">
        <v>31932</v>
      </c>
      <c r="AA9" s="108">
        <f t="shared" ca="1" si="3"/>
        <v>36</v>
      </c>
      <c r="AB9" s="164" t="s">
        <v>3160</v>
      </c>
      <c r="AC9" s="108" t="s">
        <v>3161</v>
      </c>
      <c r="AD9" s="141" t="s">
        <v>3162</v>
      </c>
      <c r="AE9" s="147"/>
      <c r="AF9" s="165" t="s">
        <v>3163</v>
      </c>
      <c r="AG9" s="160"/>
      <c r="AH9" s="115"/>
      <c r="AI9" s="108" t="s">
        <v>189</v>
      </c>
      <c r="AJ9" s="108"/>
      <c r="AK9" s="108"/>
      <c r="AL9" s="108"/>
      <c r="AM9" s="108"/>
      <c r="AN9" s="113"/>
      <c r="AO9" s="113"/>
      <c r="AP9" s="113"/>
      <c r="AQ9" s="113"/>
      <c r="AR9" s="113"/>
      <c r="AS9" s="147"/>
      <c r="AT9" s="147"/>
      <c r="AU9" s="147"/>
      <c r="AV9" s="113" t="s">
        <v>74</v>
      </c>
      <c r="AW9" s="108" t="s">
        <v>16</v>
      </c>
      <c r="AX9" s="108" t="s">
        <v>3164</v>
      </c>
      <c r="AY9" s="108"/>
      <c r="AZ9" s="108"/>
      <c r="BA9" s="108" t="s">
        <v>16</v>
      </c>
      <c r="BB9" s="108" t="s">
        <v>3164</v>
      </c>
      <c r="BC9" s="108"/>
      <c r="BD9" s="108"/>
      <c r="BE9" s="108"/>
      <c r="BF9" s="108"/>
      <c r="BG9" s="108"/>
      <c r="BH9" s="147"/>
      <c r="BI9" s="147"/>
      <c r="BJ9" s="108"/>
      <c r="BK9" s="108"/>
      <c r="BL9" s="108"/>
      <c r="BM9" s="108"/>
      <c r="BN9" s="149"/>
      <c r="BO9" s="149"/>
      <c r="BP9" s="108"/>
      <c r="BQ9" s="108"/>
      <c r="BR9" s="149"/>
      <c r="BS9" s="149"/>
      <c r="BT9" s="108"/>
      <c r="BU9" s="108"/>
      <c r="BV9" s="111"/>
      <c r="BW9" s="111"/>
      <c r="BX9" s="108"/>
      <c r="BY9" s="111">
        <v>44135</v>
      </c>
      <c r="BZ9" s="108" t="s">
        <v>3144</v>
      </c>
      <c r="CA9" s="108"/>
      <c r="CB9" s="147" t="e">
        <f>VLOOKUP(C9,[1]Sertifikasi!$B$4:$I$19,8,0)</f>
        <v>#N/A</v>
      </c>
    </row>
    <row r="10" spans="1:80">
      <c r="A10" s="147"/>
      <c r="B10" s="108">
        <v>7</v>
      </c>
      <c r="C10" s="108" t="s">
        <v>1597</v>
      </c>
      <c r="D10" s="109">
        <v>642002084</v>
      </c>
      <c r="E10" s="113">
        <v>1710006361177</v>
      </c>
      <c r="F10" s="160"/>
      <c r="G10" s="108" t="s">
        <v>37</v>
      </c>
      <c r="H10" s="108" t="s">
        <v>37</v>
      </c>
      <c r="I10" s="111">
        <v>43891</v>
      </c>
      <c r="J10" s="113">
        <f t="shared" si="0"/>
        <v>0</v>
      </c>
      <c r="K10" s="108">
        <f t="shared" si="1"/>
        <v>9</v>
      </c>
      <c r="L10" s="108" t="str">
        <f t="shared" si="2"/>
        <v>PKWT</v>
      </c>
      <c r="M10" s="108"/>
      <c r="N10" s="111">
        <v>44255</v>
      </c>
      <c r="O10" s="147"/>
      <c r="P10" s="108" t="s">
        <v>213</v>
      </c>
      <c r="Q10" s="108" t="s">
        <v>37</v>
      </c>
      <c r="R10" s="108" t="s">
        <v>476</v>
      </c>
      <c r="S10" s="108" t="s">
        <v>3165</v>
      </c>
      <c r="T10" s="108"/>
      <c r="U10" s="162"/>
      <c r="V10" s="108"/>
      <c r="W10" s="147"/>
      <c r="X10" s="147" t="s">
        <v>59</v>
      </c>
      <c r="Y10" s="108" t="s">
        <v>864</v>
      </c>
      <c r="Z10" s="111">
        <v>32509</v>
      </c>
      <c r="AA10" s="108">
        <f t="shared" ca="1" si="3"/>
        <v>34</v>
      </c>
      <c r="AB10" s="108" t="s">
        <v>3166</v>
      </c>
      <c r="AC10" s="108" t="s">
        <v>3167</v>
      </c>
      <c r="AD10" s="109" t="s">
        <v>3168</v>
      </c>
      <c r="AE10" s="147"/>
      <c r="AF10" s="115" t="s">
        <v>3169</v>
      </c>
      <c r="AG10" s="115" t="s">
        <v>3170</v>
      </c>
      <c r="AH10" s="115">
        <v>20024319764</v>
      </c>
      <c r="AI10" s="108" t="s">
        <v>189</v>
      </c>
      <c r="AJ10" s="108"/>
      <c r="AK10" s="108"/>
      <c r="AL10" s="108"/>
      <c r="AM10" s="108"/>
      <c r="AN10" s="147"/>
      <c r="AO10" s="147"/>
      <c r="AP10" s="147"/>
      <c r="AQ10" s="147"/>
      <c r="AR10" s="147"/>
      <c r="AS10" s="147"/>
      <c r="AT10" s="147"/>
      <c r="AU10" s="147"/>
      <c r="AV10" s="108" t="s">
        <v>74</v>
      </c>
      <c r="AW10" s="108" t="s">
        <v>391</v>
      </c>
      <c r="AX10" s="108" t="s">
        <v>450</v>
      </c>
      <c r="AY10" s="108"/>
      <c r="AZ10" s="108"/>
      <c r="BA10" s="108" t="s">
        <v>391</v>
      </c>
      <c r="BB10" s="108" t="s">
        <v>450</v>
      </c>
      <c r="BC10" s="108"/>
      <c r="BD10" s="108"/>
      <c r="BE10" s="108"/>
      <c r="BF10" s="108"/>
      <c r="BG10" s="108"/>
      <c r="BH10" s="147"/>
      <c r="BI10" s="147"/>
      <c r="BJ10" s="108"/>
      <c r="BK10" s="147"/>
      <c r="BL10" s="147"/>
      <c r="BM10" s="147"/>
      <c r="BN10" s="166"/>
      <c r="BO10" s="166"/>
      <c r="BP10" s="147"/>
      <c r="BQ10" s="147"/>
      <c r="BR10" s="166"/>
      <c r="BS10" s="166"/>
      <c r="BT10" s="108"/>
      <c r="BU10" s="108"/>
      <c r="BV10" s="111"/>
      <c r="BW10" s="111"/>
      <c r="BX10" s="108"/>
      <c r="BY10" s="111">
        <v>44179</v>
      </c>
      <c r="BZ10" s="108" t="s">
        <v>3129</v>
      </c>
      <c r="CA10" s="108" t="s">
        <v>3171</v>
      </c>
      <c r="CB10" s="147" t="e">
        <f>VLOOKUP(C10,[1]Sertifikasi!$B$4:$I$19,8,0)</f>
        <v>#N/A</v>
      </c>
    </row>
    <row r="11" spans="1:80" ht="11.25" customHeight="1">
      <c r="A11" s="147"/>
      <c r="B11" s="108">
        <v>8</v>
      </c>
      <c r="C11" s="128" t="s">
        <v>3172</v>
      </c>
      <c r="D11" s="109">
        <v>971700012</v>
      </c>
      <c r="E11" s="113">
        <v>1710003919878</v>
      </c>
      <c r="F11" s="160"/>
      <c r="G11" s="113" t="s">
        <v>71</v>
      </c>
      <c r="H11" s="108" t="s">
        <v>71</v>
      </c>
      <c r="I11" s="111">
        <v>42471</v>
      </c>
      <c r="J11" s="113">
        <f t="shared" si="0"/>
        <v>4</v>
      </c>
      <c r="K11" s="108">
        <f t="shared" si="1"/>
        <v>8</v>
      </c>
      <c r="L11" s="108" t="str">
        <f t="shared" si="2"/>
        <v>Tetap</v>
      </c>
      <c r="M11" s="108"/>
      <c r="N11" s="116"/>
      <c r="O11" s="147"/>
      <c r="P11" s="108" t="s">
        <v>6</v>
      </c>
      <c r="Q11" s="108" t="s">
        <v>197</v>
      </c>
      <c r="R11" s="108" t="s">
        <v>793</v>
      </c>
      <c r="S11" s="108" t="s">
        <v>3173</v>
      </c>
      <c r="T11" s="108" t="s">
        <v>661</v>
      </c>
      <c r="U11" s="108" t="s">
        <v>247</v>
      </c>
      <c r="V11" s="108"/>
      <c r="W11" s="108"/>
      <c r="X11" s="108" t="s">
        <v>60</v>
      </c>
      <c r="Y11" s="108" t="s">
        <v>71</v>
      </c>
      <c r="Z11" s="111">
        <v>33783</v>
      </c>
      <c r="AA11" s="108">
        <f t="shared" ca="1" si="3"/>
        <v>31</v>
      </c>
      <c r="AB11" s="108" t="s">
        <v>3174</v>
      </c>
      <c r="AC11" s="108" t="s">
        <v>3175</v>
      </c>
      <c r="AD11" s="108" t="s">
        <v>3176</v>
      </c>
      <c r="AE11" s="147"/>
      <c r="AF11" s="165" t="s">
        <v>3177</v>
      </c>
      <c r="AG11" s="115" t="s">
        <v>3178</v>
      </c>
      <c r="AH11" s="115">
        <v>17028714230</v>
      </c>
      <c r="AI11" s="108" t="s">
        <v>255</v>
      </c>
      <c r="AJ11" s="108"/>
      <c r="AK11" s="108"/>
      <c r="AL11" s="108"/>
      <c r="AM11" s="108"/>
      <c r="AN11" s="147"/>
      <c r="AO11" s="147"/>
      <c r="AP11" s="147"/>
      <c r="AQ11" s="147"/>
      <c r="AR11" s="147"/>
      <c r="AS11" s="147"/>
      <c r="AT11" s="147"/>
      <c r="AU11" s="147"/>
      <c r="AV11" s="113" t="s">
        <v>74</v>
      </c>
      <c r="AW11" s="108" t="s">
        <v>12</v>
      </c>
      <c r="AX11" s="108" t="s">
        <v>3179</v>
      </c>
      <c r="AY11" s="108" t="s">
        <v>3180</v>
      </c>
      <c r="AZ11" s="108"/>
      <c r="BA11" s="108" t="s">
        <v>12</v>
      </c>
      <c r="BB11" s="108" t="s">
        <v>3179</v>
      </c>
      <c r="BC11" s="108" t="s">
        <v>3180</v>
      </c>
      <c r="BD11" s="108"/>
      <c r="BE11" s="108"/>
      <c r="BF11" s="108"/>
      <c r="BG11" s="108"/>
      <c r="BH11" s="147"/>
      <c r="BI11" s="147"/>
      <c r="BJ11" s="108"/>
      <c r="BK11" s="108"/>
      <c r="BL11" s="108"/>
      <c r="BM11" s="108"/>
      <c r="BN11" s="149"/>
      <c r="BO11" s="149"/>
      <c r="BP11" s="108"/>
      <c r="BQ11" s="108"/>
      <c r="BR11" s="149"/>
      <c r="BS11" s="149"/>
      <c r="BT11" s="108"/>
      <c r="BU11" s="108"/>
      <c r="BV11" s="111"/>
      <c r="BW11" s="111"/>
      <c r="BX11" s="108"/>
      <c r="BY11" s="111">
        <v>44196</v>
      </c>
      <c r="BZ11" s="108" t="s">
        <v>3144</v>
      </c>
      <c r="CA11" s="109"/>
      <c r="CB11" s="147" t="e">
        <f>VLOOKUP(C11,[1]Sertifikasi!$B$4:$I$19,8,0)</f>
        <v>#N/A</v>
      </c>
    </row>
    <row r="12" spans="1:80" ht="11.25" customHeight="1">
      <c r="A12" s="147"/>
      <c r="B12" s="108">
        <v>9</v>
      </c>
      <c r="C12" s="108" t="s">
        <v>3181</v>
      </c>
      <c r="D12" s="109">
        <v>641907243</v>
      </c>
      <c r="E12" s="113">
        <v>1710005657591</v>
      </c>
      <c r="F12" s="160"/>
      <c r="G12" s="108" t="s">
        <v>475</v>
      </c>
      <c r="H12" s="108" t="s">
        <v>475</v>
      </c>
      <c r="I12" s="111">
        <v>43282</v>
      </c>
      <c r="J12" s="113">
        <f t="shared" si="0"/>
        <v>2</v>
      </c>
      <c r="K12" s="108">
        <f t="shared" si="1"/>
        <v>5</v>
      </c>
      <c r="L12" s="108" t="str">
        <f t="shared" si="2"/>
        <v>PKWT</v>
      </c>
      <c r="M12" s="108"/>
      <c r="N12" s="111">
        <v>44196</v>
      </c>
      <c r="O12" s="147"/>
      <c r="P12" s="108" t="s">
        <v>261</v>
      </c>
      <c r="Q12" s="108" t="s">
        <v>475</v>
      </c>
      <c r="R12" s="108" t="s">
        <v>476</v>
      </c>
      <c r="S12" s="108" t="s">
        <v>3182</v>
      </c>
      <c r="T12" s="108"/>
      <c r="U12" s="108"/>
      <c r="V12" s="108"/>
      <c r="W12" s="147"/>
      <c r="X12" s="147" t="s">
        <v>60</v>
      </c>
      <c r="Y12" s="108" t="s">
        <v>475</v>
      </c>
      <c r="Z12" s="111">
        <v>37083</v>
      </c>
      <c r="AA12" s="108">
        <f t="shared" ca="1" si="3"/>
        <v>22</v>
      </c>
      <c r="AB12" s="108" t="s">
        <v>3183</v>
      </c>
      <c r="AC12" s="108" t="s">
        <v>3184</v>
      </c>
      <c r="AD12" s="108" t="s">
        <v>3185</v>
      </c>
      <c r="AE12" s="147"/>
      <c r="AF12" s="147"/>
      <c r="AG12" s="115" t="s">
        <v>3186</v>
      </c>
      <c r="AH12" s="115">
        <v>19047643960</v>
      </c>
      <c r="AI12" s="108" t="s">
        <v>255</v>
      </c>
      <c r="AJ12" s="108"/>
      <c r="AK12" s="108"/>
      <c r="AL12" s="108"/>
      <c r="AM12" s="108"/>
      <c r="AN12" s="108"/>
      <c r="AO12" s="108"/>
      <c r="AP12" s="108"/>
      <c r="AQ12" s="108"/>
      <c r="AR12" s="108"/>
      <c r="AS12" s="147"/>
      <c r="AT12" s="147"/>
      <c r="AU12" s="147"/>
      <c r="AV12" s="108" t="s">
        <v>74</v>
      </c>
      <c r="AW12" s="108" t="s">
        <v>16</v>
      </c>
      <c r="AX12" s="108" t="s">
        <v>793</v>
      </c>
      <c r="AY12" s="108"/>
      <c r="AZ12" s="108"/>
      <c r="BA12" s="108" t="s">
        <v>16</v>
      </c>
      <c r="BB12" s="108" t="s">
        <v>793</v>
      </c>
      <c r="BC12" s="108"/>
      <c r="BD12" s="108"/>
      <c r="BE12" s="108"/>
      <c r="BF12" s="108"/>
      <c r="BG12" s="108"/>
      <c r="BH12" s="147"/>
      <c r="BI12" s="147"/>
      <c r="BJ12" s="108"/>
      <c r="BK12" s="108"/>
      <c r="BL12" s="108"/>
      <c r="BM12" s="108"/>
      <c r="BN12" s="149"/>
      <c r="BO12" s="149"/>
      <c r="BP12" s="108"/>
      <c r="BQ12" s="108"/>
      <c r="BR12" s="149"/>
      <c r="BS12" s="149"/>
      <c r="BT12" s="108"/>
      <c r="BU12" s="108"/>
      <c r="BV12" s="111"/>
      <c r="BW12" s="111"/>
      <c r="BX12" s="147"/>
      <c r="BY12" s="111">
        <v>44196</v>
      </c>
      <c r="BZ12" s="108" t="s">
        <v>3138</v>
      </c>
      <c r="CA12" s="108" t="s">
        <v>3187</v>
      </c>
      <c r="CB12" s="147" t="e">
        <f>VLOOKUP(C12,[1]Sertifikasi!$B$4:$I$19,8,0)</f>
        <v>#N/A</v>
      </c>
    </row>
    <row r="13" spans="1:80" ht="11.25" customHeight="1">
      <c r="A13" s="147"/>
      <c r="B13" s="108">
        <v>10</v>
      </c>
      <c r="C13" s="108" t="s">
        <v>3188</v>
      </c>
      <c r="D13" s="109">
        <v>641907271</v>
      </c>
      <c r="E13" s="113">
        <v>1710005658284</v>
      </c>
      <c r="F13" s="160"/>
      <c r="G13" s="108" t="s">
        <v>1834</v>
      </c>
      <c r="H13" s="108" t="s">
        <v>1834</v>
      </c>
      <c r="I13" s="111">
        <v>43647</v>
      </c>
      <c r="J13" s="113">
        <f t="shared" si="0"/>
        <v>1</v>
      </c>
      <c r="K13" s="108">
        <f t="shared" si="1"/>
        <v>6</v>
      </c>
      <c r="L13" s="108" t="str">
        <f t="shared" si="2"/>
        <v>PKWT</v>
      </c>
      <c r="M13" s="108"/>
      <c r="N13" s="111">
        <v>44196</v>
      </c>
      <c r="O13" s="147"/>
      <c r="P13" s="108" t="s">
        <v>213</v>
      </c>
      <c r="Q13" s="108" t="s">
        <v>1834</v>
      </c>
      <c r="R13" s="108" t="s">
        <v>476</v>
      </c>
      <c r="S13" s="108" t="s">
        <v>3165</v>
      </c>
      <c r="T13" s="108"/>
      <c r="U13" s="162"/>
      <c r="V13" s="162"/>
      <c r="W13" s="147"/>
      <c r="X13" s="147" t="s">
        <v>59</v>
      </c>
      <c r="Y13" s="108" t="s">
        <v>1834</v>
      </c>
      <c r="Z13" s="111">
        <v>34167</v>
      </c>
      <c r="AA13" s="108">
        <f t="shared" ca="1" si="3"/>
        <v>30</v>
      </c>
      <c r="AB13" s="108" t="s">
        <v>3189</v>
      </c>
      <c r="AC13" s="108" t="s">
        <v>3190</v>
      </c>
      <c r="AD13" s="109" t="s">
        <v>3191</v>
      </c>
      <c r="AE13" s="147"/>
      <c r="AF13" s="115" t="s">
        <v>3192</v>
      </c>
      <c r="AG13" s="115">
        <v>19047644224</v>
      </c>
      <c r="AH13" s="115" t="s">
        <v>3193</v>
      </c>
      <c r="AI13" s="108" t="s">
        <v>189</v>
      </c>
      <c r="AJ13" s="108"/>
      <c r="AK13" s="108"/>
      <c r="AL13" s="108"/>
      <c r="AM13" s="108"/>
      <c r="AN13" s="147"/>
      <c r="AO13" s="147"/>
      <c r="AP13" s="147"/>
      <c r="AQ13" s="147"/>
      <c r="AR13" s="147"/>
      <c r="AS13" s="147"/>
      <c r="AT13" s="147"/>
      <c r="AU13" s="147"/>
      <c r="AV13" s="108" t="s">
        <v>74</v>
      </c>
      <c r="AW13" s="108" t="s">
        <v>16</v>
      </c>
      <c r="AX13" s="108" t="s">
        <v>3137</v>
      </c>
      <c r="AY13" s="108"/>
      <c r="AZ13" s="108"/>
      <c r="BA13" s="108" t="s">
        <v>16</v>
      </c>
      <c r="BB13" s="108" t="s">
        <v>3137</v>
      </c>
      <c r="BC13" s="108"/>
      <c r="BD13" s="108"/>
      <c r="BE13" s="108"/>
      <c r="BF13" s="108"/>
      <c r="BG13" s="108"/>
      <c r="BH13" s="147"/>
      <c r="BI13" s="108"/>
      <c r="BJ13" s="108"/>
      <c r="BK13" s="108"/>
      <c r="BL13" s="108"/>
      <c r="BM13" s="108"/>
      <c r="BN13" s="149"/>
      <c r="BO13" s="149"/>
      <c r="BP13" s="108"/>
      <c r="BQ13" s="108"/>
      <c r="BR13" s="149"/>
      <c r="BS13" s="149"/>
      <c r="BT13" s="108"/>
      <c r="BU13" s="108"/>
      <c r="BV13" s="111"/>
      <c r="BW13" s="111"/>
      <c r="BX13" s="108"/>
      <c r="BY13" s="111">
        <v>44206</v>
      </c>
      <c r="BZ13" s="108" t="s">
        <v>3144</v>
      </c>
      <c r="CA13" s="147"/>
      <c r="CB13" s="147" t="e">
        <f>VLOOKUP(C13,[1]Sertifikasi!$B$4:$I$19,8,0)</f>
        <v>#N/A</v>
      </c>
    </row>
    <row r="14" spans="1:80" ht="11.25" customHeight="1">
      <c r="A14" s="147"/>
      <c r="B14" s="108">
        <v>11</v>
      </c>
      <c r="C14" s="108" t="s">
        <v>3194</v>
      </c>
      <c r="D14" s="109">
        <v>641907270</v>
      </c>
      <c r="E14" s="113">
        <v>1710005657443</v>
      </c>
      <c r="F14" s="160"/>
      <c r="G14" s="108" t="s">
        <v>1834</v>
      </c>
      <c r="H14" s="108" t="s">
        <v>1834</v>
      </c>
      <c r="I14" s="111">
        <v>43647</v>
      </c>
      <c r="J14" s="113">
        <f t="shared" si="0"/>
        <v>1</v>
      </c>
      <c r="K14" s="108">
        <f t="shared" si="1"/>
        <v>6</v>
      </c>
      <c r="L14" s="108" t="str">
        <f t="shared" si="2"/>
        <v>PKWT</v>
      </c>
      <c r="M14" s="108"/>
      <c r="N14" s="111">
        <v>44196</v>
      </c>
      <c r="O14" s="147"/>
      <c r="P14" s="108" t="s">
        <v>213</v>
      </c>
      <c r="Q14" s="108" t="s">
        <v>1834</v>
      </c>
      <c r="R14" s="108" t="s">
        <v>476</v>
      </c>
      <c r="S14" s="108" t="s">
        <v>3195</v>
      </c>
      <c r="T14" s="108"/>
      <c r="U14" s="162"/>
      <c r="V14" s="162"/>
      <c r="W14" s="147"/>
      <c r="X14" s="147" t="s">
        <v>59</v>
      </c>
      <c r="Y14" s="108" t="s">
        <v>1834</v>
      </c>
      <c r="Z14" s="111">
        <v>35393</v>
      </c>
      <c r="AA14" s="108">
        <f t="shared" ca="1" si="3"/>
        <v>26</v>
      </c>
      <c r="AB14" s="108" t="s">
        <v>3196</v>
      </c>
      <c r="AC14" s="108" t="s">
        <v>3197</v>
      </c>
      <c r="AD14" s="109" t="s">
        <v>3198</v>
      </c>
      <c r="AE14" s="147"/>
      <c r="AF14" s="115" t="s">
        <v>3199</v>
      </c>
      <c r="AG14" s="115">
        <v>19047644182</v>
      </c>
      <c r="AH14" s="115" t="s">
        <v>3200</v>
      </c>
      <c r="AI14" s="108" t="s">
        <v>255</v>
      </c>
      <c r="AJ14" s="108"/>
      <c r="AK14" s="108"/>
      <c r="AL14" s="108"/>
      <c r="AM14" s="108"/>
      <c r="AN14" s="147"/>
      <c r="AO14" s="147"/>
      <c r="AP14" s="147"/>
      <c r="AQ14" s="147"/>
      <c r="AR14" s="147"/>
      <c r="AS14" s="147"/>
      <c r="AT14" s="147"/>
      <c r="AU14" s="147"/>
      <c r="AV14" s="108" t="s">
        <v>74</v>
      </c>
      <c r="AW14" s="108" t="s">
        <v>16</v>
      </c>
      <c r="AX14" s="108" t="s">
        <v>2523</v>
      </c>
      <c r="AY14" s="108"/>
      <c r="AZ14" s="108"/>
      <c r="BA14" s="108" t="s">
        <v>16</v>
      </c>
      <c r="BB14" s="108" t="s">
        <v>2523</v>
      </c>
      <c r="BC14" s="108"/>
      <c r="BD14" s="108"/>
      <c r="BE14" s="108"/>
      <c r="BF14" s="108"/>
      <c r="BG14" s="108"/>
      <c r="BH14" s="147"/>
      <c r="BI14" s="108"/>
      <c r="BJ14" s="108"/>
      <c r="BK14" s="108"/>
      <c r="BL14" s="108"/>
      <c r="BM14" s="108"/>
      <c r="BN14" s="149"/>
      <c r="BO14" s="149"/>
      <c r="BP14" s="108"/>
      <c r="BQ14" s="108"/>
      <c r="BR14" s="149"/>
      <c r="BS14" s="149"/>
      <c r="BT14" s="108"/>
      <c r="BU14" s="108"/>
      <c r="BV14" s="111"/>
      <c r="BW14" s="111"/>
      <c r="BX14" s="108"/>
      <c r="BY14" s="111">
        <v>44206</v>
      </c>
      <c r="BZ14" s="108" t="s">
        <v>3144</v>
      </c>
      <c r="CA14" s="147"/>
      <c r="CB14" s="147" t="e">
        <f>VLOOKUP(C14,[1]Sertifikasi!$B$4:$I$19,8,0)</f>
        <v>#N/A</v>
      </c>
    </row>
    <row r="15" spans="1:80" ht="11.25" customHeight="1">
      <c r="A15" s="147"/>
      <c r="B15" s="108">
        <v>12</v>
      </c>
      <c r="C15" s="108" t="s">
        <v>3201</v>
      </c>
      <c r="D15" s="109">
        <v>642101098</v>
      </c>
      <c r="E15" s="113"/>
      <c r="F15" s="160"/>
      <c r="G15" s="108" t="s">
        <v>71</v>
      </c>
      <c r="H15" s="108" t="s">
        <v>71</v>
      </c>
      <c r="I15" s="111">
        <v>44200</v>
      </c>
      <c r="J15" s="113">
        <f t="shared" si="0"/>
        <v>0</v>
      </c>
      <c r="K15" s="108">
        <f t="shared" si="1"/>
        <v>0</v>
      </c>
      <c r="L15" s="108" t="str">
        <f t="shared" si="2"/>
        <v>PKWT</v>
      </c>
      <c r="M15" s="108"/>
      <c r="N15" s="111">
        <v>44564</v>
      </c>
      <c r="O15" s="147"/>
      <c r="P15" s="108" t="s">
        <v>213</v>
      </c>
      <c r="Q15" s="108" t="s">
        <v>475</v>
      </c>
      <c r="R15" s="108" t="s">
        <v>476</v>
      </c>
      <c r="S15" s="108" t="s">
        <v>3182</v>
      </c>
      <c r="T15" s="108"/>
      <c r="U15" s="108"/>
      <c r="V15" s="108"/>
      <c r="W15" s="147"/>
      <c r="X15" s="147" t="s">
        <v>59</v>
      </c>
      <c r="Y15" s="108" t="s">
        <v>3202</v>
      </c>
      <c r="Z15" s="111">
        <v>36191</v>
      </c>
      <c r="AA15" s="108">
        <f t="shared" ca="1" si="3"/>
        <v>24</v>
      </c>
      <c r="AB15" s="108" t="s">
        <v>3203</v>
      </c>
      <c r="AC15" s="108" t="s">
        <v>3204</v>
      </c>
      <c r="AD15" s="109" t="s">
        <v>3205</v>
      </c>
      <c r="AE15" s="147"/>
      <c r="AF15" s="108" t="s">
        <v>3206</v>
      </c>
      <c r="AG15" s="115"/>
      <c r="AH15" s="115"/>
      <c r="AI15" s="108" t="s">
        <v>255</v>
      </c>
      <c r="AJ15" s="108"/>
      <c r="AK15" s="108"/>
      <c r="AL15" s="108"/>
      <c r="AM15" s="108"/>
      <c r="AN15" s="147"/>
      <c r="AO15" s="147"/>
      <c r="AP15" s="147"/>
      <c r="AQ15" s="147"/>
      <c r="AR15" s="147"/>
      <c r="AS15" s="147"/>
      <c r="AT15" s="147"/>
      <c r="AU15" s="147"/>
      <c r="AV15" s="108" t="s">
        <v>74</v>
      </c>
      <c r="AW15" s="108" t="s">
        <v>16</v>
      </c>
      <c r="AX15" s="108" t="s">
        <v>3207</v>
      </c>
      <c r="AY15" s="108" t="s">
        <v>3208</v>
      </c>
      <c r="AZ15" s="108"/>
      <c r="BA15" s="108" t="s">
        <v>16</v>
      </c>
      <c r="BB15" s="108" t="s">
        <v>3207</v>
      </c>
      <c r="BC15" s="108" t="s">
        <v>3208</v>
      </c>
      <c r="BD15" s="108"/>
      <c r="BE15" s="108"/>
      <c r="BF15" s="108"/>
      <c r="BG15" s="108"/>
      <c r="BH15" s="147"/>
      <c r="BI15" s="108"/>
      <c r="BJ15" s="108"/>
      <c r="BK15" s="108"/>
      <c r="BL15" s="147"/>
      <c r="BM15" s="147"/>
      <c r="BN15" s="149"/>
      <c r="BO15" s="149"/>
      <c r="BP15" s="108"/>
      <c r="BQ15" s="108" t="e">
        <f>"PKWT-"&amp;#REF!&amp;"/D1/2020"</f>
        <v>#REF!</v>
      </c>
      <c r="BR15" s="166"/>
      <c r="BS15" s="149"/>
      <c r="BT15" s="108"/>
      <c r="BU15" s="108"/>
      <c r="BV15" s="111"/>
      <c r="BW15" s="111"/>
      <c r="BX15" s="108"/>
      <c r="BY15" s="111">
        <v>44226</v>
      </c>
      <c r="BZ15" s="108" t="s">
        <v>3144</v>
      </c>
      <c r="CA15" s="147"/>
      <c r="CB15" s="147" t="e">
        <f>VLOOKUP(C15,[1]Sertifikasi!$B$4:$I$19,8,0)</f>
        <v>#N/A</v>
      </c>
    </row>
    <row r="16" spans="1:80" ht="11.25" customHeight="1">
      <c r="A16" s="147"/>
      <c r="B16" s="108">
        <v>13</v>
      </c>
      <c r="C16" s="108" t="s">
        <v>3209</v>
      </c>
      <c r="D16" s="109">
        <v>971900042</v>
      </c>
      <c r="E16" s="113">
        <v>1360014766213</v>
      </c>
      <c r="F16" s="160"/>
      <c r="G16" s="113" t="s">
        <v>71</v>
      </c>
      <c r="H16" s="108" t="s">
        <v>71</v>
      </c>
      <c r="I16" s="111">
        <v>43346</v>
      </c>
      <c r="J16" s="113">
        <f t="shared" si="0"/>
        <v>2</v>
      </c>
      <c r="K16" s="108">
        <f t="shared" si="1"/>
        <v>4</v>
      </c>
      <c r="L16" s="108" t="str">
        <f t="shared" si="2"/>
        <v>Tetap</v>
      </c>
      <c r="M16" s="108" t="s">
        <v>1451</v>
      </c>
      <c r="N16" s="116">
        <v>43683</v>
      </c>
      <c r="O16" s="147"/>
      <c r="P16" s="108" t="s">
        <v>261</v>
      </c>
      <c r="Q16" s="108" t="s">
        <v>197</v>
      </c>
      <c r="R16" s="108" t="s">
        <v>3210</v>
      </c>
      <c r="S16" s="108" t="s">
        <v>361</v>
      </c>
      <c r="T16" s="108" t="s">
        <v>3211</v>
      </c>
      <c r="U16" s="108" t="s">
        <v>3212</v>
      </c>
      <c r="V16" s="108"/>
      <c r="W16" s="108"/>
      <c r="X16" s="108" t="s">
        <v>59</v>
      </c>
      <c r="Y16" s="108" t="s">
        <v>1169</v>
      </c>
      <c r="Z16" s="111">
        <v>35144</v>
      </c>
      <c r="AA16" s="108">
        <f t="shared" ca="1" si="3"/>
        <v>27</v>
      </c>
      <c r="AB16" s="113" t="s">
        <v>3213</v>
      </c>
      <c r="AC16" s="108" t="s">
        <v>3214</v>
      </c>
      <c r="AD16" s="108" t="s">
        <v>3215</v>
      </c>
      <c r="AE16" s="147"/>
      <c r="AF16" s="165" t="s">
        <v>3216</v>
      </c>
      <c r="AG16" s="115" t="s">
        <v>3217</v>
      </c>
      <c r="AH16" s="115" t="s">
        <v>3218</v>
      </c>
      <c r="AI16" s="108" t="s">
        <v>255</v>
      </c>
      <c r="AJ16" s="108"/>
      <c r="AK16" s="108"/>
      <c r="AL16" s="108"/>
      <c r="AM16" s="108"/>
      <c r="AN16" s="147"/>
      <c r="AO16" s="147"/>
      <c r="AP16" s="147"/>
      <c r="AQ16" s="147"/>
      <c r="AR16" s="147"/>
      <c r="AS16" s="147"/>
      <c r="AT16" s="147"/>
      <c r="AU16" s="147"/>
      <c r="AV16" s="113" t="s">
        <v>74</v>
      </c>
      <c r="AW16" s="108" t="s">
        <v>12</v>
      </c>
      <c r="AX16" s="108" t="s">
        <v>3219</v>
      </c>
      <c r="AY16" s="108" t="s">
        <v>3220</v>
      </c>
      <c r="AZ16" s="108"/>
      <c r="BA16" s="108" t="s">
        <v>12</v>
      </c>
      <c r="BB16" s="108" t="s">
        <v>3219</v>
      </c>
      <c r="BC16" s="108" t="s">
        <v>3220</v>
      </c>
      <c r="BD16" s="108"/>
      <c r="BE16" s="108"/>
      <c r="BF16" s="109"/>
      <c r="BG16" s="109"/>
      <c r="BH16" s="147"/>
      <c r="BI16" s="108"/>
      <c r="BJ16" s="108"/>
      <c r="BK16" s="108"/>
      <c r="BL16" s="147"/>
      <c r="BM16" s="147"/>
      <c r="BN16" s="149"/>
      <c r="BO16" s="149"/>
      <c r="BP16" s="108"/>
      <c r="BQ16" s="108"/>
      <c r="BR16" s="149"/>
      <c r="BS16" s="149"/>
      <c r="BT16" s="108"/>
      <c r="BU16" s="108"/>
      <c r="BV16" s="111"/>
      <c r="BW16" s="111"/>
      <c r="BX16" s="108"/>
      <c r="BY16" s="111">
        <v>44226</v>
      </c>
      <c r="BZ16" s="108" t="s">
        <v>3144</v>
      </c>
      <c r="CA16" s="147"/>
      <c r="CB16" s="147" t="e">
        <f>VLOOKUP(C16,[1]Sertifikasi!$B$4:$I$19,8,0)</f>
        <v>#N/A</v>
      </c>
    </row>
    <row r="17" spans="1:80" ht="11.25" customHeight="1">
      <c r="A17" s="147"/>
      <c r="B17" s="108">
        <v>14</v>
      </c>
      <c r="C17" s="108" t="s">
        <v>3221</v>
      </c>
      <c r="D17" s="109">
        <v>642002078</v>
      </c>
      <c r="E17" s="113">
        <v>1710006366465</v>
      </c>
      <c r="F17" s="131"/>
      <c r="G17" s="108" t="s">
        <v>259</v>
      </c>
      <c r="H17" s="108" t="s">
        <v>259</v>
      </c>
      <c r="I17" s="111">
        <v>43885</v>
      </c>
      <c r="J17" s="113">
        <f t="shared" si="0"/>
        <v>0</v>
      </c>
      <c r="K17" s="108">
        <f t="shared" si="1"/>
        <v>11</v>
      </c>
      <c r="L17" s="108" t="str">
        <f t="shared" si="2"/>
        <v>PKWT</v>
      </c>
      <c r="M17" s="108"/>
      <c r="N17" s="111">
        <v>44561</v>
      </c>
      <c r="O17" s="147"/>
      <c r="P17" s="108" t="s">
        <v>213</v>
      </c>
      <c r="Q17" s="108" t="s">
        <v>259</v>
      </c>
      <c r="R17" s="108" t="s">
        <v>33</v>
      </c>
      <c r="S17" s="108" t="s">
        <v>3222</v>
      </c>
      <c r="T17" s="108"/>
      <c r="U17" s="162"/>
      <c r="V17" s="108"/>
      <c r="W17" s="147"/>
      <c r="X17" s="147" t="s">
        <v>59</v>
      </c>
      <c r="Y17" s="108" t="s">
        <v>1821</v>
      </c>
      <c r="Z17" s="111">
        <v>36337</v>
      </c>
      <c r="AA17" s="108">
        <f t="shared" ca="1" si="3"/>
        <v>24</v>
      </c>
      <c r="AB17" s="108" t="s">
        <v>3223</v>
      </c>
      <c r="AC17" s="108" t="s">
        <v>3224</v>
      </c>
      <c r="AD17" s="109" t="s">
        <v>3225</v>
      </c>
      <c r="AE17" s="147"/>
      <c r="AF17" s="115" t="s">
        <v>3226</v>
      </c>
      <c r="AG17" s="115" t="s">
        <v>3227</v>
      </c>
      <c r="AH17" s="115">
        <v>20024319822</v>
      </c>
      <c r="AI17" s="108" t="s">
        <v>255</v>
      </c>
      <c r="AJ17" s="108"/>
      <c r="AK17" s="108"/>
      <c r="AL17" s="108"/>
      <c r="AM17" s="108"/>
      <c r="AN17" s="147"/>
      <c r="AO17" s="147"/>
      <c r="AP17" s="147"/>
      <c r="AQ17" s="147"/>
      <c r="AR17" s="147"/>
      <c r="AS17" s="147"/>
      <c r="AT17" s="147"/>
      <c r="AU17" s="147"/>
      <c r="AV17" s="108" t="s">
        <v>74</v>
      </c>
      <c r="AW17" s="108" t="s">
        <v>16</v>
      </c>
      <c r="AX17" s="108" t="s">
        <v>331</v>
      </c>
      <c r="AY17" s="108" t="s">
        <v>3228</v>
      </c>
      <c r="AZ17" s="108"/>
      <c r="BA17" s="108" t="s">
        <v>16</v>
      </c>
      <c r="BB17" s="108" t="s">
        <v>331</v>
      </c>
      <c r="BC17" s="108" t="s">
        <v>3228</v>
      </c>
      <c r="BD17" s="108"/>
      <c r="BE17" s="147"/>
      <c r="BF17" s="147"/>
      <c r="BG17" s="108"/>
      <c r="BH17" s="108"/>
      <c r="BI17" s="108"/>
      <c r="BJ17" s="147"/>
      <c r="BK17" s="108"/>
      <c r="BL17" s="108"/>
      <c r="BM17" s="108"/>
      <c r="BN17" s="149"/>
      <c r="BO17" s="149"/>
      <c r="BP17" s="108"/>
      <c r="BQ17" s="108"/>
      <c r="BR17" s="149"/>
      <c r="BS17" s="149"/>
      <c r="BT17" s="108"/>
      <c r="BU17" s="108"/>
      <c r="BV17" s="111"/>
      <c r="BW17" s="111"/>
      <c r="BX17" s="111"/>
      <c r="BY17" s="111">
        <v>44227</v>
      </c>
      <c r="BZ17" s="108" t="s">
        <v>3144</v>
      </c>
      <c r="CA17" s="147"/>
      <c r="CB17" s="147" t="e">
        <f>VLOOKUP(C17,[1]Sertifikasi!$B$4:$I$19,8,0)</f>
        <v>#N/A</v>
      </c>
    </row>
    <row r="18" spans="1:80" ht="11.25" customHeight="1">
      <c r="A18" s="147"/>
      <c r="B18" s="108">
        <v>15</v>
      </c>
      <c r="C18" s="108" t="s">
        <v>3229</v>
      </c>
      <c r="D18" s="109">
        <v>999600006</v>
      </c>
      <c r="E18" s="113">
        <v>1440001094454</v>
      </c>
      <c r="F18" s="160"/>
      <c r="G18" s="113" t="s">
        <v>33</v>
      </c>
      <c r="H18" s="108" t="s">
        <v>71</v>
      </c>
      <c r="I18" s="132">
        <v>42359</v>
      </c>
      <c r="J18" s="113">
        <f t="shared" si="0"/>
        <v>5</v>
      </c>
      <c r="K18" s="108">
        <f t="shared" si="1"/>
        <v>1</v>
      </c>
      <c r="L18" s="108" t="str">
        <f t="shared" si="2"/>
        <v>Organik</v>
      </c>
      <c r="M18" s="108" t="s">
        <v>2111</v>
      </c>
      <c r="N18" s="116">
        <v>35125</v>
      </c>
      <c r="O18" s="108" t="s">
        <v>3230</v>
      </c>
      <c r="P18" s="147"/>
      <c r="Q18" s="108" t="s">
        <v>261</v>
      </c>
      <c r="R18" s="108" t="s">
        <v>33</v>
      </c>
      <c r="S18" s="108" t="s">
        <v>3231</v>
      </c>
      <c r="T18" s="108"/>
      <c r="U18" s="108"/>
      <c r="V18" s="108"/>
      <c r="W18" s="108"/>
      <c r="X18" s="108" t="s">
        <v>59</v>
      </c>
      <c r="Y18" s="108" t="s">
        <v>1169</v>
      </c>
      <c r="Z18" s="111">
        <v>24119</v>
      </c>
      <c r="AA18" s="108">
        <f t="shared" ca="1" si="3"/>
        <v>57</v>
      </c>
      <c r="AB18" s="108" t="s">
        <v>3232</v>
      </c>
      <c r="AC18" s="108" t="s">
        <v>3233</v>
      </c>
      <c r="AD18" s="108" t="s">
        <v>3234</v>
      </c>
      <c r="AE18" s="147"/>
      <c r="AF18" s="108" t="s">
        <v>3235</v>
      </c>
      <c r="AG18" s="115" t="s">
        <v>3236</v>
      </c>
      <c r="AH18" s="115"/>
      <c r="AI18" s="108" t="s">
        <v>189</v>
      </c>
      <c r="AJ18" s="108" t="s">
        <v>3237</v>
      </c>
      <c r="AK18" s="108"/>
      <c r="AL18" s="108"/>
      <c r="AM18" s="108"/>
      <c r="AN18" s="147"/>
      <c r="AO18" s="147"/>
      <c r="AP18" s="147"/>
      <c r="AQ18" s="147"/>
      <c r="AR18" s="147"/>
      <c r="AS18" s="147"/>
      <c r="AT18" s="147"/>
      <c r="AU18" s="147"/>
      <c r="AV18" s="113" t="s">
        <v>74</v>
      </c>
      <c r="AW18" s="108" t="s">
        <v>12</v>
      </c>
      <c r="AX18" s="108" t="s">
        <v>3207</v>
      </c>
      <c r="AY18" s="108" t="s">
        <v>3238</v>
      </c>
      <c r="AZ18" s="108"/>
      <c r="BA18" s="108" t="s">
        <v>12</v>
      </c>
      <c r="BB18" s="108" t="s">
        <v>3207</v>
      </c>
      <c r="BC18" s="108" t="s">
        <v>3238</v>
      </c>
      <c r="BD18" s="108"/>
      <c r="BE18" s="167"/>
      <c r="BF18" s="167"/>
      <c r="BG18" s="108"/>
      <c r="BH18" s="147"/>
      <c r="BI18" s="108"/>
      <c r="BJ18" s="108"/>
      <c r="BK18" s="108"/>
      <c r="BL18" s="147"/>
      <c r="BM18" s="147"/>
      <c r="BN18" s="149">
        <v>43467</v>
      </c>
      <c r="BO18" s="149">
        <v>43830</v>
      </c>
      <c r="BP18" s="108" t="s">
        <v>3239</v>
      </c>
      <c r="BQ18" s="108" t="s">
        <v>3240</v>
      </c>
      <c r="BR18" s="149"/>
      <c r="BS18" s="149"/>
      <c r="BT18" s="108"/>
      <c r="BU18" s="108"/>
      <c r="BV18" s="111"/>
      <c r="BW18" s="111"/>
      <c r="BX18" s="108"/>
      <c r="BY18" s="111">
        <v>44228</v>
      </c>
      <c r="BZ18" s="108" t="s">
        <v>3241</v>
      </c>
      <c r="CA18" s="147"/>
      <c r="CB18" s="147" t="e">
        <f>VLOOKUP(C18,[1]Sertifikasi!$B$4:$I$19,8,0)</f>
        <v>#N/A</v>
      </c>
    </row>
    <row r="19" spans="1:80" ht="11.25" customHeight="1">
      <c r="A19" s="147"/>
      <c r="B19" s="108">
        <v>16</v>
      </c>
      <c r="C19" s="108" t="s">
        <v>3242</v>
      </c>
      <c r="D19" s="109">
        <v>641801139</v>
      </c>
      <c r="E19" s="113">
        <v>1710004040831</v>
      </c>
      <c r="F19" s="160"/>
      <c r="G19" s="108" t="s">
        <v>259</v>
      </c>
      <c r="H19" s="108" t="s">
        <v>71</v>
      </c>
      <c r="I19" s="111">
        <v>43160</v>
      </c>
      <c r="J19" s="113">
        <f t="shared" si="0"/>
        <v>2</v>
      </c>
      <c r="K19" s="108">
        <f t="shared" si="1"/>
        <v>11</v>
      </c>
      <c r="L19" s="108" t="str">
        <f t="shared" si="2"/>
        <v>PKWT</v>
      </c>
      <c r="M19" s="108"/>
      <c r="N19" s="111">
        <v>44561</v>
      </c>
      <c r="O19" s="147"/>
      <c r="P19" s="108" t="s">
        <v>213</v>
      </c>
      <c r="Q19" s="108" t="s">
        <v>259</v>
      </c>
      <c r="R19" s="108" t="s">
        <v>262</v>
      </c>
      <c r="S19" s="108" t="s">
        <v>89</v>
      </c>
      <c r="T19" s="108"/>
      <c r="U19" s="108"/>
      <c r="V19" s="108"/>
      <c r="W19" s="147"/>
      <c r="X19" s="147" t="s">
        <v>59</v>
      </c>
      <c r="Y19" s="108" t="s">
        <v>1211</v>
      </c>
      <c r="Z19" s="111">
        <v>24724</v>
      </c>
      <c r="AA19" s="108">
        <f t="shared" ca="1" si="3"/>
        <v>56</v>
      </c>
      <c r="AB19" s="108" t="s">
        <v>3243</v>
      </c>
      <c r="AC19" s="108" t="s">
        <v>3244</v>
      </c>
      <c r="AD19" s="108" t="s">
        <v>677</v>
      </c>
      <c r="AE19" s="147"/>
      <c r="AF19" s="108" t="s">
        <v>3245</v>
      </c>
      <c r="AG19" s="115" t="s">
        <v>3246</v>
      </c>
      <c r="AH19" s="115">
        <v>1806270202</v>
      </c>
      <c r="AI19" s="108" t="s">
        <v>189</v>
      </c>
      <c r="AJ19" s="108"/>
      <c r="AK19" s="108"/>
      <c r="AL19" s="108"/>
      <c r="AM19" s="108"/>
      <c r="AN19" s="147"/>
      <c r="AO19" s="147"/>
      <c r="AP19" s="147"/>
      <c r="AQ19" s="147"/>
      <c r="AR19" s="147"/>
      <c r="AS19" s="147"/>
      <c r="AT19" s="147"/>
      <c r="AU19" s="147"/>
      <c r="AV19" s="108" t="s">
        <v>74</v>
      </c>
      <c r="AW19" s="108" t="s">
        <v>391</v>
      </c>
      <c r="AX19" s="108" t="s">
        <v>392</v>
      </c>
      <c r="AY19" s="108"/>
      <c r="AZ19" s="108"/>
      <c r="BA19" s="108" t="s">
        <v>391</v>
      </c>
      <c r="BB19" s="108" t="s">
        <v>392</v>
      </c>
      <c r="BC19" s="108"/>
      <c r="BD19" s="108"/>
      <c r="BE19" s="148"/>
      <c r="BF19" s="108"/>
      <c r="BG19" s="108"/>
      <c r="BH19" s="147"/>
      <c r="BI19" s="108"/>
      <c r="BJ19" s="108"/>
      <c r="BK19" s="108"/>
      <c r="BL19" s="108"/>
      <c r="BM19" s="108"/>
      <c r="BN19" s="149"/>
      <c r="BO19" s="149"/>
      <c r="BP19" s="108"/>
      <c r="BQ19" s="108"/>
      <c r="BR19" s="149"/>
      <c r="BS19" s="149"/>
      <c r="BT19" s="108"/>
      <c r="BU19" s="108"/>
      <c r="BV19" s="111"/>
      <c r="BW19" s="111"/>
      <c r="BX19" s="108"/>
      <c r="BY19" s="111">
        <v>44238</v>
      </c>
      <c r="BZ19" s="108" t="s">
        <v>3247</v>
      </c>
      <c r="CA19" s="147"/>
      <c r="CB19" s="147" t="e">
        <f>VLOOKUP(C19,[1]Sertifikasi!$B$4:$I$19,8,0)</f>
        <v>#N/A</v>
      </c>
    </row>
    <row r="20" spans="1:80" ht="11.25" customHeight="1">
      <c r="A20" s="147"/>
      <c r="B20" s="108">
        <v>17</v>
      </c>
      <c r="C20" s="108" t="s">
        <v>3248</v>
      </c>
      <c r="D20" s="109">
        <v>999400013</v>
      </c>
      <c r="E20" s="113">
        <v>1440011771638</v>
      </c>
      <c r="F20" s="160"/>
      <c r="G20" s="113" t="s">
        <v>33</v>
      </c>
      <c r="H20" s="108" t="s">
        <v>71</v>
      </c>
      <c r="I20" s="132">
        <v>43987</v>
      </c>
      <c r="J20" s="113">
        <f t="shared" si="0"/>
        <v>0</v>
      </c>
      <c r="K20" s="108">
        <f t="shared" si="1"/>
        <v>8</v>
      </c>
      <c r="L20" s="108" t="str">
        <f t="shared" si="2"/>
        <v>Organik</v>
      </c>
      <c r="M20" s="108" t="s">
        <v>1401</v>
      </c>
      <c r="N20" s="116">
        <v>34366</v>
      </c>
      <c r="O20" s="147"/>
      <c r="P20" s="108" t="s">
        <v>261</v>
      </c>
      <c r="Q20" s="108" t="s">
        <v>261</v>
      </c>
      <c r="R20" s="108" t="s">
        <v>33</v>
      </c>
      <c r="S20" s="108" t="s">
        <v>214</v>
      </c>
      <c r="T20" s="108"/>
      <c r="U20" s="108"/>
      <c r="V20" s="108"/>
      <c r="W20" s="108"/>
      <c r="X20" s="108" t="s">
        <v>59</v>
      </c>
      <c r="Y20" s="108" t="s">
        <v>409</v>
      </c>
      <c r="Z20" s="111">
        <v>24162</v>
      </c>
      <c r="AA20" s="108">
        <f t="shared" ca="1" si="3"/>
        <v>57</v>
      </c>
      <c r="AB20" s="108" t="s">
        <v>3249</v>
      </c>
      <c r="AC20" s="108" t="s">
        <v>3250</v>
      </c>
      <c r="AD20" s="108" t="s">
        <v>3251</v>
      </c>
      <c r="AE20" s="147"/>
      <c r="AF20" s="108" t="s">
        <v>3252</v>
      </c>
      <c r="AG20" s="115" t="s">
        <v>3253</v>
      </c>
      <c r="AH20" s="115" t="s">
        <v>3254</v>
      </c>
      <c r="AI20" s="108" t="s">
        <v>189</v>
      </c>
      <c r="AJ20" s="108" t="s">
        <v>3255</v>
      </c>
      <c r="AK20" s="108"/>
      <c r="AL20" s="108"/>
      <c r="AM20" s="108"/>
      <c r="AN20" s="147"/>
      <c r="AO20" s="147"/>
      <c r="AP20" s="147"/>
      <c r="AQ20" s="147"/>
      <c r="AR20" s="147"/>
      <c r="AS20" s="147"/>
      <c r="AT20" s="147"/>
      <c r="AU20" s="147"/>
      <c r="AV20" s="113" t="s">
        <v>76</v>
      </c>
      <c r="AW20" s="108" t="s">
        <v>13</v>
      </c>
      <c r="AX20" s="108" t="s">
        <v>3256</v>
      </c>
      <c r="AY20" s="108" t="s">
        <v>3220</v>
      </c>
      <c r="AZ20" s="108"/>
      <c r="BA20" s="108" t="s">
        <v>13</v>
      </c>
      <c r="BB20" s="108" t="s">
        <v>3256</v>
      </c>
      <c r="BC20" s="108" t="s">
        <v>3220</v>
      </c>
      <c r="BD20" s="108"/>
      <c r="BE20" s="167"/>
      <c r="BF20" s="167"/>
      <c r="BG20" s="108"/>
      <c r="BH20" s="147"/>
      <c r="BI20" s="108"/>
      <c r="BJ20" s="108"/>
      <c r="BK20" s="108"/>
      <c r="BL20" s="108"/>
      <c r="BM20" s="108"/>
      <c r="BN20" s="149"/>
      <c r="BO20" s="149"/>
      <c r="BP20" s="108"/>
      <c r="BQ20" s="108"/>
      <c r="BR20" s="149"/>
      <c r="BS20" s="149"/>
      <c r="BT20" s="108"/>
      <c r="BU20" s="108"/>
      <c r="BV20" s="111"/>
      <c r="BW20" s="111"/>
      <c r="BX20" s="108"/>
      <c r="BY20" s="111">
        <v>44256</v>
      </c>
      <c r="BZ20" s="108" t="s">
        <v>3241</v>
      </c>
      <c r="CA20" s="147"/>
      <c r="CB20" s="147" t="e">
        <f>VLOOKUP(C20,[1]Sertifikasi!$B$4:$I$19,8,0)</f>
        <v>#N/A</v>
      </c>
    </row>
    <row r="21" spans="1:80" ht="11.25" customHeight="1">
      <c r="A21" s="147"/>
      <c r="B21" s="108">
        <v>18</v>
      </c>
      <c r="C21" s="108" t="s">
        <v>3257</v>
      </c>
      <c r="D21" s="109">
        <v>642001041</v>
      </c>
      <c r="E21" s="113">
        <v>1710003987990</v>
      </c>
      <c r="F21" s="160"/>
      <c r="G21" s="108" t="s">
        <v>71</v>
      </c>
      <c r="H21" s="108" t="s">
        <v>71</v>
      </c>
      <c r="I21" s="111">
        <v>42857</v>
      </c>
      <c r="J21" s="113">
        <f t="shared" si="0"/>
        <v>3</v>
      </c>
      <c r="K21" s="108">
        <f t="shared" si="1"/>
        <v>10</v>
      </c>
      <c r="L21" s="108" t="str">
        <f t="shared" si="2"/>
        <v>PKWT</v>
      </c>
      <c r="M21" s="108"/>
      <c r="N21" s="111">
        <v>44255</v>
      </c>
      <c r="O21" s="147"/>
      <c r="P21" s="108" t="s">
        <v>213</v>
      </c>
      <c r="Q21" s="108" t="s">
        <v>1436</v>
      </c>
      <c r="R21" s="108" t="s">
        <v>476</v>
      </c>
      <c r="S21" s="108" t="s">
        <v>3258</v>
      </c>
      <c r="T21" s="108"/>
      <c r="U21" s="108"/>
      <c r="V21" s="108"/>
      <c r="W21" s="147"/>
      <c r="X21" s="147" t="s">
        <v>59</v>
      </c>
      <c r="Y21" s="108" t="s">
        <v>264</v>
      </c>
      <c r="Z21" s="111">
        <v>36206</v>
      </c>
      <c r="AA21" s="108">
        <f t="shared" ca="1" si="3"/>
        <v>24</v>
      </c>
      <c r="AB21" s="108" t="s">
        <v>3259</v>
      </c>
      <c r="AC21" s="108" t="s">
        <v>3260</v>
      </c>
      <c r="AD21" s="108" t="s">
        <v>3261</v>
      </c>
      <c r="AE21" s="147"/>
      <c r="AF21" s="108" t="s">
        <v>3262</v>
      </c>
      <c r="AG21" s="115" t="s">
        <v>3263</v>
      </c>
      <c r="AH21" s="115">
        <v>17043907579</v>
      </c>
      <c r="AI21" s="108" t="s">
        <v>189</v>
      </c>
      <c r="AJ21" s="108"/>
      <c r="AK21" s="108"/>
      <c r="AL21" s="108"/>
      <c r="AM21" s="108"/>
      <c r="AN21" s="147"/>
      <c r="AO21" s="147"/>
      <c r="AP21" s="147"/>
      <c r="AQ21" s="147"/>
      <c r="AR21" s="147"/>
      <c r="AS21" s="147"/>
      <c r="AT21" s="147"/>
      <c r="AU21" s="147"/>
      <c r="AV21" s="108" t="s">
        <v>74</v>
      </c>
      <c r="AW21" s="108" t="s">
        <v>16</v>
      </c>
      <c r="AX21" s="108" t="s">
        <v>3264</v>
      </c>
      <c r="AY21" s="108"/>
      <c r="AZ21" s="108"/>
      <c r="BA21" s="108" t="s">
        <v>16</v>
      </c>
      <c r="BB21" s="108" t="s">
        <v>3264</v>
      </c>
      <c r="BC21" s="108"/>
      <c r="BD21" s="108"/>
      <c r="BE21" s="148"/>
      <c r="BF21" s="108"/>
      <c r="BG21" s="108"/>
      <c r="BH21" s="147"/>
      <c r="BI21" s="108"/>
      <c r="BJ21" s="147"/>
      <c r="BK21" s="108"/>
      <c r="BL21" s="108"/>
      <c r="BM21" s="108"/>
      <c r="BN21" s="149"/>
      <c r="BO21" s="149"/>
      <c r="BP21" s="108"/>
      <c r="BQ21" s="108"/>
      <c r="BR21" s="149"/>
      <c r="BS21" s="149"/>
      <c r="BT21" s="108"/>
      <c r="BU21" s="108"/>
      <c r="BV21" s="111"/>
      <c r="BW21" s="111"/>
      <c r="BX21" s="108"/>
      <c r="BY21" s="111">
        <v>44268</v>
      </c>
      <c r="BZ21" s="108" t="s">
        <v>3144</v>
      </c>
      <c r="CA21" s="147"/>
      <c r="CB21" s="147" t="e">
        <f>VLOOKUP(C21,[1]Sertifikasi!$B$4:$I$19,8,0)</f>
        <v>#N/A</v>
      </c>
    </row>
    <row r="22" spans="1:80" ht="11.25" customHeight="1">
      <c r="A22" s="147"/>
      <c r="B22" s="108">
        <v>19</v>
      </c>
      <c r="C22" s="108" t="s">
        <v>3265</v>
      </c>
      <c r="D22" s="109">
        <v>641907238</v>
      </c>
      <c r="E22" s="113">
        <v>1710005657641</v>
      </c>
      <c r="F22" s="160"/>
      <c r="G22" s="108" t="s">
        <v>575</v>
      </c>
      <c r="H22" s="108" t="s">
        <v>575</v>
      </c>
      <c r="I22" s="111">
        <v>43647</v>
      </c>
      <c r="J22" s="113">
        <f t="shared" si="0"/>
        <v>1</v>
      </c>
      <c r="K22" s="108">
        <f t="shared" si="1"/>
        <v>8</v>
      </c>
      <c r="L22" s="108" t="str">
        <f t="shared" si="2"/>
        <v>PKWT</v>
      </c>
      <c r="M22" s="108"/>
      <c r="N22" s="111">
        <v>44377</v>
      </c>
      <c r="O22" s="147"/>
      <c r="P22" s="108" t="s">
        <v>213</v>
      </c>
      <c r="Q22" s="108" t="s">
        <v>575</v>
      </c>
      <c r="R22" s="108" t="s">
        <v>262</v>
      </c>
      <c r="S22" s="108" t="s">
        <v>92</v>
      </c>
      <c r="T22" s="108"/>
      <c r="U22" s="108"/>
      <c r="V22" s="108"/>
      <c r="W22" s="147"/>
      <c r="X22" s="147" t="s">
        <v>59</v>
      </c>
      <c r="Y22" s="108" t="s">
        <v>575</v>
      </c>
      <c r="Z22" s="111">
        <v>36852</v>
      </c>
      <c r="AA22" s="108">
        <f t="shared" ca="1" si="3"/>
        <v>22</v>
      </c>
      <c r="AB22" s="108" t="s">
        <v>3266</v>
      </c>
      <c r="AC22" s="108" t="s">
        <v>3267</v>
      </c>
      <c r="AD22" s="108" t="s">
        <v>3268</v>
      </c>
      <c r="AE22" s="147"/>
      <c r="AF22" s="108" t="s">
        <v>3269</v>
      </c>
      <c r="AG22" s="115" t="s">
        <v>3270</v>
      </c>
      <c r="AH22" s="115">
        <v>16030084418</v>
      </c>
      <c r="AI22" s="108" t="s">
        <v>189</v>
      </c>
      <c r="AJ22" s="108"/>
      <c r="AK22" s="108"/>
      <c r="AL22" s="108"/>
      <c r="AM22" s="108"/>
      <c r="AN22" s="147"/>
      <c r="AO22" s="147"/>
      <c r="AP22" s="147"/>
      <c r="AQ22" s="147"/>
      <c r="AR22" s="147"/>
      <c r="AS22" s="147"/>
      <c r="AT22" s="147"/>
      <c r="AU22" s="147"/>
      <c r="AV22" s="108" t="s">
        <v>74</v>
      </c>
      <c r="AW22" s="108" t="s">
        <v>16</v>
      </c>
      <c r="AX22" s="108" t="s">
        <v>3137</v>
      </c>
      <c r="AY22" s="108"/>
      <c r="AZ22" s="108"/>
      <c r="BA22" s="108" t="s">
        <v>16</v>
      </c>
      <c r="BB22" s="108" t="s">
        <v>3137</v>
      </c>
      <c r="BC22" s="108"/>
      <c r="BD22" s="108"/>
      <c r="BE22" s="148"/>
      <c r="BF22" s="108"/>
      <c r="BG22" s="108"/>
      <c r="BH22" s="147"/>
      <c r="BI22" s="108"/>
      <c r="BJ22" s="147"/>
      <c r="BK22" s="147"/>
      <c r="BL22" s="147"/>
      <c r="BM22" s="147"/>
      <c r="BN22" s="166"/>
      <c r="BO22" s="166"/>
      <c r="BP22" s="147"/>
      <c r="BQ22" s="147"/>
      <c r="BR22" s="166"/>
      <c r="BS22" s="166"/>
      <c r="BT22" s="108"/>
      <c r="BU22" s="108"/>
      <c r="BV22" s="111"/>
      <c r="BW22" s="111"/>
      <c r="BX22" s="108"/>
      <c r="BY22" s="111">
        <v>44268</v>
      </c>
      <c r="BZ22" s="108" t="s">
        <v>3144</v>
      </c>
      <c r="CA22" s="147"/>
      <c r="CB22" s="147" t="e">
        <f>VLOOKUP(C22,[1]Sertifikasi!$B$4:$I$19,8,0)</f>
        <v>#N/A</v>
      </c>
    </row>
    <row r="23" spans="1:80" ht="11.25" customHeight="1">
      <c r="A23" s="147"/>
      <c r="B23" s="108">
        <v>20</v>
      </c>
      <c r="C23" s="108" t="s">
        <v>3271</v>
      </c>
      <c r="D23" s="109">
        <v>641810194</v>
      </c>
      <c r="E23" s="113">
        <v>1710004810613</v>
      </c>
      <c r="F23" s="160"/>
      <c r="G23" s="108" t="s">
        <v>259</v>
      </c>
      <c r="H23" s="108" t="s">
        <v>259</v>
      </c>
      <c r="I23" s="111">
        <v>43395</v>
      </c>
      <c r="J23" s="113">
        <f t="shared" si="0"/>
        <v>2</v>
      </c>
      <c r="K23" s="108">
        <f t="shared" si="1"/>
        <v>6</v>
      </c>
      <c r="L23" s="108" t="str">
        <f t="shared" si="2"/>
        <v>PKWT</v>
      </c>
      <c r="M23" s="108"/>
      <c r="N23" s="111">
        <v>44588</v>
      </c>
      <c r="O23" s="147"/>
      <c r="P23" s="108" t="s">
        <v>213</v>
      </c>
      <c r="Q23" s="108" t="s">
        <v>259</v>
      </c>
      <c r="R23" s="108" t="s">
        <v>33</v>
      </c>
      <c r="S23" s="108" t="s">
        <v>3222</v>
      </c>
      <c r="T23" s="108"/>
      <c r="U23" s="162"/>
      <c r="V23" s="162"/>
      <c r="W23" s="147"/>
      <c r="X23" s="147" t="s">
        <v>59</v>
      </c>
      <c r="Y23" s="108" t="s">
        <v>1178</v>
      </c>
      <c r="Z23" s="111">
        <v>35434</v>
      </c>
      <c r="AA23" s="108">
        <f t="shared" ca="1" si="3"/>
        <v>26</v>
      </c>
      <c r="AB23" s="108" t="s">
        <v>3272</v>
      </c>
      <c r="AC23" s="108" t="s">
        <v>3273</v>
      </c>
      <c r="AD23" s="109" t="s">
        <v>3274</v>
      </c>
      <c r="AE23" s="147"/>
      <c r="AF23" s="115" t="s">
        <v>3275</v>
      </c>
      <c r="AG23" s="115" t="s">
        <v>3276</v>
      </c>
      <c r="AH23" s="131">
        <v>18099947444</v>
      </c>
      <c r="AI23" s="108" t="s">
        <v>255</v>
      </c>
      <c r="AJ23" s="108"/>
      <c r="AK23" s="108"/>
      <c r="AL23" s="108"/>
      <c r="AM23" s="108"/>
      <c r="AN23" s="147"/>
      <c r="AO23" s="147"/>
      <c r="AP23" s="147"/>
      <c r="AQ23" s="147"/>
      <c r="AR23" s="147"/>
      <c r="AS23" s="147"/>
      <c r="AT23" s="147"/>
      <c r="AU23" s="147"/>
      <c r="AV23" s="108" t="s">
        <v>74</v>
      </c>
      <c r="AW23" s="108" t="s">
        <v>16</v>
      </c>
      <c r="AX23" s="108" t="s">
        <v>3151</v>
      </c>
      <c r="AY23" s="108"/>
      <c r="AZ23" s="108"/>
      <c r="BA23" s="108" t="s">
        <v>16</v>
      </c>
      <c r="BB23" s="108" t="s">
        <v>3151</v>
      </c>
      <c r="BC23" s="108"/>
      <c r="BD23" s="108"/>
      <c r="BE23" s="108"/>
      <c r="BF23" s="108"/>
      <c r="BG23" s="108"/>
      <c r="BH23" s="147"/>
      <c r="BI23" s="108"/>
      <c r="BJ23" s="108"/>
      <c r="BK23" s="108"/>
      <c r="BL23" s="108"/>
      <c r="BM23" s="108"/>
      <c r="BN23" s="149"/>
      <c r="BO23" s="149"/>
      <c r="BP23" s="108"/>
      <c r="BQ23" s="108"/>
      <c r="BR23" s="149"/>
      <c r="BS23" s="149"/>
      <c r="BT23" s="108"/>
      <c r="BU23" s="108"/>
      <c r="BV23" s="111"/>
      <c r="BW23" s="111"/>
      <c r="BX23" s="108"/>
      <c r="BY23" s="111">
        <v>44316</v>
      </c>
      <c r="BZ23" s="108" t="s">
        <v>3129</v>
      </c>
      <c r="CA23" s="147"/>
      <c r="CB23" s="147" t="e">
        <f>VLOOKUP(C23,[1]Sertifikasi!$B$4:$I$19,8,0)</f>
        <v>#N/A</v>
      </c>
    </row>
    <row r="24" spans="1:80" ht="11.25" customHeight="1">
      <c r="A24" s="147"/>
      <c r="B24" s="108">
        <v>21</v>
      </c>
      <c r="C24" s="108" t="s">
        <v>3277</v>
      </c>
      <c r="D24" s="109">
        <v>642001023</v>
      </c>
      <c r="E24" s="113">
        <v>1710003987685</v>
      </c>
      <c r="F24" s="160"/>
      <c r="G24" s="108" t="s">
        <v>71</v>
      </c>
      <c r="H24" s="108" t="s">
        <v>71</v>
      </c>
      <c r="I24" s="111">
        <v>42919</v>
      </c>
      <c r="J24" s="113">
        <f t="shared" si="0"/>
        <v>3</v>
      </c>
      <c r="K24" s="108">
        <f t="shared" si="1"/>
        <v>10</v>
      </c>
      <c r="L24" s="108" t="str">
        <f t="shared" si="2"/>
        <v>PKWT</v>
      </c>
      <c r="M24" s="108"/>
      <c r="N24" s="111">
        <v>44561</v>
      </c>
      <c r="O24" s="147"/>
      <c r="P24" s="108" t="s">
        <v>311</v>
      </c>
      <c r="Q24" s="108" t="s">
        <v>71</v>
      </c>
      <c r="R24" s="108" t="s">
        <v>3278</v>
      </c>
      <c r="S24" s="108" t="s">
        <v>3278</v>
      </c>
      <c r="T24" s="108"/>
      <c r="U24" s="162"/>
      <c r="V24" s="162"/>
      <c r="W24" s="147"/>
      <c r="X24" s="147" t="s">
        <v>59</v>
      </c>
      <c r="Y24" s="108" t="s">
        <v>182</v>
      </c>
      <c r="Z24" s="111">
        <v>36027</v>
      </c>
      <c r="AA24" s="108">
        <f t="shared" ca="1" si="3"/>
        <v>25</v>
      </c>
      <c r="AB24" s="108" t="s">
        <v>3279</v>
      </c>
      <c r="AC24" s="108" t="s">
        <v>3280</v>
      </c>
      <c r="AD24" s="109" t="s">
        <v>3281</v>
      </c>
      <c r="AE24" s="147"/>
      <c r="AF24" s="115" t="s">
        <v>3282</v>
      </c>
      <c r="AG24" s="115" t="s">
        <v>3283</v>
      </c>
      <c r="AH24" s="115">
        <v>17043907736</v>
      </c>
      <c r="AI24" s="108" t="s">
        <v>255</v>
      </c>
      <c r="AJ24" s="108"/>
      <c r="AK24" s="108"/>
      <c r="AL24" s="108"/>
      <c r="AM24" s="108"/>
      <c r="AN24" s="147"/>
      <c r="AO24" s="147"/>
      <c r="AP24" s="147"/>
      <c r="AQ24" s="147"/>
      <c r="AR24" s="147"/>
      <c r="AS24" s="147"/>
      <c r="AT24" s="147"/>
      <c r="AU24" s="147"/>
      <c r="AV24" s="108" t="s">
        <v>74</v>
      </c>
      <c r="AW24" s="108" t="s">
        <v>16</v>
      </c>
      <c r="AX24" s="108" t="s">
        <v>3137</v>
      </c>
      <c r="AY24" s="108"/>
      <c r="AZ24" s="108"/>
      <c r="BA24" s="108" t="s">
        <v>16</v>
      </c>
      <c r="BB24" s="108" t="s">
        <v>3137</v>
      </c>
      <c r="BC24" s="108"/>
      <c r="BD24" s="108"/>
      <c r="BE24" s="108"/>
      <c r="BF24" s="108"/>
      <c r="BG24" s="108"/>
      <c r="BH24" s="147"/>
      <c r="BI24" s="108"/>
      <c r="BJ24" s="147"/>
      <c r="BK24" s="147"/>
      <c r="BL24" s="147"/>
      <c r="BM24" s="147"/>
      <c r="BN24" s="149">
        <v>43467</v>
      </c>
      <c r="BO24" s="149">
        <v>43830</v>
      </c>
      <c r="BP24" s="108" t="s">
        <v>3284</v>
      </c>
      <c r="BQ24" s="108" t="e">
        <f>"PKWT-"&amp;#REF!&amp;"/D1/2020"</f>
        <v>#REF!</v>
      </c>
      <c r="BR24" s="149"/>
      <c r="BS24" s="149"/>
      <c r="BT24" s="108"/>
      <c r="BU24" s="147"/>
      <c r="BV24" s="150"/>
      <c r="BW24" s="150"/>
      <c r="BX24" s="147"/>
      <c r="BY24" s="111">
        <v>44340</v>
      </c>
      <c r="BZ24" s="108" t="s">
        <v>3144</v>
      </c>
      <c r="CA24" s="147"/>
      <c r="CB24" s="147" t="e">
        <f>VLOOKUP(C24,[1]Sertifikasi!$B$4:$I$19,8,0)</f>
        <v>#N/A</v>
      </c>
    </row>
    <row r="25" spans="1:80" ht="11.25" customHeight="1">
      <c r="A25" s="147"/>
      <c r="B25" s="108">
        <v>22</v>
      </c>
      <c r="C25" s="108" t="s">
        <v>3285</v>
      </c>
      <c r="D25" s="109">
        <v>999100018</v>
      </c>
      <c r="E25" s="113">
        <v>1440001094579</v>
      </c>
      <c r="F25" s="160"/>
      <c r="G25" s="108" t="s">
        <v>33</v>
      </c>
      <c r="H25" s="108" t="s">
        <v>71</v>
      </c>
      <c r="I25" s="132">
        <v>43987</v>
      </c>
      <c r="J25" s="113">
        <f t="shared" si="0"/>
        <v>0</v>
      </c>
      <c r="K25" s="108">
        <f t="shared" si="1"/>
        <v>11</v>
      </c>
      <c r="L25" s="108" t="str">
        <f t="shared" si="2"/>
        <v>Organik</v>
      </c>
      <c r="M25" s="108" t="s">
        <v>1401</v>
      </c>
      <c r="N25" s="111">
        <v>33390</v>
      </c>
      <c r="O25" s="147"/>
      <c r="P25" s="108" t="s">
        <v>261</v>
      </c>
      <c r="Q25" s="111" t="s">
        <v>261</v>
      </c>
      <c r="R25" s="108" t="s">
        <v>33</v>
      </c>
      <c r="S25" s="108" t="s">
        <v>3211</v>
      </c>
      <c r="T25" s="108" t="s">
        <v>3212</v>
      </c>
      <c r="U25" s="108"/>
      <c r="V25" s="108"/>
      <c r="W25" s="108"/>
      <c r="X25" s="108" t="s">
        <v>59</v>
      </c>
      <c r="Y25" s="108" t="s">
        <v>71</v>
      </c>
      <c r="Z25" s="111">
        <v>24231</v>
      </c>
      <c r="AA25" s="108">
        <f t="shared" ca="1" si="3"/>
        <v>57</v>
      </c>
      <c r="AB25" s="108" t="s">
        <v>3286</v>
      </c>
      <c r="AC25" s="108" t="s">
        <v>3287</v>
      </c>
      <c r="AD25" s="111" t="s">
        <v>3288</v>
      </c>
      <c r="AE25" s="147"/>
      <c r="AF25" s="108" t="s">
        <v>3289</v>
      </c>
      <c r="AG25" s="115" t="s">
        <v>3290</v>
      </c>
      <c r="AH25" s="115" t="s">
        <v>3291</v>
      </c>
      <c r="AI25" s="108" t="s">
        <v>189</v>
      </c>
      <c r="AJ25" s="108" t="s">
        <v>3292</v>
      </c>
      <c r="AK25" s="108"/>
      <c r="AL25" s="108"/>
      <c r="AM25" s="147"/>
      <c r="AN25" s="147"/>
      <c r="AO25" s="147"/>
      <c r="AP25" s="147"/>
      <c r="AQ25" s="147"/>
      <c r="AR25" s="147"/>
      <c r="AS25" s="147"/>
      <c r="AT25" s="147"/>
      <c r="AU25" s="108" t="s">
        <v>3293</v>
      </c>
      <c r="AV25" s="108" t="s">
        <v>74</v>
      </c>
      <c r="AW25" s="108" t="s">
        <v>16</v>
      </c>
      <c r="AX25" s="108" t="s">
        <v>3207</v>
      </c>
      <c r="AY25" s="108" t="s">
        <v>3294</v>
      </c>
      <c r="AZ25" s="108"/>
      <c r="BA25" s="108" t="s">
        <v>16</v>
      </c>
      <c r="BB25" s="108" t="s">
        <v>3207</v>
      </c>
      <c r="BC25" s="108" t="s">
        <v>3294</v>
      </c>
      <c r="BD25" s="108"/>
      <c r="BE25" s="108"/>
      <c r="BF25" s="108"/>
      <c r="BG25" s="108"/>
      <c r="BH25" s="147"/>
      <c r="BI25" s="108"/>
      <c r="BJ25" s="108"/>
      <c r="BK25" s="108"/>
      <c r="BL25" s="108"/>
      <c r="BM25" s="108"/>
      <c r="BN25" s="149"/>
      <c r="BO25" s="149"/>
      <c r="BP25" s="108"/>
      <c r="BQ25" s="108"/>
      <c r="BR25" s="149"/>
      <c r="BS25" s="149"/>
      <c r="BT25" s="108"/>
      <c r="BU25" s="108"/>
      <c r="BV25" s="111"/>
      <c r="BW25" s="111"/>
      <c r="BX25" s="108"/>
      <c r="BY25" s="111">
        <v>44347</v>
      </c>
      <c r="BZ25" s="108" t="s">
        <v>3241</v>
      </c>
      <c r="CA25" s="147"/>
      <c r="CB25" s="147" t="e">
        <f>VLOOKUP(C25,[1]Sertifikasi!$B$4:$I$19,8,0)</f>
        <v>#N/A</v>
      </c>
    </row>
    <row r="26" spans="1:80" ht="11.25" customHeight="1">
      <c r="A26" s="147"/>
      <c r="B26" s="108">
        <v>23</v>
      </c>
      <c r="C26" s="108" t="s">
        <v>3295</v>
      </c>
      <c r="D26" s="109">
        <v>971900038</v>
      </c>
      <c r="E26" s="113">
        <v>9000006541305</v>
      </c>
      <c r="F26" s="160"/>
      <c r="G26" s="113" t="s">
        <v>71</v>
      </c>
      <c r="H26" s="108" t="s">
        <v>71</v>
      </c>
      <c r="I26" s="132">
        <v>43346</v>
      </c>
      <c r="J26" s="113">
        <f t="shared" si="0"/>
        <v>2</v>
      </c>
      <c r="K26" s="108">
        <f t="shared" si="1"/>
        <v>10</v>
      </c>
      <c r="L26" s="108" t="str">
        <f t="shared" si="2"/>
        <v>Tetap</v>
      </c>
      <c r="M26" s="108" t="s">
        <v>1451</v>
      </c>
      <c r="N26" s="116">
        <v>43683</v>
      </c>
      <c r="O26" s="147"/>
      <c r="P26" s="108" t="s">
        <v>261</v>
      </c>
      <c r="Q26" s="108" t="s">
        <v>197</v>
      </c>
      <c r="R26" s="108" t="s">
        <v>3296</v>
      </c>
      <c r="S26" s="108" t="s">
        <v>841</v>
      </c>
      <c r="T26" s="108" t="s">
        <v>785</v>
      </c>
      <c r="U26" s="108" t="s">
        <v>247</v>
      </c>
      <c r="V26" s="108"/>
      <c r="W26" s="108"/>
      <c r="X26" s="108" t="s">
        <v>60</v>
      </c>
      <c r="Y26" s="108" t="s">
        <v>842</v>
      </c>
      <c r="Z26" s="111">
        <v>34538</v>
      </c>
      <c r="AA26" s="108">
        <f t="shared" ca="1" si="3"/>
        <v>29</v>
      </c>
      <c r="AB26" s="108" t="s">
        <v>3297</v>
      </c>
      <c r="AC26" s="108" t="s">
        <v>3298</v>
      </c>
      <c r="AD26" s="108" t="s">
        <v>3299</v>
      </c>
      <c r="AE26" s="147"/>
      <c r="AF26" s="165" t="s">
        <v>3300</v>
      </c>
      <c r="AG26" s="115" t="s">
        <v>3301</v>
      </c>
      <c r="AH26" s="115" t="s">
        <v>3302</v>
      </c>
      <c r="AI26" s="108" t="s">
        <v>189</v>
      </c>
      <c r="AJ26" s="108"/>
      <c r="AK26" s="108"/>
      <c r="AL26" s="108"/>
      <c r="AM26" s="108"/>
      <c r="AN26" s="147"/>
      <c r="AO26" s="147"/>
      <c r="AP26" s="147"/>
      <c r="AQ26" s="147"/>
      <c r="AR26" s="147"/>
      <c r="AS26" s="147"/>
      <c r="AT26" s="147"/>
      <c r="AU26" s="147"/>
      <c r="AV26" s="108" t="s">
        <v>74</v>
      </c>
      <c r="AW26" s="108" t="s">
        <v>12</v>
      </c>
      <c r="AX26" s="108" t="s">
        <v>671</v>
      </c>
      <c r="AY26" s="108" t="s">
        <v>3303</v>
      </c>
      <c r="AZ26" s="108"/>
      <c r="BA26" s="108" t="s">
        <v>12</v>
      </c>
      <c r="BB26" s="108" t="s">
        <v>671</v>
      </c>
      <c r="BC26" s="108" t="s">
        <v>3303</v>
      </c>
      <c r="BD26" s="108"/>
      <c r="BE26" s="108"/>
      <c r="BF26" s="108"/>
      <c r="BG26" s="108"/>
      <c r="BH26" s="147"/>
      <c r="BI26" s="108"/>
      <c r="BJ26" s="147"/>
      <c r="BK26" s="147"/>
      <c r="BL26" s="147"/>
      <c r="BM26" s="147"/>
      <c r="BN26" s="149"/>
      <c r="BO26" s="149"/>
      <c r="BP26" s="108"/>
      <c r="BQ26" s="108"/>
      <c r="BR26" s="149"/>
      <c r="BS26" s="149"/>
      <c r="BT26" s="108"/>
      <c r="BU26" s="108"/>
      <c r="BV26" s="111"/>
      <c r="BW26" s="111"/>
      <c r="BX26" s="108"/>
      <c r="BY26" s="111">
        <v>44380</v>
      </c>
      <c r="BZ26" s="108" t="s">
        <v>3247</v>
      </c>
      <c r="CA26" s="147"/>
      <c r="CB26" s="147" t="e">
        <f>VLOOKUP(C26,[1]Sertifikasi!$B$4:$I$19,8,0)</f>
        <v>#N/A</v>
      </c>
    </row>
    <row r="27" spans="1:80" ht="11.25" customHeight="1">
      <c r="A27" s="147"/>
      <c r="B27" s="108">
        <v>24</v>
      </c>
      <c r="C27" s="108" t="s">
        <v>3304</v>
      </c>
      <c r="D27" s="109">
        <v>642001064</v>
      </c>
      <c r="E27" s="164" t="s">
        <v>3305</v>
      </c>
      <c r="F27" s="160"/>
      <c r="G27" s="108" t="s">
        <v>71</v>
      </c>
      <c r="H27" s="108" t="s">
        <v>71</v>
      </c>
      <c r="I27" s="111">
        <v>42461</v>
      </c>
      <c r="J27" s="113">
        <f t="shared" si="0"/>
        <v>5</v>
      </c>
      <c r="K27" s="108">
        <f t="shared" si="1"/>
        <v>4</v>
      </c>
      <c r="L27" s="108" t="str">
        <f t="shared" si="2"/>
        <v>PKWT</v>
      </c>
      <c r="M27" s="108"/>
      <c r="N27" s="111">
        <v>44561</v>
      </c>
      <c r="O27" s="147"/>
      <c r="P27" s="111" t="s">
        <v>213</v>
      </c>
      <c r="Q27" s="108" t="s">
        <v>71</v>
      </c>
      <c r="R27" s="108" t="s">
        <v>3278</v>
      </c>
      <c r="S27" s="108" t="s">
        <v>3278</v>
      </c>
      <c r="T27" s="108"/>
      <c r="U27" s="108"/>
      <c r="V27" s="108"/>
      <c r="W27" s="147"/>
      <c r="X27" s="147" t="s">
        <v>59</v>
      </c>
      <c r="Y27" s="108" t="s">
        <v>71</v>
      </c>
      <c r="Z27" s="111">
        <v>29827</v>
      </c>
      <c r="AA27" s="108">
        <f t="shared" ca="1" si="3"/>
        <v>42</v>
      </c>
      <c r="AB27" s="108" t="s">
        <v>3306</v>
      </c>
      <c r="AC27" s="108" t="s">
        <v>3307</v>
      </c>
      <c r="AD27" s="108" t="s">
        <v>3308</v>
      </c>
      <c r="AE27" s="147"/>
      <c r="AF27" s="108" t="s">
        <v>3309</v>
      </c>
      <c r="AG27" s="115" t="s">
        <v>3310</v>
      </c>
      <c r="AH27" s="115">
        <v>16043177209</v>
      </c>
      <c r="AI27" s="108" t="s">
        <v>255</v>
      </c>
      <c r="AJ27" s="108"/>
      <c r="AK27" s="108"/>
      <c r="AL27" s="108"/>
      <c r="AM27" s="108"/>
      <c r="AN27" s="147"/>
      <c r="AO27" s="147"/>
      <c r="AP27" s="147"/>
      <c r="AQ27" s="147"/>
      <c r="AR27" s="147"/>
      <c r="AS27" s="147"/>
      <c r="AT27" s="147"/>
      <c r="AU27" s="147"/>
      <c r="AV27" s="108" t="s">
        <v>74</v>
      </c>
      <c r="AW27" s="108" t="s">
        <v>16</v>
      </c>
      <c r="AX27" s="108" t="s">
        <v>3311</v>
      </c>
      <c r="AY27" s="108"/>
      <c r="AZ27" s="108"/>
      <c r="BA27" s="108" t="s">
        <v>16</v>
      </c>
      <c r="BB27" s="108" t="s">
        <v>3311</v>
      </c>
      <c r="BC27" s="108"/>
      <c r="BD27" s="108"/>
      <c r="BE27" s="108"/>
      <c r="BF27" s="108"/>
      <c r="BG27" s="148"/>
      <c r="BH27" s="147"/>
      <c r="BI27" s="108"/>
      <c r="BJ27" s="147"/>
      <c r="BK27" s="147"/>
      <c r="BL27" s="147"/>
      <c r="BM27" s="147"/>
      <c r="BN27" s="149">
        <v>43467</v>
      </c>
      <c r="BO27" s="149">
        <v>43830</v>
      </c>
      <c r="BP27" s="108" t="s">
        <v>3312</v>
      </c>
      <c r="BQ27" s="108" t="s">
        <v>3313</v>
      </c>
      <c r="BR27" s="149">
        <v>44293</v>
      </c>
      <c r="BS27" s="149">
        <v>44322</v>
      </c>
      <c r="BT27" s="108"/>
      <c r="BU27" s="147"/>
      <c r="BV27" s="111">
        <v>44293</v>
      </c>
      <c r="BW27" s="111">
        <v>44322</v>
      </c>
      <c r="BX27" s="108"/>
      <c r="BY27" s="111">
        <v>44418</v>
      </c>
      <c r="BZ27" s="108" t="s">
        <v>3144</v>
      </c>
      <c r="CA27" s="147"/>
      <c r="CB27" s="147" t="e">
        <f>VLOOKUP(C27,[1]Sertifikasi!$B$4:$I$19,8,0)</f>
        <v>#N/A</v>
      </c>
    </row>
    <row r="28" spans="1:80" ht="11.25" customHeight="1">
      <c r="A28" s="147"/>
      <c r="B28" s="108">
        <v>25</v>
      </c>
      <c r="C28" s="108" t="s">
        <v>3314</v>
      </c>
      <c r="D28" s="109">
        <v>641810187</v>
      </c>
      <c r="E28" s="164" t="s">
        <v>3315</v>
      </c>
      <c r="F28" s="160"/>
      <c r="G28" s="108" t="s">
        <v>259</v>
      </c>
      <c r="H28" s="108" t="s">
        <v>259</v>
      </c>
      <c r="I28" s="111">
        <v>43395</v>
      </c>
      <c r="J28" s="113">
        <f t="shared" si="0"/>
        <v>2</v>
      </c>
      <c r="K28" s="108">
        <f t="shared" si="1"/>
        <v>9</v>
      </c>
      <c r="L28" s="108" t="str">
        <f t="shared" si="2"/>
        <v>PKWT</v>
      </c>
      <c r="M28" s="108"/>
      <c r="N28" s="111">
        <v>44561</v>
      </c>
      <c r="O28" s="147"/>
      <c r="P28" s="108" t="s">
        <v>213</v>
      </c>
      <c r="Q28" s="108" t="s">
        <v>259</v>
      </c>
      <c r="R28" s="108" t="s">
        <v>262</v>
      </c>
      <c r="S28" s="108" t="s">
        <v>89</v>
      </c>
      <c r="T28" s="108"/>
      <c r="U28" s="162"/>
      <c r="V28" s="162"/>
      <c r="W28" s="147"/>
      <c r="X28" s="147" t="s">
        <v>59</v>
      </c>
      <c r="Y28" s="108" t="s">
        <v>3316</v>
      </c>
      <c r="Z28" s="111">
        <v>34394</v>
      </c>
      <c r="AA28" s="108">
        <f t="shared" ca="1" si="3"/>
        <v>29</v>
      </c>
      <c r="AB28" s="108" t="s">
        <v>3317</v>
      </c>
      <c r="AC28" s="108" t="s">
        <v>3318</v>
      </c>
      <c r="AD28" s="109" t="s">
        <v>3319</v>
      </c>
      <c r="AE28" s="147"/>
      <c r="AF28" s="115" t="s">
        <v>3320</v>
      </c>
      <c r="AG28" s="115" t="s">
        <v>3321</v>
      </c>
      <c r="AH28" s="131">
        <v>18099947519</v>
      </c>
      <c r="AI28" s="108" t="s">
        <v>189</v>
      </c>
      <c r="AJ28" s="108"/>
      <c r="AK28" s="108"/>
      <c r="AL28" s="108"/>
      <c r="AM28" s="108"/>
      <c r="AN28" s="147"/>
      <c r="AO28" s="147"/>
      <c r="AP28" s="147"/>
      <c r="AQ28" s="147"/>
      <c r="AR28" s="147"/>
      <c r="AS28" s="147"/>
      <c r="AT28" s="147"/>
      <c r="AU28" s="147"/>
      <c r="AV28" s="108" t="s">
        <v>74</v>
      </c>
      <c r="AW28" s="108" t="s">
        <v>12</v>
      </c>
      <c r="AX28" s="108" t="s">
        <v>3137</v>
      </c>
      <c r="AY28" s="108"/>
      <c r="AZ28" s="108"/>
      <c r="BA28" s="108" t="s">
        <v>12</v>
      </c>
      <c r="BB28" s="108" t="s">
        <v>3137</v>
      </c>
      <c r="BC28" s="108"/>
      <c r="BD28" s="108"/>
      <c r="BE28" s="108"/>
      <c r="BF28" s="108"/>
      <c r="BG28" s="108"/>
      <c r="BH28" s="147"/>
      <c r="BI28" s="108"/>
      <c r="BJ28" s="147"/>
      <c r="BK28" s="147"/>
      <c r="BL28" s="147"/>
      <c r="BM28" s="147"/>
      <c r="BN28" s="149"/>
      <c r="BO28" s="149"/>
      <c r="BP28" s="108"/>
      <c r="BQ28" s="108"/>
      <c r="BR28" s="149"/>
      <c r="BS28" s="149"/>
      <c r="BT28" s="108"/>
      <c r="BU28" s="147"/>
      <c r="BV28" s="111"/>
      <c r="BW28" s="111"/>
      <c r="BX28" s="108"/>
      <c r="BY28" s="111">
        <v>44418</v>
      </c>
      <c r="BZ28" s="108" t="s">
        <v>3144</v>
      </c>
      <c r="CA28" s="147"/>
      <c r="CB28" s="147" t="e">
        <f>VLOOKUP(C28,[1]Sertifikasi!$B$4:$I$19,8,0)</f>
        <v>#N/A</v>
      </c>
    </row>
    <row r="29" spans="1:80" ht="11.25" customHeight="1">
      <c r="A29" s="147"/>
      <c r="B29" s="108">
        <v>26</v>
      </c>
      <c r="C29" s="108" t="s">
        <v>3322</v>
      </c>
      <c r="D29" s="109">
        <v>641907265</v>
      </c>
      <c r="E29" s="113">
        <v>1710005657724</v>
      </c>
      <c r="F29" s="160"/>
      <c r="G29" s="108" t="s">
        <v>259</v>
      </c>
      <c r="H29" s="108" t="s">
        <v>259</v>
      </c>
      <c r="I29" s="111">
        <v>43647</v>
      </c>
      <c r="J29" s="113">
        <f t="shared" si="0"/>
        <v>2</v>
      </c>
      <c r="K29" s="108">
        <f t="shared" si="1"/>
        <v>1</v>
      </c>
      <c r="L29" s="108" t="str">
        <f t="shared" si="2"/>
        <v>PKWT</v>
      </c>
      <c r="M29" s="108"/>
      <c r="N29" s="111">
        <v>44561</v>
      </c>
      <c r="O29" s="147"/>
      <c r="P29" s="108" t="s">
        <v>213</v>
      </c>
      <c r="Q29" s="108" t="s">
        <v>259</v>
      </c>
      <c r="R29" s="108" t="s">
        <v>262</v>
      </c>
      <c r="S29" s="108" t="s">
        <v>89</v>
      </c>
      <c r="T29" s="108"/>
      <c r="U29" s="162"/>
      <c r="V29" s="162"/>
      <c r="W29" s="147"/>
      <c r="X29" s="147" t="s">
        <v>59</v>
      </c>
      <c r="Y29" s="108" t="s">
        <v>259</v>
      </c>
      <c r="Z29" s="111">
        <v>34241</v>
      </c>
      <c r="AA29" s="108">
        <f t="shared" ca="1" si="3"/>
        <v>30</v>
      </c>
      <c r="AB29" s="108" t="s">
        <v>3323</v>
      </c>
      <c r="AC29" s="108" t="s">
        <v>3324</v>
      </c>
      <c r="AD29" s="109" t="s">
        <v>3325</v>
      </c>
      <c r="AE29" s="147"/>
      <c r="AF29" s="115" t="s">
        <v>3326</v>
      </c>
      <c r="AG29" s="115" t="s">
        <v>3327</v>
      </c>
      <c r="AH29" s="115">
        <v>19047644216</v>
      </c>
      <c r="AI29" s="108" t="s">
        <v>255</v>
      </c>
      <c r="AJ29" s="108"/>
      <c r="AK29" s="108"/>
      <c r="AL29" s="108"/>
      <c r="AM29" s="108"/>
      <c r="AN29" s="147"/>
      <c r="AO29" s="147"/>
      <c r="AP29" s="147"/>
      <c r="AQ29" s="147"/>
      <c r="AR29" s="147"/>
      <c r="AS29" s="147"/>
      <c r="AT29" s="147"/>
      <c r="AU29" s="147"/>
      <c r="AV29" s="108" t="s">
        <v>74</v>
      </c>
      <c r="AW29" s="108" t="s">
        <v>16</v>
      </c>
      <c r="AX29" s="108" t="s">
        <v>3137</v>
      </c>
      <c r="AY29" s="108"/>
      <c r="AZ29" s="108"/>
      <c r="BA29" s="108" t="s">
        <v>16</v>
      </c>
      <c r="BB29" s="108" t="s">
        <v>3137</v>
      </c>
      <c r="BC29" s="108"/>
      <c r="BD29" s="108"/>
      <c r="BE29" s="108"/>
      <c r="BF29" s="108"/>
      <c r="BG29" s="108"/>
      <c r="BH29" s="147"/>
      <c r="BI29" s="108"/>
      <c r="BJ29" s="147"/>
      <c r="BK29" s="147"/>
      <c r="BL29" s="147"/>
      <c r="BM29" s="147"/>
      <c r="BN29" s="149"/>
      <c r="BO29" s="149"/>
      <c r="BP29" s="108"/>
      <c r="BQ29" s="108"/>
      <c r="BR29" s="149"/>
      <c r="BS29" s="149"/>
      <c r="BT29" s="108"/>
      <c r="BU29" s="147"/>
      <c r="BV29" s="111"/>
      <c r="BW29" s="111"/>
      <c r="BX29" s="108"/>
      <c r="BY29" s="111">
        <v>44418</v>
      </c>
      <c r="BZ29" s="108" t="s">
        <v>3144</v>
      </c>
      <c r="CA29" s="147"/>
      <c r="CB29" s="147" t="e">
        <f>VLOOKUP(C29,[1]Sertifikasi!$B$4:$I$19,8,0)</f>
        <v>#N/A</v>
      </c>
    </row>
    <row r="30" spans="1:80" ht="11.25" customHeight="1">
      <c r="A30" s="147"/>
      <c r="B30" s="108">
        <v>27</v>
      </c>
      <c r="C30" s="108" t="s">
        <v>3328</v>
      </c>
      <c r="D30" s="109">
        <v>642001049</v>
      </c>
      <c r="E30" s="113">
        <v>1710003987750</v>
      </c>
      <c r="F30" s="160"/>
      <c r="G30" s="108" t="s">
        <v>71</v>
      </c>
      <c r="H30" s="108" t="s">
        <v>71</v>
      </c>
      <c r="I30" s="111">
        <v>42767</v>
      </c>
      <c r="J30" s="113">
        <f t="shared" si="0"/>
        <v>4</v>
      </c>
      <c r="K30" s="108">
        <f t="shared" si="1"/>
        <v>6</v>
      </c>
      <c r="L30" s="108" t="str">
        <f t="shared" si="2"/>
        <v>PKWT</v>
      </c>
      <c r="M30" s="108"/>
      <c r="N30" s="111">
        <v>44561</v>
      </c>
      <c r="O30" s="147"/>
      <c r="P30" s="108" t="s">
        <v>213</v>
      </c>
      <c r="Q30" s="108" t="s">
        <v>409</v>
      </c>
      <c r="R30" s="108" t="s">
        <v>33</v>
      </c>
      <c r="S30" s="108" t="s">
        <v>88</v>
      </c>
      <c r="T30" s="108"/>
      <c r="U30" s="162"/>
      <c r="V30" s="162"/>
      <c r="W30" s="147"/>
      <c r="X30" s="147" t="s">
        <v>59</v>
      </c>
      <c r="Y30" s="108" t="s">
        <v>71</v>
      </c>
      <c r="Z30" s="111">
        <v>30579</v>
      </c>
      <c r="AA30" s="108">
        <f t="shared" ca="1" si="3"/>
        <v>40</v>
      </c>
      <c r="AB30" s="108" t="s">
        <v>3329</v>
      </c>
      <c r="AC30" s="108" t="s">
        <v>3330</v>
      </c>
      <c r="AD30" s="109" t="s">
        <v>3331</v>
      </c>
      <c r="AE30" s="147"/>
      <c r="AF30" s="115" t="s">
        <v>3332</v>
      </c>
      <c r="AG30" s="115" t="s">
        <v>3333</v>
      </c>
      <c r="AH30" s="131">
        <v>17028638853</v>
      </c>
      <c r="AI30" s="108" t="s">
        <v>189</v>
      </c>
      <c r="AJ30" s="108"/>
      <c r="AK30" s="108"/>
      <c r="AL30" s="108"/>
      <c r="AM30" s="108"/>
      <c r="AN30" s="147"/>
      <c r="AO30" s="147"/>
      <c r="AP30" s="147"/>
      <c r="AQ30" s="147"/>
      <c r="AR30" s="147"/>
      <c r="AS30" s="147"/>
      <c r="AT30" s="147"/>
      <c r="AU30" s="147"/>
      <c r="AV30" s="108" t="s">
        <v>74</v>
      </c>
      <c r="AW30" s="108" t="s">
        <v>16</v>
      </c>
      <c r="AX30" s="108" t="s">
        <v>84</v>
      </c>
      <c r="AY30" s="108"/>
      <c r="AZ30" s="108"/>
      <c r="BA30" s="108" t="s">
        <v>16</v>
      </c>
      <c r="BB30" s="108" t="s">
        <v>84</v>
      </c>
      <c r="BC30" s="108"/>
      <c r="BD30" s="108"/>
      <c r="BE30" s="108"/>
      <c r="BF30" s="108"/>
      <c r="BG30" s="108"/>
      <c r="BH30" s="147"/>
      <c r="BI30" s="108"/>
      <c r="BJ30" s="147"/>
      <c r="BK30" s="147"/>
      <c r="BL30" s="147"/>
      <c r="BM30" s="147"/>
      <c r="BN30" s="149">
        <v>43467</v>
      </c>
      <c r="BO30" s="149">
        <v>43830</v>
      </c>
      <c r="BP30" s="108" t="s">
        <v>3334</v>
      </c>
      <c r="BQ30" s="108" t="e">
        <f>"PKWT-"&amp;#REF!&amp;"/D1/2020"</f>
        <v>#REF!</v>
      </c>
      <c r="BR30" s="149">
        <v>44293</v>
      </c>
      <c r="BS30" s="149">
        <v>44322</v>
      </c>
      <c r="BT30" s="108"/>
      <c r="BU30" s="147"/>
      <c r="BV30" s="111">
        <v>44293</v>
      </c>
      <c r="BW30" s="111">
        <v>44322</v>
      </c>
      <c r="BX30" s="108"/>
      <c r="BY30" s="111">
        <v>44432</v>
      </c>
      <c r="BZ30" s="108" t="s">
        <v>3144</v>
      </c>
      <c r="CA30" s="147"/>
      <c r="CB30" s="147" t="e">
        <f>VLOOKUP(C30,[1]Sertifikasi!$B$4:$I$19,8,0)</f>
        <v>#N/A</v>
      </c>
    </row>
    <row r="31" spans="1:80" ht="11.25" customHeight="1">
      <c r="A31" s="147"/>
      <c r="B31" s="108">
        <v>28</v>
      </c>
      <c r="C31" s="108" t="s">
        <v>3335</v>
      </c>
      <c r="D31" s="109">
        <v>641811207</v>
      </c>
      <c r="E31" s="113">
        <v>1710004832153</v>
      </c>
      <c r="F31" s="160"/>
      <c r="G31" s="108" t="s">
        <v>71</v>
      </c>
      <c r="H31" s="108" t="s">
        <v>842</v>
      </c>
      <c r="I31" s="111">
        <v>43405</v>
      </c>
      <c r="J31" s="113">
        <f t="shared" si="0"/>
        <v>2</v>
      </c>
      <c r="K31" s="108">
        <f t="shared" si="1"/>
        <v>11</v>
      </c>
      <c r="L31" s="108" t="str">
        <f t="shared" si="2"/>
        <v>PKWT</v>
      </c>
      <c r="M31" s="108"/>
      <c r="N31" s="111">
        <v>44490</v>
      </c>
      <c r="O31" s="147"/>
      <c r="P31" s="108" t="s">
        <v>213</v>
      </c>
      <c r="Q31" s="108" t="s">
        <v>71</v>
      </c>
      <c r="R31" s="108" t="s">
        <v>33</v>
      </c>
      <c r="S31" s="108" t="s">
        <v>2085</v>
      </c>
      <c r="T31" s="108"/>
      <c r="U31" s="162"/>
      <c r="V31" s="162"/>
      <c r="W31" s="147"/>
      <c r="X31" s="147" t="s">
        <v>59</v>
      </c>
      <c r="Y31" s="108" t="s">
        <v>842</v>
      </c>
      <c r="Z31" s="111">
        <v>36142</v>
      </c>
      <c r="AA31" s="108">
        <f t="shared" ca="1" si="3"/>
        <v>24</v>
      </c>
      <c r="AB31" s="108" t="s">
        <v>3336</v>
      </c>
      <c r="AC31" s="108" t="s">
        <v>3337</v>
      </c>
      <c r="AD31" s="109" t="s">
        <v>3338</v>
      </c>
      <c r="AE31" s="147"/>
      <c r="AF31" s="115" t="s">
        <v>3339</v>
      </c>
      <c r="AG31" s="115" t="s">
        <v>3340</v>
      </c>
      <c r="AH31" s="131">
        <v>18099947469</v>
      </c>
      <c r="AI31" s="108" t="s">
        <v>255</v>
      </c>
      <c r="AJ31" s="108"/>
      <c r="AK31" s="108"/>
      <c r="AL31" s="108"/>
      <c r="AM31" s="108"/>
      <c r="AN31" s="147"/>
      <c r="AO31" s="147"/>
      <c r="AP31" s="147"/>
      <c r="AQ31" s="147"/>
      <c r="AR31" s="147"/>
      <c r="AS31" s="147"/>
      <c r="AT31" s="147"/>
      <c r="AU31" s="147"/>
      <c r="AV31" s="108" t="s">
        <v>74</v>
      </c>
      <c r="AW31" s="108" t="s">
        <v>16</v>
      </c>
      <c r="AX31" s="108" t="s">
        <v>3151</v>
      </c>
      <c r="AY31" s="108"/>
      <c r="AZ31" s="108"/>
      <c r="BA31" s="108" t="s">
        <v>16</v>
      </c>
      <c r="BB31" s="108" t="s">
        <v>3151</v>
      </c>
      <c r="BC31" s="108"/>
      <c r="BD31" s="108"/>
      <c r="BE31" s="108"/>
      <c r="BF31" s="108"/>
      <c r="BG31" s="108"/>
      <c r="BH31" s="147"/>
      <c r="BI31" s="108"/>
      <c r="BJ31" s="108"/>
      <c r="BK31" s="108"/>
      <c r="BL31" s="108"/>
      <c r="BM31" s="108"/>
      <c r="BN31" s="149"/>
      <c r="BO31" s="149"/>
      <c r="BP31" s="108"/>
      <c r="BQ31" s="108"/>
      <c r="BR31" s="149">
        <v>44365</v>
      </c>
      <c r="BS31" s="149"/>
      <c r="BT31" s="108"/>
      <c r="BU31" s="147"/>
      <c r="BV31" s="111">
        <v>44365</v>
      </c>
      <c r="BW31" s="111"/>
      <c r="BX31" s="108"/>
      <c r="BY31" s="111">
        <v>44491</v>
      </c>
      <c r="BZ31" s="108" t="s">
        <v>3144</v>
      </c>
      <c r="CA31" s="147"/>
      <c r="CB31" s="147" t="e">
        <f>VLOOKUP(C31,[1]Sertifikasi!$B$4:$I$19,8,0)</f>
        <v>#N/A</v>
      </c>
    </row>
    <row r="32" spans="1:80" ht="11.25" customHeight="1">
      <c r="A32" s="147"/>
      <c r="B32" s="108">
        <v>29</v>
      </c>
      <c r="C32" s="108" t="s">
        <v>3341</v>
      </c>
      <c r="D32" s="109">
        <v>642001002</v>
      </c>
      <c r="E32" s="113">
        <v>1710004029388</v>
      </c>
      <c r="F32" s="131"/>
      <c r="G32" s="108" t="s">
        <v>71</v>
      </c>
      <c r="H32" s="108" t="s">
        <v>71</v>
      </c>
      <c r="I32" s="167">
        <v>42217</v>
      </c>
      <c r="J32" s="113">
        <f t="shared" si="0"/>
        <v>6</v>
      </c>
      <c r="K32" s="108">
        <f t="shared" si="1"/>
        <v>4</v>
      </c>
      <c r="L32" s="108" t="str">
        <f t="shared" si="2"/>
        <v>PKWT</v>
      </c>
      <c r="M32" s="108"/>
      <c r="N32" s="111">
        <v>44544</v>
      </c>
      <c r="O32" s="147"/>
      <c r="P32" s="108" t="s">
        <v>311</v>
      </c>
      <c r="Q32" s="108" t="s">
        <v>71</v>
      </c>
      <c r="R32" s="108" t="s">
        <v>476</v>
      </c>
      <c r="S32" s="108" t="s">
        <v>3258</v>
      </c>
      <c r="T32" s="108"/>
      <c r="U32" s="162"/>
      <c r="V32" s="108" t="s">
        <v>277</v>
      </c>
      <c r="W32" s="147"/>
      <c r="X32" s="147" t="s">
        <v>59</v>
      </c>
      <c r="Y32" s="108" t="s">
        <v>71</v>
      </c>
      <c r="Z32" s="111">
        <v>34797</v>
      </c>
      <c r="AA32" s="108">
        <f t="shared" ca="1" si="3"/>
        <v>28</v>
      </c>
      <c r="AB32" s="108" t="s">
        <v>3342</v>
      </c>
      <c r="AC32" s="108" t="s">
        <v>3343</v>
      </c>
      <c r="AD32" s="109" t="s">
        <v>3344</v>
      </c>
      <c r="AE32" s="147"/>
      <c r="AF32" s="115" t="s">
        <v>3345</v>
      </c>
      <c r="AG32" s="115" t="s">
        <v>3346</v>
      </c>
      <c r="AH32" s="115">
        <v>16006272104</v>
      </c>
      <c r="AI32" s="108" t="s">
        <v>189</v>
      </c>
      <c r="AJ32" s="108"/>
      <c r="AK32" s="108"/>
      <c r="AL32" s="108"/>
      <c r="AM32" s="108"/>
      <c r="AN32" s="147"/>
      <c r="AO32" s="147"/>
      <c r="AP32" s="147"/>
      <c r="AQ32" s="147"/>
      <c r="AR32" s="147"/>
      <c r="AS32" s="147"/>
      <c r="AT32" s="147"/>
      <c r="AU32" s="147"/>
      <c r="AV32" s="108" t="s">
        <v>74</v>
      </c>
      <c r="AW32" s="108" t="s">
        <v>16</v>
      </c>
      <c r="AX32" s="108" t="s">
        <v>226</v>
      </c>
      <c r="AY32" s="108" t="s">
        <v>306</v>
      </c>
      <c r="AZ32" s="108"/>
      <c r="BA32" s="108" t="s">
        <v>287</v>
      </c>
      <c r="BB32" s="108" t="s">
        <v>226</v>
      </c>
      <c r="BC32" s="108" t="s">
        <v>306</v>
      </c>
      <c r="BD32" s="108"/>
      <c r="BE32" s="147"/>
      <c r="BF32" s="147"/>
      <c r="BG32" s="108"/>
      <c r="BH32" s="108">
        <v>32</v>
      </c>
      <c r="BI32" s="108">
        <v>44</v>
      </c>
      <c r="BJ32" s="147"/>
      <c r="BK32" s="108"/>
      <c r="BL32" s="108"/>
      <c r="BM32" s="108"/>
      <c r="BN32" s="149"/>
      <c r="BO32" s="149"/>
      <c r="BP32" s="108"/>
      <c r="BQ32" s="108"/>
      <c r="BR32" s="149"/>
      <c r="BS32" s="149"/>
      <c r="BT32" s="108"/>
      <c r="BU32" s="108"/>
      <c r="BV32" s="111"/>
      <c r="BW32" s="111"/>
      <c r="BX32" s="111"/>
      <c r="BY32" s="111">
        <v>44544</v>
      </c>
      <c r="BZ32" s="108" t="s">
        <v>3144</v>
      </c>
      <c r="CA32" s="147"/>
      <c r="CB32" s="147" t="e">
        <f>VLOOKUP(C32,[1]Sertifikasi!$B$4:$I$19,8,0)</f>
        <v>#N/A</v>
      </c>
    </row>
    <row r="33" spans="1:80" ht="11.25" customHeight="1">
      <c r="A33" s="147"/>
      <c r="B33" s="108">
        <v>30</v>
      </c>
      <c r="C33" s="108" t="s">
        <v>3347</v>
      </c>
      <c r="D33" s="109">
        <v>641810182</v>
      </c>
      <c r="E33" s="113">
        <v>1710004766682</v>
      </c>
      <c r="F33" s="131"/>
      <c r="G33" s="108" t="s">
        <v>575</v>
      </c>
      <c r="H33" s="108" t="s">
        <v>575</v>
      </c>
      <c r="I33" s="111">
        <v>43374</v>
      </c>
      <c r="J33" s="113">
        <f t="shared" si="0"/>
        <v>3</v>
      </c>
      <c r="K33" s="108">
        <f t="shared" si="1"/>
        <v>2</v>
      </c>
      <c r="L33" s="108" t="str">
        <f t="shared" si="2"/>
        <v>PKWT</v>
      </c>
      <c r="M33" s="108"/>
      <c r="N33" s="111">
        <v>44469</v>
      </c>
      <c r="O33" s="147"/>
      <c r="P33" s="108" t="s">
        <v>213</v>
      </c>
      <c r="Q33" s="108" t="s">
        <v>575</v>
      </c>
      <c r="R33" s="108" t="s">
        <v>262</v>
      </c>
      <c r="S33" s="108" t="s">
        <v>92</v>
      </c>
      <c r="T33" s="108"/>
      <c r="U33" s="162"/>
      <c r="V33" s="162"/>
      <c r="W33" s="147"/>
      <c r="X33" s="147" t="s">
        <v>59</v>
      </c>
      <c r="Y33" s="108" t="s">
        <v>575</v>
      </c>
      <c r="Z33" s="111">
        <v>36875</v>
      </c>
      <c r="AA33" s="108">
        <f t="shared" ca="1" si="3"/>
        <v>22</v>
      </c>
      <c r="AB33" s="108" t="s">
        <v>3348</v>
      </c>
      <c r="AC33" s="108" t="s">
        <v>3349</v>
      </c>
      <c r="AD33" s="109" t="s">
        <v>3350</v>
      </c>
      <c r="AE33" s="147"/>
      <c r="AF33" s="108" t="s">
        <v>3351</v>
      </c>
      <c r="AG33" s="115" t="s">
        <v>3352</v>
      </c>
      <c r="AH33" s="131">
        <v>18080676614</v>
      </c>
      <c r="AI33" s="108" t="s">
        <v>255</v>
      </c>
      <c r="AJ33" s="108"/>
      <c r="AK33" s="108"/>
      <c r="AL33" s="108"/>
      <c r="AM33" s="108"/>
      <c r="AN33" s="147"/>
      <c r="AO33" s="147"/>
      <c r="AP33" s="147"/>
      <c r="AQ33" s="147"/>
      <c r="AR33" s="147"/>
      <c r="AS33" s="147"/>
      <c r="AT33" s="147"/>
      <c r="AU33" s="147"/>
      <c r="AV33" s="108" t="s">
        <v>74</v>
      </c>
      <c r="AW33" s="108" t="s">
        <v>16</v>
      </c>
      <c r="AX33" s="108" t="s">
        <v>331</v>
      </c>
      <c r="AY33" s="108" t="s">
        <v>1449</v>
      </c>
      <c r="AZ33" s="108"/>
      <c r="BA33" s="108" t="s">
        <v>287</v>
      </c>
      <c r="BB33" s="108" t="s">
        <v>331</v>
      </c>
      <c r="BC33" s="108" t="s">
        <v>1449</v>
      </c>
      <c r="BD33" s="108"/>
      <c r="BE33" s="147"/>
      <c r="BF33" s="147"/>
      <c r="BG33" s="108"/>
      <c r="BH33" s="108">
        <v>28</v>
      </c>
      <c r="BI33" s="108">
        <v>40</v>
      </c>
      <c r="BJ33" s="147"/>
      <c r="BK33" s="108"/>
      <c r="BL33" s="108"/>
      <c r="BM33" s="108"/>
      <c r="BN33" s="149"/>
      <c r="BO33" s="149"/>
      <c r="BP33" s="108"/>
      <c r="BQ33" s="108"/>
      <c r="BR33" s="149"/>
      <c r="BS33" s="149"/>
      <c r="BT33" s="108"/>
      <c r="BU33" s="108"/>
      <c r="BV33" s="111"/>
      <c r="BW33" s="111"/>
      <c r="BX33" s="111"/>
      <c r="BY33" s="111">
        <v>44553</v>
      </c>
      <c r="BZ33" s="108" t="s">
        <v>3144</v>
      </c>
      <c r="CA33" s="147"/>
      <c r="CB33" s="147" t="e">
        <f>VLOOKUP(C33,[1]Sertifikasi!$B$4:$I$19,8,0)</f>
        <v>#N/A</v>
      </c>
    </row>
    <row r="34" spans="1:80" ht="11.25" customHeight="1">
      <c r="A34" s="147"/>
      <c r="B34" s="108">
        <v>31</v>
      </c>
      <c r="C34" s="108" t="s">
        <v>3353</v>
      </c>
      <c r="D34" s="109">
        <v>999500011</v>
      </c>
      <c r="E34" s="113">
        <v>1440001093142</v>
      </c>
      <c r="F34" s="160"/>
      <c r="G34" s="113" t="s">
        <v>33</v>
      </c>
      <c r="H34" s="108" t="s">
        <v>71</v>
      </c>
      <c r="I34" s="132">
        <v>43987</v>
      </c>
      <c r="J34" s="113">
        <f t="shared" si="0"/>
        <v>1</v>
      </c>
      <c r="K34" s="108">
        <f t="shared" si="1"/>
        <v>6</v>
      </c>
      <c r="L34" s="108" t="str">
        <f t="shared" si="2"/>
        <v>Organik</v>
      </c>
      <c r="M34" s="108" t="s">
        <v>1401</v>
      </c>
      <c r="N34" s="116" t="s">
        <v>3354</v>
      </c>
      <c r="O34" s="108" t="s">
        <v>261</v>
      </c>
      <c r="P34" s="108" t="s">
        <v>261</v>
      </c>
      <c r="Q34" s="108" t="s">
        <v>261</v>
      </c>
      <c r="R34" s="108" t="s">
        <v>33</v>
      </c>
      <c r="S34" s="108"/>
      <c r="T34" s="108" t="s">
        <v>3355</v>
      </c>
      <c r="U34" s="108" t="s">
        <v>180</v>
      </c>
      <c r="V34" s="108" t="s">
        <v>263</v>
      </c>
      <c r="W34" s="108"/>
      <c r="X34" s="108" t="s">
        <v>59</v>
      </c>
      <c r="Y34" s="108" t="s">
        <v>3356</v>
      </c>
      <c r="Z34" s="111">
        <v>26048</v>
      </c>
      <c r="AA34" s="108">
        <f t="shared" ca="1" si="3"/>
        <v>52</v>
      </c>
      <c r="AB34" s="108" t="s">
        <v>3357</v>
      </c>
      <c r="AC34" s="108" t="s">
        <v>3358</v>
      </c>
      <c r="AD34" s="108" t="s">
        <v>3359</v>
      </c>
      <c r="AE34" s="147"/>
      <c r="AF34" s="108" t="s">
        <v>3360</v>
      </c>
      <c r="AG34" s="115" t="s">
        <v>3361</v>
      </c>
      <c r="AH34" s="115" t="s">
        <v>3362</v>
      </c>
      <c r="AI34" s="108" t="s">
        <v>189</v>
      </c>
      <c r="AJ34" s="108" t="s">
        <v>3363</v>
      </c>
      <c r="AK34" s="108"/>
      <c r="AL34" s="108"/>
      <c r="AM34" s="147"/>
      <c r="AN34" s="147"/>
      <c r="AO34" s="147"/>
      <c r="AP34" s="147"/>
      <c r="AQ34" s="147"/>
      <c r="AR34" s="147"/>
      <c r="AS34" s="147"/>
      <c r="AT34" s="147"/>
      <c r="AU34" s="113" t="s">
        <v>3364</v>
      </c>
      <c r="AV34" s="113" t="s">
        <v>74</v>
      </c>
      <c r="AW34" s="108" t="s">
        <v>13</v>
      </c>
      <c r="AX34" s="108" t="s">
        <v>210</v>
      </c>
      <c r="AY34" s="108" t="s">
        <v>193</v>
      </c>
      <c r="AZ34" s="108"/>
      <c r="BA34" s="108" t="s">
        <v>12</v>
      </c>
      <c r="BB34" s="108" t="s">
        <v>1017</v>
      </c>
      <c r="BC34" s="108" t="s">
        <v>3365</v>
      </c>
      <c r="BD34" s="108"/>
      <c r="BE34" s="109"/>
      <c r="BF34" s="109"/>
      <c r="BG34" s="108"/>
      <c r="BH34" s="147"/>
      <c r="BI34" s="108"/>
      <c r="BJ34" s="111"/>
      <c r="BK34" s="111"/>
      <c r="BL34" s="108"/>
      <c r="BM34" s="108"/>
      <c r="BN34" s="149"/>
      <c r="BO34" s="149"/>
      <c r="BP34" s="108"/>
      <c r="BQ34" s="108"/>
      <c r="BR34" s="149"/>
      <c r="BS34" s="149"/>
      <c r="BT34" s="108"/>
      <c r="BU34" s="108"/>
      <c r="BV34" s="111"/>
      <c r="BW34" s="111"/>
      <c r="BX34" s="108"/>
      <c r="BY34" s="111">
        <v>44561</v>
      </c>
      <c r="BZ34" s="108" t="s">
        <v>3241</v>
      </c>
      <c r="CA34" s="147"/>
      <c r="CB34" s="147" t="e">
        <f>VLOOKUP(C34,[1]Sertifikasi!$B$4:$I$19,8,0)</f>
        <v>#N/A</v>
      </c>
    </row>
    <row r="35" spans="1:80" ht="11.25" customHeight="1">
      <c r="A35" s="147"/>
      <c r="B35" s="108">
        <v>32</v>
      </c>
      <c r="C35" s="108" t="s">
        <v>3366</v>
      </c>
      <c r="D35" s="109">
        <v>999900010</v>
      </c>
      <c r="E35" s="113">
        <v>1440001098398</v>
      </c>
      <c r="F35" s="160"/>
      <c r="G35" s="113" t="s">
        <v>33</v>
      </c>
      <c r="H35" s="108" t="s">
        <v>71</v>
      </c>
      <c r="I35" s="132">
        <v>43987</v>
      </c>
      <c r="J35" s="113">
        <f t="shared" si="0"/>
        <v>1</v>
      </c>
      <c r="K35" s="108">
        <f t="shared" si="1"/>
        <v>6</v>
      </c>
      <c r="L35" s="108" t="str">
        <f t="shared" si="2"/>
        <v>Organik</v>
      </c>
      <c r="M35" s="108" t="s">
        <v>1401</v>
      </c>
      <c r="N35" s="116" t="s">
        <v>3367</v>
      </c>
      <c r="O35" s="108" t="s">
        <v>261</v>
      </c>
      <c r="P35" s="108" t="s">
        <v>261</v>
      </c>
      <c r="Q35" s="108" t="s">
        <v>261</v>
      </c>
      <c r="R35" s="108" t="s">
        <v>33</v>
      </c>
      <c r="S35" s="108"/>
      <c r="T35" s="108" t="s">
        <v>3211</v>
      </c>
      <c r="U35" s="108" t="s">
        <v>3212</v>
      </c>
      <c r="V35" s="108"/>
      <c r="W35" s="108"/>
      <c r="X35" s="108" t="s">
        <v>59</v>
      </c>
      <c r="Y35" s="108" t="s">
        <v>71</v>
      </c>
      <c r="Z35" s="111">
        <v>26097</v>
      </c>
      <c r="AA35" s="108">
        <f t="shared" ca="1" si="3"/>
        <v>52</v>
      </c>
      <c r="AB35" s="108" t="s">
        <v>3368</v>
      </c>
      <c r="AC35" s="108" t="s">
        <v>3369</v>
      </c>
      <c r="AD35" s="108" t="s">
        <v>3370</v>
      </c>
      <c r="AE35" s="147"/>
      <c r="AF35" s="108" t="s">
        <v>3371</v>
      </c>
      <c r="AG35" s="115" t="s">
        <v>3372</v>
      </c>
      <c r="AH35" s="115" t="s">
        <v>3373</v>
      </c>
      <c r="AI35" s="108" t="s">
        <v>189</v>
      </c>
      <c r="AJ35" s="108" t="s">
        <v>3374</v>
      </c>
      <c r="AK35" s="108"/>
      <c r="AL35" s="108"/>
      <c r="AM35" s="147"/>
      <c r="AN35" s="147"/>
      <c r="AO35" s="147"/>
      <c r="AP35" s="147"/>
      <c r="AQ35" s="147"/>
      <c r="AR35" s="147"/>
      <c r="AS35" s="147"/>
      <c r="AT35" s="147"/>
      <c r="AU35" s="113" t="s">
        <v>3375</v>
      </c>
      <c r="AV35" s="113" t="s">
        <v>74</v>
      </c>
      <c r="AW35" s="108" t="s">
        <v>16</v>
      </c>
      <c r="AX35" s="108" t="s">
        <v>2206</v>
      </c>
      <c r="AY35" s="108" t="s">
        <v>1412</v>
      </c>
      <c r="AZ35" s="108"/>
      <c r="BA35" s="108" t="s">
        <v>12</v>
      </c>
      <c r="BB35" s="108" t="s">
        <v>226</v>
      </c>
      <c r="BC35" s="108" t="s">
        <v>419</v>
      </c>
      <c r="BD35" s="108"/>
      <c r="BE35" s="167"/>
      <c r="BF35" s="167"/>
      <c r="BG35" s="108"/>
      <c r="BH35" s="147"/>
      <c r="BI35" s="108"/>
      <c r="BJ35" s="111"/>
      <c r="BK35" s="111"/>
      <c r="BL35" s="108"/>
      <c r="BM35" s="108"/>
      <c r="BN35" s="149"/>
      <c r="BO35" s="149"/>
      <c r="BP35" s="108"/>
      <c r="BQ35" s="108"/>
      <c r="BR35" s="149"/>
      <c r="BS35" s="149"/>
      <c r="BT35" s="108"/>
      <c r="BU35" s="108"/>
      <c r="BV35" s="111"/>
      <c r="BW35" s="111"/>
      <c r="BX35" s="108"/>
      <c r="BY35" s="111">
        <v>44561</v>
      </c>
      <c r="BZ35" s="108" t="s">
        <v>3241</v>
      </c>
      <c r="CA35" s="147"/>
      <c r="CB35" s="147" t="e">
        <f>VLOOKUP(C35,[1]Sertifikasi!$B$4:$I$19,8,0)</f>
        <v>#N/A</v>
      </c>
    </row>
    <row r="36" spans="1:80" ht="11.25" customHeight="1">
      <c r="A36" s="147"/>
      <c r="B36" s="108">
        <v>33</v>
      </c>
      <c r="C36" s="108" t="s">
        <v>3376</v>
      </c>
      <c r="D36" s="109">
        <v>999800101</v>
      </c>
      <c r="E36" s="113">
        <v>1440001093472</v>
      </c>
      <c r="F36" s="160"/>
      <c r="G36" s="113" t="s">
        <v>33</v>
      </c>
      <c r="H36" s="108" t="s">
        <v>71</v>
      </c>
      <c r="I36" s="132">
        <v>43987</v>
      </c>
      <c r="J36" s="113">
        <f t="shared" si="0"/>
        <v>1</v>
      </c>
      <c r="K36" s="108">
        <f t="shared" si="1"/>
        <v>6</v>
      </c>
      <c r="L36" s="108" t="str">
        <f t="shared" si="2"/>
        <v>Organik</v>
      </c>
      <c r="M36" s="108" t="s">
        <v>1401</v>
      </c>
      <c r="N36" s="116">
        <v>36312</v>
      </c>
      <c r="O36" s="108" t="s">
        <v>261</v>
      </c>
      <c r="P36" s="108" t="s">
        <v>261</v>
      </c>
      <c r="Q36" s="108" t="s">
        <v>261</v>
      </c>
      <c r="R36" s="108" t="s">
        <v>33</v>
      </c>
      <c r="S36" s="108"/>
      <c r="T36" s="108" t="s">
        <v>214</v>
      </c>
      <c r="U36" s="108" t="s">
        <v>180</v>
      </c>
      <c r="V36" s="108"/>
      <c r="W36" s="108"/>
      <c r="X36" s="108" t="s">
        <v>59</v>
      </c>
      <c r="Y36" s="108" t="s">
        <v>71</v>
      </c>
      <c r="Z36" s="111">
        <v>24840</v>
      </c>
      <c r="AA36" s="108">
        <f t="shared" ca="1" si="3"/>
        <v>55</v>
      </c>
      <c r="AB36" s="108" t="s">
        <v>3377</v>
      </c>
      <c r="AC36" s="108" t="s">
        <v>3378</v>
      </c>
      <c r="AD36" s="108" t="s">
        <v>3379</v>
      </c>
      <c r="AE36" s="147"/>
      <c r="AF36" s="108" t="s">
        <v>3380</v>
      </c>
      <c r="AG36" s="115" t="s">
        <v>3381</v>
      </c>
      <c r="AH36" s="115" t="s">
        <v>3382</v>
      </c>
      <c r="AI36" s="108" t="s">
        <v>189</v>
      </c>
      <c r="AJ36" s="108" t="s">
        <v>1460</v>
      </c>
      <c r="AK36" s="108"/>
      <c r="AL36" s="108"/>
      <c r="AM36" s="147"/>
      <c r="AN36" s="147"/>
      <c r="AO36" s="147"/>
      <c r="AP36" s="147"/>
      <c r="AQ36" s="147"/>
      <c r="AR36" s="147"/>
      <c r="AS36" s="147"/>
      <c r="AT36" s="147"/>
      <c r="AU36" s="113" t="s">
        <v>3383</v>
      </c>
      <c r="AV36" s="113" t="s">
        <v>74</v>
      </c>
      <c r="AW36" s="108" t="s">
        <v>16</v>
      </c>
      <c r="AX36" s="108" t="s">
        <v>2206</v>
      </c>
      <c r="AY36" s="108" t="s">
        <v>2229</v>
      </c>
      <c r="AZ36" s="108"/>
      <c r="BA36" s="108" t="s">
        <v>16</v>
      </c>
      <c r="BB36" s="108" t="s">
        <v>2206</v>
      </c>
      <c r="BC36" s="108" t="s">
        <v>2229</v>
      </c>
      <c r="BD36" s="108"/>
      <c r="BE36" s="167"/>
      <c r="BF36" s="167"/>
      <c r="BG36" s="108"/>
      <c r="BH36" s="147"/>
      <c r="BI36" s="108"/>
      <c r="BJ36" s="111"/>
      <c r="BK36" s="111"/>
      <c r="BL36" s="108"/>
      <c r="BM36" s="108"/>
      <c r="BN36" s="149"/>
      <c r="BO36" s="149"/>
      <c r="BP36" s="108"/>
      <c r="BQ36" s="108"/>
      <c r="BR36" s="149"/>
      <c r="BS36" s="149"/>
      <c r="BT36" s="108"/>
      <c r="BU36" s="108"/>
      <c r="BV36" s="111"/>
      <c r="BW36" s="111"/>
      <c r="BX36" s="108"/>
      <c r="BY36" s="111">
        <v>44561</v>
      </c>
      <c r="BZ36" s="108" t="s">
        <v>3241</v>
      </c>
      <c r="CA36" s="147"/>
      <c r="CB36" s="147" t="e">
        <f>VLOOKUP(C36,[1]Sertifikasi!$B$4:$I$19,8,0)</f>
        <v>#N/A</v>
      </c>
    </row>
    <row r="37" spans="1:80" ht="11.25" customHeight="1">
      <c r="A37" s="147"/>
      <c r="B37" s="108">
        <v>34</v>
      </c>
      <c r="C37" s="108" t="s">
        <v>3384</v>
      </c>
      <c r="D37" s="109">
        <v>999800092</v>
      </c>
      <c r="E37" s="113">
        <v>1440011136162</v>
      </c>
      <c r="F37" s="160"/>
      <c r="G37" s="113" t="s">
        <v>33</v>
      </c>
      <c r="H37" s="108" t="s">
        <v>71</v>
      </c>
      <c r="I37" s="132">
        <v>43987</v>
      </c>
      <c r="J37" s="113">
        <f t="shared" si="0"/>
        <v>1</v>
      </c>
      <c r="K37" s="108">
        <f t="shared" si="1"/>
        <v>6</v>
      </c>
      <c r="L37" s="108" t="str">
        <f t="shared" si="2"/>
        <v>Organik</v>
      </c>
      <c r="M37" s="108" t="s">
        <v>1401</v>
      </c>
      <c r="N37" s="116">
        <v>36312</v>
      </c>
      <c r="O37" s="108" t="s">
        <v>261</v>
      </c>
      <c r="P37" s="108" t="s">
        <v>261</v>
      </c>
      <c r="Q37" s="108" t="s">
        <v>261</v>
      </c>
      <c r="R37" s="108" t="s">
        <v>33</v>
      </c>
      <c r="S37" s="108"/>
      <c r="T37" s="108" t="s">
        <v>214</v>
      </c>
      <c r="U37" s="108" t="s">
        <v>180</v>
      </c>
      <c r="V37" s="108"/>
      <c r="W37" s="108"/>
      <c r="X37" s="108" t="s">
        <v>59</v>
      </c>
      <c r="Y37" s="108" t="s">
        <v>71</v>
      </c>
      <c r="Z37" s="111">
        <v>24633</v>
      </c>
      <c r="AA37" s="108">
        <f t="shared" ca="1" si="3"/>
        <v>56</v>
      </c>
      <c r="AB37" s="108" t="s">
        <v>3385</v>
      </c>
      <c r="AC37" s="108" t="s">
        <v>3386</v>
      </c>
      <c r="AD37" s="108">
        <v>81335533892</v>
      </c>
      <c r="AE37" s="147"/>
      <c r="AF37" s="108" t="s">
        <v>3387</v>
      </c>
      <c r="AG37" s="115">
        <v>1127808573</v>
      </c>
      <c r="AH37" s="115" t="s">
        <v>3388</v>
      </c>
      <c r="AI37" s="108" t="s">
        <v>189</v>
      </c>
      <c r="AJ37" s="108" t="s">
        <v>3389</v>
      </c>
      <c r="AK37" s="108"/>
      <c r="AL37" s="108"/>
      <c r="AM37" s="147"/>
      <c r="AN37" s="147"/>
      <c r="AO37" s="147"/>
      <c r="AP37" s="147"/>
      <c r="AQ37" s="147"/>
      <c r="AR37" s="147"/>
      <c r="AS37" s="147"/>
      <c r="AT37" s="147"/>
      <c r="AU37" s="113" t="s">
        <v>3390</v>
      </c>
      <c r="AV37" s="113" t="s">
        <v>74</v>
      </c>
      <c r="AW37" s="108" t="s">
        <v>16</v>
      </c>
      <c r="AX37" s="108" t="s">
        <v>2206</v>
      </c>
      <c r="AY37" s="108" t="s">
        <v>2229</v>
      </c>
      <c r="AZ37" s="108"/>
      <c r="BA37" s="108" t="s">
        <v>16</v>
      </c>
      <c r="BB37" s="108" t="s">
        <v>2206</v>
      </c>
      <c r="BC37" s="108" t="s">
        <v>2229</v>
      </c>
      <c r="BD37" s="108"/>
      <c r="BE37" s="167"/>
      <c r="BF37" s="167"/>
      <c r="BG37" s="108"/>
      <c r="BH37" s="147"/>
      <c r="BI37" s="108"/>
      <c r="BJ37" s="111"/>
      <c r="BK37" s="111"/>
      <c r="BL37" s="108"/>
      <c r="BM37" s="108"/>
      <c r="BN37" s="149"/>
      <c r="BO37" s="149"/>
      <c r="BP37" s="108"/>
      <c r="BQ37" s="108"/>
      <c r="BR37" s="149"/>
      <c r="BS37" s="149"/>
      <c r="BT37" s="108"/>
      <c r="BU37" s="108"/>
      <c r="BV37" s="111"/>
      <c r="BW37" s="111"/>
      <c r="BX37" s="108"/>
      <c r="BY37" s="111">
        <v>44561</v>
      </c>
      <c r="BZ37" s="108" t="s">
        <v>3241</v>
      </c>
      <c r="CA37" s="147"/>
      <c r="CB37" s="147" t="e">
        <f>VLOOKUP(C37,[1]Sertifikasi!$B$4:$I$19,8,0)</f>
        <v>#N/A</v>
      </c>
    </row>
    <row r="38" spans="1:80" ht="11.25" customHeight="1">
      <c r="A38" s="147"/>
      <c r="B38" s="108">
        <v>35</v>
      </c>
      <c r="C38" s="108" t="s">
        <v>3391</v>
      </c>
      <c r="D38" s="109">
        <v>641907262</v>
      </c>
      <c r="E38" s="113">
        <v>1710005658144</v>
      </c>
      <c r="F38" s="131"/>
      <c r="G38" s="108" t="s">
        <v>259</v>
      </c>
      <c r="H38" s="108" t="s">
        <v>259</v>
      </c>
      <c r="I38" s="111">
        <v>43647</v>
      </c>
      <c r="J38" s="113">
        <f t="shared" si="0"/>
        <v>2</v>
      </c>
      <c r="K38" s="108">
        <f t="shared" si="1"/>
        <v>5</v>
      </c>
      <c r="L38" s="108" t="str">
        <f t="shared" si="2"/>
        <v>PKWT</v>
      </c>
      <c r="M38" s="108"/>
      <c r="N38" s="111">
        <v>44561</v>
      </c>
      <c r="O38" s="147"/>
      <c r="P38" s="108" t="s">
        <v>213</v>
      </c>
      <c r="Q38" s="108" t="s">
        <v>259</v>
      </c>
      <c r="R38" s="108" t="s">
        <v>262</v>
      </c>
      <c r="S38" s="108" t="s">
        <v>89</v>
      </c>
      <c r="T38" s="108"/>
      <c r="U38" s="162"/>
      <c r="V38" s="162"/>
      <c r="W38" s="147"/>
      <c r="X38" s="147" t="s">
        <v>59</v>
      </c>
      <c r="Y38" s="108" t="s">
        <v>259</v>
      </c>
      <c r="Z38" s="111">
        <v>34450</v>
      </c>
      <c r="AA38" s="108">
        <f t="shared" ca="1" si="3"/>
        <v>29</v>
      </c>
      <c r="AB38" s="108" t="s">
        <v>3392</v>
      </c>
      <c r="AC38" s="108" t="s">
        <v>3393</v>
      </c>
      <c r="AD38" s="109" t="s">
        <v>3394</v>
      </c>
      <c r="AE38" s="147"/>
      <c r="AF38" s="115" t="s">
        <v>3395</v>
      </c>
      <c r="AG38" s="115" t="s">
        <v>2917</v>
      </c>
      <c r="AH38" s="115">
        <v>19047644109</v>
      </c>
      <c r="AI38" s="108" t="s">
        <v>189</v>
      </c>
      <c r="AJ38" s="108"/>
      <c r="AK38" s="108"/>
      <c r="AL38" s="108"/>
      <c r="AM38" s="108"/>
      <c r="AN38" s="147"/>
      <c r="AO38" s="147"/>
      <c r="AP38" s="147"/>
      <c r="AQ38" s="147"/>
      <c r="AR38" s="147"/>
      <c r="AS38" s="147"/>
      <c r="AT38" s="147"/>
      <c r="AU38" s="147"/>
      <c r="AV38" s="108" t="s">
        <v>74</v>
      </c>
      <c r="AW38" s="108" t="s">
        <v>12</v>
      </c>
      <c r="AX38" s="108" t="s">
        <v>226</v>
      </c>
      <c r="AY38" s="108" t="s">
        <v>2826</v>
      </c>
      <c r="AZ38" s="108"/>
      <c r="BA38" s="108" t="s">
        <v>12</v>
      </c>
      <c r="BB38" s="108" t="s">
        <v>226</v>
      </c>
      <c r="BC38" s="108" t="s">
        <v>2826</v>
      </c>
      <c r="BD38" s="108"/>
      <c r="BE38" s="147"/>
      <c r="BF38" s="147"/>
      <c r="BG38" s="108"/>
      <c r="BH38" s="108">
        <v>32</v>
      </c>
      <c r="BI38" s="108">
        <v>42</v>
      </c>
      <c r="BJ38" s="147"/>
      <c r="BK38" s="108"/>
      <c r="BL38" s="108"/>
      <c r="BM38" s="108"/>
      <c r="BN38" s="149"/>
      <c r="BO38" s="149"/>
      <c r="BP38" s="108"/>
      <c r="BQ38" s="108"/>
      <c r="BR38" s="149"/>
      <c r="BS38" s="149"/>
      <c r="BT38" s="108"/>
      <c r="BU38" s="108"/>
      <c r="BV38" s="111"/>
      <c r="BW38" s="111"/>
      <c r="BX38" s="108"/>
      <c r="BY38" s="111">
        <v>44561</v>
      </c>
      <c r="BZ38" s="108" t="s">
        <v>3144</v>
      </c>
      <c r="CA38" s="147"/>
      <c r="CB38" s="147" t="e">
        <f>VLOOKUP(C38,[1]Sertifikasi!$B$4:$I$19,8,0)</f>
        <v>#N/A</v>
      </c>
    </row>
    <row r="39" spans="1:80" ht="11.25" customHeight="1">
      <c r="A39" s="147"/>
      <c r="B39" s="108">
        <v>36</v>
      </c>
      <c r="C39" s="108" t="s">
        <v>3396</v>
      </c>
      <c r="D39" s="109">
        <v>641807167</v>
      </c>
      <c r="E39" s="113">
        <v>1710004387547</v>
      </c>
      <c r="F39" s="131"/>
      <c r="G39" s="108" t="s">
        <v>71</v>
      </c>
      <c r="H39" s="108" t="s">
        <v>71</v>
      </c>
      <c r="I39" s="111">
        <v>43282</v>
      </c>
      <c r="J39" s="113">
        <f t="shared" si="0"/>
        <v>3</v>
      </c>
      <c r="K39" s="108">
        <f t="shared" si="1"/>
        <v>5</v>
      </c>
      <c r="L39" s="108" t="str">
        <f t="shared" si="2"/>
        <v>PKWT</v>
      </c>
      <c r="M39" s="108"/>
      <c r="N39" s="111">
        <v>44561</v>
      </c>
      <c r="O39" s="147"/>
      <c r="P39" s="108" t="s">
        <v>213</v>
      </c>
      <c r="Q39" s="108" t="s">
        <v>71</v>
      </c>
      <c r="R39" s="108" t="s">
        <v>33</v>
      </c>
      <c r="S39" s="108" t="s">
        <v>3397</v>
      </c>
      <c r="T39" s="108"/>
      <c r="U39" s="162"/>
      <c r="V39" s="162"/>
      <c r="W39" s="147"/>
      <c r="X39" s="147" t="s">
        <v>59</v>
      </c>
      <c r="Y39" s="108" t="s">
        <v>433</v>
      </c>
      <c r="Z39" s="111">
        <v>35521</v>
      </c>
      <c r="AA39" s="108">
        <f t="shared" ca="1" si="3"/>
        <v>26</v>
      </c>
      <c r="AB39" s="108" t="s">
        <v>3398</v>
      </c>
      <c r="AC39" s="108" t="s">
        <v>3399</v>
      </c>
      <c r="AD39" s="109" t="s">
        <v>3400</v>
      </c>
      <c r="AE39" s="147"/>
      <c r="AF39" s="115" t="s">
        <v>3401</v>
      </c>
      <c r="AG39" s="115" t="s">
        <v>3402</v>
      </c>
      <c r="AH39" s="131">
        <v>18056171996</v>
      </c>
      <c r="AI39" s="108" t="s">
        <v>255</v>
      </c>
      <c r="AJ39" s="108"/>
      <c r="AK39" s="108"/>
      <c r="AL39" s="108"/>
      <c r="AM39" s="108"/>
      <c r="AN39" s="147"/>
      <c r="AO39" s="147"/>
      <c r="AP39" s="147"/>
      <c r="AQ39" s="147"/>
      <c r="AR39" s="147"/>
      <c r="AS39" s="147"/>
      <c r="AT39" s="147"/>
      <c r="AU39" s="147"/>
      <c r="AV39" s="108" t="s">
        <v>74</v>
      </c>
      <c r="AW39" s="108" t="s">
        <v>16</v>
      </c>
      <c r="AX39" s="108" t="s">
        <v>331</v>
      </c>
      <c r="AY39" s="108" t="s">
        <v>3403</v>
      </c>
      <c r="AZ39" s="108"/>
      <c r="BA39" s="108" t="s">
        <v>287</v>
      </c>
      <c r="BB39" s="108" t="s">
        <v>331</v>
      </c>
      <c r="BC39" s="108" t="s">
        <v>3403</v>
      </c>
      <c r="BD39" s="108"/>
      <c r="BE39" s="147"/>
      <c r="BF39" s="147"/>
      <c r="BG39" s="108"/>
      <c r="BH39" s="108"/>
      <c r="BI39" s="108"/>
      <c r="BJ39" s="147"/>
      <c r="BK39" s="108"/>
      <c r="BL39" s="108"/>
      <c r="BM39" s="108"/>
      <c r="BN39" s="149"/>
      <c r="BO39" s="149"/>
      <c r="BP39" s="108"/>
      <c r="BQ39" s="108"/>
      <c r="BR39" s="149"/>
      <c r="BS39" s="149"/>
      <c r="BT39" s="108"/>
      <c r="BU39" s="108"/>
      <c r="BV39" s="111"/>
      <c r="BW39" s="111"/>
      <c r="BX39" s="111"/>
      <c r="BY39" s="111">
        <v>44561</v>
      </c>
      <c r="BZ39" s="108" t="s">
        <v>3144</v>
      </c>
      <c r="CA39" s="147"/>
      <c r="CB39" s="147" t="e">
        <f>VLOOKUP(C39,[1]Sertifikasi!$B$4:$I$19,8,0)</f>
        <v>#N/A</v>
      </c>
    </row>
    <row r="40" spans="1:80" ht="11.25" customHeight="1">
      <c r="A40" s="147"/>
      <c r="B40" s="108">
        <v>37</v>
      </c>
      <c r="C40" s="108" t="s">
        <v>3404</v>
      </c>
      <c r="D40" s="109">
        <v>990900012</v>
      </c>
      <c r="E40" s="113">
        <v>1440009309599</v>
      </c>
      <c r="F40" s="131"/>
      <c r="G40" s="113" t="s">
        <v>33</v>
      </c>
      <c r="H40" s="108" t="s">
        <v>71</v>
      </c>
      <c r="I40" s="132">
        <v>43763</v>
      </c>
      <c r="J40" s="113">
        <f t="shared" si="0"/>
        <v>2</v>
      </c>
      <c r="K40" s="108">
        <f t="shared" si="1"/>
        <v>2</v>
      </c>
      <c r="L40" s="108" t="str">
        <f t="shared" si="2"/>
        <v>Organik</v>
      </c>
      <c r="M40" s="108" t="s">
        <v>2120</v>
      </c>
      <c r="N40" s="116">
        <v>39848</v>
      </c>
      <c r="O40" s="108" t="s">
        <v>2121</v>
      </c>
      <c r="P40" s="108" t="s">
        <v>3405</v>
      </c>
      <c r="Q40" s="108" t="s">
        <v>197</v>
      </c>
      <c r="R40" s="108" t="s">
        <v>33</v>
      </c>
      <c r="S40" s="108"/>
      <c r="T40" s="108" t="s">
        <v>3</v>
      </c>
      <c r="U40" s="108" t="s">
        <v>3</v>
      </c>
      <c r="V40" s="108"/>
      <c r="W40" s="108"/>
      <c r="X40" s="108" t="s">
        <v>59</v>
      </c>
      <c r="Y40" s="108" t="s">
        <v>842</v>
      </c>
      <c r="Z40" s="111">
        <v>31163</v>
      </c>
      <c r="AA40" s="108">
        <f t="shared" ca="1" si="3"/>
        <v>38</v>
      </c>
      <c r="AB40" s="108" t="s">
        <v>3406</v>
      </c>
      <c r="AC40" s="108" t="s">
        <v>3407</v>
      </c>
      <c r="AD40" s="108" t="s">
        <v>3408</v>
      </c>
      <c r="AE40" s="147"/>
      <c r="AF40" s="108" t="s">
        <v>3409</v>
      </c>
      <c r="AG40" s="115" t="s">
        <v>3410</v>
      </c>
      <c r="AH40" s="115">
        <v>8024057344</v>
      </c>
      <c r="AI40" s="108" t="s">
        <v>189</v>
      </c>
      <c r="AJ40" s="108" t="s">
        <v>3411</v>
      </c>
      <c r="AK40" s="147"/>
      <c r="AL40" s="147"/>
      <c r="AM40" s="147"/>
      <c r="AN40" s="147"/>
      <c r="AO40" s="147"/>
      <c r="AP40" s="147"/>
      <c r="AQ40" s="147"/>
      <c r="AR40" s="147"/>
      <c r="AS40" s="108">
        <v>2</v>
      </c>
      <c r="AT40" s="108" t="s">
        <v>330</v>
      </c>
      <c r="AU40" s="113" t="s">
        <v>3412</v>
      </c>
      <c r="AV40" s="108" t="s">
        <v>74</v>
      </c>
      <c r="AW40" s="108" t="s">
        <v>12</v>
      </c>
      <c r="AX40" s="108" t="s">
        <v>210</v>
      </c>
      <c r="AY40" s="108" t="s">
        <v>2147</v>
      </c>
      <c r="AZ40" s="108"/>
      <c r="BA40" s="108" t="s">
        <v>12</v>
      </c>
      <c r="BB40" s="108" t="s">
        <v>210</v>
      </c>
      <c r="BC40" s="108" t="s">
        <v>2147</v>
      </c>
      <c r="BD40" s="108"/>
      <c r="BE40" s="147"/>
      <c r="BF40" s="108"/>
      <c r="BG40" s="108"/>
      <c r="BH40" s="147"/>
      <c r="BI40" s="147"/>
      <c r="BJ40" s="111">
        <v>44322</v>
      </c>
      <c r="BK40" s="108"/>
      <c r="BL40" s="108"/>
      <c r="BM40" s="108"/>
      <c r="BN40" s="149"/>
      <c r="BO40" s="149"/>
      <c r="BP40" s="108"/>
      <c r="BQ40" s="108"/>
      <c r="BR40" s="149"/>
      <c r="BS40" s="149"/>
      <c r="BT40" s="108"/>
      <c r="BU40" s="108"/>
      <c r="BV40" s="111"/>
      <c r="BW40" s="111"/>
      <c r="BX40" s="108"/>
      <c r="BY40" s="111">
        <v>44575</v>
      </c>
      <c r="BZ40" s="108" t="s">
        <v>3413</v>
      </c>
      <c r="CA40" s="147" t="s">
        <v>2496</v>
      </c>
      <c r="CB40" s="147" t="e">
        <f>VLOOKUP(C40,[1]Sertifikasi!$B$4:$I$19,8,0)</f>
        <v>#N/A</v>
      </c>
    </row>
    <row r="41" spans="1:80" ht="11.25" customHeight="1">
      <c r="A41" s="147"/>
      <c r="B41" s="108">
        <v>38</v>
      </c>
      <c r="C41" s="108" t="s">
        <v>3414</v>
      </c>
      <c r="D41" s="109">
        <v>999500017</v>
      </c>
      <c r="E41" s="113"/>
      <c r="F41" s="131"/>
      <c r="G41" s="113" t="s">
        <v>33</v>
      </c>
      <c r="H41" s="108" t="s">
        <v>71</v>
      </c>
      <c r="I41" s="132">
        <v>43987</v>
      </c>
      <c r="J41" s="113">
        <f t="shared" si="0"/>
        <v>1</v>
      </c>
      <c r="K41" s="108">
        <f t="shared" si="1"/>
        <v>7</v>
      </c>
      <c r="L41" s="108" t="str">
        <f t="shared" si="2"/>
        <v>Organik</v>
      </c>
      <c r="M41" s="108" t="s">
        <v>2120</v>
      </c>
      <c r="N41" s="116" t="s">
        <v>3354</v>
      </c>
      <c r="O41" s="108" t="s">
        <v>2497</v>
      </c>
      <c r="P41" s="108" t="s">
        <v>3415</v>
      </c>
      <c r="Q41" s="108" t="s">
        <v>197</v>
      </c>
      <c r="R41" s="108" t="s">
        <v>197</v>
      </c>
      <c r="S41" s="108"/>
      <c r="T41" s="163" t="s">
        <v>3</v>
      </c>
      <c r="U41" s="108" t="s">
        <v>3</v>
      </c>
      <c r="V41" s="108"/>
      <c r="W41" s="108"/>
      <c r="X41" s="108" t="s">
        <v>59</v>
      </c>
      <c r="Y41" s="108" t="s">
        <v>3202</v>
      </c>
      <c r="Z41" s="111">
        <v>26794</v>
      </c>
      <c r="AA41" s="108">
        <f t="shared" ca="1" si="3"/>
        <v>50</v>
      </c>
      <c r="AB41" s="108" t="s">
        <v>3416</v>
      </c>
      <c r="AC41" s="108" t="s">
        <v>3417</v>
      </c>
      <c r="AD41" s="108" t="s">
        <v>3418</v>
      </c>
      <c r="AE41" s="147"/>
      <c r="AF41" s="108" t="s">
        <v>3419</v>
      </c>
      <c r="AG41" s="115" t="s">
        <v>3420</v>
      </c>
      <c r="AH41" s="115"/>
      <c r="AI41" s="108" t="s">
        <v>189</v>
      </c>
      <c r="AJ41" s="108" t="s">
        <v>3421</v>
      </c>
      <c r="AK41" s="147"/>
      <c r="AL41" s="147"/>
      <c r="AM41" s="147"/>
      <c r="AN41" s="147"/>
      <c r="AO41" s="147"/>
      <c r="AP41" s="147"/>
      <c r="AQ41" s="147"/>
      <c r="AR41" s="147"/>
      <c r="AS41" s="108">
        <v>2</v>
      </c>
      <c r="AT41" s="108" t="s">
        <v>330</v>
      </c>
      <c r="AU41" s="113" t="s">
        <v>3422</v>
      </c>
      <c r="AV41" s="108" t="s">
        <v>74</v>
      </c>
      <c r="AW41" s="108" t="s">
        <v>13</v>
      </c>
      <c r="AX41" s="108" t="s">
        <v>793</v>
      </c>
      <c r="AY41" s="108" t="s">
        <v>193</v>
      </c>
      <c r="AZ41" s="108"/>
      <c r="BA41" s="108" t="s">
        <v>13</v>
      </c>
      <c r="BB41" s="108" t="s">
        <v>793</v>
      </c>
      <c r="BC41" s="108" t="s">
        <v>193</v>
      </c>
      <c r="BD41" s="108"/>
      <c r="BE41" s="147"/>
      <c r="BF41" s="108"/>
      <c r="BG41" s="108"/>
      <c r="BH41" s="147"/>
      <c r="BI41" s="147"/>
      <c r="BJ41" s="111">
        <v>44322</v>
      </c>
      <c r="BK41" s="108"/>
      <c r="BL41" s="108"/>
      <c r="BM41" s="108"/>
      <c r="BN41" s="149"/>
      <c r="BO41" s="149"/>
      <c r="BP41" s="108"/>
      <c r="BQ41" s="108"/>
      <c r="BR41" s="149"/>
      <c r="BS41" s="149"/>
      <c r="BT41" s="108"/>
      <c r="BU41" s="108"/>
      <c r="BV41" s="111"/>
      <c r="BW41" s="111"/>
      <c r="BX41" s="108"/>
      <c r="BY41" s="111">
        <v>44575</v>
      </c>
      <c r="BZ41" s="108" t="s">
        <v>3413</v>
      </c>
      <c r="CA41" s="147" t="s">
        <v>2496</v>
      </c>
      <c r="CB41" s="147" t="e">
        <f>VLOOKUP(C41,[1]Sertifikasi!$B$4:$I$19,8,0)</f>
        <v>#N/A</v>
      </c>
    </row>
    <row r="42" spans="1:80" ht="11.25" customHeight="1">
      <c r="A42" s="147"/>
      <c r="B42" s="108">
        <v>39</v>
      </c>
      <c r="C42" s="108" t="s">
        <v>3423</v>
      </c>
      <c r="D42" s="109">
        <v>641907273</v>
      </c>
      <c r="E42" s="113">
        <v>1710005658276</v>
      </c>
      <c r="F42" s="131"/>
      <c r="G42" s="108" t="s">
        <v>259</v>
      </c>
      <c r="H42" s="108" t="s">
        <v>1834</v>
      </c>
      <c r="I42" s="111">
        <v>43647</v>
      </c>
      <c r="J42" s="113">
        <f t="shared" si="0"/>
        <v>2</v>
      </c>
      <c r="K42" s="108">
        <f t="shared" si="1"/>
        <v>9</v>
      </c>
      <c r="L42" s="108" t="str">
        <f t="shared" si="2"/>
        <v>PKWT</v>
      </c>
      <c r="M42" s="108"/>
      <c r="N42" s="111">
        <v>44926</v>
      </c>
      <c r="O42" s="147"/>
      <c r="P42" s="108" t="s">
        <v>213</v>
      </c>
      <c r="Q42" s="108" t="s">
        <v>259</v>
      </c>
      <c r="R42" s="108" t="s">
        <v>262</v>
      </c>
      <c r="S42" s="108" t="s">
        <v>89</v>
      </c>
      <c r="T42" s="108"/>
      <c r="U42" s="162"/>
      <c r="V42" s="162"/>
      <c r="W42" s="147"/>
      <c r="X42" s="108" t="s">
        <v>216</v>
      </c>
      <c r="Y42" s="108" t="s">
        <v>71</v>
      </c>
      <c r="Z42" s="111">
        <v>34740</v>
      </c>
      <c r="AA42" s="108">
        <f t="shared" ca="1" si="3"/>
        <v>28</v>
      </c>
      <c r="AB42" s="108" t="s">
        <v>3424</v>
      </c>
      <c r="AC42" s="108" t="s">
        <v>3425</v>
      </c>
      <c r="AD42" s="109" t="s">
        <v>3426</v>
      </c>
      <c r="AE42" s="147"/>
      <c r="AF42" s="115" t="s">
        <v>3427</v>
      </c>
      <c r="AG42" s="109" t="s">
        <v>3428</v>
      </c>
      <c r="AH42" s="109">
        <v>19047644265</v>
      </c>
      <c r="AI42" s="108" t="s">
        <v>255</v>
      </c>
      <c r="AJ42" s="109"/>
      <c r="AK42" s="147"/>
      <c r="AL42" s="108"/>
      <c r="AM42" s="108" t="s">
        <v>22</v>
      </c>
      <c r="AN42" s="147"/>
      <c r="AO42" s="147"/>
      <c r="AP42" s="147"/>
      <c r="AQ42" s="147"/>
      <c r="AR42" s="147"/>
      <c r="AS42" s="147"/>
      <c r="AT42" s="147"/>
      <c r="AU42" s="147"/>
      <c r="AV42" s="108" t="s">
        <v>74</v>
      </c>
      <c r="AW42" s="108" t="s">
        <v>16</v>
      </c>
      <c r="AX42" s="108" t="s">
        <v>331</v>
      </c>
      <c r="AY42" s="108" t="s">
        <v>306</v>
      </c>
      <c r="AZ42" s="108"/>
      <c r="BA42" s="108" t="s">
        <v>16</v>
      </c>
      <c r="BB42" s="108" t="s">
        <v>331</v>
      </c>
      <c r="BC42" s="108" t="s">
        <v>306</v>
      </c>
      <c r="BD42" s="108"/>
      <c r="BE42" s="108"/>
      <c r="BF42" s="108"/>
      <c r="BG42" s="108"/>
      <c r="BH42" s="147"/>
      <c r="BI42" s="108">
        <v>41</v>
      </c>
      <c r="BJ42" s="108"/>
      <c r="BK42" s="108"/>
      <c r="BL42" s="108"/>
      <c r="BM42" s="108"/>
      <c r="BN42" s="149"/>
      <c r="BO42" s="149"/>
      <c r="BP42" s="108"/>
      <c r="BQ42" s="108"/>
      <c r="BR42" s="149"/>
      <c r="BS42" s="149"/>
      <c r="BT42" s="108"/>
      <c r="BU42" s="108"/>
      <c r="BV42" s="111"/>
      <c r="BW42" s="111"/>
      <c r="BX42" s="108"/>
      <c r="BY42" s="111">
        <v>44676</v>
      </c>
      <c r="BZ42" s="108" t="s">
        <v>3144</v>
      </c>
      <c r="CA42" s="147"/>
      <c r="CB42" s="147" t="e">
        <f>VLOOKUP(C42,[1]Sertifikasi!$B$4:$I$19,8,0)</f>
        <v>#N/A</v>
      </c>
    </row>
    <row r="43" spans="1:80" ht="11.25" customHeight="1">
      <c r="A43" s="147"/>
      <c r="B43" s="108">
        <v>40</v>
      </c>
      <c r="C43" s="108" t="s">
        <v>3429</v>
      </c>
      <c r="D43" s="109">
        <v>642102109</v>
      </c>
      <c r="E43" s="113">
        <v>1710002924689</v>
      </c>
      <c r="F43" s="131"/>
      <c r="G43" s="108" t="s">
        <v>71</v>
      </c>
      <c r="H43" s="108" t="s">
        <v>71</v>
      </c>
      <c r="I43" s="111">
        <v>44242</v>
      </c>
      <c r="J43" s="113">
        <f t="shared" si="0"/>
        <v>1</v>
      </c>
      <c r="K43" s="108">
        <f t="shared" si="1"/>
        <v>2</v>
      </c>
      <c r="L43" s="108" t="str">
        <f t="shared" si="2"/>
        <v>PKWT</v>
      </c>
      <c r="M43" s="108"/>
      <c r="N43" s="111">
        <v>44971</v>
      </c>
      <c r="O43" s="147"/>
      <c r="P43" s="108" t="s">
        <v>213</v>
      </c>
      <c r="Q43" s="108" t="s">
        <v>409</v>
      </c>
      <c r="R43" s="108" t="s">
        <v>33</v>
      </c>
      <c r="S43" s="108" t="s">
        <v>88</v>
      </c>
      <c r="T43" s="108"/>
      <c r="U43" s="108"/>
      <c r="V43" s="108"/>
      <c r="W43" s="147"/>
      <c r="X43" s="108" t="s">
        <v>216</v>
      </c>
      <c r="Y43" s="108" t="s">
        <v>182</v>
      </c>
      <c r="Z43" s="111">
        <v>35911</v>
      </c>
      <c r="AA43" s="108">
        <f t="shared" ca="1" si="3"/>
        <v>25</v>
      </c>
      <c r="AB43" s="108" t="s">
        <v>3430</v>
      </c>
      <c r="AC43" s="108" t="s">
        <v>3431</v>
      </c>
      <c r="AD43" s="109" t="s">
        <v>3432</v>
      </c>
      <c r="AE43" s="147"/>
      <c r="AF43" s="108" t="s">
        <v>3433</v>
      </c>
      <c r="AG43" s="108" t="s">
        <v>3434</v>
      </c>
      <c r="AH43" s="110">
        <v>17023994829</v>
      </c>
      <c r="AI43" s="108" t="s">
        <v>255</v>
      </c>
      <c r="AJ43" s="108"/>
      <c r="AK43" s="147"/>
      <c r="AL43" s="108"/>
      <c r="AM43" s="108"/>
      <c r="AN43" s="147"/>
      <c r="AO43" s="147"/>
      <c r="AP43" s="147"/>
      <c r="AQ43" s="147"/>
      <c r="AR43" s="147"/>
      <c r="AS43" s="147"/>
      <c r="AT43" s="147"/>
      <c r="AU43" s="147"/>
      <c r="AV43" s="108" t="s">
        <v>74</v>
      </c>
      <c r="AW43" s="108" t="s">
        <v>16</v>
      </c>
      <c r="AX43" s="108" t="s">
        <v>3435</v>
      </c>
      <c r="AY43" s="108" t="s">
        <v>1250</v>
      </c>
      <c r="AZ43" s="108"/>
      <c r="BA43" s="108" t="s">
        <v>16</v>
      </c>
      <c r="BB43" s="108" t="s">
        <v>3435</v>
      </c>
      <c r="BC43" s="108" t="s">
        <v>1250</v>
      </c>
      <c r="BD43" s="108"/>
      <c r="BE43" s="108"/>
      <c r="BF43" s="108"/>
      <c r="BG43" s="108"/>
      <c r="BH43" s="147"/>
      <c r="BI43" s="108">
        <v>41</v>
      </c>
      <c r="BJ43" s="108"/>
      <c r="BK43" s="108"/>
      <c r="BL43" s="108"/>
      <c r="BM43" s="108" t="e">
        <f t="shared" ref="BM43:BM44" si="4">"PKWT-"&amp;#REF!&amp;"/D1/2020"</f>
        <v>#REF!</v>
      </c>
      <c r="BN43" s="166"/>
      <c r="BO43" s="149"/>
      <c r="BP43" s="108"/>
      <c r="BQ43" s="108"/>
      <c r="BR43" s="149"/>
      <c r="BS43" s="149"/>
      <c r="BT43" s="108"/>
      <c r="BU43" s="108"/>
      <c r="BV43" s="111"/>
      <c r="BW43" s="111"/>
      <c r="BX43" s="108"/>
      <c r="BY43" s="111">
        <v>44690</v>
      </c>
      <c r="BZ43" s="108" t="s">
        <v>3144</v>
      </c>
      <c r="CA43" s="147"/>
      <c r="CB43" s="147" t="e">
        <f>VLOOKUP(C43,[1]Sertifikasi!$B$4:$I$19,8,0)</f>
        <v>#N/A</v>
      </c>
    </row>
    <row r="44" spans="1:80" ht="11.25" customHeight="1">
      <c r="A44" s="147"/>
      <c r="B44" s="108">
        <v>41</v>
      </c>
      <c r="C44" s="108" t="s">
        <v>3436</v>
      </c>
      <c r="D44" s="109">
        <v>642102108</v>
      </c>
      <c r="E44" s="113">
        <v>1710007309118</v>
      </c>
      <c r="F44" s="131"/>
      <c r="G44" s="108" t="s">
        <v>71</v>
      </c>
      <c r="H44" s="108" t="s">
        <v>71</v>
      </c>
      <c r="I44" s="111">
        <v>44242</v>
      </c>
      <c r="J44" s="113">
        <f t="shared" si="0"/>
        <v>1</v>
      </c>
      <c r="K44" s="108">
        <f t="shared" si="1"/>
        <v>3</v>
      </c>
      <c r="L44" s="108" t="str">
        <f t="shared" si="2"/>
        <v>PKWT</v>
      </c>
      <c r="M44" s="108"/>
      <c r="N44" s="111">
        <v>44606</v>
      </c>
      <c r="O44" s="147"/>
      <c r="P44" s="108" t="s">
        <v>213</v>
      </c>
      <c r="Q44" s="108" t="s">
        <v>409</v>
      </c>
      <c r="R44" s="108" t="s">
        <v>33</v>
      </c>
      <c r="S44" s="108" t="s">
        <v>88</v>
      </c>
      <c r="T44" s="108"/>
      <c r="U44" s="108"/>
      <c r="V44" s="108"/>
      <c r="W44" s="147"/>
      <c r="X44" s="147" t="s">
        <v>59</v>
      </c>
      <c r="Y44" s="108" t="s">
        <v>182</v>
      </c>
      <c r="Z44" s="111">
        <v>34490</v>
      </c>
      <c r="AA44" s="108">
        <f t="shared" ca="1" si="3"/>
        <v>29</v>
      </c>
      <c r="AB44" s="108" t="s">
        <v>3437</v>
      </c>
      <c r="AC44" s="108" t="s">
        <v>3438</v>
      </c>
      <c r="AD44" s="109" t="s">
        <v>3439</v>
      </c>
      <c r="AE44" s="147"/>
      <c r="AF44" s="108" t="s">
        <v>3440</v>
      </c>
      <c r="AG44" s="115" t="s">
        <v>2348</v>
      </c>
      <c r="AH44" s="115"/>
      <c r="AI44" s="108" t="s">
        <v>255</v>
      </c>
      <c r="AJ44" s="108"/>
      <c r="AK44" s="108"/>
      <c r="AL44" s="108"/>
      <c r="AM44" s="110"/>
      <c r="AN44" s="147"/>
      <c r="AO44" s="147"/>
      <c r="AP44" s="147"/>
      <c r="AQ44" s="147"/>
      <c r="AR44" s="147"/>
      <c r="AS44" s="147"/>
      <c r="AT44" s="147"/>
      <c r="AU44" s="147"/>
      <c r="AV44" s="108" t="s">
        <v>74</v>
      </c>
      <c r="AW44" s="108" t="s">
        <v>16</v>
      </c>
      <c r="AX44" s="108" t="s">
        <v>3435</v>
      </c>
      <c r="AY44" s="108" t="s">
        <v>1250</v>
      </c>
      <c r="AZ44" s="108"/>
      <c r="BA44" s="108" t="s">
        <v>16</v>
      </c>
      <c r="BB44" s="108" t="s">
        <v>3435</v>
      </c>
      <c r="BC44" s="108" t="s">
        <v>1250</v>
      </c>
      <c r="BD44" s="108"/>
      <c r="BE44" s="147"/>
      <c r="BF44" s="147"/>
      <c r="BG44" s="108"/>
      <c r="BH44" s="108">
        <v>31</v>
      </c>
      <c r="BI44" s="108">
        <v>41</v>
      </c>
      <c r="BJ44" s="147"/>
      <c r="BK44" s="108"/>
      <c r="BL44" s="108"/>
      <c r="BM44" s="108" t="e">
        <f t="shared" si="4"/>
        <v>#REF!</v>
      </c>
      <c r="BN44" s="149"/>
      <c r="BO44" s="166"/>
      <c r="BP44" s="108"/>
      <c r="BQ44" s="108"/>
      <c r="BR44" s="149"/>
      <c r="BS44" s="149"/>
      <c r="BT44" s="108"/>
      <c r="BU44" s="108"/>
      <c r="BV44" s="111"/>
      <c r="BW44" s="111"/>
      <c r="BX44" s="111"/>
      <c r="BY44" s="111">
        <v>44712</v>
      </c>
      <c r="BZ44" s="108" t="s">
        <v>3144</v>
      </c>
      <c r="CA44" s="147"/>
      <c r="CB44" s="147" t="e">
        <f>VLOOKUP(C44,[1]Sertifikasi!$B$4:$I$19,8,0)</f>
        <v>#N/A</v>
      </c>
    </row>
    <row r="45" spans="1:80" ht="11.25" customHeight="1">
      <c r="A45" s="147"/>
      <c r="B45" s="108">
        <v>42</v>
      </c>
      <c r="C45" s="108" t="s">
        <v>3441</v>
      </c>
      <c r="D45" s="109">
        <v>642001066</v>
      </c>
      <c r="E45" s="113">
        <v>1710003988337</v>
      </c>
      <c r="F45" s="131"/>
      <c r="G45" s="108" t="s">
        <v>71</v>
      </c>
      <c r="H45" s="108" t="s">
        <v>71</v>
      </c>
      <c r="I45" s="111">
        <v>42461</v>
      </c>
      <c r="J45" s="113">
        <f t="shared" si="0"/>
        <v>6</v>
      </c>
      <c r="K45" s="108">
        <f t="shared" si="1"/>
        <v>3</v>
      </c>
      <c r="L45" s="108" t="str">
        <f t="shared" si="2"/>
        <v>PKWT</v>
      </c>
      <c r="M45" s="108"/>
      <c r="N45" s="111">
        <v>44926</v>
      </c>
      <c r="O45" s="147"/>
      <c r="P45" s="108" t="s">
        <v>311</v>
      </c>
      <c r="Q45" s="108" t="s">
        <v>71</v>
      </c>
      <c r="R45" s="108" t="s">
        <v>33</v>
      </c>
      <c r="S45" s="108" t="s">
        <v>2085</v>
      </c>
      <c r="T45" s="108"/>
      <c r="U45" s="162"/>
      <c r="V45" s="162"/>
      <c r="W45" s="147"/>
      <c r="X45" s="108" t="s">
        <v>216</v>
      </c>
      <c r="Y45" s="108" t="s">
        <v>71</v>
      </c>
      <c r="Z45" s="111">
        <v>29877</v>
      </c>
      <c r="AA45" s="108">
        <f t="shared" ca="1" si="3"/>
        <v>42</v>
      </c>
      <c r="AB45" s="108" t="s">
        <v>3442</v>
      </c>
      <c r="AC45" s="108" t="s">
        <v>3443</v>
      </c>
      <c r="AD45" s="109" t="s">
        <v>3444</v>
      </c>
      <c r="AE45" s="147"/>
      <c r="AF45" s="115" t="s">
        <v>3445</v>
      </c>
      <c r="AG45" s="109" t="s">
        <v>3446</v>
      </c>
      <c r="AH45" s="109">
        <v>16048981308</v>
      </c>
      <c r="AI45" s="108" t="s">
        <v>189</v>
      </c>
      <c r="AJ45" s="109"/>
      <c r="AK45" s="147"/>
      <c r="AL45" s="108"/>
      <c r="AM45" s="108"/>
      <c r="AN45" s="147"/>
      <c r="AO45" s="147"/>
      <c r="AP45" s="147"/>
      <c r="AQ45" s="147"/>
      <c r="AR45" s="147"/>
      <c r="AS45" s="147"/>
      <c r="AT45" s="147"/>
      <c r="AU45" s="147"/>
      <c r="AV45" s="108" t="s">
        <v>74</v>
      </c>
      <c r="AW45" s="108" t="s">
        <v>16</v>
      </c>
      <c r="AX45" s="108" t="s">
        <v>331</v>
      </c>
      <c r="AY45" s="108" t="s">
        <v>404</v>
      </c>
      <c r="AZ45" s="108"/>
      <c r="BA45" s="108" t="s">
        <v>287</v>
      </c>
      <c r="BB45" s="108" t="s">
        <v>331</v>
      </c>
      <c r="BC45" s="108" t="s">
        <v>404</v>
      </c>
      <c r="BD45" s="108"/>
      <c r="BE45" s="108"/>
      <c r="BF45" s="108"/>
      <c r="BG45" s="108"/>
      <c r="BH45" s="147"/>
      <c r="BI45" s="108">
        <v>42</v>
      </c>
      <c r="BJ45" s="108"/>
      <c r="BK45" s="147"/>
      <c r="BL45" s="147"/>
      <c r="BM45" s="147"/>
      <c r="BN45" s="149">
        <v>43467</v>
      </c>
      <c r="BO45" s="149">
        <v>43830</v>
      </c>
      <c r="BP45" s="108" t="s">
        <v>3447</v>
      </c>
      <c r="BQ45" s="108" t="e">
        <f t="shared" ref="BQ45:BQ46" si="5">"PKWT-"&amp;#REF!&amp;"/D1/2020"</f>
        <v>#REF!</v>
      </c>
      <c r="BR45" s="149"/>
      <c r="BS45" s="149"/>
      <c r="BT45" s="108"/>
      <c r="BU45" s="108"/>
      <c r="BV45" s="111"/>
      <c r="BW45" s="111"/>
      <c r="BX45" s="108"/>
      <c r="BY45" s="111">
        <v>44749</v>
      </c>
      <c r="BZ45" s="108" t="s">
        <v>3144</v>
      </c>
      <c r="CA45" s="147"/>
      <c r="CB45" s="147" t="e">
        <f>VLOOKUP(C45,[1]Sertifikasi!$B$4:$I$19,8,0)</f>
        <v>#N/A</v>
      </c>
    </row>
    <row r="46" spans="1:80" ht="11.25" customHeight="1">
      <c r="A46" s="147"/>
      <c r="B46" s="108">
        <v>43</v>
      </c>
      <c r="C46" s="108" t="s">
        <v>3448</v>
      </c>
      <c r="D46" s="109">
        <v>642001018</v>
      </c>
      <c r="E46" s="113">
        <v>1710003987982</v>
      </c>
      <c r="F46" s="131"/>
      <c r="G46" s="108" t="s">
        <v>71</v>
      </c>
      <c r="H46" s="108" t="s">
        <v>71</v>
      </c>
      <c r="I46" s="167">
        <v>42401</v>
      </c>
      <c r="J46" s="113">
        <f t="shared" si="0"/>
        <v>6</v>
      </c>
      <c r="K46" s="108">
        <f t="shared" si="1"/>
        <v>5</v>
      </c>
      <c r="L46" s="108" t="str">
        <f t="shared" si="2"/>
        <v>PKWT</v>
      </c>
      <c r="M46" s="108"/>
      <c r="N46" s="111">
        <v>44926</v>
      </c>
      <c r="O46" s="147"/>
      <c r="P46" s="108" t="s">
        <v>213</v>
      </c>
      <c r="Q46" s="108" t="s">
        <v>71</v>
      </c>
      <c r="R46" s="108" t="s">
        <v>33</v>
      </c>
      <c r="S46" s="108" t="s">
        <v>2085</v>
      </c>
      <c r="T46" s="108"/>
      <c r="U46" s="162"/>
      <c r="V46" s="162"/>
      <c r="W46" s="147"/>
      <c r="X46" s="108" t="s">
        <v>216</v>
      </c>
      <c r="Y46" s="108" t="s">
        <v>71</v>
      </c>
      <c r="Z46" s="111">
        <v>32373</v>
      </c>
      <c r="AA46" s="108">
        <f t="shared" ca="1" si="3"/>
        <v>35</v>
      </c>
      <c r="AB46" s="108" t="s">
        <v>3449</v>
      </c>
      <c r="AC46" s="108" t="s">
        <v>3450</v>
      </c>
      <c r="AD46" s="109" t="s">
        <v>3451</v>
      </c>
      <c r="AE46" s="147"/>
      <c r="AF46" s="115" t="s">
        <v>3452</v>
      </c>
      <c r="AG46" s="109" t="s">
        <v>3453</v>
      </c>
      <c r="AH46" s="109">
        <v>16006271957</v>
      </c>
      <c r="AI46" s="108" t="s">
        <v>255</v>
      </c>
      <c r="AJ46" s="109"/>
      <c r="AK46" s="147"/>
      <c r="AL46" s="108"/>
      <c r="AM46" s="108"/>
      <c r="AN46" s="147"/>
      <c r="AO46" s="147"/>
      <c r="AP46" s="147"/>
      <c r="AQ46" s="147"/>
      <c r="AR46" s="147"/>
      <c r="AS46" s="147"/>
      <c r="AT46" s="147"/>
      <c r="AU46" s="147"/>
      <c r="AV46" s="108" t="s">
        <v>74</v>
      </c>
      <c r="AW46" s="108" t="s">
        <v>16</v>
      </c>
      <c r="AX46" s="108" t="s">
        <v>612</v>
      </c>
      <c r="AY46" s="108" t="s">
        <v>3454</v>
      </c>
      <c r="AZ46" s="108"/>
      <c r="BA46" s="108" t="s">
        <v>287</v>
      </c>
      <c r="BB46" s="108" t="s">
        <v>612</v>
      </c>
      <c r="BC46" s="108" t="s">
        <v>3454</v>
      </c>
      <c r="BD46" s="108"/>
      <c r="BE46" s="108"/>
      <c r="BF46" s="108"/>
      <c r="BG46" s="108"/>
      <c r="BH46" s="147"/>
      <c r="BI46" s="108">
        <v>42</v>
      </c>
      <c r="BJ46" s="108"/>
      <c r="BK46" s="147"/>
      <c r="BL46" s="147"/>
      <c r="BM46" s="147"/>
      <c r="BN46" s="149">
        <v>43467</v>
      </c>
      <c r="BO46" s="149">
        <v>43830</v>
      </c>
      <c r="BP46" s="108" t="s">
        <v>3455</v>
      </c>
      <c r="BQ46" s="108" t="e">
        <f t="shared" si="5"/>
        <v>#REF!</v>
      </c>
      <c r="BR46" s="149"/>
      <c r="BS46" s="149"/>
      <c r="BT46" s="108"/>
      <c r="BU46" s="108"/>
      <c r="BV46" s="111"/>
      <c r="BW46" s="111"/>
      <c r="BX46" s="108"/>
      <c r="BY46" s="111">
        <v>44749</v>
      </c>
      <c r="BZ46" s="108" t="s">
        <v>3144</v>
      </c>
      <c r="CA46" s="147"/>
      <c r="CB46" s="147" t="e">
        <f>VLOOKUP(C46,[1]Sertifikasi!$B$4:$I$19,8,0)</f>
        <v>#N/A</v>
      </c>
    </row>
    <row r="47" spans="1:80" ht="11.25" customHeight="1">
      <c r="A47" s="147"/>
      <c r="B47" s="108">
        <v>44</v>
      </c>
      <c r="C47" s="108" t="s">
        <v>3456</v>
      </c>
      <c r="D47" s="109">
        <v>642201147</v>
      </c>
      <c r="E47" s="113">
        <v>9000038403904</v>
      </c>
      <c r="F47" s="131"/>
      <c r="G47" s="108" t="s">
        <v>71</v>
      </c>
      <c r="H47" s="108" t="s">
        <v>71</v>
      </c>
      <c r="I47" s="111">
        <v>44596</v>
      </c>
      <c r="J47" s="113">
        <f t="shared" si="0"/>
        <v>0</v>
      </c>
      <c r="K47" s="108">
        <f t="shared" si="1"/>
        <v>5</v>
      </c>
      <c r="L47" s="108" t="str">
        <f t="shared" si="2"/>
        <v>PKWT</v>
      </c>
      <c r="M47" s="108"/>
      <c r="N47" s="111">
        <v>44960</v>
      </c>
      <c r="O47" s="147"/>
      <c r="P47" s="108" t="s">
        <v>213</v>
      </c>
      <c r="Q47" s="108" t="s">
        <v>409</v>
      </c>
      <c r="R47" s="108" t="s">
        <v>33</v>
      </c>
      <c r="S47" s="108" t="s">
        <v>88</v>
      </c>
      <c r="T47" s="108"/>
      <c r="U47" s="108"/>
      <c r="V47" s="108"/>
      <c r="W47" s="147"/>
      <c r="X47" s="108" t="s">
        <v>216</v>
      </c>
      <c r="Y47" s="108" t="s">
        <v>71</v>
      </c>
      <c r="Z47" s="111">
        <v>35806</v>
      </c>
      <c r="AA47" s="108">
        <f t="shared" ca="1" si="3"/>
        <v>25</v>
      </c>
      <c r="AB47" s="108" t="s">
        <v>3457</v>
      </c>
      <c r="AC47" s="108" t="s">
        <v>3458</v>
      </c>
      <c r="AD47" s="108" t="s">
        <v>3459</v>
      </c>
      <c r="AE47" s="147"/>
      <c r="AF47" s="115" t="s">
        <v>3460</v>
      </c>
      <c r="AG47" s="109" t="s">
        <v>3461</v>
      </c>
      <c r="AH47" s="108"/>
      <c r="AI47" s="108" t="s">
        <v>255</v>
      </c>
      <c r="AJ47" s="109"/>
      <c r="AK47" s="147"/>
      <c r="AL47" s="108"/>
      <c r="AM47" s="108"/>
      <c r="AN47" s="147"/>
      <c r="AO47" s="147"/>
      <c r="AP47" s="147"/>
      <c r="AQ47" s="147"/>
      <c r="AR47" s="147"/>
      <c r="AS47" s="147"/>
      <c r="AT47" s="147"/>
      <c r="AU47" s="147"/>
      <c r="AV47" s="108" t="s">
        <v>74</v>
      </c>
      <c r="AW47" s="108" t="s">
        <v>391</v>
      </c>
      <c r="AX47" s="108" t="s">
        <v>226</v>
      </c>
      <c r="AY47" s="108" t="s">
        <v>1237</v>
      </c>
      <c r="AZ47" s="108"/>
      <c r="BA47" s="108" t="s">
        <v>391</v>
      </c>
      <c r="BB47" s="108" t="s">
        <v>226</v>
      </c>
      <c r="BC47" s="108" t="s">
        <v>1237</v>
      </c>
      <c r="BD47" s="108"/>
      <c r="BE47" s="108"/>
      <c r="BF47" s="108"/>
      <c r="BG47" s="108"/>
      <c r="BH47" s="147"/>
      <c r="BI47" s="108"/>
      <c r="BJ47" s="108"/>
      <c r="BK47" s="108"/>
      <c r="BL47" s="108"/>
      <c r="BM47" s="108"/>
      <c r="BN47" s="149"/>
      <c r="BO47" s="149"/>
      <c r="BP47" s="108"/>
      <c r="BQ47" s="108"/>
      <c r="BR47" s="149"/>
      <c r="BS47" s="149"/>
      <c r="BT47" s="108"/>
      <c r="BU47" s="108"/>
      <c r="BV47" s="111"/>
      <c r="BW47" s="111"/>
      <c r="BX47" s="108"/>
      <c r="BY47" s="111">
        <v>44773</v>
      </c>
      <c r="BZ47" s="108" t="s">
        <v>3144</v>
      </c>
      <c r="CA47" s="147"/>
      <c r="CB47" s="147" t="e">
        <f>VLOOKUP(C47,[1]Sertifikasi!$B$4:$I$19,8,0)</f>
        <v>#N/A</v>
      </c>
    </row>
    <row r="48" spans="1:80" ht="11.25" customHeight="1">
      <c r="A48" s="147"/>
      <c r="B48" s="108">
        <v>45</v>
      </c>
      <c r="C48" s="108" t="s">
        <v>3462</v>
      </c>
      <c r="D48" s="109">
        <v>642111120</v>
      </c>
      <c r="E48" s="113"/>
      <c r="F48" s="131">
        <v>7089528857</v>
      </c>
      <c r="G48" s="108" t="s">
        <v>259</v>
      </c>
      <c r="H48" s="108" t="s">
        <v>259</v>
      </c>
      <c r="I48" s="111">
        <v>44517</v>
      </c>
      <c r="J48" s="113">
        <f t="shared" si="0"/>
        <v>0</v>
      </c>
      <c r="K48" s="108">
        <f t="shared" si="1"/>
        <v>8</v>
      </c>
      <c r="L48" s="108" t="str">
        <f t="shared" si="2"/>
        <v>PKWT</v>
      </c>
      <c r="M48" s="108"/>
      <c r="N48" s="111">
        <v>45062</v>
      </c>
      <c r="O48" s="147"/>
      <c r="P48" s="108" t="s">
        <v>213</v>
      </c>
      <c r="Q48" s="108" t="s">
        <v>259</v>
      </c>
      <c r="R48" s="108" t="s">
        <v>33</v>
      </c>
      <c r="S48" s="108" t="s">
        <v>3222</v>
      </c>
      <c r="T48" s="108"/>
      <c r="U48" s="108"/>
      <c r="V48" s="108"/>
      <c r="W48" s="147"/>
      <c r="X48" s="108" t="s">
        <v>216</v>
      </c>
      <c r="Y48" s="108" t="s">
        <v>3463</v>
      </c>
      <c r="Z48" s="111">
        <v>21736</v>
      </c>
      <c r="AA48" s="108">
        <f t="shared" ca="1" si="3"/>
        <v>64</v>
      </c>
      <c r="AB48" s="108"/>
      <c r="AC48" s="108" t="s">
        <v>3464</v>
      </c>
      <c r="AD48" s="109" t="s">
        <v>3465</v>
      </c>
      <c r="AE48" s="147"/>
      <c r="AF48" s="115" t="s">
        <v>3466</v>
      </c>
      <c r="AG48" s="109" t="s">
        <v>3467</v>
      </c>
      <c r="AH48" s="110"/>
      <c r="AI48" s="108" t="s">
        <v>189</v>
      </c>
      <c r="AJ48" s="109"/>
      <c r="AK48" s="147"/>
      <c r="AL48" s="108"/>
      <c r="AM48" s="108"/>
      <c r="AN48" s="147"/>
      <c r="AO48" s="147"/>
      <c r="AP48" s="147"/>
      <c r="AQ48" s="147"/>
      <c r="AR48" s="147"/>
      <c r="AS48" s="147"/>
      <c r="AT48" s="147"/>
      <c r="AU48" s="147"/>
      <c r="AV48" s="108" t="s">
        <v>74</v>
      </c>
      <c r="AW48" s="108" t="s">
        <v>16</v>
      </c>
      <c r="AX48" s="108" t="s">
        <v>226</v>
      </c>
      <c r="AY48" s="108" t="s">
        <v>3468</v>
      </c>
      <c r="AZ48" s="108"/>
      <c r="BA48" s="108" t="s">
        <v>16</v>
      </c>
      <c r="BB48" s="108" t="s">
        <v>226</v>
      </c>
      <c r="BC48" s="108" t="s">
        <v>3468</v>
      </c>
      <c r="BD48" s="108"/>
      <c r="BE48" s="108"/>
      <c r="BF48" s="108"/>
      <c r="BG48" s="108"/>
      <c r="BH48" s="147"/>
      <c r="BI48" s="108"/>
      <c r="BJ48" s="108"/>
      <c r="BK48" s="108"/>
      <c r="BL48" s="108"/>
      <c r="BM48" s="108"/>
      <c r="BN48" s="149"/>
      <c r="BO48" s="149"/>
      <c r="BP48" s="108"/>
      <c r="BQ48" s="108"/>
      <c r="BR48" s="149"/>
      <c r="BS48" s="149"/>
      <c r="BT48" s="108"/>
      <c r="BU48" s="108"/>
      <c r="BV48" s="111"/>
      <c r="BW48" s="111"/>
      <c r="BX48" s="108"/>
      <c r="BY48" s="111">
        <v>44773</v>
      </c>
      <c r="BZ48" s="108" t="s">
        <v>3138</v>
      </c>
      <c r="CA48" s="147"/>
      <c r="CB48" s="147" t="e">
        <f>VLOOKUP(C48,[1]Sertifikasi!$B$4:$I$19,8,0)</f>
        <v>#N/A</v>
      </c>
    </row>
    <row r="49" spans="1:80" ht="11.25" customHeight="1">
      <c r="A49" s="147"/>
      <c r="B49" s="108">
        <v>46</v>
      </c>
      <c r="C49" s="147" t="s">
        <v>3469</v>
      </c>
      <c r="D49" s="109">
        <v>991000013</v>
      </c>
      <c r="E49" s="168" t="s">
        <v>3470</v>
      </c>
      <c r="F49" s="169"/>
      <c r="G49" s="147" t="s">
        <v>33</v>
      </c>
      <c r="H49" s="147" t="s">
        <v>71</v>
      </c>
      <c r="I49" s="132">
        <v>44575</v>
      </c>
      <c r="J49" s="113">
        <f t="shared" si="0"/>
        <v>0</v>
      </c>
      <c r="K49" s="108">
        <f t="shared" si="1"/>
        <v>6</v>
      </c>
      <c r="L49" s="108" t="str">
        <f t="shared" si="2"/>
        <v>Organik</v>
      </c>
      <c r="M49" s="147" t="s">
        <v>2496</v>
      </c>
      <c r="N49" s="116">
        <v>40210</v>
      </c>
      <c r="O49" s="147" t="s">
        <v>3471</v>
      </c>
      <c r="P49" s="147" t="s">
        <v>2121</v>
      </c>
      <c r="Q49" s="147" t="s">
        <v>197</v>
      </c>
      <c r="R49" s="147"/>
      <c r="S49" s="147"/>
      <c r="T49" s="147"/>
      <c r="U49" s="147"/>
      <c r="V49" s="147"/>
      <c r="W49" s="147"/>
      <c r="X49" s="147" t="s">
        <v>59</v>
      </c>
      <c r="Y49" s="147" t="s">
        <v>71</v>
      </c>
      <c r="Z49" s="111">
        <v>31440</v>
      </c>
      <c r="AA49" s="108">
        <f t="shared" ca="1" si="3"/>
        <v>37</v>
      </c>
      <c r="AB49" s="147" t="s">
        <v>3472</v>
      </c>
      <c r="AC49" s="147" t="s">
        <v>3473</v>
      </c>
      <c r="AD49" s="147" t="s">
        <v>3474</v>
      </c>
      <c r="AE49" s="147"/>
      <c r="AF49" s="108" t="s">
        <v>3475</v>
      </c>
      <c r="AG49" s="147">
        <v>9025984288</v>
      </c>
      <c r="AH49" s="147" t="s">
        <v>3476</v>
      </c>
      <c r="AI49" s="147" t="s">
        <v>189</v>
      </c>
      <c r="AJ49" s="147" t="s">
        <v>3477</v>
      </c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 t="s">
        <v>74</v>
      </c>
      <c r="AW49" s="147" t="s">
        <v>12</v>
      </c>
      <c r="AX49" s="147" t="s">
        <v>3478</v>
      </c>
      <c r="AY49" s="147" t="s">
        <v>3479</v>
      </c>
      <c r="AZ49" s="147"/>
      <c r="BA49" s="147" t="s">
        <v>12</v>
      </c>
      <c r="BB49" s="147" t="s">
        <v>3478</v>
      </c>
      <c r="BC49" s="147" t="s">
        <v>3479</v>
      </c>
      <c r="BD49" s="147"/>
      <c r="BE49" s="147"/>
      <c r="BF49" s="147"/>
      <c r="BG49" s="167"/>
      <c r="BH49" s="147"/>
      <c r="BI49" s="147"/>
      <c r="BJ49" s="147"/>
      <c r="BK49" s="147"/>
      <c r="BL49" s="150"/>
      <c r="BM49" s="150"/>
      <c r="BN49" s="149"/>
      <c r="BO49" s="149"/>
      <c r="BP49" s="108"/>
      <c r="BQ49" s="108"/>
      <c r="BR49" s="149"/>
      <c r="BS49" s="149"/>
      <c r="BT49" s="108"/>
      <c r="BU49" s="108"/>
      <c r="BV49" s="111"/>
      <c r="BW49" s="111"/>
      <c r="BX49" s="108"/>
      <c r="BY49" s="111">
        <v>44777</v>
      </c>
      <c r="BZ49" s="108" t="s">
        <v>3413</v>
      </c>
      <c r="CA49" s="147"/>
      <c r="CB49" s="147" t="e">
        <f>VLOOKUP(C49,[1]Sertifikasi!$B$4:$I$19,8,0)</f>
        <v>#N/A</v>
      </c>
    </row>
    <row r="50" spans="1:80" ht="11.25" customHeight="1">
      <c r="A50" s="147"/>
      <c r="B50" s="108">
        <v>47</v>
      </c>
      <c r="C50" s="108" t="s">
        <v>3480</v>
      </c>
      <c r="D50" s="109">
        <v>641809177</v>
      </c>
      <c r="E50" s="113">
        <v>1710004667849</v>
      </c>
      <c r="F50" s="131"/>
      <c r="G50" s="108" t="s">
        <v>575</v>
      </c>
      <c r="H50" s="108" t="s">
        <v>575</v>
      </c>
      <c r="I50" s="111">
        <v>43356</v>
      </c>
      <c r="J50" s="113">
        <f t="shared" si="0"/>
        <v>3</v>
      </c>
      <c r="K50" s="108">
        <f t="shared" si="1"/>
        <v>11</v>
      </c>
      <c r="L50" s="108" t="str">
        <f t="shared" si="2"/>
        <v>PKWT</v>
      </c>
      <c r="M50" s="108"/>
      <c r="N50" s="111">
        <v>44815</v>
      </c>
      <c r="O50" s="147"/>
      <c r="P50" s="108" t="s">
        <v>213</v>
      </c>
      <c r="Q50" s="108" t="s">
        <v>575</v>
      </c>
      <c r="R50" s="108" t="s">
        <v>262</v>
      </c>
      <c r="S50" s="108" t="s">
        <v>92</v>
      </c>
      <c r="T50" s="108"/>
      <c r="U50" s="162"/>
      <c r="V50" s="162"/>
      <c r="W50" s="147"/>
      <c r="X50" s="147" t="s">
        <v>59</v>
      </c>
      <c r="Y50" s="108" t="s">
        <v>3481</v>
      </c>
      <c r="Z50" s="111">
        <v>34291</v>
      </c>
      <c r="AA50" s="108">
        <f t="shared" ca="1" si="3"/>
        <v>29</v>
      </c>
      <c r="AB50" s="108" t="s">
        <v>3482</v>
      </c>
      <c r="AC50" s="108" t="s">
        <v>3483</v>
      </c>
      <c r="AD50" s="109" t="s">
        <v>3484</v>
      </c>
      <c r="AE50" s="147"/>
      <c r="AF50" s="147"/>
      <c r="AG50" s="115" t="s">
        <v>3485</v>
      </c>
      <c r="AH50" s="131">
        <v>18070554052</v>
      </c>
      <c r="AI50" s="108" t="s">
        <v>255</v>
      </c>
      <c r="AJ50" s="108"/>
      <c r="AK50" s="147"/>
      <c r="AL50" s="147"/>
      <c r="AM50" s="163">
        <v>0</v>
      </c>
      <c r="AN50" s="108"/>
      <c r="AO50" s="108"/>
      <c r="AP50" s="108"/>
      <c r="AQ50" s="108"/>
      <c r="AR50" s="108"/>
      <c r="AS50" s="108">
        <v>0</v>
      </c>
      <c r="AT50" s="108" t="s">
        <v>304</v>
      </c>
      <c r="AU50" s="147"/>
      <c r="AV50" s="147" t="s">
        <v>74</v>
      </c>
      <c r="AW50" s="108" t="s">
        <v>16</v>
      </c>
      <c r="AX50" s="108" t="s">
        <v>285</v>
      </c>
      <c r="AY50" s="108" t="s">
        <v>3486</v>
      </c>
      <c r="AZ50" s="108"/>
      <c r="BA50" s="108" t="s">
        <v>287</v>
      </c>
      <c r="BB50" s="108" t="s">
        <v>285</v>
      </c>
      <c r="BC50" s="108" t="s">
        <v>3486</v>
      </c>
      <c r="BD50" s="108"/>
      <c r="BE50" s="108"/>
      <c r="BF50" s="108"/>
      <c r="BG50" s="108"/>
      <c r="BH50" s="147"/>
      <c r="BI50" s="108"/>
      <c r="BJ50" s="108"/>
      <c r="BK50" s="108"/>
      <c r="BL50" s="108"/>
      <c r="BM50" s="108"/>
      <c r="BN50" s="149"/>
      <c r="BO50" s="149"/>
      <c r="BP50" s="108"/>
      <c r="BQ50" s="108"/>
      <c r="BR50" s="149"/>
      <c r="BS50" s="149"/>
      <c r="BT50" s="108"/>
      <c r="BU50" s="108"/>
      <c r="BV50" s="111"/>
      <c r="BW50" s="111"/>
      <c r="BX50" s="108"/>
      <c r="BY50" s="111">
        <v>44816</v>
      </c>
      <c r="BZ50" s="108" t="s">
        <v>3144</v>
      </c>
      <c r="CA50" s="147"/>
      <c r="CB50" s="147" t="e">
        <f>VLOOKUP(C50,[1]Sertifikasi!$B$4:$I$19,8,0)</f>
        <v>#N/A</v>
      </c>
    </row>
    <row r="51" spans="1:80" ht="11.25" customHeight="1">
      <c r="A51" s="147"/>
      <c r="B51" s="108">
        <v>48</v>
      </c>
      <c r="C51" s="108" t="s">
        <v>3487</v>
      </c>
      <c r="D51" s="109">
        <v>642001051</v>
      </c>
      <c r="E51" s="164" t="s">
        <v>3488</v>
      </c>
      <c r="F51" s="160"/>
      <c r="G51" s="108" t="s">
        <v>475</v>
      </c>
      <c r="H51" s="108" t="s">
        <v>71</v>
      </c>
      <c r="I51" s="111">
        <v>43752</v>
      </c>
      <c r="J51" s="113">
        <f t="shared" si="0"/>
        <v>2</v>
      </c>
      <c r="K51" s="108">
        <f t="shared" si="1"/>
        <v>11</v>
      </c>
      <c r="L51" s="108" t="str">
        <f t="shared" si="2"/>
        <v>PKWT</v>
      </c>
      <c r="M51" s="108"/>
      <c r="N51" s="111">
        <v>44926</v>
      </c>
      <c r="O51" s="147"/>
      <c r="P51" s="108" t="s">
        <v>261</v>
      </c>
      <c r="Q51" s="108" t="s">
        <v>197</v>
      </c>
      <c r="R51" s="108"/>
      <c r="S51" s="108"/>
      <c r="T51" s="108"/>
      <c r="U51" s="108"/>
      <c r="V51" s="108"/>
      <c r="W51" s="108"/>
      <c r="X51" s="108" t="s">
        <v>60</v>
      </c>
      <c r="Y51" s="108" t="s">
        <v>409</v>
      </c>
      <c r="Z51" s="111">
        <v>35904</v>
      </c>
      <c r="AA51" s="108">
        <f t="shared" ca="1" si="3"/>
        <v>25</v>
      </c>
      <c r="AB51" s="108" t="s">
        <v>3489</v>
      </c>
      <c r="AC51" s="108" t="s">
        <v>3490</v>
      </c>
      <c r="AD51" s="108" t="s">
        <v>3491</v>
      </c>
      <c r="AE51" s="147"/>
      <c r="AF51" s="147"/>
      <c r="AG51" s="115" t="s">
        <v>3492</v>
      </c>
      <c r="AH51" s="115" t="s">
        <v>3493</v>
      </c>
      <c r="AI51" s="108" t="s">
        <v>255</v>
      </c>
      <c r="AJ51" s="108"/>
      <c r="AK51" s="147"/>
      <c r="AL51" s="147"/>
      <c r="AM51" s="113"/>
      <c r="AN51" s="113"/>
      <c r="AO51" s="113"/>
      <c r="AP51" s="113"/>
      <c r="AQ51" s="113"/>
      <c r="AR51" s="113"/>
      <c r="AS51" s="108">
        <v>0</v>
      </c>
      <c r="AT51" s="108" t="s">
        <v>304</v>
      </c>
      <c r="AU51" s="147"/>
      <c r="AV51" s="147" t="s">
        <v>74</v>
      </c>
      <c r="AW51" s="108" t="s">
        <v>13</v>
      </c>
      <c r="AX51" s="108" t="s">
        <v>3494</v>
      </c>
      <c r="AY51" s="108" t="s">
        <v>211</v>
      </c>
      <c r="AZ51" s="108"/>
      <c r="BA51" s="108" t="s">
        <v>13</v>
      </c>
      <c r="BB51" s="108" t="s">
        <v>3495</v>
      </c>
      <c r="BC51" s="108" t="s">
        <v>211</v>
      </c>
      <c r="BD51" s="108"/>
      <c r="BE51" s="109"/>
      <c r="BF51" s="109"/>
      <c r="BG51" s="108"/>
      <c r="BH51" s="147"/>
      <c r="BI51" s="111"/>
      <c r="BJ51" s="111"/>
      <c r="BK51" s="108"/>
      <c r="BL51" s="108"/>
      <c r="BM51" s="108"/>
      <c r="BN51" s="149"/>
      <c r="BO51" s="149"/>
      <c r="BP51" s="108"/>
      <c r="BQ51" s="108"/>
      <c r="BR51" s="149"/>
      <c r="BS51" s="149"/>
      <c r="BT51" s="108"/>
      <c r="BU51" s="108"/>
      <c r="BV51" s="111"/>
      <c r="BW51" s="111"/>
      <c r="BX51" s="108"/>
      <c r="BY51" s="111">
        <v>44827</v>
      </c>
      <c r="BZ51" s="108" t="s">
        <v>3144</v>
      </c>
      <c r="CA51" s="147"/>
      <c r="CB51" s="147" t="e">
        <f>VLOOKUP(C51,[1]Sertifikasi!$B$4:$I$19,8,0)</f>
        <v>#N/A</v>
      </c>
    </row>
    <row r="52" spans="1:80" ht="11.25" customHeight="1">
      <c r="A52" s="147"/>
      <c r="B52" s="108">
        <v>49</v>
      </c>
      <c r="C52" s="108" t="s">
        <v>3496</v>
      </c>
      <c r="D52" s="109">
        <v>642109116</v>
      </c>
      <c r="E52" s="113">
        <v>1380019937205</v>
      </c>
      <c r="F52" s="115"/>
      <c r="G52" s="108" t="s">
        <v>409</v>
      </c>
      <c r="H52" s="108" t="s">
        <v>409</v>
      </c>
      <c r="I52" s="111">
        <v>44487</v>
      </c>
      <c r="J52" s="113">
        <f t="shared" si="0"/>
        <v>1</v>
      </c>
      <c r="K52" s="108">
        <f t="shared" si="1"/>
        <v>0</v>
      </c>
      <c r="L52" s="108" t="str">
        <f t="shared" si="2"/>
        <v>PKWT</v>
      </c>
      <c r="M52" s="108"/>
      <c r="N52" s="111">
        <v>44851</v>
      </c>
      <c r="O52" s="147"/>
      <c r="P52" s="108" t="s">
        <v>213</v>
      </c>
      <c r="Q52" s="108" t="s">
        <v>409</v>
      </c>
      <c r="R52" s="108" t="s">
        <v>33</v>
      </c>
      <c r="S52" s="108" t="s">
        <v>88</v>
      </c>
      <c r="T52" s="108"/>
      <c r="U52" s="108"/>
      <c r="V52" s="108"/>
      <c r="W52" s="147"/>
      <c r="X52" s="147" t="s">
        <v>59</v>
      </c>
      <c r="Y52" s="111" t="s">
        <v>3497</v>
      </c>
      <c r="Z52" s="111">
        <v>34780</v>
      </c>
      <c r="AA52" s="108">
        <f t="shared" ca="1" si="3"/>
        <v>28</v>
      </c>
      <c r="AB52" s="108" t="s">
        <v>3498</v>
      </c>
      <c r="AC52" s="108" t="s">
        <v>3499</v>
      </c>
      <c r="AD52" s="108" t="s">
        <v>3500</v>
      </c>
      <c r="AE52" s="147"/>
      <c r="AF52" s="108" t="s">
        <v>3501</v>
      </c>
      <c r="AG52" s="108" t="s">
        <v>3502</v>
      </c>
      <c r="AH52" s="108">
        <v>21076296140</v>
      </c>
      <c r="AI52" s="108" t="s">
        <v>189</v>
      </c>
      <c r="AJ52" s="147"/>
      <c r="AK52" s="147"/>
      <c r="AL52" s="147"/>
      <c r="AM52" s="108"/>
      <c r="AN52" s="147"/>
      <c r="AO52" s="147"/>
      <c r="AP52" s="147"/>
      <c r="AQ52" s="147"/>
      <c r="AR52" s="147"/>
      <c r="AS52" s="147"/>
      <c r="AT52" s="108"/>
      <c r="AU52" s="147"/>
      <c r="AV52" s="147" t="s">
        <v>74</v>
      </c>
      <c r="AW52" s="108" t="s">
        <v>16</v>
      </c>
      <c r="AX52" s="108" t="s">
        <v>331</v>
      </c>
      <c r="AY52" s="108" t="s">
        <v>3503</v>
      </c>
      <c r="AZ52" s="108"/>
      <c r="BA52" s="108" t="s">
        <v>16</v>
      </c>
      <c r="BB52" s="108" t="s">
        <v>331</v>
      </c>
      <c r="BC52" s="108" t="s">
        <v>3503</v>
      </c>
      <c r="BD52" s="108"/>
      <c r="BE52" s="108"/>
      <c r="BF52" s="148"/>
      <c r="BG52" s="147"/>
      <c r="BH52" s="147"/>
      <c r="BI52" s="108"/>
      <c r="BJ52" s="108"/>
      <c r="BK52" s="108"/>
      <c r="BL52" s="108"/>
      <c r="BM52" s="108"/>
      <c r="BN52" s="149"/>
      <c r="BO52" s="149"/>
      <c r="BP52" s="108"/>
      <c r="BQ52" s="108"/>
      <c r="BR52" s="149"/>
      <c r="BS52" s="149"/>
      <c r="BT52" s="108"/>
      <c r="BU52" s="108"/>
      <c r="BV52" s="111"/>
      <c r="BW52" s="111"/>
      <c r="BX52" s="108"/>
      <c r="BY52" s="111">
        <v>44865</v>
      </c>
      <c r="BZ52" s="108" t="s">
        <v>3144</v>
      </c>
      <c r="CA52" s="147"/>
      <c r="CB52" s="147" t="e">
        <f>VLOOKUP(C52,[1]Sertifikasi!$B$4:$I$19,8,0)</f>
        <v>#N/A</v>
      </c>
    </row>
    <row r="53" spans="1:80" ht="11.25" customHeight="1">
      <c r="A53" s="147"/>
      <c r="B53" s="108">
        <v>50</v>
      </c>
      <c r="C53" s="108" t="s">
        <v>3504</v>
      </c>
      <c r="D53" s="109">
        <v>642109119</v>
      </c>
      <c r="E53" s="113"/>
      <c r="F53" s="131">
        <v>7179380597</v>
      </c>
      <c r="G53" s="108" t="s">
        <v>575</v>
      </c>
      <c r="H53" s="108" t="s">
        <v>575</v>
      </c>
      <c r="I53" s="111">
        <v>44490</v>
      </c>
      <c r="J53" s="113">
        <f t="shared" si="0"/>
        <v>1</v>
      </c>
      <c r="K53" s="108">
        <f t="shared" si="1"/>
        <v>1</v>
      </c>
      <c r="L53" s="108" t="str">
        <f t="shared" si="2"/>
        <v>PKWT</v>
      </c>
      <c r="M53" s="108"/>
      <c r="N53" s="111">
        <v>45219</v>
      </c>
      <c r="O53" s="147"/>
      <c r="P53" s="108" t="s">
        <v>213</v>
      </c>
      <c r="Q53" s="147" t="s">
        <v>575</v>
      </c>
      <c r="R53" s="108"/>
      <c r="S53" s="108"/>
      <c r="T53" s="108"/>
      <c r="U53" s="108"/>
      <c r="V53" s="108"/>
      <c r="W53" s="108"/>
      <c r="X53" s="108" t="s">
        <v>59</v>
      </c>
      <c r="Y53" s="108" t="s">
        <v>3505</v>
      </c>
      <c r="Z53" s="111">
        <v>34733</v>
      </c>
      <c r="AA53" s="108">
        <f t="shared" ca="1" si="3"/>
        <v>28</v>
      </c>
      <c r="AB53" s="108" t="s">
        <v>3506</v>
      </c>
      <c r="AC53" s="108" t="s">
        <v>3507</v>
      </c>
      <c r="AD53" s="108" t="s">
        <v>3508</v>
      </c>
      <c r="AE53" s="147"/>
      <c r="AF53" s="115" t="s">
        <v>3509</v>
      </c>
      <c r="AG53" s="170" t="s">
        <v>3510</v>
      </c>
      <c r="AH53" s="110">
        <v>18012384303</v>
      </c>
      <c r="AI53" s="108" t="s">
        <v>255</v>
      </c>
      <c r="AJ53" s="147"/>
      <c r="AK53" s="147"/>
      <c r="AL53" s="147"/>
      <c r="AM53" s="108"/>
      <c r="AN53" s="147"/>
      <c r="AO53" s="147"/>
      <c r="AP53" s="147"/>
      <c r="AQ53" s="147"/>
      <c r="AR53" s="147"/>
      <c r="AS53" s="147"/>
      <c r="AT53" s="108" t="s">
        <v>304</v>
      </c>
      <c r="AU53" s="147"/>
      <c r="AV53" s="108" t="s">
        <v>74</v>
      </c>
      <c r="AW53" s="108" t="s">
        <v>12</v>
      </c>
      <c r="AX53" s="108" t="s">
        <v>210</v>
      </c>
      <c r="AY53" s="108" t="s">
        <v>3511</v>
      </c>
      <c r="AZ53" s="108"/>
      <c r="BA53" s="108" t="s">
        <v>12</v>
      </c>
      <c r="BB53" s="108" t="s">
        <v>210</v>
      </c>
      <c r="BC53" s="108" t="s">
        <v>3512</v>
      </c>
      <c r="BD53" s="108"/>
      <c r="BE53" s="108"/>
      <c r="BF53" s="108"/>
      <c r="BG53" s="147"/>
      <c r="BH53" s="147"/>
      <c r="BI53" s="147"/>
      <c r="BJ53" s="147"/>
      <c r="BK53" s="108"/>
      <c r="BL53" s="108"/>
      <c r="BM53" s="108"/>
      <c r="BN53" s="149"/>
      <c r="BO53" s="149"/>
      <c r="BP53" s="108"/>
      <c r="BQ53" s="108"/>
      <c r="BR53" s="149"/>
      <c r="BS53" s="149"/>
      <c r="BT53" s="108"/>
      <c r="BU53" s="108"/>
      <c r="BV53" s="111"/>
      <c r="BW53" s="111"/>
      <c r="BX53" s="108"/>
      <c r="BY53" s="111">
        <v>44895</v>
      </c>
      <c r="BZ53" s="108" t="s">
        <v>3138</v>
      </c>
      <c r="CA53" s="147"/>
      <c r="CB53" s="147" t="e">
        <f>VLOOKUP(C53,[1]Sertifikasi!$B$4:$I$19,8,0)</f>
        <v>#N/A</v>
      </c>
    </row>
    <row r="54" spans="1:80" ht="11.25" customHeight="1">
      <c r="A54" s="147"/>
      <c r="B54" s="108">
        <v>51</v>
      </c>
      <c r="C54" s="108" t="s">
        <v>3513</v>
      </c>
      <c r="D54" s="109">
        <v>999600003</v>
      </c>
      <c r="E54" s="113">
        <v>1440001094611</v>
      </c>
      <c r="F54" s="131"/>
      <c r="G54" s="113" t="s">
        <v>33</v>
      </c>
      <c r="H54" s="108" t="s">
        <v>71</v>
      </c>
      <c r="I54" s="132">
        <v>43238</v>
      </c>
      <c r="J54" s="113">
        <f t="shared" si="0"/>
        <v>4</v>
      </c>
      <c r="K54" s="108">
        <f t="shared" si="1"/>
        <v>7</v>
      </c>
      <c r="L54" s="108" t="str">
        <f t="shared" si="2"/>
        <v>Organik</v>
      </c>
      <c r="M54" s="108" t="s">
        <v>2120</v>
      </c>
      <c r="N54" s="116">
        <v>35125</v>
      </c>
      <c r="O54" s="108" t="s">
        <v>2497</v>
      </c>
      <c r="P54" s="108" t="s">
        <v>3514</v>
      </c>
      <c r="Q54" s="108" t="s">
        <v>197</v>
      </c>
      <c r="R54" s="108" t="s">
        <v>197</v>
      </c>
      <c r="S54" s="108"/>
      <c r="T54" s="108" t="s">
        <v>3</v>
      </c>
      <c r="U54" s="108" t="s">
        <v>3</v>
      </c>
      <c r="V54" s="108" t="s">
        <v>773</v>
      </c>
      <c r="W54" s="108"/>
      <c r="X54" s="108" t="s">
        <v>59</v>
      </c>
      <c r="Y54" s="108" t="s">
        <v>842</v>
      </c>
      <c r="Z54" s="111">
        <v>25268</v>
      </c>
      <c r="AA54" s="108">
        <f t="shared" ca="1" si="3"/>
        <v>54</v>
      </c>
      <c r="AB54" s="113" t="s">
        <v>3515</v>
      </c>
      <c r="AC54" s="113" t="s">
        <v>3516</v>
      </c>
      <c r="AD54" s="141" t="s">
        <v>3517</v>
      </c>
      <c r="AE54" s="147"/>
      <c r="AF54" s="108" t="s">
        <v>3518</v>
      </c>
      <c r="AG54" s="131" t="s">
        <v>3519</v>
      </c>
      <c r="AH54" s="115" t="s">
        <v>3520</v>
      </c>
      <c r="AI54" s="108" t="s">
        <v>189</v>
      </c>
      <c r="AJ54" s="108" t="s">
        <v>3521</v>
      </c>
      <c r="AK54" s="147"/>
      <c r="AL54" s="147"/>
      <c r="AM54" s="147"/>
      <c r="AN54" s="147"/>
      <c r="AO54" s="147"/>
      <c r="AP54" s="147"/>
      <c r="AQ54" s="147"/>
      <c r="AR54" s="147"/>
      <c r="AS54" s="108">
        <v>2</v>
      </c>
      <c r="AT54" s="108" t="s">
        <v>330</v>
      </c>
      <c r="AU54" s="113">
        <v>382991768621000</v>
      </c>
      <c r="AV54" s="108" t="s">
        <v>74</v>
      </c>
      <c r="AW54" s="108" t="s">
        <v>11</v>
      </c>
      <c r="AX54" s="108" t="s">
        <v>671</v>
      </c>
      <c r="AY54" s="108" t="s">
        <v>3522</v>
      </c>
      <c r="AZ54" s="108"/>
      <c r="BA54" s="108" t="s">
        <v>11</v>
      </c>
      <c r="BB54" s="108" t="s">
        <v>671</v>
      </c>
      <c r="BC54" s="108" t="s">
        <v>3522</v>
      </c>
      <c r="BD54" s="108"/>
      <c r="BE54" s="147"/>
      <c r="BF54" s="108"/>
      <c r="BG54" s="108"/>
      <c r="BH54" s="147"/>
      <c r="BI54" s="147"/>
      <c r="BJ54" s="111">
        <v>44322</v>
      </c>
      <c r="BK54" s="108"/>
      <c r="BL54" s="108"/>
      <c r="BM54" s="108"/>
      <c r="BN54" s="149"/>
      <c r="BO54" s="149"/>
      <c r="BP54" s="108"/>
      <c r="BQ54" s="108"/>
      <c r="BR54" s="149"/>
      <c r="BS54" s="149"/>
      <c r="BT54" s="108"/>
      <c r="BU54" s="108"/>
      <c r="BV54" s="111"/>
      <c r="BW54" s="111"/>
      <c r="BX54" s="108"/>
      <c r="BY54" s="111">
        <v>44926</v>
      </c>
      <c r="BZ54" s="108" t="s">
        <v>3413</v>
      </c>
      <c r="CA54" s="147" t="s">
        <v>2496</v>
      </c>
      <c r="CB54" s="147" t="e">
        <f>VLOOKUP(C54,[1]Sertifikasi!$B$4:$I$19,8,0)</f>
        <v>#N/A</v>
      </c>
    </row>
    <row r="55" spans="1:80" ht="11.25" customHeight="1">
      <c r="A55" s="147"/>
      <c r="B55" s="108">
        <v>52</v>
      </c>
      <c r="C55" s="108" t="s">
        <v>3523</v>
      </c>
      <c r="D55" s="109">
        <v>641907260</v>
      </c>
      <c r="E55" s="113">
        <v>1710005658300</v>
      </c>
      <c r="F55" s="131"/>
      <c r="G55" s="108" t="s">
        <v>259</v>
      </c>
      <c r="H55" s="108" t="s">
        <v>259</v>
      </c>
      <c r="I55" s="111">
        <v>43647</v>
      </c>
      <c r="J55" s="113">
        <f t="shared" si="0"/>
        <v>3</v>
      </c>
      <c r="K55" s="108">
        <f t="shared" si="1"/>
        <v>5</v>
      </c>
      <c r="L55" s="108" t="str">
        <f t="shared" si="2"/>
        <v>PKWT</v>
      </c>
      <c r="M55" s="108"/>
      <c r="N55" s="111">
        <v>44926</v>
      </c>
      <c r="O55" s="147"/>
      <c r="P55" s="108" t="s">
        <v>213</v>
      </c>
      <c r="Q55" s="147" t="s">
        <v>259</v>
      </c>
      <c r="R55" s="108"/>
      <c r="S55" s="108"/>
      <c r="T55" s="108"/>
      <c r="U55" s="108"/>
      <c r="V55" s="108"/>
      <c r="W55" s="162"/>
      <c r="X55" s="162" t="s">
        <v>59</v>
      </c>
      <c r="Y55" s="108" t="s">
        <v>3524</v>
      </c>
      <c r="Z55" s="111">
        <v>33978</v>
      </c>
      <c r="AA55" s="108">
        <f t="shared" ca="1" si="3"/>
        <v>30</v>
      </c>
      <c r="AB55" s="108" t="s">
        <v>3525</v>
      </c>
      <c r="AC55" s="108" t="s">
        <v>3526</v>
      </c>
      <c r="AD55" s="109" t="s">
        <v>3527</v>
      </c>
      <c r="AE55" s="147"/>
      <c r="AF55" s="147" t="s">
        <v>3528</v>
      </c>
      <c r="AG55" s="109" t="s">
        <v>3529</v>
      </c>
      <c r="AH55" s="109">
        <v>19047644091</v>
      </c>
      <c r="AI55" s="108" t="s">
        <v>255</v>
      </c>
      <c r="AJ55" s="147"/>
      <c r="AK55" s="147"/>
      <c r="AL55" s="147"/>
      <c r="AM55" s="108"/>
      <c r="AN55" s="147"/>
      <c r="AO55" s="147"/>
      <c r="AP55" s="147"/>
      <c r="AQ55" s="147"/>
      <c r="AR55" s="147"/>
      <c r="AS55" s="147"/>
      <c r="AT55" s="108" t="s">
        <v>304</v>
      </c>
      <c r="AU55" s="147"/>
      <c r="AV55" s="147" t="s">
        <v>74</v>
      </c>
      <c r="AW55" s="108" t="s">
        <v>13</v>
      </c>
      <c r="AX55" s="108" t="s">
        <v>3530</v>
      </c>
      <c r="AY55" s="108" t="s">
        <v>3531</v>
      </c>
      <c r="AZ55" s="108"/>
      <c r="BA55" s="108" t="s">
        <v>13</v>
      </c>
      <c r="BB55" s="108" t="s">
        <v>3530</v>
      </c>
      <c r="BC55" s="108" t="s">
        <v>3531</v>
      </c>
      <c r="BD55" s="108"/>
      <c r="BE55" s="108"/>
      <c r="BF55" s="147"/>
      <c r="BG55" s="147"/>
      <c r="BH55" s="108">
        <v>31</v>
      </c>
      <c r="BI55" s="108">
        <v>41</v>
      </c>
      <c r="BJ55" s="147"/>
      <c r="BK55" s="147"/>
      <c r="BL55" s="108"/>
      <c r="BM55" s="108"/>
      <c r="BN55" s="149"/>
      <c r="BO55" s="149"/>
      <c r="BP55" s="108"/>
      <c r="BQ55" s="108"/>
      <c r="BR55" s="149"/>
      <c r="BS55" s="149"/>
      <c r="BT55" s="108"/>
      <c r="BU55" s="108"/>
      <c r="BV55" s="111"/>
      <c r="BW55" s="111"/>
      <c r="BX55" s="108"/>
      <c r="BY55" s="111">
        <v>44926</v>
      </c>
      <c r="BZ55" s="108" t="s">
        <v>3138</v>
      </c>
      <c r="CA55" s="147"/>
      <c r="CB55" s="147" t="e">
        <f>VLOOKUP(C55,[1]Sertifikasi!$B$4:$I$19,8,0)</f>
        <v>#N/A</v>
      </c>
    </row>
    <row r="56" spans="1:80" ht="11.25" customHeight="1">
      <c r="A56" s="147"/>
      <c r="B56" s="108">
        <v>53</v>
      </c>
      <c r="C56" s="108" t="s">
        <v>3532</v>
      </c>
      <c r="D56" s="109">
        <v>642001054</v>
      </c>
      <c r="E56" s="113">
        <v>1710003987073</v>
      </c>
      <c r="F56" s="131"/>
      <c r="G56" s="108" t="s">
        <v>71</v>
      </c>
      <c r="H56" s="108" t="s">
        <v>71</v>
      </c>
      <c r="I56" s="111">
        <v>42522</v>
      </c>
      <c r="J56" s="113">
        <f t="shared" si="0"/>
        <v>6</v>
      </c>
      <c r="K56" s="108">
        <f t="shared" si="1"/>
        <v>6</v>
      </c>
      <c r="L56" s="108" t="str">
        <f t="shared" si="2"/>
        <v>PKWT</v>
      </c>
      <c r="M56" s="108"/>
      <c r="N56" s="111">
        <v>44926</v>
      </c>
      <c r="O56" s="147"/>
      <c r="P56" s="108" t="s">
        <v>213</v>
      </c>
      <c r="Q56" s="147" t="s">
        <v>71</v>
      </c>
      <c r="R56" s="108"/>
      <c r="S56" s="108"/>
      <c r="T56" s="108"/>
      <c r="U56" s="108"/>
      <c r="V56" s="108"/>
      <c r="W56" s="162"/>
      <c r="X56" s="162" t="s">
        <v>59</v>
      </c>
      <c r="Y56" s="108" t="s">
        <v>71</v>
      </c>
      <c r="Z56" s="111">
        <v>27634</v>
      </c>
      <c r="AA56" s="108">
        <f t="shared" ca="1" si="3"/>
        <v>48</v>
      </c>
      <c r="AB56" s="108" t="s">
        <v>3533</v>
      </c>
      <c r="AC56" s="108" t="s">
        <v>3534</v>
      </c>
      <c r="AD56" s="109" t="s">
        <v>3535</v>
      </c>
      <c r="AE56" s="147"/>
      <c r="AF56" s="115" t="s">
        <v>3536</v>
      </c>
      <c r="AG56" s="109" t="s">
        <v>2917</v>
      </c>
      <c r="AH56" s="109">
        <v>16040373587</v>
      </c>
      <c r="AI56" s="108" t="s">
        <v>189</v>
      </c>
      <c r="AJ56" s="147"/>
      <c r="AK56" s="147"/>
      <c r="AL56" s="147"/>
      <c r="AM56" s="108"/>
      <c r="AN56" s="147"/>
      <c r="AO56" s="147"/>
      <c r="AP56" s="147"/>
      <c r="AQ56" s="147"/>
      <c r="AR56" s="147"/>
      <c r="AS56" s="147"/>
      <c r="AT56" s="108"/>
      <c r="AU56" s="147"/>
      <c r="AV56" s="147" t="s">
        <v>74</v>
      </c>
      <c r="AW56" s="108" t="s">
        <v>16</v>
      </c>
      <c r="AX56" s="108" t="s">
        <v>226</v>
      </c>
      <c r="AY56" s="108" t="s">
        <v>3537</v>
      </c>
      <c r="AZ56" s="108"/>
      <c r="BA56" s="108" t="s">
        <v>16</v>
      </c>
      <c r="BB56" s="108" t="s">
        <v>226</v>
      </c>
      <c r="BC56" s="108" t="s">
        <v>3537</v>
      </c>
      <c r="BD56" s="108"/>
      <c r="BE56" s="108"/>
      <c r="BF56" s="147"/>
      <c r="BG56" s="147"/>
      <c r="BH56" s="108">
        <v>36</v>
      </c>
      <c r="BI56" s="108">
        <v>41</v>
      </c>
      <c r="BJ56" s="147"/>
      <c r="BK56" s="147"/>
      <c r="BL56" s="108"/>
      <c r="BM56" s="147"/>
      <c r="BN56" s="149">
        <v>43467</v>
      </c>
      <c r="BO56" s="149">
        <v>43830</v>
      </c>
      <c r="BP56" s="108" t="s">
        <v>3538</v>
      </c>
      <c r="BQ56" s="108" t="e">
        <f>"PKWT-"&amp;#REF!&amp;"/D1/2020"</f>
        <v>#REF!</v>
      </c>
      <c r="BR56" s="149"/>
      <c r="BS56" s="149"/>
      <c r="BT56" s="108"/>
      <c r="BU56" s="108"/>
      <c r="BV56" s="111"/>
      <c r="BW56" s="111"/>
      <c r="BX56" s="108"/>
      <c r="BY56" s="111">
        <v>44926</v>
      </c>
      <c r="BZ56" s="108" t="s">
        <v>3138</v>
      </c>
      <c r="CA56" s="147"/>
      <c r="CB56" s="147" t="e">
        <f>VLOOKUP(C56,[1]Sertifikasi!$B$4:$I$19,8,0)</f>
        <v>#N/A</v>
      </c>
    </row>
    <row r="57" spans="1:80" ht="11.25" customHeight="1">
      <c r="A57" s="147"/>
      <c r="B57" s="108">
        <v>54</v>
      </c>
      <c r="C57" s="108" t="s">
        <v>3539</v>
      </c>
      <c r="D57" s="109">
        <v>642201125</v>
      </c>
      <c r="E57" s="113">
        <v>1710007739470</v>
      </c>
      <c r="F57" s="131"/>
      <c r="G57" s="113" t="s">
        <v>71</v>
      </c>
      <c r="H57" s="108" t="s">
        <v>71</v>
      </c>
      <c r="I57" s="132">
        <v>44565</v>
      </c>
      <c r="J57" s="113">
        <f t="shared" si="0"/>
        <v>0</v>
      </c>
      <c r="K57" s="108">
        <f t="shared" si="1"/>
        <v>11</v>
      </c>
      <c r="L57" s="108" t="str">
        <f t="shared" si="2"/>
        <v>PKWT</v>
      </c>
      <c r="M57" s="147"/>
      <c r="N57" s="116">
        <v>44929</v>
      </c>
      <c r="O57" s="147"/>
      <c r="P57" s="108" t="s">
        <v>261</v>
      </c>
      <c r="Q57" s="108" t="s">
        <v>197</v>
      </c>
      <c r="R57" s="108" t="s">
        <v>2281</v>
      </c>
      <c r="S57" s="108"/>
      <c r="T57" s="108" t="s">
        <v>362</v>
      </c>
      <c r="U57" s="108" t="s">
        <v>180</v>
      </c>
      <c r="V57" s="108"/>
      <c r="W57" s="108"/>
      <c r="X57" s="108" t="s">
        <v>60</v>
      </c>
      <c r="Y57" s="108" t="s">
        <v>71</v>
      </c>
      <c r="Z57" s="111">
        <v>36593</v>
      </c>
      <c r="AA57" s="108">
        <f t="shared" ca="1" si="3"/>
        <v>23</v>
      </c>
      <c r="AB57" s="108" t="s">
        <v>3540</v>
      </c>
      <c r="AC57" s="108" t="s">
        <v>3541</v>
      </c>
      <c r="AD57" s="108" t="s">
        <v>3542</v>
      </c>
      <c r="AE57" s="147"/>
      <c r="AF57" s="108" t="s">
        <v>3543</v>
      </c>
      <c r="AG57" s="108" t="s">
        <v>2917</v>
      </c>
      <c r="AH57" s="108"/>
      <c r="AI57" s="108" t="s">
        <v>255</v>
      </c>
      <c r="AJ57" s="147"/>
      <c r="AK57" s="147"/>
      <c r="AL57" s="147"/>
      <c r="AM57" s="108"/>
      <c r="AN57" s="147"/>
      <c r="AO57" s="147"/>
      <c r="AP57" s="147"/>
      <c r="AQ57" s="147"/>
      <c r="AR57" s="147"/>
      <c r="AS57" s="147"/>
      <c r="AT57" s="108" t="s">
        <v>304</v>
      </c>
      <c r="AU57" s="147"/>
      <c r="AV57" s="147" t="s">
        <v>74</v>
      </c>
      <c r="AW57" s="108" t="s">
        <v>391</v>
      </c>
      <c r="AX57" s="108" t="s">
        <v>450</v>
      </c>
      <c r="AY57" s="108" t="s">
        <v>3544</v>
      </c>
      <c r="AZ57" s="108"/>
      <c r="BA57" s="108" t="s">
        <v>391</v>
      </c>
      <c r="BB57" s="108" t="s">
        <v>450</v>
      </c>
      <c r="BC57" s="108" t="s">
        <v>3544</v>
      </c>
      <c r="BD57" s="108"/>
      <c r="BE57" s="147"/>
      <c r="BF57" s="109"/>
      <c r="BG57" s="109"/>
      <c r="BH57" s="147"/>
      <c r="BI57" s="111"/>
      <c r="BJ57" s="111"/>
      <c r="BK57" s="108"/>
      <c r="BL57" s="108"/>
      <c r="BM57" s="108"/>
      <c r="BN57" s="149"/>
      <c r="BO57" s="149"/>
      <c r="BP57" s="108"/>
      <c r="BQ57" s="108"/>
      <c r="BR57" s="149"/>
      <c r="BS57" s="149"/>
      <c r="BT57" s="108"/>
      <c r="BU57" s="108"/>
      <c r="BV57" s="111"/>
      <c r="BW57" s="111"/>
      <c r="BX57" s="108"/>
      <c r="BY57" s="111">
        <v>44926</v>
      </c>
      <c r="BZ57" s="108" t="s">
        <v>3138</v>
      </c>
      <c r="CA57" s="147"/>
      <c r="CB57" s="147" t="e">
        <f>VLOOKUP(C57,[1]Sertifikasi!$B$4:$I$19,8,0)</f>
        <v>#N/A</v>
      </c>
    </row>
    <row r="58" spans="1:80" ht="11.25" customHeight="1">
      <c r="A58" s="147"/>
      <c r="B58" s="108">
        <v>55</v>
      </c>
      <c r="C58" s="108" t="s">
        <v>3545</v>
      </c>
      <c r="D58" s="109">
        <v>999400099</v>
      </c>
      <c r="E58" s="113">
        <v>1440001093282</v>
      </c>
      <c r="F58" s="131"/>
      <c r="G58" s="113" t="s">
        <v>33</v>
      </c>
      <c r="H58" s="108" t="s">
        <v>71</v>
      </c>
      <c r="I58" s="132">
        <v>43332</v>
      </c>
      <c r="J58" s="113">
        <f t="shared" si="0"/>
        <v>4</v>
      </c>
      <c r="K58" s="108">
        <f t="shared" si="1"/>
        <v>5</v>
      </c>
      <c r="L58" s="108" t="str">
        <f t="shared" si="2"/>
        <v>Organik</v>
      </c>
      <c r="M58" s="108" t="s">
        <v>2111</v>
      </c>
      <c r="N58" s="116">
        <v>34608</v>
      </c>
      <c r="O58" s="108" t="s">
        <v>2112</v>
      </c>
      <c r="P58" s="108" t="s">
        <v>5</v>
      </c>
      <c r="Q58" s="147" t="s">
        <v>197</v>
      </c>
      <c r="R58" s="108"/>
      <c r="S58" s="108" t="s">
        <v>3159</v>
      </c>
      <c r="T58" s="108" t="s">
        <v>199</v>
      </c>
      <c r="U58" s="108" t="s">
        <v>180</v>
      </c>
      <c r="V58" s="147"/>
      <c r="W58" s="108"/>
      <c r="X58" s="108" t="s">
        <v>59</v>
      </c>
      <c r="Y58" s="108" t="s">
        <v>71</v>
      </c>
      <c r="Z58" s="111">
        <v>24852</v>
      </c>
      <c r="AA58" s="108">
        <f t="shared" ca="1" si="3"/>
        <v>55</v>
      </c>
      <c r="AB58" s="108" t="s">
        <v>3546</v>
      </c>
      <c r="AC58" s="108" t="s">
        <v>3547</v>
      </c>
      <c r="AD58" s="108" t="s">
        <v>3548</v>
      </c>
      <c r="AE58" s="147"/>
      <c r="AF58" s="108" t="s">
        <v>3549</v>
      </c>
      <c r="AG58" s="114" t="s">
        <v>3550</v>
      </c>
      <c r="AH58" s="115" t="s">
        <v>3551</v>
      </c>
      <c r="AI58" s="108" t="s">
        <v>189</v>
      </c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08" t="s">
        <v>343</v>
      </c>
      <c r="AU58" s="113">
        <v>382988905621000</v>
      </c>
      <c r="AV58" s="113" t="s">
        <v>74</v>
      </c>
      <c r="AW58" s="108" t="s">
        <v>12</v>
      </c>
      <c r="AX58" s="108" t="s">
        <v>210</v>
      </c>
      <c r="AY58" s="108" t="s">
        <v>3552</v>
      </c>
      <c r="AZ58" s="108"/>
      <c r="BA58" s="108" t="s">
        <v>12</v>
      </c>
      <c r="BB58" s="108" t="s">
        <v>210</v>
      </c>
      <c r="BC58" s="108" t="s">
        <v>3552</v>
      </c>
      <c r="BD58" s="108"/>
      <c r="BE58" s="111">
        <v>44294</v>
      </c>
      <c r="BF58" s="111">
        <v>44322</v>
      </c>
      <c r="BG58" s="108"/>
      <c r="BH58" s="147"/>
      <c r="BI58" s="147"/>
      <c r="BJ58" s="147"/>
      <c r="BK58" s="150"/>
      <c r="BL58" s="108"/>
      <c r="BM58" s="108"/>
      <c r="BN58" s="149"/>
      <c r="BO58" s="149"/>
      <c r="BP58" s="108"/>
      <c r="BQ58" s="108"/>
      <c r="BR58" s="149"/>
      <c r="BS58" s="149"/>
      <c r="BT58" s="108"/>
      <c r="BU58" s="108"/>
      <c r="BV58" s="111"/>
      <c r="BW58" s="111"/>
      <c r="BX58" s="108"/>
      <c r="BY58" s="111">
        <v>44957</v>
      </c>
      <c r="BZ58" s="108" t="s">
        <v>3241</v>
      </c>
      <c r="CA58" s="147"/>
      <c r="CB58" s="147" t="e">
        <f>VLOOKUP(C58,[1]Sertifikasi!$B$4:$I$19,8,0)</f>
        <v>#N/A</v>
      </c>
    </row>
    <row r="59" spans="1:80" ht="11.25" customHeight="1">
      <c r="A59" s="147"/>
      <c r="B59" s="108">
        <v>56</v>
      </c>
      <c r="C59" s="108" t="s">
        <v>3553</v>
      </c>
      <c r="D59" s="109">
        <v>991000007</v>
      </c>
      <c r="E59" s="113">
        <v>1440010312871</v>
      </c>
      <c r="F59" s="131"/>
      <c r="G59" s="113" t="s">
        <v>33</v>
      </c>
      <c r="H59" s="108" t="s">
        <v>71</v>
      </c>
      <c r="I59" s="132">
        <v>43987</v>
      </c>
      <c r="J59" s="113">
        <f t="shared" si="0"/>
        <v>2</v>
      </c>
      <c r="K59" s="108">
        <f t="shared" si="1"/>
        <v>8</v>
      </c>
      <c r="L59" s="108" t="str">
        <f t="shared" si="2"/>
        <v>Organik</v>
      </c>
      <c r="M59" s="108" t="s">
        <v>2120</v>
      </c>
      <c r="N59" s="116">
        <v>40210</v>
      </c>
      <c r="O59" s="108" t="s">
        <v>2121</v>
      </c>
      <c r="P59" s="108" t="s">
        <v>4</v>
      </c>
      <c r="Q59" s="147" t="s">
        <v>197</v>
      </c>
      <c r="R59" s="108"/>
      <c r="S59" s="108" t="s">
        <v>197</v>
      </c>
      <c r="T59" s="108" t="s">
        <v>362</v>
      </c>
      <c r="U59" s="108" t="s">
        <v>180</v>
      </c>
      <c r="V59" s="147"/>
      <c r="W59" s="108"/>
      <c r="X59" s="108" t="s">
        <v>59</v>
      </c>
      <c r="Y59" s="108" t="s">
        <v>2253</v>
      </c>
      <c r="Z59" s="111">
        <v>30700</v>
      </c>
      <c r="AA59" s="108">
        <f t="shared" ca="1" si="3"/>
        <v>39</v>
      </c>
      <c r="AB59" s="108" t="s">
        <v>3554</v>
      </c>
      <c r="AC59" s="108" t="s">
        <v>3555</v>
      </c>
      <c r="AD59" s="108" t="s">
        <v>3556</v>
      </c>
      <c r="AE59" s="147"/>
      <c r="AF59" s="108" t="s">
        <v>3557</v>
      </c>
      <c r="AG59" s="142" t="s">
        <v>3558</v>
      </c>
      <c r="AH59" s="115">
        <v>8025075469</v>
      </c>
      <c r="AI59" s="108" t="s">
        <v>189</v>
      </c>
      <c r="AJ59" s="108" t="s">
        <v>3559</v>
      </c>
      <c r="AK59" s="108" t="s">
        <v>3560</v>
      </c>
      <c r="AL59" s="108" t="s">
        <v>3561</v>
      </c>
      <c r="AM59" s="108" t="s">
        <v>3562</v>
      </c>
      <c r="AN59" s="147"/>
      <c r="AO59" s="147"/>
      <c r="AP59" s="147"/>
      <c r="AQ59" s="147"/>
      <c r="AR59" s="147"/>
      <c r="AS59" s="147" t="str">
        <f t="shared" ref="AS59:AS60" ca="1" si="6">COUNTA(AK59:AU59)</f>
        <v>#REF!</v>
      </c>
      <c r="AT59" s="108" t="str">
        <f t="shared" ref="AT59:AT61" ca="1" si="7">IF(AI59="Menikah","K","TK")&amp;"/"&amp;AS59</f>
        <v>#REF!</v>
      </c>
      <c r="AU59" s="113" t="s">
        <v>3563</v>
      </c>
      <c r="AV59" s="113" t="s">
        <v>74</v>
      </c>
      <c r="AW59" s="108" t="s">
        <v>12</v>
      </c>
      <c r="AX59" s="108" t="s">
        <v>210</v>
      </c>
      <c r="AY59" s="108" t="s">
        <v>193</v>
      </c>
      <c r="AZ59" s="108"/>
      <c r="BA59" s="108" t="s">
        <v>12</v>
      </c>
      <c r="BB59" s="108" t="s">
        <v>210</v>
      </c>
      <c r="BC59" s="108" t="s">
        <v>193</v>
      </c>
      <c r="BD59" s="108"/>
      <c r="BE59" s="116">
        <v>50802</v>
      </c>
      <c r="BF59" s="167">
        <v>51167</v>
      </c>
      <c r="BG59" s="147"/>
      <c r="BH59" s="147"/>
      <c r="BI59" s="147"/>
      <c r="BJ59" s="111">
        <v>44294</v>
      </c>
      <c r="BK59" s="111">
        <v>44322</v>
      </c>
      <c r="BL59" s="150">
        <v>44585</v>
      </c>
      <c r="BM59" s="147"/>
      <c r="BN59" s="166"/>
      <c r="BO59" s="166"/>
      <c r="BP59" s="150"/>
      <c r="BQ59" s="147"/>
      <c r="BR59" s="166"/>
      <c r="BS59" s="166"/>
      <c r="BT59" s="147"/>
      <c r="BU59" s="147"/>
      <c r="BV59" s="150"/>
      <c r="BW59" s="150"/>
      <c r="BX59" s="147"/>
      <c r="BY59" s="111">
        <v>44971</v>
      </c>
      <c r="BZ59" s="147" t="s">
        <v>3413</v>
      </c>
      <c r="CA59" s="147" t="s">
        <v>3564</v>
      </c>
      <c r="CB59" s="147" t="e">
        <f>VLOOKUP(C59,[1]Sertifikasi!$B$4:$I$19,8,0)</f>
        <v>#N/A</v>
      </c>
    </row>
    <row r="60" spans="1:80" ht="11.25" customHeight="1">
      <c r="A60" s="147"/>
      <c r="B60" s="108">
        <v>57</v>
      </c>
      <c r="C60" s="108" t="s">
        <v>3565</v>
      </c>
      <c r="D60" s="109">
        <v>991000008</v>
      </c>
      <c r="E60" s="113">
        <v>1440010312897</v>
      </c>
      <c r="F60" s="131"/>
      <c r="G60" s="113" t="s">
        <v>33</v>
      </c>
      <c r="H60" s="108" t="s">
        <v>71</v>
      </c>
      <c r="I60" s="132">
        <v>43987</v>
      </c>
      <c r="J60" s="113">
        <f t="shared" si="0"/>
        <v>2</v>
      </c>
      <c r="K60" s="108">
        <f t="shared" si="1"/>
        <v>10</v>
      </c>
      <c r="L60" s="108" t="str">
        <f t="shared" si="2"/>
        <v>Organik</v>
      </c>
      <c r="M60" s="108" t="s">
        <v>2120</v>
      </c>
      <c r="N60" s="116">
        <v>40210</v>
      </c>
      <c r="O60" s="108" t="s">
        <v>2121</v>
      </c>
      <c r="P60" s="108" t="s">
        <v>4</v>
      </c>
      <c r="Q60" s="147" t="s">
        <v>197</v>
      </c>
      <c r="R60" s="108"/>
      <c r="S60" s="108"/>
      <c r="T60" s="108" t="s">
        <v>785</v>
      </c>
      <c r="U60" s="108" t="s">
        <v>662</v>
      </c>
      <c r="V60" s="147"/>
      <c r="W60" s="108"/>
      <c r="X60" s="108" t="s">
        <v>60</v>
      </c>
      <c r="Y60" s="108" t="s">
        <v>842</v>
      </c>
      <c r="Z60" s="111">
        <v>32376</v>
      </c>
      <c r="AA60" s="108">
        <f t="shared" ca="1" si="3"/>
        <v>35</v>
      </c>
      <c r="AB60" s="108" t="s">
        <v>3566</v>
      </c>
      <c r="AC60" s="108" t="s">
        <v>3567</v>
      </c>
      <c r="AD60" s="108" t="s">
        <v>3568</v>
      </c>
      <c r="AE60" s="147"/>
      <c r="AF60" s="108" t="s">
        <v>3569</v>
      </c>
      <c r="AG60" s="142" t="s">
        <v>3570</v>
      </c>
      <c r="AH60" s="115">
        <v>9025984205</v>
      </c>
      <c r="AI60" s="108" t="s">
        <v>189</v>
      </c>
      <c r="AJ60" s="108" t="s">
        <v>3571</v>
      </c>
      <c r="AK60" s="108"/>
      <c r="AL60" s="108" t="s">
        <v>3572</v>
      </c>
      <c r="AM60" s="108"/>
      <c r="AN60" s="147"/>
      <c r="AO60" s="147"/>
      <c r="AP60" s="147"/>
      <c r="AQ60" s="147"/>
      <c r="AR60" s="147"/>
      <c r="AS60" s="147" t="str">
        <f t="shared" ca="1" si="6"/>
        <v>#REF!</v>
      </c>
      <c r="AT60" s="108" t="str">
        <f t="shared" ca="1" si="7"/>
        <v>#REF!</v>
      </c>
      <c r="AU60" s="113" t="s">
        <v>3573</v>
      </c>
      <c r="AV60" s="113" t="s">
        <v>74</v>
      </c>
      <c r="AW60" s="108" t="s">
        <v>12</v>
      </c>
      <c r="AX60" s="108" t="s">
        <v>793</v>
      </c>
      <c r="AY60" s="108" t="s">
        <v>3479</v>
      </c>
      <c r="AZ60" s="108"/>
      <c r="BA60" s="108" t="s">
        <v>11</v>
      </c>
      <c r="BB60" s="108" t="s">
        <v>3574</v>
      </c>
      <c r="BC60" s="108" t="s">
        <v>3479</v>
      </c>
      <c r="BD60" s="108"/>
      <c r="BE60" s="116">
        <v>52475</v>
      </c>
      <c r="BF60" s="167">
        <v>15493</v>
      </c>
      <c r="BG60" s="147"/>
      <c r="BH60" s="147"/>
      <c r="BI60" s="147"/>
      <c r="BJ60" s="111">
        <v>44294</v>
      </c>
      <c r="BK60" s="111">
        <v>44322</v>
      </c>
      <c r="BL60" s="150">
        <v>44583</v>
      </c>
      <c r="BM60" s="147"/>
      <c r="BN60" s="166"/>
      <c r="BO60" s="166"/>
      <c r="BP60" s="150"/>
      <c r="BQ60" s="147"/>
      <c r="BR60" s="166"/>
      <c r="BS60" s="166"/>
      <c r="BT60" s="147"/>
      <c r="BU60" s="147"/>
      <c r="BV60" s="150"/>
      <c r="BW60" s="150"/>
      <c r="BX60" s="147"/>
      <c r="BY60" s="111">
        <v>45021</v>
      </c>
      <c r="BZ60" s="147" t="s">
        <v>3413</v>
      </c>
      <c r="CA60" s="147"/>
      <c r="CB60" s="147" t="e">
        <f>VLOOKUP(C60,[1]Sertifikasi!$B$4:$I$19,8,0)</f>
        <v>#N/A</v>
      </c>
    </row>
    <row r="61" spans="1:80" ht="11.25" customHeight="1">
      <c r="A61" s="147"/>
      <c r="B61" s="108">
        <v>58</v>
      </c>
      <c r="C61" s="108" t="s">
        <v>3575</v>
      </c>
      <c r="D61" s="109">
        <v>642006088</v>
      </c>
      <c r="E61" s="164" t="s">
        <v>3576</v>
      </c>
      <c r="F61" s="115"/>
      <c r="G61" s="113" t="s">
        <v>259</v>
      </c>
      <c r="H61" s="108" t="s">
        <v>259</v>
      </c>
      <c r="I61" s="132">
        <v>43984</v>
      </c>
      <c r="J61" s="113">
        <f t="shared" si="0"/>
        <v>2</v>
      </c>
      <c r="K61" s="108">
        <f t="shared" si="1"/>
        <v>11</v>
      </c>
      <c r="L61" s="108" t="str">
        <f t="shared" si="2"/>
        <v>PKWT</v>
      </c>
      <c r="M61" s="108" t="s">
        <v>3577</v>
      </c>
      <c r="N61" s="116">
        <v>45078</v>
      </c>
      <c r="O61" s="111"/>
      <c r="P61" s="108" t="s">
        <v>261</v>
      </c>
      <c r="Q61" s="147" t="s">
        <v>259</v>
      </c>
      <c r="R61" s="108"/>
      <c r="S61" s="108" t="s">
        <v>674</v>
      </c>
      <c r="T61" s="108" t="s">
        <v>674</v>
      </c>
      <c r="U61" s="108" t="s">
        <v>180</v>
      </c>
      <c r="V61" s="147"/>
      <c r="W61" s="108"/>
      <c r="X61" s="108" t="s">
        <v>59</v>
      </c>
      <c r="Y61" s="108" t="s">
        <v>259</v>
      </c>
      <c r="Z61" s="111">
        <v>27522</v>
      </c>
      <c r="AA61" s="108">
        <f t="shared" ca="1" si="3"/>
        <v>48</v>
      </c>
      <c r="AB61" s="141" t="s">
        <v>3578</v>
      </c>
      <c r="AC61" s="108" t="s">
        <v>3579</v>
      </c>
      <c r="AD61" s="108" t="s">
        <v>3580</v>
      </c>
      <c r="AE61" s="147"/>
      <c r="AF61" s="108" t="s">
        <v>3581</v>
      </c>
      <c r="AG61" s="142" t="s">
        <v>3582</v>
      </c>
      <c r="AH61" s="131" t="s">
        <v>3583</v>
      </c>
      <c r="AI61" s="108" t="s">
        <v>189</v>
      </c>
      <c r="AJ61" s="147"/>
      <c r="AK61" s="108"/>
      <c r="AL61" s="108"/>
      <c r="AM61" s="108"/>
      <c r="AN61" s="108"/>
      <c r="AO61" s="108"/>
      <c r="AP61" s="108"/>
      <c r="AQ61" s="108"/>
      <c r="AR61" s="108"/>
      <c r="AS61" s="147" t="str">
        <f ca="1">COUNTA(AL61:AU61)</f>
        <v>#REF!</v>
      </c>
      <c r="AT61" s="108" t="str">
        <f t="shared" ca="1" si="7"/>
        <v>#REF!</v>
      </c>
      <c r="AU61" s="147"/>
      <c r="AV61" s="113" t="s">
        <v>74</v>
      </c>
      <c r="AW61" s="108" t="s">
        <v>12</v>
      </c>
      <c r="AX61" s="108" t="s">
        <v>3584</v>
      </c>
      <c r="AY61" s="108" t="s">
        <v>3585</v>
      </c>
      <c r="AZ61" s="108"/>
      <c r="BA61" s="108" t="s">
        <v>12</v>
      </c>
      <c r="BB61" s="108" t="s">
        <v>3584</v>
      </c>
      <c r="BC61" s="108" t="s">
        <v>3585</v>
      </c>
      <c r="BD61" s="108"/>
      <c r="BE61" s="147"/>
      <c r="BF61" s="147"/>
      <c r="BG61" s="147"/>
      <c r="BH61" s="108" t="s">
        <v>228</v>
      </c>
      <c r="BI61" s="108" t="s">
        <v>228</v>
      </c>
      <c r="BJ61" s="109"/>
      <c r="BK61" s="147"/>
      <c r="BL61" s="147"/>
      <c r="BM61" s="111"/>
      <c r="BN61" s="149"/>
      <c r="BO61" s="166"/>
      <c r="BP61" s="108"/>
      <c r="BQ61" s="108"/>
      <c r="BR61" s="149"/>
      <c r="BS61" s="149"/>
      <c r="BT61" s="108"/>
      <c r="BU61" s="108"/>
      <c r="BV61" s="111"/>
      <c r="BW61" s="111"/>
      <c r="BX61" s="108"/>
      <c r="BY61" s="111">
        <v>45051</v>
      </c>
      <c r="BZ61" s="108" t="s">
        <v>3129</v>
      </c>
      <c r="CA61" s="147" t="s">
        <v>3586</v>
      </c>
      <c r="CB61" s="147" t="e">
        <f>VLOOKUP(C61,[1]Sertifikasi!$B$4:$I$19,8,0)</f>
        <v>#N/A</v>
      </c>
    </row>
    <row r="62" spans="1:80" ht="11.25" customHeight="1">
      <c r="A62" s="147"/>
      <c r="B62" s="108">
        <v>59</v>
      </c>
      <c r="C62" s="108" t="s">
        <v>3587</v>
      </c>
      <c r="D62" s="109">
        <v>642107111</v>
      </c>
      <c r="E62" s="113" t="s">
        <v>3588</v>
      </c>
      <c r="F62" s="131"/>
      <c r="G62" s="108" t="s">
        <v>259</v>
      </c>
      <c r="H62" s="108" t="s">
        <v>259</v>
      </c>
      <c r="I62" s="116" t="s">
        <v>3589</v>
      </c>
      <c r="J62" s="113">
        <f t="shared" si="0"/>
        <v>1</v>
      </c>
      <c r="K62" s="108">
        <f t="shared" si="1"/>
        <v>8</v>
      </c>
      <c r="L62" s="108" t="str">
        <f t="shared" si="2"/>
        <v>PKWT</v>
      </c>
      <c r="M62" s="108"/>
      <c r="N62" s="111">
        <v>45169</v>
      </c>
      <c r="O62" s="147"/>
      <c r="P62" s="108" t="s">
        <v>261</v>
      </c>
      <c r="Q62" s="147" t="s">
        <v>259</v>
      </c>
      <c r="R62" s="108"/>
      <c r="S62" s="108" t="s">
        <v>259</v>
      </c>
      <c r="T62" s="108" t="s">
        <v>259</v>
      </c>
      <c r="U62" s="108" t="s">
        <v>180</v>
      </c>
      <c r="V62" s="108"/>
      <c r="W62" s="108"/>
      <c r="X62" s="108" t="s">
        <v>59</v>
      </c>
      <c r="Y62" s="108" t="s">
        <v>259</v>
      </c>
      <c r="Z62" s="111">
        <v>27699</v>
      </c>
      <c r="AA62" s="108">
        <f t="shared" ca="1" si="3"/>
        <v>48</v>
      </c>
      <c r="AB62" s="108" t="s">
        <v>3590</v>
      </c>
      <c r="AC62" s="108" t="s">
        <v>3591</v>
      </c>
      <c r="AD62" s="109" t="s">
        <v>3592</v>
      </c>
      <c r="AE62" s="147"/>
      <c r="AF62" s="115" t="s">
        <v>3593</v>
      </c>
      <c r="AG62" s="170" t="s">
        <v>3594</v>
      </c>
      <c r="AH62" s="108">
        <v>21067065413</v>
      </c>
      <c r="AI62" s="108" t="s">
        <v>189</v>
      </c>
      <c r="AJ62" s="108" t="s">
        <v>3595</v>
      </c>
      <c r="AK62" s="108" t="s">
        <v>3596</v>
      </c>
      <c r="AL62" s="108" t="s">
        <v>3597</v>
      </c>
      <c r="AM62" s="147"/>
      <c r="AN62" s="147"/>
      <c r="AO62" s="147"/>
      <c r="AP62" s="147"/>
      <c r="AQ62" s="147"/>
      <c r="AR62" s="147"/>
      <c r="AS62" s="147"/>
      <c r="AT62" s="147"/>
      <c r="AU62" s="147"/>
      <c r="AV62" s="108" t="s">
        <v>74</v>
      </c>
      <c r="AW62" s="108" t="s">
        <v>391</v>
      </c>
      <c r="AX62" s="108" t="s">
        <v>450</v>
      </c>
      <c r="AY62" s="108" t="s">
        <v>3598</v>
      </c>
      <c r="AZ62" s="108"/>
      <c r="BA62" s="108" t="s">
        <v>391</v>
      </c>
      <c r="BB62" s="108" t="s">
        <v>450</v>
      </c>
      <c r="BC62" s="108" t="s">
        <v>3598</v>
      </c>
      <c r="BD62" s="108"/>
      <c r="BE62" s="147"/>
      <c r="BF62" s="147"/>
      <c r="BG62" s="147"/>
      <c r="BH62" s="147"/>
      <c r="BI62" s="108"/>
      <c r="BJ62" s="108"/>
      <c r="BK62" s="147"/>
      <c r="BL62" s="147"/>
      <c r="BM62" s="147"/>
      <c r="BN62" s="166"/>
      <c r="BO62" s="149"/>
      <c r="BP62" s="108"/>
      <c r="BQ62" s="108" t="e">
        <f>"PKWT-"&amp;#REF!&amp;"/D1/2020"</f>
        <v>#REF!</v>
      </c>
      <c r="BR62" s="149"/>
      <c r="BS62" s="149"/>
      <c r="BT62" s="147"/>
      <c r="BU62" s="108"/>
      <c r="BV62" s="111"/>
      <c r="BW62" s="111"/>
      <c r="BX62" s="108"/>
      <c r="BY62" s="111">
        <v>45051</v>
      </c>
      <c r="BZ62" s="108" t="s">
        <v>3129</v>
      </c>
      <c r="CA62" s="147" t="s">
        <v>3599</v>
      </c>
      <c r="CB62" s="147" t="e">
        <f>VLOOKUP(C62,[1]Sertifikasi!$B$4:$I$19,8,0)</f>
        <v>#N/A</v>
      </c>
    </row>
    <row r="63" spans="1:80" ht="11.25" customHeight="1">
      <c r="A63" s="147"/>
      <c r="B63" s="108">
        <v>60</v>
      </c>
      <c r="C63" s="114" t="s">
        <v>3600</v>
      </c>
      <c r="D63" s="109">
        <v>999900116</v>
      </c>
      <c r="E63" s="113">
        <v>1440001095998</v>
      </c>
      <c r="F63" s="131"/>
      <c r="G63" s="113" t="s">
        <v>33</v>
      </c>
      <c r="H63" s="108" t="s">
        <v>71</v>
      </c>
      <c r="I63" s="132">
        <v>43600</v>
      </c>
      <c r="J63" s="113">
        <f t="shared" si="0"/>
        <v>3</v>
      </c>
      <c r="K63" s="108">
        <f t="shared" si="1"/>
        <v>11</v>
      </c>
      <c r="L63" s="108" t="str">
        <f t="shared" si="2"/>
        <v>Organik</v>
      </c>
      <c r="M63" s="108" t="s">
        <v>3601</v>
      </c>
      <c r="N63" s="116">
        <v>36586</v>
      </c>
      <c r="O63" s="108" t="s">
        <v>2121</v>
      </c>
      <c r="P63" s="108" t="s">
        <v>4</v>
      </c>
      <c r="Q63" s="147" t="s">
        <v>197</v>
      </c>
      <c r="R63" s="108"/>
      <c r="S63" s="108"/>
      <c r="T63" s="108" t="s">
        <v>199</v>
      </c>
      <c r="U63" s="108" t="s">
        <v>247</v>
      </c>
      <c r="V63" s="147"/>
      <c r="W63" s="108"/>
      <c r="X63" s="108" t="s">
        <v>59</v>
      </c>
      <c r="Y63" s="108" t="s">
        <v>409</v>
      </c>
      <c r="Z63" s="111">
        <v>27366</v>
      </c>
      <c r="AA63" s="108">
        <f t="shared" ca="1" si="3"/>
        <v>48</v>
      </c>
      <c r="AB63" s="108" t="s">
        <v>3602</v>
      </c>
      <c r="AC63" s="108" t="s">
        <v>3603</v>
      </c>
      <c r="AD63" s="108" t="s">
        <v>3604</v>
      </c>
      <c r="AE63" s="147"/>
      <c r="AF63" s="108" t="s">
        <v>3605</v>
      </c>
      <c r="AG63" s="142" t="s">
        <v>3606</v>
      </c>
      <c r="AH63" s="115" t="s">
        <v>3607</v>
      </c>
      <c r="AI63" s="108" t="s">
        <v>189</v>
      </c>
      <c r="AJ63" s="108" t="s">
        <v>3608</v>
      </c>
      <c r="AK63" s="108" t="s">
        <v>3609</v>
      </c>
      <c r="AL63" s="108" t="s">
        <v>3610</v>
      </c>
      <c r="AM63" s="108" t="s">
        <v>3611</v>
      </c>
      <c r="AN63" s="147"/>
      <c r="AO63" s="147"/>
      <c r="AP63" s="147"/>
      <c r="AQ63" s="147"/>
      <c r="AR63" s="147"/>
      <c r="AS63" s="147" t="str">
        <f t="shared" ref="AS63:AS64" ca="1" si="8">COUNTA(AK63:AU63)</f>
        <v>#REF!</v>
      </c>
      <c r="AT63" s="108" t="str">
        <f t="shared" ref="AT63:AT70" ca="1" si="9">IF(AI63="Menikah","K","TK")&amp;"/"&amp;AS63</f>
        <v>#REF!</v>
      </c>
      <c r="AU63" s="113">
        <v>382988855621000</v>
      </c>
      <c r="AV63" s="113" t="s">
        <v>74</v>
      </c>
      <c r="AW63" s="108" t="s">
        <v>13</v>
      </c>
      <c r="AX63" s="108" t="s">
        <v>226</v>
      </c>
      <c r="AY63" s="108" t="s">
        <v>211</v>
      </c>
      <c r="AZ63" s="108"/>
      <c r="BA63" s="108" t="s">
        <v>11</v>
      </c>
      <c r="BB63" s="108" t="s">
        <v>226</v>
      </c>
      <c r="BC63" s="108" t="s">
        <v>257</v>
      </c>
      <c r="BD63" s="108"/>
      <c r="BE63" s="116">
        <v>47484</v>
      </c>
      <c r="BF63" s="167">
        <v>47849</v>
      </c>
      <c r="BG63" s="147"/>
      <c r="BH63" s="147"/>
      <c r="BI63" s="147"/>
      <c r="BJ63" s="111">
        <v>44294</v>
      </c>
      <c r="BK63" s="111">
        <v>44322</v>
      </c>
      <c r="BL63" s="150">
        <v>44581</v>
      </c>
      <c r="BM63" s="147"/>
      <c r="BN63" s="166"/>
      <c r="BO63" s="166"/>
      <c r="BP63" s="108"/>
      <c r="BQ63" s="108"/>
      <c r="BR63" s="149"/>
      <c r="BS63" s="149"/>
      <c r="BT63" s="108"/>
      <c r="BU63" s="108"/>
      <c r="BV63" s="111"/>
      <c r="BW63" s="111"/>
      <c r="BX63" s="108"/>
      <c r="BY63" s="111">
        <v>45058</v>
      </c>
      <c r="BZ63" s="108" t="s">
        <v>3413</v>
      </c>
      <c r="CA63" s="147" t="s">
        <v>3612</v>
      </c>
      <c r="CB63" s="147" t="e">
        <f>VLOOKUP(C63,[1]Sertifikasi!$B$4:$I$19,8,0)</f>
        <v>#N/A</v>
      </c>
    </row>
    <row r="64" spans="1:80" ht="11.25" customHeight="1">
      <c r="A64" s="147"/>
      <c r="B64" s="108">
        <v>61</v>
      </c>
      <c r="C64" s="108" t="s">
        <v>3613</v>
      </c>
      <c r="D64" s="109">
        <v>999600062</v>
      </c>
      <c r="E64" s="113">
        <v>1440004862394</v>
      </c>
      <c r="F64" s="131"/>
      <c r="G64" s="113" t="s">
        <v>33</v>
      </c>
      <c r="H64" s="108" t="s">
        <v>71</v>
      </c>
      <c r="I64" s="132">
        <v>43987</v>
      </c>
      <c r="J64" s="113">
        <f t="shared" si="0"/>
        <v>2</v>
      </c>
      <c r="K64" s="108">
        <f t="shared" si="1"/>
        <v>11</v>
      </c>
      <c r="L64" s="108" t="str">
        <f t="shared" si="2"/>
        <v>Organik</v>
      </c>
      <c r="M64" s="108" t="s">
        <v>2120</v>
      </c>
      <c r="N64" s="116">
        <v>35186</v>
      </c>
      <c r="O64" s="108" t="s">
        <v>2121</v>
      </c>
      <c r="P64" s="108" t="s">
        <v>4</v>
      </c>
      <c r="Q64" s="147" t="s">
        <v>197</v>
      </c>
      <c r="R64" s="108"/>
      <c r="S64" s="108"/>
      <c r="T64" s="108" t="s">
        <v>674</v>
      </c>
      <c r="U64" s="108" t="s">
        <v>247</v>
      </c>
      <c r="V64" s="147"/>
      <c r="W64" s="108"/>
      <c r="X64" s="108" t="s">
        <v>59</v>
      </c>
      <c r="Y64" s="108" t="s">
        <v>3614</v>
      </c>
      <c r="Z64" s="111">
        <v>25643</v>
      </c>
      <c r="AA64" s="108">
        <f t="shared" ca="1" si="3"/>
        <v>53</v>
      </c>
      <c r="AB64" s="108" t="s">
        <v>3615</v>
      </c>
      <c r="AC64" s="108" t="s">
        <v>3616</v>
      </c>
      <c r="AD64" s="108" t="s">
        <v>3617</v>
      </c>
      <c r="AE64" s="147"/>
      <c r="AF64" s="108" t="s">
        <v>3618</v>
      </c>
      <c r="AG64" s="142" t="s">
        <v>3619</v>
      </c>
      <c r="AH64" s="115" t="s">
        <v>3620</v>
      </c>
      <c r="AI64" s="108" t="s">
        <v>189</v>
      </c>
      <c r="AJ64" s="108" t="s">
        <v>3621</v>
      </c>
      <c r="AK64" s="108" t="s">
        <v>3622</v>
      </c>
      <c r="AL64" s="108" t="s">
        <v>3623</v>
      </c>
      <c r="AM64" s="108"/>
      <c r="AN64" s="147"/>
      <c r="AO64" s="147"/>
      <c r="AP64" s="147"/>
      <c r="AQ64" s="147"/>
      <c r="AR64" s="147"/>
      <c r="AS64" s="147" t="str">
        <f t="shared" ca="1" si="8"/>
        <v>#REF!</v>
      </c>
      <c r="AT64" s="108" t="str">
        <f t="shared" ca="1" si="9"/>
        <v>#REF!</v>
      </c>
      <c r="AU64" s="113" t="s">
        <v>3624</v>
      </c>
      <c r="AV64" s="113" t="s">
        <v>74</v>
      </c>
      <c r="AW64" s="108" t="s">
        <v>12</v>
      </c>
      <c r="AX64" s="108" t="s">
        <v>226</v>
      </c>
      <c r="AY64" s="108" t="s">
        <v>193</v>
      </c>
      <c r="AZ64" s="108"/>
      <c r="BA64" s="108" t="s">
        <v>12</v>
      </c>
      <c r="BB64" s="108" t="s">
        <v>226</v>
      </c>
      <c r="BC64" s="108" t="s">
        <v>193</v>
      </c>
      <c r="BD64" s="108"/>
      <c r="BE64" s="116">
        <v>45748</v>
      </c>
      <c r="BF64" s="167">
        <v>46113</v>
      </c>
      <c r="BG64" s="147"/>
      <c r="BH64" s="147"/>
      <c r="BI64" s="147"/>
      <c r="BJ64" s="111">
        <v>44259</v>
      </c>
      <c r="BK64" s="111">
        <v>44304</v>
      </c>
      <c r="BL64" s="150">
        <v>44585</v>
      </c>
      <c r="BM64" s="147"/>
      <c r="BN64" s="166"/>
      <c r="BO64" s="166"/>
      <c r="BP64" s="108"/>
      <c r="BQ64" s="108"/>
      <c r="BR64" s="149"/>
      <c r="BS64" s="149"/>
      <c r="BT64" s="108"/>
      <c r="BU64" s="108"/>
      <c r="BV64" s="111"/>
      <c r="BW64" s="111"/>
      <c r="BX64" s="108"/>
      <c r="BY64" s="111">
        <v>45058</v>
      </c>
      <c r="BZ64" s="108" t="s">
        <v>3413</v>
      </c>
      <c r="CA64" s="147" t="s">
        <v>3612</v>
      </c>
      <c r="CB64" s="147" t="e">
        <f>VLOOKUP(C64,[1]Sertifikasi!$B$4:$I$19,8,0)</f>
        <v>#N/A</v>
      </c>
    </row>
    <row r="65" spans="1:80" ht="11.25" customHeight="1">
      <c r="A65" s="147"/>
      <c r="B65" s="108">
        <v>62</v>
      </c>
      <c r="C65" s="147" t="s">
        <v>3625</v>
      </c>
      <c r="D65" s="109">
        <v>999900113</v>
      </c>
      <c r="E65" s="168"/>
      <c r="F65" s="171"/>
      <c r="G65" s="147" t="s">
        <v>33</v>
      </c>
      <c r="H65" s="147" t="s">
        <v>71</v>
      </c>
      <c r="I65" s="132">
        <v>44777</v>
      </c>
      <c r="J65" s="113">
        <f t="shared" si="0"/>
        <v>0</v>
      </c>
      <c r="K65" s="108">
        <f t="shared" si="1"/>
        <v>10</v>
      </c>
      <c r="L65" s="108" t="str">
        <f t="shared" si="2"/>
        <v>Organik</v>
      </c>
      <c r="M65" s="147" t="s">
        <v>3626</v>
      </c>
      <c r="N65" s="116">
        <v>44777</v>
      </c>
      <c r="O65" s="147" t="s">
        <v>2121</v>
      </c>
      <c r="P65" s="147" t="s">
        <v>3</v>
      </c>
      <c r="Q65" s="147" t="s">
        <v>197</v>
      </c>
      <c r="R65" s="147"/>
      <c r="S65" s="147"/>
      <c r="T65" s="147"/>
      <c r="U65" s="147" t="s">
        <v>662</v>
      </c>
      <c r="V65" s="147"/>
      <c r="W65" s="147"/>
      <c r="X65" s="147" t="s">
        <v>59</v>
      </c>
      <c r="Y65" s="147" t="s">
        <v>71</v>
      </c>
      <c r="Z65" s="111">
        <v>27892</v>
      </c>
      <c r="AA65" s="108">
        <f t="shared" ca="1" si="3"/>
        <v>47</v>
      </c>
      <c r="AB65" s="147" t="s">
        <v>3627</v>
      </c>
      <c r="AC65" s="147" t="s">
        <v>3628</v>
      </c>
      <c r="AD65" s="147" t="s">
        <v>3629</v>
      </c>
      <c r="AE65" s="147"/>
      <c r="AF65" s="108" t="s">
        <v>3630</v>
      </c>
      <c r="AG65" s="172" t="s">
        <v>3631</v>
      </c>
      <c r="AH65" s="160" t="s">
        <v>3632</v>
      </c>
      <c r="AI65" s="147" t="s">
        <v>189</v>
      </c>
      <c r="AJ65" s="147" t="s">
        <v>3633</v>
      </c>
      <c r="AK65" s="147" t="s">
        <v>3634</v>
      </c>
      <c r="AL65" s="147" t="s">
        <v>3635</v>
      </c>
      <c r="AM65" s="147"/>
      <c r="AN65" s="147"/>
      <c r="AO65" s="147"/>
      <c r="AP65" s="147"/>
      <c r="AQ65" s="147"/>
      <c r="AR65" s="147"/>
      <c r="AS65" s="147">
        <f t="shared" ref="AS65:AS70" si="10">COUNTA(AK65:AN65)</f>
        <v>2</v>
      </c>
      <c r="AT65" s="108" t="str">
        <f t="shared" si="9"/>
        <v>K/2</v>
      </c>
      <c r="AU65" s="173" t="s">
        <v>3636</v>
      </c>
      <c r="AV65" s="147" t="s">
        <v>74</v>
      </c>
      <c r="AW65" s="147" t="s">
        <v>12</v>
      </c>
      <c r="AX65" s="108" t="s">
        <v>226</v>
      </c>
      <c r="AY65" s="147" t="s">
        <v>3365</v>
      </c>
      <c r="AZ65" s="147"/>
      <c r="BA65" s="147"/>
      <c r="BB65" s="108" t="s">
        <v>226</v>
      </c>
      <c r="BC65" s="147" t="s">
        <v>3365</v>
      </c>
      <c r="BD65" s="147"/>
      <c r="BE65" s="116"/>
      <c r="BF65" s="167"/>
      <c r="BG65" s="147"/>
      <c r="BH65" s="147"/>
      <c r="BI65" s="147"/>
      <c r="BJ65" s="150"/>
      <c r="BK65" s="150"/>
      <c r="BL65" s="150"/>
      <c r="BM65" s="150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11">
        <v>45089</v>
      </c>
      <c r="BZ65" s="147" t="s">
        <v>3413</v>
      </c>
      <c r="CA65" s="147" t="s">
        <v>3637</v>
      </c>
      <c r="CB65" s="147" t="e">
        <f>VLOOKUP(C65,[1]Sertifikasi!$B$4:$I$19,8,0)</f>
        <v>#N/A</v>
      </c>
    </row>
    <row r="66" spans="1:80" ht="11.25" customHeight="1">
      <c r="A66" s="147"/>
      <c r="B66" s="108">
        <v>63</v>
      </c>
      <c r="C66" s="108" t="s">
        <v>3638</v>
      </c>
      <c r="D66" s="109">
        <v>991100039</v>
      </c>
      <c r="E66" s="113">
        <v>1440013093569</v>
      </c>
      <c r="F66" s="110"/>
      <c r="G66" s="113" t="s">
        <v>33</v>
      </c>
      <c r="H66" s="108" t="s">
        <v>71</v>
      </c>
      <c r="I66" s="132">
        <v>43987</v>
      </c>
      <c r="J66" s="113">
        <f t="shared" si="0"/>
        <v>3</v>
      </c>
      <c r="K66" s="108">
        <f t="shared" si="1"/>
        <v>0</v>
      </c>
      <c r="L66" s="108" t="str">
        <f t="shared" si="2"/>
        <v>Organik</v>
      </c>
      <c r="M66" s="108" t="s">
        <v>2111</v>
      </c>
      <c r="N66" s="116">
        <v>40907</v>
      </c>
      <c r="O66" s="108" t="s">
        <v>2112</v>
      </c>
      <c r="P66" s="108" t="s">
        <v>5</v>
      </c>
      <c r="Q66" s="108" t="s">
        <v>197</v>
      </c>
      <c r="R66" s="108"/>
      <c r="S66" s="108" t="s">
        <v>361</v>
      </c>
      <c r="T66" s="108" t="s">
        <v>362</v>
      </c>
      <c r="U66" s="108" t="s">
        <v>180</v>
      </c>
      <c r="V66" s="108"/>
      <c r="W66" s="108"/>
      <c r="X66" s="108" t="s">
        <v>59</v>
      </c>
      <c r="Y66" s="108" t="s">
        <v>3202</v>
      </c>
      <c r="Z66" s="111">
        <v>29764</v>
      </c>
      <c r="AA66" s="108">
        <f t="shared" ca="1" si="3"/>
        <v>42</v>
      </c>
      <c r="AB66" s="108" t="s">
        <v>3639</v>
      </c>
      <c r="AC66" s="108" t="s">
        <v>3640</v>
      </c>
      <c r="AD66" s="108" t="s">
        <v>3641</v>
      </c>
      <c r="AE66" s="108"/>
      <c r="AF66" s="108" t="s">
        <v>3642</v>
      </c>
      <c r="AG66" s="114" t="s">
        <v>3643</v>
      </c>
      <c r="AH66" s="115">
        <v>10013670046</v>
      </c>
      <c r="AI66" s="108" t="s">
        <v>189</v>
      </c>
      <c r="AJ66" s="108" t="s">
        <v>3644</v>
      </c>
      <c r="AK66" s="108" t="s">
        <v>3645</v>
      </c>
      <c r="AL66" s="108" t="s">
        <v>3646</v>
      </c>
      <c r="AM66" s="108"/>
      <c r="AN66" s="108"/>
      <c r="AO66" s="108"/>
      <c r="AP66" s="108"/>
      <c r="AQ66" s="108"/>
      <c r="AR66" s="108"/>
      <c r="AS66" s="147">
        <f t="shared" si="10"/>
        <v>2</v>
      </c>
      <c r="AT66" s="108" t="str">
        <f t="shared" si="9"/>
        <v>K/2</v>
      </c>
      <c r="AU66" s="113" t="s">
        <v>3647</v>
      </c>
      <c r="AV66" s="113" t="s">
        <v>74</v>
      </c>
      <c r="AW66" s="108" t="s">
        <v>12</v>
      </c>
      <c r="AX66" s="108" t="s">
        <v>226</v>
      </c>
      <c r="AY66" s="108" t="s">
        <v>193</v>
      </c>
      <c r="AZ66" s="108"/>
      <c r="BA66" s="108" t="s">
        <v>12</v>
      </c>
      <c r="BB66" s="108" t="s">
        <v>226</v>
      </c>
      <c r="BC66" s="108" t="s">
        <v>193</v>
      </c>
      <c r="BD66" s="108"/>
      <c r="BE66" s="116">
        <v>49857</v>
      </c>
      <c r="BF66" s="167">
        <v>50222</v>
      </c>
      <c r="BG66" s="108"/>
      <c r="BH66" s="108"/>
      <c r="BI66" s="147">
        <v>41</v>
      </c>
      <c r="BJ66" s="111">
        <v>44294</v>
      </c>
      <c r="BK66" s="111">
        <v>44322</v>
      </c>
      <c r="BL66" s="150">
        <v>44585</v>
      </c>
      <c r="BM66" s="150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11">
        <v>45089</v>
      </c>
      <c r="BZ66" s="147" t="s">
        <v>3413</v>
      </c>
      <c r="CA66" s="147" t="s">
        <v>3637</v>
      </c>
      <c r="CB66" s="147" t="e">
        <f>VLOOKUP(C66,[1]Sertifikasi!$B$4:$I$19,8,0)</f>
        <v>#N/A</v>
      </c>
    </row>
    <row r="67" spans="1:80" ht="15.75" customHeight="1">
      <c r="A67" s="147"/>
      <c r="B67" s="108">
        <v>64</v>
      </c>
      <c r="C67" s="108" t="s">
        <v>3648</v>
      </c>
      <c r="D67" s="109">
        <v>642201157</v>
      </c>
      <c r="E67" s="113">
        <v>1190007131541</v>
      </c>
      <c r="F67" s="110"/>
      <c r="G67" s="108" t="s">
        <v>259</v>
      </c>
      <c r="H67" s="108" t="s">
        <v>259</v>
      </c>
      <c r="I67" s="111">
        <v>44594</v>
      </c>
      <c r="J67" s="113">
        <f t="shared" si="0"/>
        <v>1</v>
      </c>
      <c r="K67" s="108">
        <f t="shared" si="1"/>
        <v>4</v>
      </c>
      <c r="L67" s="108" t="str">
        <f t="shared" si="2"/>
        <v>PKWT</v>
      </c>
      <c r="M67" s="108"/>
      <c r="N67" s="111">
        <v>45169</v>
      </c>
      <c r="O67" s="147"/>
      <c r="P67" s="108" t="s">
        <v>213</v>
      </c>
      <c r="Q67" s="108" t="s">
        <v>259</v>
      </c>
      <c r="R67" s="108" t="s">
        <v>33</v>
      </c>
      <c r="S67" s="160" t="s">
        <v>91</v>
      </c>
      <c r="T67" s="147"/>
      <c r="U67" s="147"/>
      <c r="V67" s="108"/>
      <c r="W67" s="108"/>
      <c r="X67" s="108" t="s">
        <v>216</v>
      </c>
      <c r="Y67" s="108" t="s">
        <v>259</v>
      </c>
      <c r="Z67" s="111">
        <v>31982</v>
      </c>
      <c r="AA67" s="108">
        <f t="shared" ca="1" si="3"/>
        <v>36</v>
      </c>
      <c r="AB67" s="108" t="s">
        <v>3649</v>
      </c>
      <c r="AC67" s="108" t="s">
        <v>3650</v>
      </c>
      <c r="AD67" s="109" t="s">
        <v>3651</v>
      </c>
      <c r="AE67" s="109"/>
      <c r="AF67" s="115" t="s">
        <v>3652</v>
      </c>
      <c r="AG67" s="170" t="s">
        <v>3653</v>
      </c>
      <c r="AH67" s="110">
        <v>22017333505</v>
      </c>
      <c r="AI67" s="108" t="s">
        <v>189</v>
      </c>
      <c r="AJ67" s="108"/>
      <c r="AK67" s="108"/>
      <c r="AL67" s="108"/>
      <c r="AM67" s="108"/>
      <c r="AN67" s="108"/>
      <c r="AO67" s="108"/>
      <c r="AP67" s="108"/>
      <c r="AQ67" s="108"/>
      <c r="AR67" s="108"/>
      <c r="AS67" s="108">
        <f t="shared" si="10"/>
        <v>0</v>
      </c>
      <c r="AT67" s="108" t="str">
        <f t="shared" si="9"/>
        <v>K/0</v>
      </c>
      <c r="AU67" s="108"/>
      <c r="AV67" s="108" t="s">
        <v>74</v>
      </c>
      <c r="AW67" s="108" t="s">
        <v>12</v>
      </c>
      <c r="AX67" s="108" t="s">
        <v>3654</v>
      </c>
      <c r="AY67" s="108" t="s">
        <v>3655</v>
      </c>
      <c r="AZ67" s="108"/>
      <c r="BA67" s="108" t="s">
        <v>12</v>
      </c>
      <c r="BB67" s="108" t="s">
        <v>3654</v>
      </c>
      <c r="BC67" s="108" t="s">
        <v>3655</v>
      </c>
      <c r="BD67" s="108"/>
      <c r="BE67" s="111"/>
      <c r="BF67" s="111"/>
      <c r="BG67" s="108"/>
      <c r="BH67" s="108"/>
      <c r="BI67" s="108">
        <v>42</v>
      </c>
      <c r="BJ67" s="111"/>
      <c r="BK67" s="111"/>
      <c r="BL67" s="150">
        <v>44816</v>
      </c>
      <c r="BM67" s="108"/>
      <c r="BN67" s="108"/>
      <c r="BO67" s="108"/>
      <c r="BP67" s="108"/>
      <c r="BQ67" s="108" t="e">
        <f>"PKWT-"&amp;#REF!&amp;"/D1/2020"</f>
        <v>#REF!</v>
      </c>
      <c r="BR67" s="108"/>
      <c r="BS67" s="108"/>
      <c r="BT67" s="108"/>
      <c r="BU67" s="108"/>
      <c r="BV67" s="108"/>
      <c r="BW67" s="108"/>
      <c r="BX67" s="108"/>
      <c r="BY67" s="111">
        <v>45107</v>
      </c>
      <c r="BZ67" s="147" t="s">
        <v>3144</v>
      </c>
      <c r="CA67" s="147" t="s">
        <v>2988</v>
      </c>
      <c r="CB67" s="147" t="e">
        <f>VLOOKUP(C67,[1]Sertifikasi!$B$4:$I$19,8,0)</f>
        <v>#N/A</v>
      </c>
    </row>
    <row r="68" spans="1:80" ht="15.75" customHeight="1">
      <c r="A68" s="147"/>
      <c r="B68" s="108">
        <v>65</v>
      </c>
      <c r="C68" s="108" t="s">
        <v>3656</v>
      </c>
      <c r="D68" s="109">
        <v>642007091</v>
      </c>
      <c r="E68" s="113">
        <v>9000032982713</v>
      </c>
      <c r="F68" s="110"/>
      <c r="G68" s="113" t="s">
        <v>71</v>
      </c>
      <c r="H68" s="108" t="s">
        <v>71</v>
      </c>
      <c r="I68" s="132">
        <v>44013</v>
      </c>
      <c r="J68" s="113">
        <f t="shared" si="0"/>
        <v>2</v>
      </c>
      <c r="K68" s="108">
        <f t="shared" si="1"/>
        <v>11</v>
      </c>
      <c r="L68" s="108" t="str">
        <f t="shared" si="2"/>
        <v>PKWT</v>
      </c>
      <c r="M68" s="108" t="s">
        <v>3657</v>
      </c>
      <c r="N68" s="116">
        <v>45473</v>
      </c>
      <c r="O68" s="108"/>
      <c r="P68" s="108" t="s">
        <v>261</v>
      </c>
      <c r="Q68" s="108" t="s">
        <v>197</v>
      </c>
      <c r="R68" s="108" t="s">
        <v>674</v>
      </c>
      <c r="S68" s="108" t="s">
        <v>674</v>
      </c>
      <c r="T68" s="108" t="s">
        <v>674</v>
      </c>
      <c r="U68" s="108" t="s">
        <v>247</v>
      </c>
      <c r="V68" s="108"/>
      <c r="W68" s="108"/>
      <c r="X68" s="108" t="s">
        <v>59</v>
      </c>
      <c r="Y68" s="108" t="s">
        <v>2028</v>
      </c>
      <c r="Z68" s="111">
        <v>33489</v>
      </c>
      <c r="AA68" s="108">
        <f t="shared" ca="1" si="3"/>
        <v>32</v>
      </c>
      <c r="AB68" s="108" t="s">
        <v>3658</v>
      </c>
      <c r="AC68" s="108" t="s">
        <v>3659</v>
      </c>
      <c r="AD68" s="108" t="s">
        <v>3660</v>
      </c>
      <c r="AE68" s="108"/>
      <c r="AF68" s="174" t="s">
        <v>3661</v>
      </c>
      <c r="AG68" s="114" t="s">
        <v>3662</v>
      </c>
      <c r="AH68" s="115" t="s">
        <v>3663</v>
      </c>
      <c r="AI68" s="108" t="s">
        <v>189</v>
      </c>
      <c r="AJ68" s="108" t="s">
        <v>3664</v>
      </c>
      <c r="AK68" s="108" t="s">
        <v>3665</v>
      </c>
      <c r="AL68" s="108"/>
      <c r="AM68" s="108"/>
      <c r="AN68" s="108"/>
      <c r="AO68" s="108"/>
      <c r="AP68" s="108"/>
      <c r="AQ68" s="108"/>
      <c r="AR68" s="108"/>
      <c r="AS68" s="147">
        <f t="shared" si="10"/>
        <v>1</v>
      </c>
      <c r="AT68" s="108" t="str">
        <f t="shared" si="9"/>
        <v>K/1</v>
      </c>
      <c r="AU68" s="131"/>
      <c r="AV68" s="113" t="s">
        <v>74</v>
      </c>
      <c r="AW68" s="108" t="s">
        <v>12</v>
      </c>
      <c r="AX68" s="108" t="s">
        <v>1017</v>
      </c>
      <c r="AY68" s="108" t="s">
        <v>3666</v>
      </c>
      <c r="AZ68" s="108"/>
      <c r="BA68" s="108" t="s">
        <v>12</v>
      </c>
      <c r="BB68" s="108" t="s">
        <v>1017</v>
      </c>
      <c r="BC68" s="108" t="s">
        <v>3666</v>
      </c>
      <c r="BD68" s="108"/>
      <c r="BE68" s="116"/>
      <c r="BF68" s="116"/>
      <c r="BG68" s="108"/>
      <c r="BH68" s="108"/>
      <c r="BI68" s="175"/>
      <c r="BJ68" s="111">
        <v>44294</v>
      </c>
      <c r="BK68" s="111">
        <v>44322</v>
      </c>
      <c r="BL68" s="150">
        <v>44585</v>
      </c>
      <c r="BM68" s="150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11">
        <v>45107</v>
      </c>
      <c r="BZ68" s="147" t="s">
        <v>3144</v>
      </c>
      <c r="CA68" s="147" t="s">
        <v>2988</v>
      </c>
      <c r="CB68" s="147" t="e">
        <f>VLOOKUP(C68,[1]Sertifikasi!$B$4:$I$19,8,0)</f>
        <v>#N/A</v>
      </c>
    </row>
    <row r="69" spans="1:80" ht="15.75" customHeight="1">
      <c r="A69" s="147"/>
      <c r="B69" s="108">
        <v>66</v>
      </c>
      <c r="C69" s="108" t="s">
        <v>3667</v>
      </c>
      <c r="D69" s="109">
        <v>642201155</v>
      </c>
      <c r="E69" s="113">
        <v>1200012509365</v>
      </c>
      <c r="F69" s="110"/>
      <c r="G69" s="108" t="s">
        <v>259</v>
      </c>
      <c r="H69" s="108" t="s">
        <v>259</v>
      </c>
      <c r="I69" s="111">
        <v>44594</v>
      </c>
      <c r="J69" s="113">
        <f t="shared" si="0"/>
        <v>1</v>
      </c>
      <c r="K69" s="108">
        <f t="shared" si="1"/>
        <v>4</v>
      </c>
      <c r="L69" s="108" t="str">
        <f t="shared" si="2"/>
        <v>PKWT</v>
      </c>
      <c r="M69" s="108"/>
      <c r="N69" s="111">
        <v>45169</v>
      </c>
      <c r="O69" s="147"/>
      <c r="P69" s="108" t="s">
        <v>213</v>
      </c>
      <c r="Q69" s="108" t="s">
        <v>259</v>
      </c>
      <c r="R69" s="108" t="s">
        <v>33</v>
      </c>
      <c r="S69" s="115" t="s">
        <v>91</v>
      </c>
      <c r="T69" s="147"/>
      <c r="U69" s="147"/>
      <c r="V69" s="108"/>
      <c r="W69" s="108"/>
      <c r="X69" s="108" t="s">
        <v>216</v>
      </c>
      <c r="Y69" s="108" t="s">
        <v>259</v>
      </c>
      <c r="Z69" s="111">
        <v>34858</v>
      </c>
      <c r="AA69" s="108">
        <f t="shared" ca="1" si="3"/>
        <v>28</v>
      </c>
      <c r="AB69" s="108" t="s">
        <v>3668</v>
      </c>
      <c r="AC69" s="108" t="s">
        <v>3669</v>
      </c>
      <c r="AD69" s="109" t="s">
        <v>3670</v>
      </c>
      <c r="AE69" s="109"/>
      <c r="AF69" s="115" t="s">
        <v>3671</v>
      </c>
      <c r="AG69" s="170" t="s">
        <v>3672</v>
      </c>
      <c r="AH69" s="110">
        <v>22017333521</v>
      </c>
      <c r="AI69" s="108" t="s">
        <v>255</v>
      </c>
      <c r="AJ69" s="108"/>
      <c r="AK69" s="108"/>
      <c r="AL69" s="108"/>
      <c r="AM69" s="108"/>
      <c r="AN69" s="108"/>
      <c r="AO69" s="108"/>
      <c r="AP69" s="108"/>
      <c r="AQ69" s="108"/>
      <c r="AR69" s="108"/>
      <c r="AS69" s="108">
        <f t="shared" si="10"/>
        <v>0</v>
      </c>
      <c r="AT69" s="108" t="str">
        <f t="shared" si="9"/>
        <v>TK/0</v>
      </c>
      <c r="AU69" s="108"/>
      <c r="AV69" s="108" t="s">
        <v>74</v>
      </c>
      <c r="AW69" s="108" t="s">
        <v>12</v>
      </c>
      <c r="AX69" s="108" t="s">
        <v>3654</v>
      </c>
      <c r="AY69" s="108" t="s">
        <v>2826</v>
      </c>
      <c r="AZ69" s="108"/>
      <c r="BA69" s="108" t="s">
        <v>12</v>
      </c>
      <c r="BB69" s="108" t="s">
        <v>3654</v>
      </c>
      <c r="BC69" s="108" t="s">
        <v>2826</v>
      </c>
      <c r="BD69" s="108"/>
      <c r="BE69" s="111"/>
      <c r="BF69" s="111"/>
      <c r="BG69" s="108"/>
      <c r="BH69" s="108"/>
      <c r="BI69" s="108">
        <v>40</v>
      </c>
      <c r="BJ69" s="111"/>
      <c r="BK69" s="111"/>
      <c r="BL69" s="150">
        <v>43989</v>
      </c>
      <c r="BM69" s="108"/>
      <c r="BN69" s="108"/>
      <c r="BO69" s="108"/>
      <c r="BP69" s="108"/>
      <c r="BQ69" s="108" t="e">
        <f t="shared" ref="BQ69:BQ70" si="11">"PKWT-"&amp;#REF!&amp;"/D1/2020"</f>
        <v>#REF!</v>
      </c>
      <c r="BR69" s="108"/>
      <c r="BS69" s="108"/>
      <c r="BT69" s="108"/>
      <c r="BU69" s="108"/>
      <c r="BV69" s="108"/>
      <c r="BW69" s="108"/>
      <c r="BX69" s="108"/>
      <c r="BY69" s="111">
        <v>45107</v>
      </c>
      <c r="BZ69" s="147" t="s">
        <v>3144</v>
      </c>
      <c r="CA69" s="147" t="s">
        <v>2988</v>
      </c>
      <c r="CB69" s="147" t="e">
        <f>VLOOKUP(C69,[1]Sertifikasi!$B$4:$I$19,8,0)</f>
        <v>#N/A</v>
      </c>
    </row>
    <row r="70" spans="1:80" ht="15.75" customHeight="1">
      <c r="A70" s="147"/>
      <c r="B70" s="108">
        <v>67</v>
      </c>
      <c r="C70" s="108" t="s">
        <v>3673</v>
      </c>
      <c r="D70" s="109">
        <v>642111123</v>
      </c>
      <c r="E70" s="113"/>
      <c r="F70" s="110">
        <v>7183163641</v>
      </c>
      <c r="G70" s="108" t="s">
        <v>259</v>
      </c>
      <c r="H70" s="108" t="s">
        <v>259</v>
      </c>
      <c r="I70" s="111">
        <v>44529</v>
      </c>
      <c r="J70" s="113">
        <f t="shared" si="0"/>
        <v>1</v>
      </c>
      <c r="K70" s="108">
        <f t="shared" si="1"/>
        <v>7</v>
      </c>
      <c r="L70" s="108" t="str">
        <f t="shared" si="2"/>
        <v>PKWT</v>
      </c>
      <c r="M70" s="108"/>
      <c r="N70" s="111">
        <v>45430</v>
      </c>
      <c r="O70" s="147"/>
      <c r="P70" s="108" t="s">
        <v>213</v>
      </c>
      <c r="Q70" s="108" t="s">
        <v>259</v>
      </c>
      <c r="R70" s="108" t="s">
        <v>33</v>
      </c>
      <c r="S70" s="160" t="s">
        <v>90</v>
      </c>
      <c r="T70" s="147"/>
      <c r="U70" s="147"/>
      <c r="V70" s="108" t="s">
        <v>931</v>
      </c>
      <c r="W70" s="108"/>
      <c r="X70" s="108" t="s">
        <v>216</v>
      </c>
      <c r="Y70" s="108" t="s">
        <v>259</v>
      </c>
      <c r="Z70" s="111">
        <v>23403</v>
      </c>
      <c r="AA70" s="108">
        <f t="shared" ca="1" si="3"/>
        <v>59</v>
      </c>
      <c r="AB70" s="108" t="s">
        <v>3674</v>
      </c>
      <c r="AC70" s="108" t="s">
        <v>3675</v>
      </c>
      <c r="AD70" s="109" t="s">
        <v>3676</v>
      </c>
      <c r="AE70" s="109"/>
      <c r="AF70" s="115"/>
      <c r="AG70" s="170" t="s">
        <v>3677</v>
      </c>
      <c r="AH70" s="108">
        <v>21098326602</v>
      </c>
      <c r="AI70" s="108" t="s">
        <v>189</v>
      </c>
      <c r="AJ70" s="108"/>
      <c r="AK70" s="108"/>
      <c r="AL70" s="108"/>
      <c r="AM70" s="108"/>
      <c r="AN70" s="108"/>
      <c r="AO70" s="108"/>
      <c r="AP70" s="108"/>
      <c r="AQ70" s="108"/>
      <c r="AR70" s="108"/>
      <c r="AS70" s="108">
        <f t="shared" si="10"/>
        <v>0</v>
      </c>
      <c r="AT70" s="108" t="str">
        <f t="shared" si="9"/>
        <v>K/0</v>
      </c>
      <c r="AU70" s="108"/>
      <c r="AV70" s="108" t="s">
        <v>74</v>
      </c>
      <c r="AW70" s="108" t="s">
        <v>16</v>
      </c>
      <c r="AX70" s="108" t="s">
        <v>226</v>
      </c>
      <c r="AY70" s="108" t="s">
        <v>3678</v>
      </c>
      <c r="AZ70" s="108"/>
      <c r="BA70" s="108" t="s">
        <v>16</v>
      </c>
      <c r="BB70" s="108" t="s">
        <v>226</v>
      </c>
      <c r="BC70" s="108" t="s">
        <v>3678</v>
      </c>
      <c r="BD70" s="108"/>
      <c r="BE70" s="111"/>
      <c r="BF70" s="111"/>
      <c r="BG70" s="108"/>
      <c r="BH70" s="108"/>
      <c r="BI70" s="108">
        <v>41</v>
      </c>
      <c r="BJ70" s="111"/>
      <c r="BK70" s="111"/>
      <c r="BL70" s="150"/>
      <c r="BM70" s="108"/>
      <c r="BN70" s="108"/>
      <c r="BO70" s="108"/>
      <c r="BP70" s="108"/>
      <c r="BQ70" s="108" t="e">
        <f t="shared" si="11"/>
        <v>#REF!</v>
      </c>
      <c r="BR70" s="108"/>
      <c r="BS70" s="108"/>
      <c r="BT70" s="108"/>
      <c r="BU70" s="108"/>
      <c r="BV70" s="108"/>
      <c r="BW70" s="108"/>
      <c r="BX70" s="108"/>
      <c r="BY70" s="111">
        <v>45107</v>
      </c>
      <c r="BZ70" s="147" t="s">
        <v>3144</v>
      </c>
      <c r="CA70" s="147" t="s">
        <v>2988</v>
      </c>
      <c r="CB70" s="147" t="e">
        <f>VLOOKUP(C70,[1]Sertifikasi!$B$4:$I$19,8,0)</f>
        <v>#N/A</v>
      </c>
    </row>
    <row r="71" spans="1:80" ht="11.25" customHeight="1">
      <c r="A71" s="147"/>
      <c r="B71" s="108">
        <v>68</v>
      </c>
      <c r="C71" s="108" t="s">
        <v>3679</v>
      </c>
      <c r="D71" s="113">
        <v>999600008</v>
      </c>
      <c r="E71" s="113">
        <v>1440001101416</v>
      </c>
      <c r="F71" s="108"/>
      <c r="G71" s="108" t="s">
        <v>33</v>
      </c>
      <c r="H71" s="108" t="s">
        <v>71</v>
      </c>
      <c r="I71" s="132">
        <v>43538</v>
      </c>
      <c r="J71" s="113">
        <f t="shared" si="0"/>
        <v>4</v>
      </c>
      <c r="K71" s="108">
        <f t="shared" si="1"/>
        <v>4</v>
      </c>
      <c r="L71" s="108" t="str">
        <f t="shared" si="2"/>
        <v>Organik</v>
      </c>
      <c r="M71" s="108" t="s">
        <v>2120</v>
      </c>
      <c r="N71" s="116">
        <v>35125</v>
      </c>
      <c r="O71" s="108" t="s">
        <v>2112</v>
      </c>
      <c r="P71" s="108" t="s">
        <v>4</v>
      </c>
      <c r="Q71" s="108" t="s">
        <v>197</v>
      </c>
      <c r="R71" s="108"/>
      <c r="S71" s="108"/>
      <c r="T71" s="108" t="s">
        <v>661</v>
      </c>
      <c r="U71" s="108" t="s">
        <v>662</v>
      </c>
      <c r="V71" s="108"/>
      <c r="W71" s="111"/>
      <c r="X71" s="108" t="s">
        <v>59</v>
      </c>
      <c r="Y71" s="108" t="s">
        <v>71</v>
      </c>
      <c r="Z71" s="111">
        <v>26406</v>
      </c>
      <c r="AA71" s="108">
        <f t="shared" ca="1" si="3"/>
        <v>51</v>
      </c>
      <c r="AB71" s="115" t="s">
        <v>3680</v>
      </c>
      <c r="AC71" s="115" t="s">
        <v>3681</v>
      </c>
      <c r="AD71" s="108" t="s">
        <v>3682</v>
      </c>
      <c r="AE71" s="108"/>
      <c r="AF71" s="108" t="s">
        <v>3683</v>
      </c>
      <c r="AG71" s="108" t="s">
        <v>3684</v>
      </c>
      <c r="AH71" s="108" t="s">
        <v>3685</v>
      </c>
      <c r="AI71" s="108" t="s">
        <v>189</v>
      </c>
      <c r="AJ71" s="108" t="s">
        <v>3686</v>
      </c>
      <c r="AK71" s="108" t="s">
        <v>3687</v>
      </c>
      <c r="AL71" s="108" t="s">
        <v>3688</v>
      </c>
      <c r="AM71" s="108" t="s">
        <v>3689</v>
      </c>
      <c r="AN71" s="108"/>
      <c r="AO71" s="108"/>
      <c r="AP71" s="108"/>
      <c r="AQ71" s="108"/>
      <c r="AR71" s="108"/>
      <c r="AS71" s="108">
        <v>3</v>
      </c>
      <c r="AT71" s="108" t="s">
        <v>343</v>
      </c>
      <c r="AU71" s="113">
        <v>382989226621000</v>
      </c>
      <c r="AV71" s="108" t="s">
        <v>74</v>
      </c>
      <c r="AW71" s="108" t="s">
        <v>13</v>
      </c>
      <c r="AX71" s="148" t="s">
        <v>793</v>
      </c>
      <c r="AY71" s="108" t="s">
        <v>3479</v>
      </c>
      <c r="AZ71" s="108"/>
      <c r="BA71" s="108" t="s">
        <v>13</v>
      </c>
      <c r="BB71" s="108" t="s">
        <v>793</v>
      </c>
      <c r="BC71" s="108" t="s">
        <v>3479</v>
      </c>
      <c r="BD71" s="108"/>
      <c r="BE71" s="116">
        <v>46508</v>
      </c>
      <c r="BF71" s="116" t="s">
        <v>3690</v>
      </c>
      <c r="BG71" s="108"/>
      <c r="BH71" s="108"/>
      <c r="BI71" s="149"/>
      <c r="BJ71" s="111">
        <v>44294</v>
      </c>
      <c r="BK71" s="111">
        <v>44322</v>
      </c>
      <c r="BL71" s="150">
        <v>44585</v>
      </c>
      <c r="BM71" s="149"/>
      <c r="BN71" s="149"/>
      <c r="BO71" s="108"/>
      <c r="BP71" s="108"/>
      <c r="BQ71" s="111"/>
      <c r="BR71" s="111"/>
      <c r="BS71" s="147"/>
      <c r="BT71" s="147"/>
      <c r="BU71" s="147"/>
      <c r="BV71" s="147"/>
      <c r="BW71" s="147"/>
      <c r="BX71" s="147"/>
      <c r="BY71" s="111">
        <v>45124</v>
      </c>
      <c r="BZ71" s="147" t="s">
        <v>3413</v>
      </c>
      <c r="CA71" s="147" t="s">
        <v>3691</v>
      </c>
      <c r="CB71" s="147" t="e">
        <f>VLOOKUP(C71,[1]Sertifikasi!$B$4:$I$19,8,0)</f>
        <v>#N/A</v>
      </c>
    </row>
    <row r="72" spans="1:80" ht="11.25" customHeight="1">
      <c r="A72" s="147"/>
      <c r="B72" s="108">
        <v>69</v>
      </c>
      <c r="C72" s="108" t="s">
        <v>3692</v>
      </c>
      <c r="D72" s="109">
        <v>999600041</v>
      </c>
      <c r="E72" s="113">
        <v>1440001095733</v>
      </c>
      <c r="F72" s="110"/>
      <c r="G72" s="113" t="s">
        <v>33</v>
      </c>
      <c r="H72" s="108" t="s">
        <v>71</v>
      </c>
      <c r="I72" s="132">
        <v>43987</v>
      </c>
      <c r="J72" s="113">
        <f t="shared" si="0"/>
        <v>3</v>
      </c>
      <c r="K72" s="108">
        <f t="shared" si="1"/>
        <v>1</v>
      </c>
      <c r="L72" s="108" t="str">
        <f t="shared" si="2"/>
        <v>Organik</v>
      </c>
      <c r="M72" s="108" t="s">
        <v>2111</v>
      </c>
      <c r="N72" s="116">
        <v>35278</v>
      </c>
      <c r="O72" s="108" t="s">
        <v>2112</v>
      </c>
      <c r="P72" s="108" t="s">
        <v>5</v>
      </c>
      <c r="Q72" s="108" t="s">
        <v>33</v>
      </c>
      <c r="R72" s="108"/>
      <c r="S72" s="108" t="s">
        <v>3693</v>
      </c>
      <c r="T72" s="108" t="s">
        <v>214</v>
      </c>
      <c r="U72" s="108" t="s">
        <v>180</v>
      </c>
      <c r="V72" s="108"/>
      <c r="W72" s="108"/>
      <c r="X72" s="108" t="s">
        <v>59</v>
      </c>
      <c r="Y72" s="108" t="s">
        <v>433</v>
      </c>
      <c r="Z72" s="111">
        <v>26949</v>
      </c>
      <c r="AA72" s="108">
        <f t="shared" ca="1" si="3"/>
        <v>50</v>
      </c>
      <c r="AB72" s="108" t="s">
        <v>3694</v>
      </c>
      <c r="AC72" s="108" t="s">
        <v>3695</v>
      </c>
      <c r="AD72" s="108" t="s">
        <v>3696</v>
      </c>
      <c r="AE72" s="108"/>
      <c r="AF72" s="108" t="s">
        <v>3697</v>
      </c>
      <c r="AG72" s="136" t="s">
        <v>3698</v>
      </c>
      <c r="AH72" s="115" t="s">
        <v>3699</v>
      </c>
      <c r="AI72" s="108" t="s">
        <v>189</v>
      </c>
      <c r="AJ72" s="108" t="s">
        <v>3700</v>
      </c>
      <c r="AK72" s="108" t="s">
        <v>3701</v>
      </c>
      <c r="AL72" s="108" t="s">
        <v>3702</v>
      </c>
      <c r="AM72" s="108"/>
      <c r="AN72" s="108"/>
      <c r="AO72" s="108"/>
      <c r="AP72" s="108"/>
      <c r="AQ72" s="108"/>
      <c r="AR72" s="108"/>
      <c r="AS72" s="147">
        <f t="shared" ref="AS72:AS100" si="12">COUNTA(AK72:AN72)</f>
        <v>2</v>
      </c>
      <c r="AT72" s="108" t="str">
        <f t="shared" ref="AT72:AT100" si="13">IF(AI72="Menikah","K","TK")&amp;"/"&amp;AS72</f>
        <v>K/2</v>
      </c>
      <c r="AU72" s="131">
        <v>478340599621000</v>
      </c>
      <c r="AV72" s="113" t="s">
        <v>74</v>
      </c>
      <c r="AW72" s="108" t="s">
        <v>16</v>
      </c>
      <c r="AX72" s="108" t="s">
        <v>285</v>
      </c>
      <c r="AY72" s="108" t="s">
        <v>2218</v>
      </c>
      <c r="AZ72" s="108"/>
      <c r="BA72" s="108" t="s">
        <v>16</v>
      </c>
      <c r="BB72" s="108" t="s">
        <v>285</v>
      </c>
      <c r="BC72" s="108" t="s">
        <v>2218</v>
      </c>
      <c r="BD72" s="108"/>
      <c r="BE72" s="116">
        <v>47058</v>
      </c>
      <c r="BF72" s="116">
        <v>47423</v>
      </c>
      <c r="BG72" s="108"/>
      <c r="BH72" s="108"/>
      <c r="BI72" s="108">
        <v>41</v>
      </c>
      <c r="BJ72" s="111">
        <v>44293</v>
      </c>
      <c r="BK72" s="111">
        <v>44322</v>
      </c>
      <c r="BL72" s="150">
        <v>44585</v>
      </c>
      <c r="BM72" s="150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11">
        <v>45135</v>
      </c>
      <c r="BZ72" s="147" t="s">
        <v>3413</v>
      </c>
      <c r="CA72" s="147" t="s">
        <v>3703</v>
      </c>
      <c r="CB72" s="147" t="e">
        <f>VLOOKUP(C72,[1]Sertifikasi!$B$4:$I$19,8,0)</f>
        <v>#N/A</v>
      </c>
    </row>
    <row r="73" spans="1:80" ht="11.25" customHeight="1">
      <c r="A73" s="147"/>
      <c r="B73" s="108">
        <v>70</v>
      </c>
      <c r="C73" s="108" t="s">
        <v>3704</v>
      </c>
      <c r="D73" s="109">
        <v>991800022</v>
      </c>
      <c r="E73" s="113">
        <v>1710003198648</v>
      </c>
      <c r="F73" s="110"/>
      <c r="G73" s="113" t="s">
        <v>33</v>
      </c>
      <c r="H73" s="108" t="s">
        <v>71</v>
      </c>
      <c r="I73" s="132">
        <v>43987</v>
      </c>
      <c r="J73" s="113">
        <f t="shared" si="0"/>
        <v>3</v>
      </c>
      <c r="K73" s="108">
        <f t="shared" si="1"/>
        <v>1</v>
      </c>
      <c r="L73" s="108" t="str">
        <f t="shared" si="2"/>
        <v>Organik</v>
      </c>
      <c r="M73" s="108" t="s">
        <v>1401</v>
      </c>
      <c r="N73" s="116">
        <v>43132</v>
      </c>
      <c r="O73" s="108" t="s">
        <v>261</v>
      </c>
      <c r="P73" s="108" t="s">
        <v>6</v>
      </c>
      <c r="Q73" s="108" t="s">
        <v>197</v>
      </c>
      <c r="R73" s="108" t="s">
        <v>899</v>
      </c>
      <c r="S73" s="108" t="s">
        <v>900</v>
      </c>
      <c r="T73" s="108" t="s">
        <v>362</v>
      </c>
      <c r="U73" s="108" t="s">
        <v>180</v>
      </c>
      <c r="V73" s="108"/>
      <c r="W73" s="108"/>
      <c r="X73" s="108" t="s">
        <v>59</v>
      </c>
      <c r="Y73" s="108" t="s">
        <v>842</v>
      </c>
      <c r="Z73" s="111">
        <v>33074</v>
      </c>
      <c r="AA73" s="108">
        <f t="shared" ca="1" si="3"/>
        <v>33</v>
      </c>
      <c r="AB73" s="108" t="s">
        <v>3705</v>
      </c>
      <c r="AC73" s="108" t="s">
        <v>3706</v>
      </c>
      <c r="AD73" s="141" t="s">
        <v>3707</v>
      </c>
      <c r="AE73" s="108"/>
      <c r="AF73" s="108" t="s">
        <v>3708</v>
      </c>
      <c r="AG73" s="114" t="s">
        <v>3709</v>
      </c>
      <c r="AH73" s="115">
        <v>12036704893</v>
      </c>
      <c r="AI73" s="108" t="s">
        <v>189</v>
      </c>
      <c r="AJ73" s="108" t="s">
        <v>3710</v>
      </c>
      <c r="AK73" s="108" t="s">
        <v>3711</v>
      </c>
      <c r="AL73" s="108" t="s">
        <v>3712</v>
      </c>
      <c r="AM73" s="108"/>
      <c r="AN73" s="108"/>
      <c r="AO73" s="108"/>
      <c r="AP73" s="108"/>
      <c r="AQ73" s="108"/>
      <c r="AR73" s="108"/>
      <c r="AS73" s="147">
        <f t="shared" si="12"/>
        <v>2</v>
      </c>
      <c r="AT73" s="108" t="str">
        <f t="shared" si="13"/>
        <v>K/2</v>
      </c>
      <c r="AU73" s="131" t="s">
        <v>3713</v>
      </c>
      <c r="AV73" s="113" t="s">
        <v>74</v>
      </c>
      <c r="AW73" s="108" t="s">
        <v>70</v>
      </c>
      <c r="AX73" s="108" t="s">
        <v>1912</v>
      </c>
      <c r="AY73" s="108" t="s">
        <v>3714</v>
      </c>
      <c r="AZ73" s="108"/>
      <c r="BA73" s="108" t="s">
        <v>70</v>
      </c>
      <c r="BB73" s="108" t="s">
        <v>1912</v>
      </c>
      <c r="BC73" s="108" t="s">
        <v>3714</v>
      </c>
      <c r="BD73" s="108"/>
      <c r="BE73" s="116">
        <v>53175</v>
      </c>
      <c r="BF73" s="116" t="s">
        <v>3715</v>
      </c>
      <c r="BG73" s="108"/>
      <c r="BH73" s="108"/>
      <c r="BI73" s="147">
        <v>41</v>
      </c>
      <c r="BJ73" s="111">
        <v>44294</v>
      </c>
      <c r="BK73" s="111">
        <v>44322</v>
      </c>
      <c r="BL73" s="150">
        <v>44657</v>
      </c>
      <c r="BM73" s="150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11">
        <v>45135</v>
      </c>
      <c r="BZ73" s="147" t="s">
        <v>3413</v>
      </c>
      <c r="CA73" s="147" t="s">
        <v>3703</v>
      </c>
      <c r="CB73" s="147" t="e">
        <f>VLOOKUP(C73,[1]Sertifikasi!$B$4:$I$19,8,0)</f>
        <v>#N/A</v>
      </c>
    </row>
    <row r="74" spans="1:80" ht="11.25" customHeight="1">
      <c r="A74" s="147"/>
      <c r="B74" s="108">
        <v>71</v>
      </c>
      <c r="C74" s="108" t="s">
        <v>3716</v>
      </c>
      <c r="D74" s="109">
        <v>999100010</v>
      </c>
      <c r="E74" s="113">
        <v>1440011136154</v>
      </c>
      <c r="F74" s="110">
        <v>7174486411</v>
      </c>
      <c r="G74" s="113" t="s">
        <v>33</v>
      </c>
      <c r="H74" s="108" t="s">
        <v>71</v>
      </c>
      <c r="I74" s="132">
        <v>43987</v>
      </c>
      <c r="J74" s="113">
        <f t="shared" si="0"/>
        <v>3</v>
      </c>
      <c r="K74" s="108">
        <f t="shared" si="1"/>
        <v>1</v>
      </c>
      <c r="L74" s="108" t="str">
        <f t="shared" si="2"/>
        <v>Organik</v>
      </c>
      <c r="M74" s="108" t="s">
        <v>1401</v>
      </c>
      <c r="N74" s="116">
        <v>33390</v>
      </c>
      <c r="O74" s="108" t="s">
        <v>261</v>
      </c>
      <c r="P74" s="108" t="s">
        <v>261</v>
      </c>
      <c r="Q74" s="108" t="s">
        <v>33</v>
      </c>
      <c r="R74" s="108"/>
      <c r="S74" s="108"/>
      <c r="T74" s="108" t="s">
        <v>199</v>
      </c>
      <c r="U74" s="108" t="s">
        <v>180</v>
      </c>
      <c r="V74" s="108"/>
      <c r="W74" s="108"/>
      <c r="X74" s="108" t="s">
        <v>59</v>
      </c>
      <c r="Y74" s="108" t="s">
        <v>1925</v>
      </c>
      <c r="Z74" s="111">
        <v>25798</v>
      </c>
      <c r="AA74" s="108">
        <f t="shared" ca="1" si="3"/>
        <v>53</v>
      </c>
      <c r="AB74" s="108" t="s">
        <v>3717</v>
      </c>
      <c r="AC74" s="108" t="s">
        <v>3718</v>
      </c>
      <c r="AD74" s="108" t="s">
        <v>3719</v>
      </c>
      <c r="AE74" s="108"/>
      <c r="AF74" s="108" t="s">
        <v>3720</v>
      </c>
      <c r="AG74" s="114" t="s">
        <v>3721</v>
      </c>
      <c r="AH74" s="115" t="s">
        <v>3722</v>
      </c>
      <c r="AI74" s="108" t="s">
        <v>189</v>
      </c>
      <c r="AJ74" s="108" t="s">
        <v>3723</v>
      </c>
      <c r="AK74" s="108" t="s">
        <v>3724</v>
      </c>
      <c r="AL74" s="108" t="s">
        <v>3725</v>
      </c>
      <c r="AM74" s="108" t="s">
        <v>3726</v>
      </c>
      <c r="AN74" s="108"/>
      <c r="AO74" s="108"/>
      <c r="AP74" s="108"/>
      <c r="AQ74" s="108"/>
      <c r="AR74" s="108"/>
      <c r="AS74" s="147">
        <f t="shared" si="12"/>
        <v>3</v>
      </c>
      <c r="AT74" s="108" t="str">
        <f t="shared" si="13"/>
        <v>K/3</v>
      </c>
      <c r="AU74" s="131" t="s">
        <v>3727</v>
      </c>
      <c r="AV74" s="113" t="s">
        <v>74</v>
      </c>
      <c r="AW74" s="108" t="s">
        <v>16</v>
      </c>
      <c r="AX74" s="108" t="s">
        <v>285</v>
      </c>
      <c r="AY74" s="108" t="s">
        <v>2229</v>
      </c>
      <c r="AZ74" s="108"/>
      <c r="BA74" s="108" t="s">
        <v>16</v>
      </c>
      <c r="BB74" s="108" t="s">
        <v>285</v>
      </c>
      <c r="BC74" s="108" t="s">
        <v>2229</v>
      </c>
      <c r="BD74" s="108"/>
      <c r="BE74" s="116">
        <v>45901</v>
      </c>
      <c r="BF74" s="116">
        <v>46266</v>
      </c>
      <c r="BG74" s="108"/>
      <c r="BH74" s="108"/>
      <c r="BI74" s="108">
        <v>44</v>
      </c>
      <c r="BJ74" s="111">
        <v>44294</v>
      </c>
      <c r="BK74" s="111">
        <v>44322</v>
      </c>
      <c r="BL74" s="150">
        <v>44601</v>
      </c>
      <c r="BM74" s="150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11">
        <v>45135</v>
      </c>
      <c r="BZ74" s="147" t="s">
        <v>3413</v>
      </c>
      <c r="CA74" s="147" t="s">
        <v>2988</v>
      </c>
      <c r="CB74" s="147" t="e">
        <f>VLOOKUP(C74,[1]Sertifikasi!$B$4:$I$19,8,0)</f>
        <v>#N/A</v>
      </c>
    </row>
    <row r="75" spans="1:80" ht="11.25" customHeight="1">
      <c r="A75" s="147"/>
      <c r="B75" s="108">
        <v>72</v>
      </c>
      <c r="C75" s="108" t="s">
        <v>3728</v>
      </c>
      <c r="D75" s="109">
        <v>999900029</v>
      </c>
      <c r="E75" s="113">
        <v>1440001098612</v>
      </c>
      <c r="F75" s="110"/>
      <c r="G75" s="113" t="s">
        <v>33</v>
      </c>
      <c r="H75" s="108" t="s">
        <v>71</v>
      </c>
      <c r="I75" s="132">
        <v>43987</v>
      </c>
      <c r="J75" s="113">
        <f t="shared" si="0"/>
        <v>3</v>
      </c>
      <c r="K75" s="108">
        <f t="shared" si="1"/>
        <v>1</v>
      </c>
      <c r="L75" s="108" t="str">
        <f t="shared" si="2"/>
        <v>Organik</v>
      </c>
      <c r="M75" s="108" t="s">
        <v>1401</v>
      </c>
      <c r="N75" s="116">
        <v>36495</v>
      </c>
      <c r="O75" s="108" t="s">
        <v>261</v>
      </c>
      <c r="P75" s="108" t="s">
        <v>261</v>
      </c>
      <c r="Q75" s="108" t="s">
        <v>33</v>
      </c>
      <c r="R75" s="108"/>
      <c r="S75" s="108"/>
      <c r="T75" s="108" t="s">
        <v>199</v>
      </c>
      <c r="U75" s="108" t="s">
        <v>180</v>
      </c>
      <c r="V75" s="108"/>
      <c r="W75" s="108"/>
      <c r="X75" s="108" t="s">
        <v>59</v>
      </c>
      <c r="Y75" s="108" t="s">
        <v>71</v>
      </c>
      <c r="Z75" s="111">
        <v>26861</v>
      </c>
      <c r="AA75" s="108">
        <f t="shared" ca="1" si="3"/>
        <v>50</v>
      </c>
      <c r="AB75" s="108" t="s">
        <v>3729</v>
      </c>
      <c r="AC75" s="108" t="s">
        <v>3730</v>
      </c>
      <c r="AD75" s="108" t="s">
        <v>3731</v>
      </c>
      <c r="AE75" s="108"/>
      <c r="AF75" s="108" t="s">
        <v>3732</v>
      </c>
      <c r="AG75" s="114" t="s">
        <v>3733</v>
      </c>
      <c r="AH75" s="115" t="s">
        <v>3734</v>
      </c>
      <c r="AI75" s="108" t="s">
        <v>189</v>
      </c>
      <c r="AJ75" s="108" t="s">
        <v>3735</v>
      </c>
      <c r="AK75" s="108" t="s">
        <v>3736</v>
      </c>
      <c r="AL75" s="108" t="s">
        <v>3737</v>
      </c>
      <c r="AM75" s="108"/>
      <c r="AN75" s="108"/>
      <c r="AO75" s="108"/>
      <c r="AP75" s="108"/>
      <c r="AQ75" s="108"/>
      <c r="AR75" s="108"/>
      <c r="AS75" s="147">
        <f t="shared" si="12"/>
        <v>2</v>
      </c>
      <c r="AT75" s="108" t="str">
        <f t="shared" si="13"/>
        <v>K/2</v>
      </c>
      <c r="AU75" s="131" t="s">
        <v>3738</v>
      </c>
      <c r="AV75" s="113" t="s">
        <v>74</v>
      </c>
      <c r="AW75" s="108" t="s">
        <v>16</v>
      </c>
      <c r="AX75" s="108" t="s">
        <v>2206</v>
      </c>
      <c r="AY75" s="108" t="s">
        <v>2229</v>
      </c>
      <c r="AZ75" s="108"/>
      <c r="BA75" s="108" t="s">
        <v>16</v>
      </c>
      <c r="BB75" s="108" t="s">
        <v>2206</v>
      </c>
      <c r="BC75" s="108" t="s">
        <v>2229</v>
      </c>
      <c r="BD75" s="108"/>
      <c r="BE75" s="116">
        <v>46966</v>
      </c>
      <c r="BF75" s="116" t="s">
        <v>3739</v>
      </c>
      <c r="BG75" s="108"/>
      <c r="BH75" s="108"/>
      <c r="BI75" s="108">
        <v>40</v>
      </c>
      <c r="BJ75" s="111">
        <v>44293</v>
      </c>
      <c r="BK75" s="111">
        <v>44322</v>
      </c>
      <c r="BL75" s="150">
        <v>44585</v>
      </c>
      <c r="BM75" s="150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11">
        <v>45135</v>
      </c>
      <c r="BZ75" s="147" t="s">
        <v>3413</v>
      </c>
      <c r="CA75" s="147" t="s">
        <v>2988</v>
      </c>
      <c r="CB75" s="147" t="e">
        <f>VLOOKUP(C75,[1]Sertifikasi!$B$4:$I$19,8,0)</f>
        <v>#N/A</v>
      </c>
    </row>
    <row r="76" spans="1:80" ht="11.25" customHeight="1">
      <c r="A76" s="147"/>
      <c r="B76" s="108">
        <v>73</v>
      </c>
      <c r="C76" s="108" t="s">
        <v>3740</v>
      </c>
      <c r="D76" s="109">
        <v>991700037</v>
      </c>
      <c r="E76" s="113">
        <v>1710000376205</v>
      </c>
      <c r="F76" s="110"/>
      <c r="G76" s="113" t="s">
        <v>33</v>
      </c>
      <c r="H76" s="108" t="s">
        <v>71</v>
      </c>
      <c r="I76" s="132">
        <v>43987</v>
      </c>
      <c r="J76" s="113">
        <f t="shared" si="0"/>
        <v>3</v>
      </c>
      <c r="K76" s="108">
        <f t="shared" si="1"/>
        <v>1</v>
      </c>
      <c r="L76" s="108" t="str">
        <f t="shared" si="2"/>
        <v>Organik</v>
      </c>
      <c r="M76" s="108" t="s">
        <v>1401</v>
      </c>
      <c r="N76" s="116">
        <v>42767</v>
      </c>
      <c r="O76" s="108" t="s">
        <v>261</v>
      </c>
      <c r="P76" s="108" t="s">
        <v>261</v>
      </c>
      <c r="Q76" s="108" t="s">
        <v>33</v>
      </c>
      <c r="R76" s="108"/>
      <c r="S76" s="108"/>
      <c r="T76" s="108" t="s">
        <v>276</v>
      </c>
      <c r="U76" s="108" t="s">
        <v>180</v>
      </c>
      <c r="V76" s="108"/>
      <c r="W76" s="108"/>
      <c r="X76" s="108" t="s">
        <v>59</v>
      </c>
      <c r="Y76" s="108" t="s">
        <v>71</v>
      </c>
      <c r="Z76" s="111">
        <v>32338</v>
      </c>
      <c r="AA76" s="108">
        <f t="shared" ca="1" si="3"/>
        <v>35</v>
      </c>
      <c r="AB76" s="108" t="s">
        <v>3741</v>
      </c>
      <c r="AC76" s="108" t="s">
        <v>3742</v>
      </c>
      <c r="AD76" s="108" t="s">
        <v>3743</v>
      </c>
      <c r="AE76" s="108"/>
      <c r="AF76" s="108" t="s">
        <v>3744</v>
      </c>
      <c r="AG76" s="114" t="s">
        <v>3745</v>
      </c>
      <c r="AH76" s="115">
        <v>14018489824</v>
      </c>
      <c r="AI76" s="108" t="s">
        <v>189</v>
      </c>
      <c r="AJ76" s="108" t="s">
        <v>3746</v>
      </c>
      <c r="AK76" s="108" t="s">
        <v>3747</v>
      </c>
      <c r="AL76" s="108"/>
      <c r="AM76" s="108"/>
      <c r="AN76" s="108"/>
      <c r="AO76" s="108"/>
      <c r="AP76" s="108"/>
      <c r="AQ76" s="108"/>
      <c r="AR76" s="108"/>
      <c r="AS76" s="147">
        <f t="shared" si="12"/>
        <v>1</v>
      </c>
      <c r="AT76" s="108" t="str">
        <f t="shared" si="13"/>
        <v>K/1</v>
      </c>
      <c r="AU76" s="131" t="s">
        <v>3748</v>
      </c>
      <c r="AV76" s="113" t="s">
        <v>74</v>
      </c>
      <c r="AW76" s="108" t="s">
        <v>16</v>
      </c>
      <c r="AX76" s="108" t="s">
        <v>210</v>
      </c>
      <c r="AY76" s="108" t="s">
        <v>2218</v>
      </c>
      <c r="AZ76" s="108"/>
      <c r="BA76" s="108" t="s">
        <v>16</v>
      </c>
      <c r="BB76" s="108" t="s">
        <v>210</v>
      </c>
      <c r="BC76" s="108" t="s">
        <v>2218</v>
      </c>
      <c r="BD76" s="108"/>
      <c r="BE76" s="116">
        <v>48061</v>
      </c>
      <c r="BF76" s="116" t="s">
        <v>3749</v>
      </c>
      <c r="BG76" s="108"/>
      <c r="BH76" s="108"/>
      <c r="BI76" s="108">
        <v>41</v>
      </c>
      <c r="BJ76" s="111">
        <v>44259</v>
      </c>
      <c r="BK76" s="111">
        <v>44304</v>
      </c>
      <c r="BL76" s="150">
        <v>44600</v>
      </c>
      <c r="BM76" s="150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11">
        <v>45135</v>
      </c>
      <c r="BZ76" s="147" t="s">
        <v>3413</v>
      </c>
      <c r="CA76" s="147" t="s">
        <v>2988</v>
      </c>
      <c r="CB76" s="147" t="e">
        <f>VLOOKUP(C76,[1]Sertifikasi!$B$4:$I$19,8,0)</f>
        <v>#N/A</v>
      </c>
    </row>
    <row r="77" spans="1:80" ht="11.25" customHeight="1">
      <c r="A77" s="147"/>
      <c r="B77" s="108">
        <v>74</v>
      </c>
      <c r="C77" s="108" t="s">
        <v>3750</v>
      </c>
      <c r="D77" s="109">
        <v>999400075</v>
      </c>
      <c r="E77" s="113">
        <v>1440001099941</v>
      </c>
      <c r="F77" s="110"/>
      <c r="G77" s="113" t="s">
        <v>33</v>
      </c>
      <c r="H77" s="108" t="s">
        <v>71</v>
      </c>
      <c r="I77" s="132">
        <v>43987</v>
      </c>
      <c r="J77" s="113">
        <f t="shared" si="0"/>
        <v>3</v>
      </c>
      <c r="K77" s="108">
        <f t="shared" si="1"/>
        <v>1</v>
      </c>
      <c r="L77" s="108" t="str">
        <f t="shared" si="2"/>
        <v>Organik</v>
      </c>
      <c r="M77" s="108" t="s">
        <v>1401</v>
      </c>
      <c r="N77" s="116">
        <v>34486</v>
      </c>
      <c r="O77" s="108" t="s">
        <v>3751</v>
      </c>
      <c r="P77" s="108" t="s">
        <v>6</v>
      </c>
      <c r="Q77" s="108" t="s">
        <v>33</v>
      </c>
      <c r="R77" s="108"/>
      <c r="S77" s="108"/>
      <c r="T77" s="108" t="s">
        <v>276</v>
      </c>
      <c r="U77" s="108" t="s">
        <v>180</v>
      </c>
      <c r="V77" s="108"/>
      <c r="W77" s="108"/>
      <c r="X77" s="108" t="s">
        <v>59</v>
      </c>
      <c r="Y77" s="108" t="s">
        <v>71</v>
      </c>
      <c r="Z77" s="111">
        <v>26873</v>
      </c>
      <c r="AA77" s="108">
        <f t="shared" ca="1" si="3"/>
        <v>50</v>
      </c>
      <c r="AB77" s="108" t="s">
        <v>3752</v>
      </c>
      <c r="AC77" s="108" t="s">
        <v>3753</v>
      </c>
      <c r="AD77" s="108" t="s">
        <v>3754</v>
      </c>
      <c r="AE77" s="108"/>
      <c r="AF77" s="108" t="s">
        <v>3755</v>
      </c>
      <c r="AG77" s="114" t="s">
        <v>3756</v>
      </c>
      <c r="AH77" s="115" t="s">
        <v>3757</v>
      </c>
      <c r="AI77" s="108" t="s">
        <v>189</v>
      </c>
      <c r="AJ77" s="108" t="s">
        <v>3758</v>
      </c>
      <c r="AK77" s="108" t="s">
        <v>3759</v>
      </c>
      <c r="AL77" s="108" t="s">
        <v>3760</v>
      </c>
      <c r="AM77" s="108"/>
      <c r="AN77" s="108"/>
      <c r="AO77" s="108"/>
      <c r="AP77" s="108"/>
      <c r="AQ77" s="108"/>
      <c r="AR77" s="108"/>
      <c r="AS77" s="147">
        <f t="shared" si="12"/>
        <v>2</v>
      </c>
      <c r="AT77" s="108" t="str">
        <f t="shared" si="13"/>
        <v>K/2</v>
      </c>
      <c r="AU77" s="131" t="s">
        <v>3761</v>
      </c>
      <c r="AV77" s="113" t="s">
        <v>74</v>
      </c>
      <c r="AW77" s="108" t="s">
        <v>16</v>
      </c>
      <c r="AX77" s="108" t="s">
        <v>2206</v>
      </c>
      <c r="AY77" s="108" t="s">
        <v>3762</v>
      </c>
      <c r="AZ77" s="108"/>
      <c r="BA77" s="108" t="s">
        <v>16</v>
      </c>
      <c r="BB77" s="108" t="s">
        <v>2206</v>
      </c>
      <c r="BC77" s="108" t="s">
        <v>3762</v>
      </c>
      <c r="BD77" s="108"/>
      <c r="BE77" s="116">
        <v>46966</v>
      </c>
      <c r="BF77" s="116" t="s">
        <v>3739</v>
      </c>
      <c r="BG77" s="108"/>
      <c r="BH77" s="108"/>
      <c r="BI77" s="108">
        <v>39</v>
      </c>
      <c r="BJ77" s="111">
        <v>44294</v>
      </c>
      <c r="BK77" s="111">
        <v>44322</v>
      </c>
      <c r="BL77" s="150">
        <v>44585</v>
      </c>
      <c r="BM77" s="150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11">
        <v>45135</v>
      </c>
      <c r="BZ77" s="147" t="s">
        <v>3413</v>
      </c>
      <c r="CA77" s="147" t="s">
        <v>3703</v>
      </c>
      <c r="CB77" s="147" t="e">
        <f>VLOOKUP(C77,[1]Sertifikasi!$B$4:$I$19,8,0)</f>
        <v>#N/A</v>
      </c>
    </row>
    <row r="78" spans="1:80" ht="11.25" customHeight="1">
      <c r="A78" s="147"/>
      <c r="B78" s="108">
        <v>75</v>
      </c>
      <c r="C78" s="108" t="s">
        <v>3763</v>
      </c>
      <c r="D78" s="109">
        <v>999800152</v>
      </c>
      <c r="E78" s="113">
        <v>1440001100194</v>
      </c>
      <c r="F78" s="110"/>
      <c r="G78" s="113" t="s">
        <v>33</v>
      </c>
      <c r="H78" s="108" t="s">
        <v>71</v>
      </c>
      <c r="I78" s="132">
        <v>43987</v>
      </c>
      <c r="J78" s="113">
        <f t="shared" si="0"/>
        <v>3</v>
      </c>
      <c r="K78" s="108">
        <f t="shared" si="1"/>
        <v>1</v>
      </c>
      <c r="L78" s="108" t="str">
        <f t="shared" si="2"/>
        <v>Organik</v>
      </c>
      <c r="M78" s="108" t="s">
        <v>1401</v>
      </c>
      <c r="N78" s="116">
        <v>36312</v>
      </c>
      <c r="O78" s="108" t="s">
        <v>261</v>
      </c>
      <c r="P78" s="108" t="s">
        <v>261</v>
      </c>
      <c r="Q78" s="108" t="s">
        <v>33</v>
      </c>
      <c r="R78" s="108"/>
      <c r="S78" s="108"/>
      <c r="T78" s="108" t="s">
        <v>199</v>
      </c>
      <c r="U78" s="108" t="s">
        <v>180</v>
      </c>
      <c r="V78" s="108"/>
      <c r="W78" s="108"/>
      <c r="X78" s="108" t="s">
        <v>59</v>
      </c>
      <c r="Y78" s="108" t="s">
        <v>72</v>
      </c>
      <c r="Z78" s="111">
        <v>26069</v>
      </c>
      <c r="AA78" s="108">
        <f t="shared" ca="1" si="3"/>
        <v>52</v>
      </c>
      <c r="AB78" s="108" t="s">
        <v>3764</v>
      </c>
      <c r="AC78" s="108" t="s">
        <v>3765</v>
      </c>
      <c r="AD78" s="108" t="s">
        <v>3766</v>
      </c>
      <c r="AE78" s="108"/>
      <c r="AF78" s="108" t="s">
        <v>3767</v>
      </c>
      <c r="AG78" s="114" t="s">
        <v>3768</v>
      </c>
      <c r="AH78" s="115" t="s">
        <v>3769</v>
      </c>
      <c r="AI78" s="108" t="s">
        <v>189</v>
      </c>
      <c r="AJ78" s="108" t="s">
        <v>3770</v>
      </c>
      <c r="AK78" s="108" t="s">
        <v>3771</v>
      </c>
      <c r="AL78" s="108" t="s">
        <v>3772</v>
      </c>
      <c r="AM78" s="108"/>
      <c r="AN78" s="108"/>
      <c r="AO78" s="108"/>
      <c r="AP78" s="108"/>
      <c r="AQ78" s="108"/>
      <c r="AR78" s="108"/>
      <c r="AS78" s="147">
        <f t="shared" si="12"/>
        <v>2</v>
      </c>
      <c r="AT78" s="108" t="str">
        <f t="shared" si="13"/>
        <v>K/2</v>
      </c>
      <c r="AU78" s="131" t="s">
        <v>3773</v>
      </c>
      <c r="AV78" s="113" t="s">
        <v>74</v>
      </c>
      <c r="AW78" s="108" t="s">
        <v>16</v>
      </c>
      <c r="AX78" s="108" t="s">
        <v>2206</v>
      </c>
      <c r="AY78" s="108" t="s">
        <v>3774</v>
      </c>
      <c r="AZ78" s="108"/>
      <c r="BA78" s="108" t="s">
        <v>16</v>
      </c>
      <c r="BB78" s="108" t="s">
        <v>2206</v>
      </c>
      <c r="BC78" s="108" t="s">
        <v>3774</v>
      </c>
      <c r="BD78" s="108"/>
      <c r="BE78" s="116">
        <v>46174</v>
      </c>
      <c r="BF78" s="116">
        <v>46539</v>
      </c>
      <c r="BG78" s="108"/>
      <c r="BH78" s="108"/>
      <c r="BI78" s="108">
        <v>41</v>
      </c>
      <c r="BJ78" s="111">
        <v>44294</v>
      </c>
      <c r="BK78" s="111">
        <v>44322</v>
      </c>
      <c r="BL78" s="150">
        <v>44585</v>
      </c>
      <c r="BM78" s="150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11">
        <v>45135</v>
      </c>
      <c r="BZ78" s="147" t="s">
        <v>3413</v>
      </c>
      <c r="CA78" s="147" t="s">
        <v>2988</v>
      </c>
      <c r="CB78" s="147" t="e">
        <f>VLOOKUP(C78,[1]Sertifikasi!$B$4:$I$19,8,0)</f>
        <v>#N/A</v>
      </c>
    </row>
    <row r="79" spans="1:80" ht="11.25" customHeight="1">
      <c r="A79" s="147"/>
      <c r="B79" s="108">
        <v>76</v>
      </c>
      <c r="C79" s="108" t="s">
        <v>3775</v>
      </c>
      <c r="D79" s="109">
        <v>999400090</v>
      </c>
      <c r="E79" s="113">
        <v>1440001094058</v>
      </c>
      <c r="F79" s="110"/>
      <c r="G79" s="113" t="s">
        <v>33</v>
      </c>
      <c r="H79" s="108" t="s">
        <v>71</v>
      </c>
      <c r="I79" s="132">
        <v>43987</v>
      </c>
      <c r="J79" s="113">
        <f t="shared" si="0"/>
        <v>3</v>
      </c>
      <c r="K79" s="108">
        <f t="shared" si="1"/>
        <v>1</v>
      </c>
      <c r="L79" s="108" t="str">
        <f t="shared" si="2"/>
        <v>Organik</v>
      </c>
      <c r="M79" s="108" t="s">
        <v>1401</v>
      </c>
      <c r="N79" s="116">
        <v>34608</v>
      </c>
      <c r="O79" s="108" t="s">
        <v>2112</v>
      </c>
      <c r="P79" s="108" t="s">
        <v>5</v>
      </c>
      <c r="Q79" s="108" t="s">
        <v>33</v>
      </c>
      <c r="R79" s="108"/>
      <c r="S79" s="108"/>
      <c r="T79" s="108" t="s">
        <v>214</v>
      </c>
      <c r="U79" s="108" t="s">
        <v>180</v>
      </c>
      <c r="V79" s="108"/>
      <c r="W79" s="108"/>
      <c r="X79" s="108" t="s">
        <v>59</v>
      </c>
      <c r="Y79" s="108" t="s">
        <v>72</v>
      </c>
      <c r="Z79" s="111">
        <v>25298</v>
      </c>
      <c r="AA79" s="108">
        <f t="shared" ca="1" si="3"/>
        <v>54</v>
      </c>
      <c r="AB79" s="113" t="s">
        <v>3776</v>
      </c>
      <c r="AC79" s="114" t="s">
        <v>3777</v>
      </c>
      <c r="AD79" s="108" t="s">
        <v>3778</v>
      </c>
      <c r="AE79" s="108"/>
      <c r="AF79" s="114" t="s">
        <v>3779</v>
      </c>
      <c r="AG79" s="114" t="s">
        <v>3780</v>
      </c>
      <c r="AH79" s="115" t="s">
        <v>3781</v>
      </c>
      <c r="AI79" s="108" t="s">
        <v>189</v>
      </c>
      <c r="AJ79" s="108" t="s">
        <v>3782</v>
      </c>
      <c r="AK79" s="108" t="s">
        <v>3783</v>
      </c>
      <c r="AL79" s="108" t="s">
        <v>3784</v>
      </c>
      <c r="AM79" s="108"/>
      <c r="AN79" s="108"/>
      <c r="AO79" s="108"/>
      <c r="AP79" s="108"/>
      <c r="AQ79" s="108"/>
      <c r="AR79" s="108"/>
      <c r="AS79" s="147">
        <f t="shared" si="12"/>
        <v>2</v>
      </c>
      <c r="AT79" s="108" t="str">
        <f t="shared" si="13"/>
        <v>K/2</v>
      </c>
      <c r="AU79" s="131" t="s">
        <v>3785</v>
      </c>
      <c r="AV79" s="113" t="s">
        <v>74</v>
      </c>
      <c r="AW79" s="108" t="s">
        <v>12</v>
      </c>
      <c r="AX79" s="108" t="s">
        <v>226</v>
      </c>
      <c r="AY79" s="108" t="s">
        <v>3786</v>
      </c>
      <c r="AZ79" s="108"/>
      <c r="BA79" s="108" t="s">
        <v>12</v>
      </c>
      <c r="BB79" s="108" t="s">
        <v>226</v>
      </c>
      <c r="BC79" s="108" t="s">
        <v>3786</v>
      </c>
      <c r="BD79" s="108"/>
      <c r="BE79" s="116">
        <v>45413</v>
      </c>
      <c r="BF79" s="116" t="s">
        <v>2148</v>
      </c>
      <c r="BG79" s="108"/>
      <c r="BH79" s="108"/>
      <c r="BI79" s="108">
        <v>41</v>
      </c>
      <c r="BJ79" s="111">
        <v>44293</v>
      </c>
      <c r="BK79" s="111">
        <v>44322</v>
      </c>
      <c r="BL79" s="150">
        <v>44585</v>
      </c>
      <c r="BM79" s="150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11">
        <v>45135</v>
      </c>
      <c r="BZ79" s="147" t="s">
        <v>3413</v>
      </c>
      <c r="CA79" s="147" t="s">
        <v>3703</v>
      </c>
      <c r="CB79" s="147" t="e">
        <f>VLOOKUP(C79,[1]Sertifikasi!$B$4:$I$19,8,0)</f>
        <v>#N/A</v>
      </c>
    </row>
    <row r="80" spans="1:80" ht="11.25" customHeight="1">
      <c r="A80" s="147"/>
      <c r="B80" s="108">
        <v>77</v>
      </c>
      <c r="C80" s="108" t="s">
        <v>3787</v>
      </c>
      <c r="D80" s="109">
        <v>999800012</v>
      </c>
      <c r="E80" s="113">
        <v>1440011135891</v>
      </c>
      <c r="F80" s="110"/>
      <c r="G80" s="113" t="s">
        <v>33</v>
      </c>
      <c r="H80" s="108" t="s">
        <v>71</v>
      </c>
      <c r="I80" s="132">
        <v>43987</v>
      </c>
      <c r="J80" s="113">
        <f t="shared" si="0"/>
        <v>3</v>
      </c>
      <c r="K80" s="108">
        <f t="shared" si="1"/>
        <v>1</v>
      </c>
      <c r="L80" s="108" t="str">
        <f t="shared" si="2"/>
        <v>Organik</v>
      </c>
      <c r="M80" s="108" t="s">
        <v>1401</v>
      </c>
      <c r="N80" s="116">
        <v>36039</v>
      </c>
      <c r="O80" s="108" t="s">
        <v>261</v>
      </c>
      <c r="P80" s="108" t="s">
        <v>261</v>
      </c>
      <c r="Q80" s="108" t="s">
        <v>33</v>
      </c>
      <c r="R80" s="108"/>
      <c r="S80" s="108"/>
      <c r="T80" s="108" t="s">
        <v>214</v>
      </c>
      <c r="U80" s="108" t="s">
        <v>180</v>
      </c>
      <c r="V80" s="108"/>
      <c r="W80" s="108"/>
      <c r="X80" s="108" t="s">
        <v>59</v>
      </c>
      <c r="Y80" s="108" t="s">
        <v>182</v>
      </c>
      <c r="Z80" s="111">
        <v>26595</v>
      </c>
      <c r="AA80" s="108">
        <f t="shared" ca="1" si="3"/>
        <v>51</v>
      </c>
      <c r="AB80" s="108" t="s">
        <v>3788</v>
      </c>
      <c r="AC80" s="108" t="s">
        <v>3789</v>
      </c>
      <c r="AD80" s="108" t="s">
        <v>3790</v>
      </c>
      <c r="AE80" s="108"/>
      <c r="AF80" s="108" t="s">
        <v>3791</v>
      </c>
      <c r="AG80" s="114" t="s">
        <v>3792</v>
      </c>
      <c r="AH80" s="115" t="s">
        <v>3793</v>
      </c>
      <c r="AI80" s="108" t="s">
        <v>189</v>
      </c>
      <c r="AJ80" s="108" t="s">
        <v>3794</v>
      </c>
      <c r="AK80" s="108" t="s">
        <v>3795</v>
      </c>
      <c r="AL80" s="108"/>
      <c r="AM80" s="108"/>
      <c r="AN80" s="108"/>
      <c r="AO80" s="108"/>
      <c r="AP80" s="108"/>
      <c r="AQ80" s="108"/>
      <c r="AR80" s="108"/>
      <c r="AS80" s="147">
        <f t="shared" si="12"/>
        <v>1</v>
      </c>
      <c r="AT80" s="108" t="str">
        <f t="shared" si="13"/>
        <v>K/1</v>
      </c>
      <c r="AU80" s="131" t="s">
        <v>3796</v>
      </c>
      <c r="AV80" s="113" t="s">
        <v>74</v>
      </c>
      <c r="AW80" s="108" t="s">
        <v>16</v>
      </c>
      <c r="AX80" s="108" t="s">
        <v>2206</v>
      </c>
      <c r="AY80" s="108" t="s">
        <v>1412</v>
      </c>
      <c r="AZ80" s="108"/>
      <c r="BA80" s="108" t="s">
        <v>16</v>
      </c>
      <c r="BB80" s="108" t="s">
        <v>2206</v>
      </c>
      <c r="BC80" s="108" t="s">
        <v>1412</v>
      </c>
      <c r="BD80" s="108"/>
      <c r="BE80" s="116">
        <v>46692</v>
      </c>
      <c r="BF80" s="116">
        <v>47058</v>
      </c>
      <c r="BG80" s="108"/>
      <c r="BH80" s="108"/>
      <c r="BI80" s="108">
        <v>41</v>
      </c>
      <c r="BJ80" s="111">
        <v>44294</v>
      </c>
      <c r="BK80" s="111">
        <v>44322</v>
      </c>
      <c r="BL80" s="150">
        <v>44587</v>
      </c>
      <c r="BM80" s="150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11">
        <v>45135</v>
      </c>
      <c r="BZ80" s="147" t="s">
        <v>3413</v>
      </c>
      <c r="CA80" s="147" t="s">
        <v>2988</v>
      </c>
      <c r="CB80" s="147" t="e">
        <f>VLOOKUP(C80,[1]Sertifikasi!$B$4:$I$19,8,0)</f>
        <v>#N/A</v>
      </c>
    </row>
    <row r="81" spans="1:80" ht="11.25" customHeight="1">
      <c r="A81" s="147"/>
      <c r="B81" s="108">
        <v>78</v>
      </c>
      <c r="C81" s="108" t="s">
        <v>3797</v>
      </c>
      <c r="D81" s="109">
        <v>991700049</v>
      </c>
      <c r="E81" s="113">
        <v>1410010465169</v>
      </c>
      <c r="F81" s="110"/>
      <c r="G81" s="113" t="s">
        <v>33</v>
      </c>
      <c r="H81" s="108" t="s">
        <v>71</v>
      </c>
      <c r="I81" s="132">
        <v>43987</v>
      </c>
      <c r="J81" s="113">
        <f t="shared" si="0"/>
        <v>3</v>
      </c>
      <c r="K81" s="108">
        <f t="shared" si="1"/>
        <v>1</v>
      </c>
      <c r="L81" s="108" t="str">
        <f t="shared" si="2"/>
        <v>Organik</v>
      </c>
      <c r="M81" s="108" t="s">
        <v>1401</v>
      </c>
      <c r="N81" s="116">
        <v>42917</v>
      </c>
      <c r="O81" s="108" t="s">
        <v>261</v>
      </c>
      <c r="P81" s="108" t="s">
        <v>261</v>
      </c>
      <c r="Q81" s="108" t="s">
        <v>33</v>
      </c>
      <c r="R81" s="108"/>
      <c r="S81" s="108"/>
      <c r="T81" s="108" t="s">
        <v>362</v>
      </c>
      <c r="U81" s="108" t="s">
        <v>180</v>
      </c>
      <c r="V81" s="108"/>
      <c r="W81" s="108"/>
      <c r="X81" s="108" t="s">
        <v>59</v>
      </c>
      <c r="Y81" s="108" t="s">
        <v>3798</v>
      </c>
      <c r="Z81" s="111">
        <v>33699</v>
      </c>
      <c r="AA81" s="108">
        <f t="shared" ca="1" si="3"/>
        <v>31</v>
      </c>
      <c r="AB81" s="108" t="s">
        <v>3799</v>
      </c>
      <c r="AC81" s="108" t="s">
        <v>3800</v>
      </c>
      <c r="AD81" s="108" t="s">
        <v>3801</v>
      </c>
      <c r="AE81" s="108"/>
      <c r="AF81" s="108" t="s">
        <v>3802</v>
      </c>
      <c r="AG81" s="114" t="s">
        <v>3803</v>
      </c>
      <c r="AH81" s="115">
        <v>14033437782</v>
      </c>
      <c r="AI81" s="108" t="s">
        <v>189</v>
      </c>
      <c r="AJ81" s="108" t="s">
        <v>3804</v>
      </c>
      <c r="AK81" s="108" t="s">
        <v>3805</v>
      </c>
      <c r="AL81" s="108" t="s">
        <v>3806</v>
      </c>
      <c r="AM81" s="108"/>
      <c r="AN81" s="108"/>
      <c r="AO81" s="108"/>
      <c r="AP81" s="108"/>
      <c r="AQ81" s="108"/>
      <c r="AR81" s="108"/>
      <c r="AS81" s="147">
        <f t="shared" si="12"/>
        <v>2</v>
      </c>
      <c r="AT81" s="108" t="str">
        <f t="shared" si="13"/>
        <v>K/2</v>
      </c>
      <c r="AU81" s="131" t="s">
        <v>3807</v>
      </c>
      <c r="AV81" s="113" t="s">
        <v>74</v>
      </c>
      <c r="AW81" s="108" t="s">
        <v>12</v>
      </c>
      <c r="AX81" s="108" t="s">
        <v>210</v>
      </c>
      <c r="AY81" s="108" t="s">
        <v>3714</v>
      </c>
      <c r="AZ81" s="108"/>
      <c r="BA81" s="108" t="s">
        <v>12</v>
      </c>
      <c r="BB81" s="108" t="s">
        <v>210</v>
      </c>
      <c r="BC81" s="108" t="s">
        <v>3714</v>
      </c>
      <c r="BD81" s="108"/>
      <c r="BE81" s="116">
        <v>53813</v>
      </c>
      <c r="BF81" s="116" t="s">
        <v>3808</v>
      </c>
      <c r="BG81" s="108"/>
      <c r="BH81" s="108"/>
      <c r="BI81" s="108">
        <v>42</v>
      </c>
      <c r="BJ81" s="111">
        <v>44294</v>
      </c>
      <c r="BK81" s="111">
        <v>44322</v>
      </c>
      <c r="BL81" s="150">
        <v>44587</v>
      </c>
      <c r="BM81" s="150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11">
        <v>45135</v>
      </c>
      <c r="BZ81" s="147" t="s">
        <v>3413</v>
      </c>
      <c r="CA81" s="147" t="s">
        <v>3703</v>
      </c>
      <c r="CB81" s="147" t="e">
        <f>VLOOKUP(C81,[1]Sertifikasi!$B$4:$I$19,8,0)</f>
        <v>#N/A</v>
      </c>
    </row>
    <row r="82" spans="1:80" ht="11.25" customHeight="1">
      <c r="A82" s="147"/>
      <c r="B82" s="108">
        <v>79</v>
      </c>
      <c r="C82" s="108" t="s">
        <v>3809</v>
      </c>
      <c r="D82" s="109">
        <v>999900027</v>
      </c>
      <c r="E82" s="113">
        <v>1440001094835</v>
      </c>
      <c r="F82" s="110"/>
      <c r="G82" s="113" t="s">
        <v>33</v>
      </c>
      <c r="H82" s="108" t="s">
        <v>71</v>
      </c>
      <c r="I82" s="132">
        <v>43987</v>
      </c>
      <c r="J82" s="113">
        <f t="shared" si="0"/>
        <v>3</v>
      </c>
      <c r="K82" s="108">
        <f t="shared" si="1"/>
        <v>1</v>
      </c>
      <c r="L82" s="108" t="str">
        <f t="shared" si="2"/>
        <v>Organik</v>
      </c>
      <c r="M82" s="108" t="s">
        <v>1401</v>
      </c>
      <c r="N82" s="116">
        <v>36495</v>
      </c>
      <c r="O82" s="108" t="s">
        <v>3751</v>
      </c>
      <c r="P82" s="108" t="s">
        <v>6</v>
      </c>
      <c r="Q82" s="108" t="s">
        <v>33</v>
      </c>
      <c r="R82" s="108"/>
      <c r="S82" s="108"/>
      <c r="T82" s="108" t="s">
        <v>276</v>
      </c>
      <c r="U82" s="108" t="s">
        <v>180</v>
      </c>
      <c r="V82" s="108"/>
      <c r="W82" s="108"/>
      <c r="X82" s="108" t="s">
        <v>59</v>
      </c>
      <c r="Y82" s="108" t="s">
        <v>71</v>
      </c>
      <c r="Z82" s="111">
        <v>26131</v>
      </c>
      <c r="AA82" s="108">
        <f t="shared" ca="1" si="3"/>
        <v>52</v>
      </c>
      <c r="AB82" s="108" t="s">
        <v>3810</v>
      </c>
      <c r="AC82" s="108" t="s">
        <v>3811</v>
      </c>
      <c r="AD82" s="108" t="s">
        <v>3812</v>
      </c>
      <c r="AE82" s="108"/>
      <c r="AF82" s="108" t="s">
        <v>3813</v>
      </c>
      <c r="AG82" s="114" t="s">
        <v>3814</v>
      </c>
      <c r="AH82" s="115" t="s">
        <v>3815</v>
      </c>
      <c r="AI82" s="108" t="s">
        <v>189</v>
      </c>
      <c r="AJ82" s="108" t="s">
        <v>3816</v>
      </c>
      <c r="AK82" s="108" t="s">
        <v>3817</v>
      </c>
      <c r="AL82" s="108" t="s">
        <v>3818</v>
      </c>
      <c r="AM82" s="108"/>
      <c r="AN82" s="108"/>
      <c r="AO82" s="108"/>
      <c r="AP82" s="108"/>
      <c r="AQ82" s="108"/>
      <c r="AR82" s="108"/>
      <c r="AS82" s="147">
        <f t="shared" si="12"/>
        <v>2</v>
      </c>
      <c r="AT82" s="108" t="str">
        <f t="shared" si="13"/>
        <v>K/2</v>
      </c>
      <c r="AU82" s="131" t="s">
        <v>3819</v>
      </c>
      <c r="AV82" s="113" t="s">
        <v>74</v>
      </c>
      <c r="AW82" s="108" t="s">
        <v>16</v>
      </c>
      <c r="AX82" s="108" t="s">
        <v>2206</v>
      </c>
      <c r="AY82" s="108" t="s">
        <v>2207</v>
      </c>
      <c r="AZ82" s="108"/>
      <c r="BA82" s="108" t="s">
        <v>16</v>
      </c>
      <c r="BB82" s="108" t="s">
        <v>2206</v>
      </c>
      <c r="BC82" s="108" t="s">
        <v>2207</v>
      </c>
      <c r="BD82" s="108"/>
      <c r="BE82" s="116">
        <v>46235</v>
      </c>
      <c r="BF82" s="116" t="s">
        <v>3820</v>
      </c>
      <c r="BG82" s="108"/>
      <c r="BH82" s="108"/>
      <c r="BI82" s="108">
        <v>41</v>
      </c>
      <c r="BJ82" s="111">
        <v>44294</v>
      </c>
      <c r="BK82" s="111">
        <v>44322</v>
      </c>
      <c r="BL82" s="176"/>
      <c r="BM82" s="150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11">
        <v>45135</v>
      </c>
      <c r="BZ82" s="147" t="s">
        <v>3413</v>
      </c>
      <c r="CA82" s="147" t="s">
        <v>3703</v>
      </c>
      <c r="CB82" s="147" t="e">
        <f>VLOOKUP(C82,[1]Sertifikasi!$B$4:$I$19,8,0)</f>
        <v>#N/A</v>
      </c>
    </row>
    <row r="83" spans="1:80" ht="11.25" customHeight="1">
      <c r="A83" s="147"/>
      <c r="B83" s="108">
        <v>80</v>
      </c>
      <c r="C83" s="108" t="s">
        <v>3821</v>
      </c>
      <c r="D83" s="109">
        <v>999400083</v>
      </c>
      <c r="E83" s="113">
        <v>1440001101002</v>
      </c>
      <c r="F83" s="110"/>
      <c r="G83" s="113" t="s">
        <v>33</v>
      </c>
      <c r="H83" s="108" t="s">
        <v>71</v>
      </c>
      <c r="I83" s="132">
        <v>43987</v>
      </c>
      <c r="J83" s="113">
        <f t="shared" si="0"/>
        <v>3</v>
      </c>
      <c r="K83" s="108">
        <f t="shared" si="1"/>
        <v>1</v>
      </c>
      <c r="L83" s="108" t="str">
        <f t="shared" si="2"/>
        <v>Organik</v>
      </c>
      <c r="M83" s="108" t="s">
        <v>1401</v>
      </c>
      <c r="N83" s="116">
        <v>34486</v>
      </c>
      <c r="O83" s="108" t="s">
        <v>261</v>
      </c>
      <c r="P83" s="108" t="s">
        <v>261</v>
      </c>
      <c r="Q83" s="108" t="s">
        <v>33</v>
      </c>
      <c r="R83" s="108"/>
      <c r="S83" s="108"/>
      <c r="T83" s="108" t="s">
        <v>214</v>
      </c>
      <c r="U83" s="108" t="s">
        <v>180</v>
      </c>
      <c r="V83" s="108"/>
      <c r="W83" s="108"/>
      <c r="X83" s="108" t="s">
        <v>59</v>
      </c>
      <c r="Y83" s="108" t="s">
        <v>71</v>
      </c>
      <c r="Z83" s="111">
        <v>26269</v>
      </c>
      <c r="AA83" s="108">
        <f t="shared" ca="1" si="3"/>
        <v>51</v>
      </c>
      <c r="AB83" s="108" t="s">
        <v>3822</v>
      </c>
      <c r="AC83" s="108" t="s">
        <v>3823</v>
      </c>
      <c r="AD83" s="108" t="s">
        <v>3824</v>
      </c>
      <c r="AE83" s="108"/>
      <c r="AF83" s="108" t="s">
        <v>3825</v>
      </c>
      <c r="AG83" s="114" t="s">
        <v>3826</v>
      </c>
      <c r="AH83" s="115" t="s">
        <v>3827</v>
      </c>
      <c r="AI83" s="108" t="s">
        <v>189</v>
      </c>
      <c r="AJ83" s="108" t="s">
        <v>3828</v>
      </c>
      <c r="AK83" s="108" t="s">
        <v>3829</v>
      </c>
      <c r="AL83" s="108" t="s">
        <v>3830</v>
      </c>
      <c r="AM83" s="108"/>
      <c r="AN83" s="108"/>
      <c r="AO83" s="108"/>
      <c r="AP83" s="108"/>
      <c r="AQ83" s="108"/>
      <c r="AR83" s="108"/>
      <c r="AS83" s="147">
        <f t="shared" si="12"/>
        <v>2</v>
      </c>
      <c r="AT83" s="108" t="str">
        <f t="shared" si="13"/>
        <v>K/2</v>
      </c>
      <c r="AU83" s="131" t="s">
        <v>3831</v>
      </c>
      <c r="AV83" s="113" t="s">
        <v>74</v>
      </c>
      <c r="AW83" s="108" t="s">
        <v>16</v>
      </c>
      <c r="AX83" s="108" t="s">
        <v>2206</v>
      </c>
      <c r="AY83" s="108" t="s">
        <v>3832</v>
      </c>
      <c r="AZ83" s="108"/>
      <c r="BA83" s="108" t="s">
        <v>16</v>
      </c>
      <c r="BB83" s="108" t="s">
        <v>2206</v>
      </c>
      <c r="BC83" s="108" t="s">
        <v>3832</v>
      </c>
      <c r="BD83" s="108"/>
      <c r="BE83" s="116">
        <v>46388</v>
      </c>
      <c r="BF83" s="116">
        <v>46753</v>
      </c>
      <c r="BG83" s="108"/>
      <c r="BH83" s="108"/>
      <c r="BI83" s="108">
        <v>40</v>
      </c>
      <c r="BJ83" s="111">
        <v>44293</v>
      </c>
      <c r="BK83" s="111">
        <v>44322</v>
      </c>
      <c r="BL83" s="150">
        <v>44952</v>
      </c>
      <c r="BM83" s="150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11">
        <v>45135</v>
      </c>
      <c r="BZ83" s="147" t="s">
        <v>3413</v>
      </c>
      <c r="CA83" s="147" t="s">
        <v>2988</v>
      </c>
      <c r="CB83" s="147" t="e">
        <f>VLOOKUP(C83,[1]Sertifikasi!$B$4:$I$19,8,0)</f>
        <v>#N/A</v>
      </c>
    </row>
    <row r="84" spans="1:80" ht="11.25" customHeight="1">
      <c r="A84" s="147"/>
      <c r="B84" s="108">
        <v>81</v>
      </c>
      <c r="C84" s="108" t="s">
        <v>3833</v>
      </c>
      <c r="D84" s="109">
        <v>999800040</v>
      </c>
      <c r="E84" s="113">
        <v>1440001095725</v>
      </c>
      <c r="F84" s="110"/>
      <c r="G84" s="113" t="s">
        <v>33</v>
      </c>
      <c r="H84" s="108" t="s">
        <v>71</v>
      </c>
      <c r="I84" s="132">
        <v>43987</v>
      </c>
      <c r="J84" s="113">
        <f t="shared" si="0"/>
        <v>3</v>
      </c>
      <c r="K84" s="108">
        <f t="shared" si="1"/>
        <v>1</v>
      </c>
      <c r="L84" s="108" t="str">
        <f t="shared" si="2"/>
        <v>Organik</v>
      </c>
      <c r="M84" s="108" t="s">
        <v>1401</v>
      </c>
      <c r="N84" s="116">
        <v>35278</v>
      </c>
      <c r="O84" s="108" t="s">
        <v>3751</v>
      </c>
      <c r="P84" s="108" t="s">
        <v>6</v>
      </c>
      <c r="Q84" s="108" t="s">
        <v>33</v>
      </c>
      <c r="R84" s="108"/>
      <c r="S84" s="108"/>
      <c r="T84" s="108" t="s">
        <v>214</v>
      </c>
      <c r="U84" s="108" t="s">
        <v>180</v>
      </c>
      <c r="V84" s="108"/>
      <c r="W84" s="108"/>
      <c r="X84" s="108" t="s">
        <v>59</v>
      </c>
      <c r="Y84" s="108" t="s">
        <v>71</v>
      </c>
      <c r="Z84" s="111">
        <v>26648</v>
      </c>
      <c r="AA84" s="108">
        <f t="shared" ca="1" si="3"/>
        <v>50</v>
      </c>
      <c r="AB84" s="108" t="s">
        <v>3834</v>
      </c>
      <c r="AC84" s="108" t="s">
        <v>3835</v>
      </c>
      <c r="AD84" s="108" t="s">
        <v>3836</v>
      </c>
      <c r="AE84" s="108"/>
      <c r="AF84" s="108" t="s">
        <v>3837</v>
      </c>
      <c r="AG84" s="114" t="s">
        <v>3838</v>
      </c>
      <c r="AH84" s="115" t="s">
        <v>3839</v>
      </c>
      <c r="AI84" s="108" t="s">
        <v>189</v>
      </c>
      <c r="AJ84" s="108" t="s">
        <v>3840</v>
      </c>
      <c r="AK84" s="108" t="s">
        <v>3841</v>
      </c>
      <c r="AL84" s="108" t="s">
        <v>3842</v>
      </c>
      <c r="AM84" s="108" t="s">
        <v>3843</v>
      </c>
      <c r="AN84" s="108"/>
      <c r="AO84" s="108"/>
      <c r="AP84" s="108"/>
      <c r="AQ84" s="108"/>
      <c r="AR84" s="108"/>
      <c r="AS84" s="147">
        <f t="shared" si="12"/>
        <v>3</v>
      </c>
      <c r="AT84" s="108" t="str">
        <f t="shared" si="13"/>
        <v>K/3</v>
      </c>
      <c r="AU84" s="131" t="s">
        <v>3844</v>
      </c>
      <c r="AV84" s="113" t="s">
        <v>74</v>
      </c>
      <c r="AW84" s="108" t="s">
        <v>16</v>
      </c>
      <c r="AX84" s="108" t="s">
        <v>3845</v>
      </c>
      <c r="AY84" s="108" t="s">
        <v>3774</v>
      </c>
      <c r="AZ84" s="108"/>
      <c r="BA84" s="108" t="s">
        <v>16</v>
      </c>
      <c r="BB84" s="108" t="s">
        <v>3845</v>
      </c>
      <c r="BC84" s="108" t="s">
        <v>3774</v>
      </c>
      <c r="BD84" s="108"/>
      <c r="BE84" s="116">
        <v>46753</v>
      </c>
      <c r="BF84" s="116">
        <v>47119</v>
      </c>
      <c r="BG84" s="108"/>
      <c r="BH84" s="108"/>
      <c r="BI84" s="108">
        <v>40</v>
      </c>
      <c r="BJ84" s="111">
        <v>44293</v>
      </c>
      <c r="BK84" s="111">
        <v>44322</v>
      </c>
      <c r="BL84" s="150">
        <v>44585</v>
      </c>
      <c r="BM84" s="150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11">
        <v>45135</v>
      </c>
      <c r="BZ84" s="147" t="s">
        <v>3413</v>
      </c>
      <c r="CA84" s="147" t="s">
        <v>3703</v>
      </c>
      <c r="CB84" s="147" t="e">
        <f>VLOOKUP(C84,[1]Sertifikasi!$B$4:$I$19,8,0)</f>
        <v>#N/A</v>
      </c>
    </row>
    <row r="85" spans="1:80" ht="11.25" customHeight="1">
      <c r="A85" s="147"/>
      <c r="B85" s="108">
        <v>82</v>
      </c>
      <c r="C85" s="108" t="s">
        <v>3846</v>
      </c>
      <c r="D85" s="109">
        <v>991700036</v>
      </c>
      <c r="E85" s="113">
        <v>1710000644644</v>
      </c>
      <c r="F85" s="110"/>
      <c r="G85" s="113" t="s">
        <v>33</v>
      </c>
      <c r="H85" s="108" t="s">
        <v>71</v>
      </c>
      <c r="I85" s="132">
        <v>43987</v>
      </c>
      <c r="J85" s="113">
        <f t="shared" si="0"/>
        <v>3</v>
      </c>
      <c r="K85" s="108">
        <f t="shared" si="1"/>
        <v>1</v>
      </c>
      <c r="L85" s="108" t="str">
        <f t="shared" si="2"/>
        <v>Organik</v>
      </c>
      <c r="M85" s="108" t="s">
        <v>1401</v>
      </c>
      <c r="N85" s="116">
        <v>42767</v>
      </c>
      <c r="O85" s="108" t="s">
        <v>261</v>
      </c>
      <c r="P85" s="108" t="s">
        <v>261</v>
      </c>
      <c r="Q85" s="108" t="s">
        <v>33</v>
      </c>
      <c r="R85" s="108"/>
      <c r="S85" s="108"/>
      <c r="T85" s="108" t="s">
        <v>214</v>
      </c>
      <c r="U85" s="108" t="s">
        <v>180</v>
      </c>
      <c r="V85" s="108"/>
      <c r="W85" s="108"/>
      <c r="X85" s="108" t="s">
        <v>59</v>
      </c>
      <c r="Y85" s="108" t="s">
        <v>433</v>
      </c>
      <c r="Z85" s="111">
        <v>33029</v>
      </c>
      <c r="AA85" s="108">
        <f t="shared" ca="1" si="3"/>
        <v>33</v>
      </c>
      <c r="AB85" s="108" t="s">
        <v>3847</v>
      </c>
      <c r="AC85" s="108" t="s">
        <v>3848</v>
      </c>
      <c r="AD85" s="108" t="s">
        <v>3849</v>
      </c>
      <c r="AE85" s="108"/>
      <c r="AF85" s="108" t="s">
        <v>3850</v>
      </c>
      <c r="AG85" s="114" t="s">
        <v>3851</v>
      </c>
      <c r="AH85" s="115">
        <v>14041228587</v>
      </c>
      <c r="AI85" s="108" t="s">
        <v>189</v>
      </c>
      <c r="AJ85" s="108" t="s">
        <v>3852</v>
      </c>
      <c r="AK85" s="108" t="s">
        <v>3853</v>
      </c>
      <c r="AL85" s="108"/>
      <c r="AM85" s="108"/>
      <c r="AN85" s="108"/>
      <c r="AO85" s="108"/>
      <c r="AP85" s="108"/>
      <c r="AQ85" s="108"/>
      <c r="AR85" s="108"/>
      <c r="AS85" s="147">
        <f t="shared" si="12"/>
        <v>1</v>
      </c>
      <c r="AT85" s="108" t="str">
        <f t="shared" si="13"/>
        <v>K/1</v>
      </c>
      <c r="AU85" s="131" t="s">
        <v>3854</v>
      </c>
      <c r="AV85" s="113" t="s">
        <v>74</v>
      </c>
      <c r="AW85" s="108" t="s">
        <v>16</v>
      </c>
      <c r="AX85" s="108" t="s">
        <v>2206</v>
      </c>
      <c r="AY85" s="108" t="s">
        <v>3855</v>
      </c>
      <c r="AZ85" s="108"/>
      <c r="BA85" s="108" t="s">
        <v>16</v>
      </c>
      <c r="BB85" s="108" t="s">
        <v>2206</v>
      </c>
      <c r="BC85" s="108" t="s">
        <v>3855</v>
      </c>
      <c r="BD85" s="108"/>
      <c r="BE85" s="116">
        <v>48761</v>
      </c>
      <c r="BF85" s="116">
        <v>49126</v>
      </c>
      <c r="BG85" s="108"/>
      <c r="BH85" s="108"/>
      <c r="BI85" s="108">
        <v>39</v>
      </c>
      <c r="BJ85" s="111">
        <v>44294</v>
      </c>
      <c r="BK85" s="111">
        <v>44322</v>
      </c>
      <c r="BL85" s="150">
        <v>44587</v>
      </c>
      <c r="BM85" s="150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11">
        <v>45135</v>
      </c>
      <c r="BZ85" s="147" t="s">
        <v>3413</v>
      </c>
      <c r="CA85" s="147" t="s">
        <v>2988</v>
      </c>
      <c r="CB85" s="147" t="e">
        <f>VLOOKUP(C85,[1]Sertifikasi!$B$4:$I$19,8,0)</f>
        <v>#N/A</v>
      </c>
    </row>
    <row r="86" spans="1:80" ht="11.25" customHeight="1">
      <c r="A86" s="147"/>
      <c r="B86" s="108">
        <v>83</v>
      </c>
      <c r="C86" s="108" t="s">
        <v>3856</v>
      </c>
      <c r="D86" s="109">
        <v>999800091</v>
      </c>
      <c r="E86" s="113">
        <v>1440001095840</v>
      </c>
      <c r="F86" s="110"/>
      <c r="G86" s="113" t="s">
        <v>33</v>
      </c>
      <c r="H86" s="108" t="s">
        <v>71</v>
      </c>
      <c r="I86" s="132">
        <v>43987</v>
      </c>
      <c r="J86" s="113">
        <f t="shared" si="0"/>
        <v>3</v>
      </c>
      <c r="K86" s="108">
        <f t="shared" si="1"/>
        <v>1</v>
      </c>
      <c r="L86" s="108" t="str">
        <f t="shared" si="2"/>
        <v>Organik</v>
      </c>
      <c r="M86" s="108" t="s">
        <v>1401</v>
      </c>
      <c r="N86" s="116">
        <v>36312</v>
      </c>
      <c r="O86" s="108" t="s">
        <v>261</v>
      </c>
      <c r="P86" s="108" t="s">
        <v>261</v>
      </c>
      <c r="Q86" s="108" t="s">
        <v>33</v>
      </c>
      <c r="R86" s="108"/>
      <c r="S86" s="108"/>
      <c r="T86" s="108" t="s">
        <v>214</v>
      </c>
      <c r="U86" s="108" t="s">
        <v>180</v>
      </c>
      <c r="V86" s="108"/>
      <c r="W86" s="108"/>
      <c r="X86" s="108" t="s">
        <v>59</v>
      </c>
      <c r="Y86" s="108" t="s">
        <v>433</v>
      </c>
      <c r="Z86" s="111">
        <v>25358</v>
      </c>
      <c r="AA86" s="108">
        <f t="shared" ca="1" si="3"/>
        <v>54</v>
      </c>
      <c r="AB86" s="108" t="s">
        <v>3857</v>
      </c>
      <c r="AC86" s="108" t="s">
        <v>3858</v>
      </c>
      <c r="AD86" s="108" t="s">
        <v>3859</v>
      </c>
      <c r="AE86" s="108"/>
      <c r="AF86" s="108" t="s">
        <v>3860</v>
      </c>
      <c r="AG86" s="114" t="s">
        <v>3861</v>
      </c>
      <c r="AH86" s="115" t="s">
        <v>3862</v>
      </c>
      <c r="AI86" s="108" t="s">
        <v>189</v>
      </c>
      <c r="AJ86" s="108" t="s">
        <v>3863</v>
      </c>
      <c r="AK86" s="108" t="s">
        <v>3864</v>
      </c>
      <c r="AL86" s="108"/>
      <c r="AM86" s="108"/>
      <c r="AN86" s="108"/>
      <c r="AO86" s="108"/>
      <c r="AP86" s="108"/>
      <c r="AQ86" s="108"/>
      <c r="AR86" s="108"/>
      <c r="AS86" s="147">
        <f t="shared" si="12"/>
        <v>1</v>
      </c>
      <c r="AT86" s="108" t="str">
        <f t="shared" si="13"/>
        <v>K/1</v>
      </c>
      <c r="AU86" s="131" t="s">
        <v>3865</v>
      </c>
      <c r="AV86" s="113" t="s">
        <v>74</v>
      </c>
      <c r="AW86" s="108" t="s">
        <v>16</v>
      </c>
      <c r="AX86" s="108" t="s">
        <v>2206</v>
      </c>
      <c r="AY86" s="108" t="s">
        <v>2229</v>
      </c>
      <c r="AZ86" s="108"/>
      <c r="BA86" s="108" t="s">
        <v>16</v>
      </c>
      <c r="BB86" s="108" t="s">
        <v>2206</v>
      </c>
      <c r="BC86" s="108" t="s">
        <v>2229</v>
      </c>
      <c r="BD86" s="108"/>
      <c r="BE86" s="116">
        <v>45474</v>
      </c>
      <c r="BF86" s="116">
        <v>45839</v>
      </c>
      <c r="BG86" s="108"/>
      <c r="BH86" s="108"/>
      <c r="BI86" s="108">
        <v>39</v>
      </c>
      <c r="BJ86" s="111">
        <v>44294</v>
      </c>
      <c r="BK86" s="111">
        <v>44322</v>
      </c>
      <c r="BL86" s="176"/>
      <c r="BM86" s="150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11">
        <v>45135</v>
      </c>
      <c r="BZ86" s="147" t="s">
        <v>3413</v>
      </c>
      <c r="CA86" s="147" t="s">
        <v>2988</v>
      </c>
      <c r="CB86" s="147" t="e">
        <f>VLOOKUP(C86,[1]Sertifikasi!$B$4:$I$19,8,0)</f>
        <v>#N/A</v>
      </c>
    </row>
    <row r="87" spans="1:80" ht="11.25" customHeight="1">
      <c r="A87" s="147"/>
      <c r="B87" s="108">
        <v>84</v>
      </c>
      <c r="C87" s="108" t="s">
        <v>3866</v>
      </c>
      <c r="D87" s="109">
        <v>999800138</v>
      </c>
      <c r="E87" s="113">
        <v>1440001094777</v>
      </c>
      <c r="F87" s="110"/>
      <c r="G87" s="113" t="s">
        <v>33</v>
      </c>
      <c r="H87" s="108" t="s">
        <v>71</v>
      </c>
      <c r="I87" s="132">
        <v>43987</v>
      </c>
      <c r="J87" s="113">
        <f t="shared" si="0"/>
        <v>3</v>
      </c>
      <c r="K87" s="108">
        <f t="shared" si="1"/>
        <v>1</v>
      </c>
      <c r="L87" s="108" t="str">
        <f t="shared" si="2"/>
        <v>Organik</v>
      </c>
      <c r="M87" s="108" t="s">
        <v>1401</v>
      </c>
      <c r="N87" s="116">
        <v>36312</v>
      </c>
      <c r="O87" s="108" t="s">
        <v>261</v>
      </c>
      <c r="P87" s="108" t="s">
        <v>261</v>
      </c>
      <c r="Q87" s="108" t="s">
        <v>33</v>
      </c>
      <c r="R87" s="108"/>
      <c r="S87" s="108"/>
      <c r="T87" s="108" t="s">
        <v>214</v>
      </c>
      <c r="U87" s="108" t="s">
        <v>180</v>
      </c>
      <c r="V87" s="108"/>
      <c r="W87" s="108"/>
      <c r="X87" s="108" t="s">
        <v>59</v>
      </c>
      <c r="Y87" s="108" t="s">
        <v>71</v>
      </c>
      <c r="Z87" s="111">
        <v>26307</v>
      </c>
      <c r="AA87" s="108">
        <f t="shared" ca="1" si="3"/>
        <v>51</v>
      </c>
      <c r="AB87" s="108" t="s">
        <v>3867</v>
      </c>
      <c r="AC87" s="108" t="s">
        <v>3868</v>
      </c>
      <c r="AD87" s="108" t="s">
        <v>3869</v>
      </c>
      <c r="AE87" s="108"/>
      <c r="AF87" s="108" t="s">
        <v>3870</v>
      </c>
      <c r="AG87" s="114" t="s">
        <v>3871</v>
      </c>
      <c r="AH87" s="115" t="s">
        <v>3872</v>
      </c>
      <c r="AI87" s="108" t="s">
        <v>189</v>
      </c>
      <c r="AJ87" s="108" t="s">
        <v>3873</v>
      </c>
      <c r="AK87" s="108" t="s">
        <v>3874</v>
      </c>
      <c r="AL87" s="108" t="s">
        <v>3875</v>
      </c>
      <c r="AM87" s="108"/>
      <c r="AN87" s="108"/>
      <c r="AO87" s="108"/>
      <c r="AP87" s="108"/>
      <c r="AQ87" s="108"/>
      <c r="AR87" s="108"/>
      <c r="AS87" s="147">
        <f t="shared" si="12"/>
        <v>2</v>
      </c>
      <c r="AT87" s="108" t="str">
        <f t="shared" si="13"/>
        <v>K/2</v>
      </c>
      <c r="AU87" s="131" t="s">
        <v>3876</v>
      </c>
      <c r="AV87" s="113" t="s">
        <v>74</v>
      </c>
      <c r="AW87" s="108" t="s">
        <v>16</v>
      </c>
      <c r="AX87" s="108" t="s">
        <v>3845</v>
      </c>
      <c r="AY87" s="108" t="s">
        <v>2180</v>
      </c>
      <c r="AZ87" s="108"/>
      <c r="BA87" s="108" t="s">
        <v>16</v>
      </c>
      <c r="BB87" s="108" t="s">
        <v>3845</v>
      </c>
      <c r="BC87" s="108" t="s">
        <v>2180</v>
      </c>
      <c r="BD87" s="108"/>
      <c r="BE87" s="116">
        <v>46419</v>
      </c>
      <c r="BF87" s="116">
        <v>46784</v>
      </c>
      <c r="BG87" s="108"/>
      <c r="BH87" s="108"/>
      <c r="BI87" s="108">
        <v>39</v>
      </c>
      <c r="BJ87" s="111">
        <v>44294</v>
      </c>
      <c r="BK87" s="111">
        <v>44322</v>
      </c>
      <c r="BL87" s="150">
        <v>44585</v>
      </c>
      <c r="BM87" s="150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11">
        <v>45135</v>
      </c>
      <c r="BZ87" s="147" t="s">
        <v>3413</v>
      </c>
      <c r="CA87" s="147" t="s">
        <v>2988</v>
      </c>
      <c r="CB87" s="147" t="e">
        <f>VLOOKUP(C87,[1]Sertifikasi!$B$4:$I$19,8,0)</f>
        <v>#N/A</v>
      </c>
    </row>
    <row r="88" spans="1:80" ht="11.25" customHeight="1">
      <c r="A88" s="147"/>
      <c r="B88" s="108">
        <v>85</v>
      </c>
      <c r="C88" s="108" t="s">
        <v>3877</v>
      </c>
      <c r="D88" s="109">
        <v>999800173</v>
      </c>
      <c r="E88" s="113">
        <v>1440001099164</v>
      </c>
      <c r="F88" s="110"/>
      <c r="G88" s="113" t="s">
        <v>33</v>
      </c>
      <c r="H88" s="108" t="s">
        <v>71</v>
      </c>
      <c r="I88" s="132">
        <v>43987</v>
      </c>
      <c r="J88" s="113">
        <f t="shared" si="0"/>
        <v>3</v>
      </c>
      <c r="K88" s="108">
        <f t="shared" si="1"/>
        <v>1</v>
      </c>
      <c r="L88" s="108" t="str">
        <f t="shared" si="2"/>
        <v>Organik</v>
      </c>
      <c r="M88" s="108" t="s">
        <v>1401</v>
      </c>
      <c r="N88" s="116">
        <v>36312</v>
      </c>
      <c r="O88" s="108" t="s">
        <v>261</v>
      </c>
      <c r="P88" s="108" t="s">
        <v>261</v>
      </c>
      <c r="Q88" s="108" t="s">
        <v>33</v>
      </c>
      <c r="R88" s="108"/>
      <c r="S88" s="108"/>
      <c r="T88" s="108" t="s">
        <v>214</v>
      </c>
      <c r="U88" s="108" t="s">
        <v>180</v>
      </c>
      <c r="V88" s="108" t="s">
        <v>617</v>
      </c>
      <c r="W88" s="108"/>
      <c r="X88" s="108" t="s">
        <v>59</v>
      </c>
      <c r="Y88" s="108" t="s">
        <v>433</v>
      </c>
      <c r="Z88" s="111">
        <v>26528</v>
      </c>
      <c r="AA88" s="108">
        <f t="shared" ca="1" si="3"/>
        <v>51</v>
      </c>
      <c r="AB88" s="108" t="s">
        <v>3878</v>
      </c>
      <c r="AC88" s="108" t="s">
        <v>3879</v>
      </c>
      <c r="AD88" s="108" t="s">
        <v>3880</v>
      </c>
      <c r="AE88" s="108"/>
      <c r="AF88" s="108" t="s">
        <v>3881</v>
      </c>
      <c r="AG88" s="114" t="s">
        <v>3882</v>
      </c>
      <c r="AH88" s="115" t="s">
        <v>3883</v>
      </c>
      <c r="AI88" s="108" t="s">
        <v>189</v>
      </c>
      <c r="AJ88" s="108" t="s">
        <v>3884</v>
      </c>
      <c r="AK88" s="108" t="s">
        <v>3885</v>
      </c>
      <c r="AL88" s="108" t="s">
        <v>3886</v>
      </c>
      <c r="AM88" s="108" t="s">
        <v>3887</v>
      </c>
      <c r="AN88" s="108"/>
      <c r="AO88" s="108"/>
      <c r="AP88" s="108"/>
      <c r="AQ88" s="108"/>
      <c r="AR88" s="108"/>
      <c r="AS88" s="147">
        <f t="shared" si="12"/>
        <v>3</v>
      </c>
      <c r="AT88" s="108" t="str">
        <f t="shared" si="13"/>
        <v>K/3</v>
      </c>
      <c r="AU88" s="131" t="s">
        <v>3888</v>
      </c>
      <c r="AV88" s="113" t="s">
        <v>74</v>
      </c>
      <c r="AW88" s="108" t="s">
        <v>16</v>
      </c>
      <c r="AX88" s="108" t="s">
        <v>2206</v>
      </c>
      <c r="AY88" s="108" t="s">
        <v>2229</v>
      </c>
      <c r="AZ88" s="108"/>
      <c r="BA88" s="108" t="s">
        <v>16</v>
      </c>
      <c r="BB88" s="108" t="s">
        <v>2206</v>
      </c>
      <c r="BC88" s="108" t="s">
        <v>2229</v>
      </c>
      <c r="BD88" s="108"/>
      <c r="BE88" s="116">
        <v>46631</v>
      </c>
      <c r="BF88" s="116">
        <v>46997</v>
      </c>
      <c r="BG88" s="108"/>
      <c r="BH88" s="108"/>
      <c r="BI88" s="108">
        <v>40</v>
      </c>
      <c r="BJ88" s="111">
        <v>44293</v>
      </c>
      <c r="BK88" s="111">
        <v>44322</v>
      </c>
      <c r="BL88" s="150">
        <v>44738</v>
      </c>
      <c r="BM88" s="150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11">
        <v>45135</v>
      </c>
      <c r="BZ88" s="147" t="s">
        <v>3413</v>
      </c>
      <c r="CA88" s="147" t="s">
        <v>2988</v>
      </c>
      <c r="CB88" s="147" t="e">
        <f>VLOOKUP(C88,[1]Sertifikasi!$B$4:$I$19,8,0)</f>
        <v>#N/A</v>
      </c>
    </row>
    <row r="89" spans="1:80" ht="11.25" customHeight="1">
      <c r="A89" s="147"/>
      <c r="B89" s="108">
        <v>86</v>
      </c>
      <c r="C89" s="108" t="s">
        <v>3889</v>
      </c>
      <c r="D89" s="109">
        <v>999800044</v>
      </c>
      <c r="E89" s="113">
        <v>1440001095808</v>
      </c>
      <c r="F89" s="110"/>
      <c r="G89" s="113" t="s">
        <v>33</v>
      </c>
      <c r="H89" s="108" t="s">
        <v>71</v>
      </c>
      <c r="I89" s="132">
        <v>43987</v>
      </c>
      <c r="J89" s="113">
        <f t="shared" si="0"/>
        <v>3</v>
      </c>
      <c r="K89" s="108">
        <f t="shared" si="1"/>
        <v>1</v>
      </c>
      <c r="L89" s="108" t="str">
        <f t="shared" si="2"/>
        <v>Organik</v>
      </c>
      <c r="M89" s="108" t="s">
        <v>1401</v>
      </c>
      <c r="N89" s="116">
        <v>36039</v>
      </c>
      <c r="O89" s="108" t="s">
        <v>3751</v>
      </c>
      <c r="P89" s="108" t="s">
        <v>6</v>
      </c>
      <c r="Q89" s="108" t="s">
        <v>33</v>
      </c>
      <c r="R89" s="108"/>
      <c r="S89" s="108"/>
      <c r="T89" s="108" t="s">
        <v>214</v>
      </c>
      <c r="U89" s="108" t="s">
        <v>180</v>
      </c>
      <c r="V89" s="108"/>
      <c r="W89" s="108"/>
      <c r="X89" s="108" t="s">
        <v>59</v>
      </c>
      <c r="Y89" s="108" t="s">
        <v>71</v>
      </c>
      <c r="Z89" s="111">
        <v>26722</v>
      </c>
      <c r="AA89" s="108">
        <f t="shared" ca="1" si="3"/>
        <v>50</v>
      </c>
      <c r="AB89" s="108" t="s">
        <v>3890</v>
      </c>
      <c r="AC89" s="108" t="s">
        <v>3891</v>
      </c>
      <c r="AD89" s="108" t="s">
        <v>3892</v>
      </c>
      <c r="AE89" s="108"/>
      <c r="AF89" s="108" t="s">
        <v>3893</v>
      </c>
      <c r="AG89" s="114" t="s">
        <v>3894</v>
      </c>
      <c r="AH89" s="115" t="s">
        <v>3895</v>
      </c>
      <c r="AI89" s="108" t="s">
        <v>189</v>
      </c>
      <c r="AJ89" s="108" t="s">
        <v>3896</v>
      </c>
      <c r="AK89" s="108" t="s">
        <v>3897</v>
      </c>
      <c r="AL89" s="108" t="s">
        <v>3898</v>
      </c>
      <c r="AM89" s="108"/>
      <c r="AN89" s="108"/>
      <c r="AO89" s="108"/>
      <c r="AP89" s="108"/>
      <c r="AQ89" s="108"/>
      <c r="AR89" s="108"/>
      <c r="AS89" s="147">
        <f t="shared" si="12"/>
        <v>2</v>
      </c>
      <c r="AT89" s="108" t="str">
        <f t="shared" si="13"/>
        <v>K/2</v>
      </c>
      <c r="AU89" s="131" t="s">
        <v>3899</v>
      </c>
      <c r="AV89" s="113" t="s">
        <v>74</v>
      </c>
      <c r="AW89" s="108" t="s">
        <v>16</v>
      </c>
      <c r="AX89" s="108" t="s">
        <v>3845</v>
      </c>
      <c r="AY89" s="108" t="s">
        <v>2180</v>
      </c>
      <c r="AZ89" s="108"/>
      <c r="BA89" s="108" t="s">
        <v>16</v>
      </c>
      <c r="BB89" s="108" t="s">
        <v>3845</v>
      </c>
      <c r="BC89" s="108" t="s">
        <v>2180</v>
      </c>
      <c r="BD89" s="108"/>
      <c r="BE89" s="116">
        <v>46813</v>
      </c>
      <c r="BF89" s="116">
        <v>47178</v>
      </c>
      <c r="BG89" s="108"/>
      <c r="BH89" s="108"/>
      <c r="BI89" s="108">
        <v>39</v>
      </c>
      <c r="BJ89" s="111">
        <v>44294</v>
      </c>
      <c r="BK89" s="111">
        <v>44322</v>
      </c>
      <c r="BL89" s="150">
        <v>44585</v>
      </c>
      <c r="BM89" s="150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11">
        <v>45135</v>
      </c>
      <c r="BZ89" s="147" t="s">
        <v>3413</v>
      </c>
      <c r="CA89" s="147" t="s">
        <v>3703</v>
      </c>
      <c r="CB89" s="147" t="e">
        <f>VLOOKUP(C89,[1]Sertifikasi!$B$4:$I$19,8,0)</f>
        <v>#N/A</v>
      </c>
    </row>
    <row r="90" spans="1:80" ht="11.25" customHeight="1">
      <c r="A90" s="147"/>
      <c r="B90" s="108">
        <v>87</v>
      </c>
      <c r="C90" s="108" t="s">
        <v>3900</v>
      </c>
      <c r="D90" s="109">
        <v>999800093</v>
      </c>
      <c r="E90" s="113">
        <v>1440011135289</v>
      </c>
      <c r="F90" s="110"/>
      <c r="G90" s="113" t="s">
        <v>33</v>
      </c>
      <c r="H90" s="108" t="s">
        <v>71</v>
      </c>
      <c r="I90" s="132">
        <v>43987</v>
      </c>
      <c r="J90" s="113">
        <f t="shared" si="0"/>
        <v>3</v>
      </c>
      <c r="K90" s="108">
        <f t="shared" si="1"/>
        <v>1</v>
      </c>
      <c r="L90" s="108" t="str">
        <f t="shared" si="2"/>
        <v>Organik</v>
      </c>
      <c r="M90" s="108" t="s">
        <v>1401</v>
      </c>
      <c r="N90" s="116">
        <v>36312</v>
      </c>
      <c r="O90" s="108" t="s">
        <v>261</v>
      </c>
      <c r="P90" s="108" t="s">
        <v>261</v>
      </c>
      <c r="Q90" s="108" t="s">
        <v>33</v>
      </c>
      <c r="R90" s="108"/>
      <c r="S90" s="108"/>
      <c r="T90" s="108" t="s">
        <v>214</v>
      </c>
      <c r="U90" s="108" t="s">
        <v>180</v>
      </c>
      <c r="V90" s="108"/>
      <c r="W90" s="108"/>
      <c r="X90" s="108" t="s">
        <v>59</v>
      </c>
      <c r="Y90" s="108" t="s">
        <v>1169</v>
      </c>
      <c r="Z90" s="111">
        <v>25994</v>
      </c>
      <c r="AA90" s="108">
        <f t="shared" ca="1" si="3"/>
        <v>52</v>
      </c>
      <c r="AB90" s="108" t="s">
        <v>3901</v>
      </c>
      <c r="AC90" s="108" t="s">
        <v>3902</v>
      </c>
      <c r="AD90" s="108" t="s">
        <v>3903</v>
      </c>
      <c r="AE90" s="108"/>
      <c r="AF90" s="108" t="s">
        <v>3904</v>
      </c>
      <c r="AG90" s="114" t="s">
        <v>3905</v>
      </c>
      <c r="AH90" s="115" t="s">
        <v>3906</v>
      </c>
      <c r="AI90" s="108" t="s">
        <v>189</v>
      </c>
      <c r="AJ90" s="108" t="s">
        <v>3907</v>
      </c>
      <c r="AK90" s="108" t="s">
        <v>3908</v>
      </c>
      <c r="AL90" s="108" t="s">
        <v>3909</v>
      </c>
      <c r="AM90" s="108"/>
      <c r="AN90" s="108"/>
      <c r="AO90" s="108"/>
      <c r="AP90" s="108"/>
      <c r="AQ90" s="108"/>
      <c r="AR90" s="108"/>
      <c r="AS90" s="147">
        <f t="shared" si="12"/>
        <v>2</v>
      </c>
      <c r="AT90" s="108" t="str">
        <f t="shared" si="13"/>
        <v>K/2</v>
      </c>
      <c r="AU90" s="131" t="s">
        <v>3910</v>
      </c>
      <c r="AV90" s="113" t="s">
        <v>74</v>
      </c>
      <c r="AW90" s="108" t="s">
        <v>16</v>
      </c>
      <c r="AX90" s="108" t="s">
        <v>2206</v>
      </c>
      <c r="AY90" s="108" t="s">
        <v>3911</v>
      </c>
      <c r="AZ90" s="108"/>
      <c r="BA90" s="108" t="s">
        <v>16</v>
      </c>
      <c r="BB90" s="108" t="s">
        <v>2206</v>
      </c>
      <c r="BC90" s="108" t="s">
        <v>3911</v>
      </c>
      <c r="BD90" s="108"/>
      <c r="BE90" s="116">
        <v>46113</v>
      </c>
      <c r="BF90" s="116">
        <v>46478</v>
      </c>
      <c r="BG90" s="108"/>
      <c r="BH90" s="108"/>
      <c r="BI90" s="108">
        <v>39</v>
      </c>
      <c r="BJ90" s="111">
        <v>44294</v>
      </c>
      <c r="BK90" s="111">
        <v>44322</v>
      </c>
      <c r="BL90" s="150">
        <v>44587</v>
      </c>
      <c r="BM90" s="150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11">
        <v>45135</v>
      </c>
      <c r="BZ90" s="147" t="s">
        <v>3413</v>
      </c>
      <c r="CA90" s="147" t="s">
        <v>2988</v>
      </c>
      <c r="CB90" s="147" t="e">
        <f>VLOOKUP(C90,[1]Sertifikasi!$B$4:$I$19,8,0)</f>
        <v>#N/A</v>
      </c>
    </row>
    <row r="91" spans="1:80" ht="11.25" customHeight="1">
      <c r="A91" s="147"/>
      <c r="B91" s="108">
        <v>88</v>
      </c>
      <c r="C91" s="108" t="s">
        <v>3271</v>
      </c>
      <c r="D91" s="109">
        <v>999800080</v>
      </c>
      <c r="E91" s="113">
        <v>1440011136121</v>
      </c>
      <c r="F91" s="110"/>
      <c r="G91" s="113" t="s">
        <v>33</v>
      </c>
      <c r="H91" s="108" t="s">
        <v>71</v>
      </c>
      <c r="I91" s="132">
        <v>43987</v>
      </c>
      <c r="J91" s="113">
        <f t="shared" si="0"/>
        <v>3</v>
      </c>
      <c r="K91" s="108">
        <f t="shared" si="1"/>
        <v>1</v>
      </c>
      <c r="L91" s="108" t="str">
        <f t="shared" si="2"/>
        <v>Organik</v>
      </c>
      <c r="M91" s="108" t="s">
        <v>1401</v>
      </c>
      <c r="N91" s="116">
        <v>36312</v>
      </c>
      <c r="O91" s="108" t="s">
        <v>3751</v>
      </c>
      <c r="P91" s="108" t="s">
        <v>6</v>
      </c>
      <c r="Q91" s="108" t="s">
        <v>33</v>
      </c>
      <c r="R91" s="108"/>
      <c r="S91" s="108"/>
      <c r="T91" s="108" t="s">
        <v>214</v>
      </c>
      <c r="U91" s="108" t="s">
        <v>180</v>
      </c>
      <c r="V91" s="108"/>
      <c r="W91" s="108"/>
      <c r="X91" s="108" t="s">
        <v>59</v>
      </c>
      <c r="Y91" s="108" t="s">
        <v>71</v>
      </c>
      <c r="Z91" s="111">
        <v>25425</v>
      </c>
      <c r="AA91" s="108">
        <f t="shared" ca="1" si="3"/>
        <v>54</v>
      </c>
      <c r="AB91" s="108" t="s">
        <v>3912</v>
      </c>
      <c r="AC91" s="108" t="s">
        <v>3913</v>
      </c>
      <c r="AD91" s="108" t="s">
        <v>3914</v>
      </c>
      <c r="AE91" s="108"/>
      <c r="AF91" s="108" t="s">
        <v>3915</v>
      </c>
      <c r="AG91" s="114" t="s">
        <v>3916</v>
      </c>
      <c r="AH91" s="115" t="s">
        <v>3917</v>
      </c>
      <c r="AI91" s="108" t="s">
        <v>189</v>
      </c>
      <c r="AJ91" s="108" t="s">
        <v>3918</v>
      </c>
      <c r="AK91" s="108" t="s">
        <v>3919</v>
      </c>
      <c r="AL91" s="108" t="s">
        <v>3920</v>
      </c>
      <c r="AM91" s="108"/>
      <c r="AN91" s="108"/>
      <c r="AO91" s="108"/>
      <c r="AP91" s="108"/>
      <c r="AQ91" s="108"/>
      <c r="AR91" s="108"/>
      <c r="AS91" s="147">
        <f t="shared" si="12"/>
        <v>2</v>
      </c>
      <c r="AT91" s="108" t="str">
        <f t="shared" si="13"/>
        <v>K/2</v>
      </c>
      <c r="AU91" s="131" t="s">
        <v>3921</v>
      </c>
      <c r="AV91" s="113" t="s">
        <v>74</v>
      </c>
      <c r="AW91" s="108" t="s">
        <v>16</v>
      </c>
      <c r="AX91" s="108" t="s">
        <v>2206</v>
      </c>
      <c r="AY91" s="108" t="s">
        <v>3762</v>
      </c>
      <c r="AZ91" s="108"/>
      <c r="BA91" s="108" t="s">
        <v>16</v>
      </c>
      <c r="BB91" s="108" t="s">
        <v>2206</v>
      </c>
      <c r="BC91" s="108" t="s">
        <v>3762</v>
      </c>
      <c r="BD91" s="108"/>
      <c r="BE91" s="116">
        <v>45536</v>
      </c>
      <c r="BF91" s="116">
        <v>45901</v>
      </c>
      <c r="BG91" s="108"/>
      <c r="BH91" s="108"/>
      <c r="BI91" s="108">
        <v>41</v>
      </c>
      <c r="BJ91" s="111">
        <v>44294</v>
      </c>
      <c r="BK91" s="111">
        <v>44322</v>
      </c>
      <c r="BL91" s="176"/>
      <c r="BM91" s="150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11">
        <v>45135</v>
      </c>
      <c r="BZ91" s="147" t="s">
        <v>3413</v>
      </c>
      <c r="CA91" s="147" t="s">
        <v>2988</v>
      </c>
      <c r="CB91" s="147" t="e">
        <f>VLOOKUP(C91,[1]Sertifikasi!$B$4:$I$19,8,0)</f>
        <v>#N/A</v>
      </c>
    </row>
    <row r="92" spans="1:80" ht="11.25" customHeight="1">
      <c r="A92" s="147"/>
      <c r="B92" s="108">
        <v>89</v>
      </c>
      <c r="C92" s="108" t="s">
        <v>3922</v>
      </c>
      <c r="D92" s="109">
        <v>999800045</v>
      </c>
      <c r="E92" s="113">
        <v>1440011136113</v>
      </c>
      <c r="F92" s="110"/>
      <c r="G92" s="113" t="s">
        <v>33</v>
      </c>
      <c r="H92" s="108" t="s">
        <v>71</v>
      </c>
      <c r="I92" s="132">
        <v>43987</v>
      </c>
      <c r="J92" s="113">
        <f t="shared" si="0"/>
        <v>3</v>
      </c>
      <c r="K92" s="108">
        <f t="shared" si="1"/>
        <v>1</v>
      </c>
      <c r="L92" s="108" t="str">
        <f t="shared" si="2"/>
        <v>Organik</v>
      </c>
      <c r="M92" s="108" t="s">
        <v>1401</v>
      </c>
      <c r="N92" s="116">
        <v>36039</v>
      </c>
      <c r="O92" s="108" t="s">
        <v>261</v>
      </c>
      <c r="P92" s="108" t="s">
        <v>261</v>
      </c>
      <c r="Q92" s="108" t="s">
        <v>33</v>
      </c>
      <c r="R92" s="108"/>
      <c r="S92" s="108"/>
      <c r="T92" s="108" t="s">
        <v>214</v>
      </c>
      <c r="U92" s="108" t="s">
        <v>180</v>
      </c>
      <c r="V92" s="108"/>
      <c r="W92" s="108"/>
      <c r="X92" s="108" t="s">
        <v>59</v>
      </c>
      <c r="Y92" s="108" t="s">
        <v>71</v>
      </c>
      <c r="Z92" s="111">
        <v>25499</v>
      </c>
      <c r="AA92" s="108">
        <f t="shared" ca="1" si="3"/>
        <v>54</v>
      </c>
      <c r="AB92" s="108" t="s">
        <v>3923</v>
      </c>
      <c r="AC92" s="108" t="s">
        <v>3924</v>
      </c>
      <c r="AD92" s="108" t="s">
        <v>3925</v>
      </c>
      <c r="AE92" s="108"/>
      <c r="AF92" s="108" t="s">
        <v>3926</v>
      </c>
      <c r="AG92" s="114" t="s">
        <v>3927</v>
      </c>
      <c r="AH92" s="115" t="s">
        <v>3928</v>
      </c>
      <c r="AI92" s="108" t="s">
        <v>189</v>
      </c>
      <c r="AJ92" s="108" t="s">
        <v>3929</v>
      </c>
      <c r="AK92" s="108" t="s">
        <v>3930</v>
      </c>
      <c r="AL92" s="108" t="s">
        <v>3931</v>
      </c>
      <c r="AM92" s="108"/>
      <c r="AN92" s="108"/>
      <c r="AO92" s="108" t="s">
        <v>3932</v>
      </c>
      <c r="AP92" s="108" t="s">
        <v>3933</v>
      </c>
      <c r="AQ92" s="108"/>
      <c r="AR92" s="108"/>
      <c r="AS92" s="147">
        <f t="shared" si="12"/>
        <v>2</v>
      </c>
      <c r="AT92" s="108" t="str">
        <f t="shared" si="13"/>
        <v>K/2</v>
      </c>
      <c r="AU92" s="131" t="s">
        <v>3934</v>
      </c>
      <c r="AV92" s="113" t="s">
        <v>74</v>
      </c>
      <c r="AW92" s="108" t="s">
        <v>16</v>
      </c>
      <c r="AX92" s="108" t="s">
        <v>2206</v>
      </c>
      <c r="AY92" s="108" t="s">
        <v>3935</v>
      </c>
      <c r="AZ92" s="108"/>
      <c r="BA92" s="108" t="s">
        <v>16</v>
      </c>
      <c r="BB92" s="108" t="s">
        <v>2206</v>
      </c>
      <c r="BC92" s="108" t="s">
        <v>3935</v>
      </c>
      <c r="BD92" s="108"/>
      <c r="BE92" s="116">
        <v>45597</v>
      </c>
      <c r="BF92" s="116">
        <v>45962</v>
      </c>
      <c r="BG92" s="108"/>
      <c r="BH92" s="108"/>
      <c r="BI92" s="108">
        <v>40</v>
      </c>
      <c r="BJ92" s="111">
        <v>44294</v>
      </c>
      <c r="BK92" s="111">
        <v>44322</v>
      </c>
      <c r="BL92" s="150">
        <v>44587</v>
      </c>
      <c r="BM92" s="150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11">
        <v>45135</v>
      </c>
      <c r="BZ92" s="147" t="s">
        <v>3413</v>
      </c>
      <c r="CA92" s="147" t="s">
        <v>2988</v>
      </c>
      <c r="CB92" s="147" t="e">
        <f>VLOOKUP(C92,[1]Sertifikasi!$B$4:$I$19,8,0)</f>
        <v>#N/A</v>
      </c>
    </row>
    <row r="93" spans="1:80" ht="11.25" customHeight="1">
      <c r="A93" s="147"/>
      <c r="B93" s="108">
        <v>90</v>
      </c>
      <c r="C93" s="108" t="s">
        <v>3936</v>
      </c>
      <c r="D93" s="109">
        <v>999900089</v>
      </c>
      <c r="E93" s="113">
        <v>1440001095873</v>
      </c>
      <c r="F93" s="110"/>
      <c r="G93" s="113" t="s">
        <v>33</v>
      </c>
      <c r="H93" s="108" t="s">
        <v>71</v>
      </c>
      <c r="I93" s="132">
        <v>43987</v>
      </c>
      <c r="J93" s="113">
        <f t="shared" si="0"/>
        <v>3</v>
      </c>
      <c r="K93" s="108">
        <f t="shared" si="1"/>
        <v>1</v>
      </c>
      <c r="L93" s="108" t="str">
        <f t="shared" si="2"/>
        <v>Organik</v>
      </c>
      <c r="M93" s="108" t="s">
        <v>1401</v>
      </c>
      <c r="N93" s="116">
        <v>36495</v>
      </c>
      <c r="O93" s="108" t="s">
        <v>261</v>
      </c>
      <c r="P93" s="108" t="s">
        <v>261</v>
      </c>
      <c r="Q93" s="108" t="s">
        <v>33</v>
      </c>
      <c r="R93" s="108"/>
      <c r="S93" s="108"/>
      <c r="T93" s="108" t="s">
        <v>214</v>
      </c>
      <c r="U93" s="108" t="s">
        <v>180</v>
      </c>
      <c r="V93" s="108"/>
      <c r="W93" s="108"/>
      <c r="X93" s="108" t="s">
        <v>59</v>
      </c>
      <c r="Y93" s="108" t="s">
        <v>71</v>
      </c>
      <c r="Z93" s="111">
        <v>25636</v>
      </c>
      <c r="AA93" s="108">
        <f t="shared" ca="1" si="3"/>
        <v>53</v>
      </c>
      <c r="AB93" s="108" t="s">
        <v>3937</v>
      </c>
      <c r="AC93" s="108" t="s">
        <v>3938</v>
      </c>
      <c r="AD93" s="108" t="s">
        <v>3939</v>
      </c>
      <c r="AE93" s="108"/>
      <c r="AF93" s="108" t="s">
        <v>3940</v>
      </c>
      <c r="AG93" s="114" t="s">
        <v>3941</v>
      </c>
      <c r="AH93" s="115" t="s">
        <v>3942</v>
      </c>
      <c r="AI93" s="108" t="s">
        <v>189</v>
      </c>
      <c r="AJ93" s="108" t="s">
        <v>1460</v>
      </c>
      <c r="AK93" s="108" t="s">
        <v>3943</v>
      </c>
      <c r="AL93" s="108"/>
      <c r="AM93" s="108"/>
      <c r="AN93" s="108"/>
      <c r="AO93" s="108"/>
      <c r="AP93" s="108"/>
      <c r="AQ93" s="108"/>
      <c r="AR93" s="108"/>
      <c r="AS93" s="147">
        <f t="shared" si="12"/>
        <v>1</v>
      </c>
      <c r="AT93" s="108" t="str">
        <f t="shared" si="13"/>
        <v>K/1</v>
      </c>
      <c r="AU93" s="131" t="s">
        <v>3944</v>
      </c>
      <c r="AV93" s="113" t="s">
        <v>74</v>
      </c>
      <c r="AW93" s="108" t="s">
        <v>16</v>
      </c>
      <c r="AX93" s="108" t="s">
        <v>2206</v>
      </c>
      <c r="AY93" s="108" t="s">
        <v>3945</v>
      </c>
      <c r="AZ93" s="108"/>
      <c r="BA93" s="108" t="s">
        <v>16</v>
      </c>
      <c r="BB93" s="108" t="s">
        <v>2206</v>
      </c>
      <c r="BC93" s="108" t="s">
        <v>3945</v>
      </c>
      <c r="BD93" s="108"/>
      <c r="BE93" s="116">
        <v>45748</v>
      </c>
      <c r="BF93" s="116">
        <v>46113</v>
      </c>
      <c r="BG93" s="108"/>
      <c r="BH93" s="108"/>
      <c r="BI93" s="108">
        <v>41</v>
      </c>
      <c r="BJ93" s="111">
        <v>44294</v>
      </c>
      <c r="BK93" s="111">
        <v>44322</v>
      </c>
      <c r="BL93" s="150">
        <v>44587</v>
      </c>
      <c r="BM93" s="150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11">
        <v>45135</v>
      </c>
      <c r="BZ93" s="147" t="s">
        <v>3413</v>
      </c>
      <c r="CA93" s="147" t="s">
        <v>2988</v>
      </c>
      <c r="CB93" s="147" t="e">
        <f>VLOOKUP(C93,[1]Sertifikasi!$B$4:$I$19,8,0)</f>
        <v>#N/A</v>
      </c>
    </row>
    <row r="94" spans="1:80" ht="11.25" customHeight="1">
      <c r="A94" s="147"/>
      <c r="B94" s="108">
        <v>91</v>
      </c>
      <c r="C94" s="108" t="s">
        <v>3946</v>
      </c>
      <c r="D94" s="109">
        <v>991700006</v>
      </c>
      <c r="E94" s="113">
        <v>1710000376700</v>
      </c>
      <c r="F94" s="110"/>
      <c r="G94" s="113" t="s">
        <v>33</v>
      </c>
      <c r="H94" s="108" t="s">
        <v>71</v>
      </c>
      <c r="I94" s="132">
        <v>43987</v>
      </c>
      <c r="J94" s="113">
        <f t="shared" si="0"/>
        <v>3</v>
      </c>
      <c r="K94" s="108">
        <f t="shared" si="1"/>
        <v>1</v>
      </c>
      <c r="L94" s="108" t="str">
        <f t="shared" si="2"/>
        <v>Organik</v>
      </c>
      <c r="M94" s="108" t="s">
        <v>1401</v>
      </c>
      <c r="N94" s="116">
        <v>42767</v>
      </c>
      <c r="O94" s="108" t="s">
        <v>261</v>
      </c>
      <c r="P94" s="108" t="s">
        <v>261</v>
      </c>
      <c r="Q94" s="108" t="s">
        <v>33</v>
      </c>
      <c r="R94" s="108"/>
      <c r="S94" s="108"/>
      <c r="T94" s="108" t="s">
        <v>214</v>
      </c>
      <c r="U94" s="108" t="s">
        <v>180</v>
      </c>
      <c r="V94" s="108" t="s">
        <v>83</v>
      </c>
      <c r="W94" s="108"/>
      <c r="X94" s="108" t="s">
        <v>59</v>
      </c>
      <c r="Y94" s="108" t="s">
        <v>71</v>
      </c>
      <c r="Z94" s="111">
        <v>32932</v>
      </c>
      <c r="AA94" s="108">
        <f t="shared" ca="1" si="3"/>
        <v>33</v>
      </c>
      <c r="AB94" s="108" t="s">
        <v>3947</v>
      </c>
      <c r="AC94" s="108" t="s">
        <v>3948</v>
      </c>
      <c r="AD94" s="108" t="s">
        <v>3949</v>
      </c>
      <c r="AE94" s="108"/>
      <c r="AF94" s="108" t="s">
        <v>3950</v>
      </c>
      <c r="AG94" s="114" t="s">
        <v>3951</v>
      </c>
      <c r="AH94" s="115">
        <v>14018490160</v>
      </c>
      <c r="AI94" s="108" t="s">
        <v>189</v>
      </c>
      <c r="AJ94" s="108" t="s">
        <v>3952</v>
      </c>
      <c r="AK94" s="108" t="s">
        <v>3953</v>
      </c>
      <c r="AL94" s="108" t="s">
        <v>3954</v>
      </c>
      <c r="AM94" s="108"/>
      <c r="AN94" s="108"/>
      <c r="AO94" s="108"/>
      <c r="AP94" s="108"/>
      <c r="AQ94" s="108"/>
      <c r="AR94" s="108"/>
      <c r="AS94" s="147">
        <f t="shared" si="12"/>
        <v>2</v>
      </c>
      <c r="AT94" s="108" t="str">
        <f t="shared" si="13"/>
        <v>K/2</v>
      </c>
      <c r="AU94" s="131" t="s">
        <v>3955</v>
      </c>
      <c r="AV94" s="113" t="s">
        <v>74</v>
      </c>
      <c r="AW94" s="108" t="s">
        <v>16</v>
      </c>
      <c r="AX94" s="108" t="s">
        <v>226</v>
      </c>
      <c r="AY94" s="108" t="s">
        <v>3956</v>
      </c>
      <c r="AZ94" s="108"/>
      <c r="BA94" s="108" t="s">
        <v>16</v>
      </c>
      <c r="BB94" s="108" t="s">
        <v>226</v>
      </c>
      <c r="BC94" s="108" t="s">
        <v>3956</v>
      </c>
      <c r="BD94" s="108"/>
      <c r="BE94" s="116">
        <v>48639</v>
      </c>
      <c r="BF94" s="116">
        <v>49004</v>
      </c>
      <c r="BG94" s="108"/>
      <c r="BH94" s="108"/>
      <c r="BI94" s="108">
        <v>41</v>
      </c>
      <c r="BJ94" s="111">
        <v>44293</v>
      </c>
      <c r="BK94" s="111">
        <v>44322</v>
      </c>
      <c r="BL94" s="150">
        <v>44587</v>
      </c>
      <c r="BM94" s="150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11">
        <v>45135</v>
      </c>
      <c r="BZ94" s="147" t="s">
        <v>3413</v>
      </c>
      <c r="CA94" s="147" t="s">
        <v>2988</v>
      </c>
      <c r="CB94" s="147" t="e">
        <f>VLOOKUP(C94,[1]Sertifikasi!$B$4:$I$19,8,0)</f>
        <v>#N/A</v>
      </c>
    </row>
    <row r="95" spans="1:80" ht="11.25" customHeight="1">
      <c r="A95" s="147"/>
      <c r="B95" s="108">
        <v>92</v>
      </c>
      <c r="C95" s="108" t="s">
        <v>3957</v>
      </c>
      <c r="D95" s="109">
        <v>991700011</v>
      </c>
      <c r="E95" s="113">
        <v>1710000670748</v>
      </c>
      <c r="F95" s="110"/>
      <c r="G95" s="113" t="s">
        <v>33</v>
      </c>
      <c r="H95" s="108" t="s">
        <v>71</v>
      </c>
      <c r="I95" s="132">
        <v>43987</v>
      </c>
      <c r="J95" s="113">
        <f t="shared" si="0"/>
        <v>3</v>
      </c>
      <c r="K95" s="108">
        <f t="shared" si="1"/>
        <v>1</v>
      </c>
      <c r="L95" s="108" t="str">
        <f t="shared" si="2"/>
        <v>Organik</v>
      </c>
      <c r="M95" s="108" t="s">
        <v>1401</v>
      </c>
      <c r="N95" s="116">
        <v>42767</v>
      </c>
      <c r="O95" s="108" t="s">
        <v>261</v>
      </c>
      <c r="P95" s="108" t="s">
        <v>261</v>
      </c>
      <c r="Q95" s="108" t="s">
        <v>33</v>
      </c>
      <c r="R95" s="108"/>
      <c r="S95" s="108"/>
      <c r="T95" s="108" t="s">
        <v>214</v>
      </c>
      <c r="U95" s="108" t="s">
        <v>180</v>
      </c>
      <c r="V95" s="108" t="s">
        <v>617</v>
      </c>
      <c r="W95" s="108"/>
      <c r="X95" s="108" t="s">
        <v>59</v>
      </c>
      <c r="Y95" s="108" t="s">
        <v>72</v>
      </c>
      <c r="Z95" s="111">
        <v>33650</v>
      </c>
      <c r="AA95" s="108">
        <f t="shared" ca="1" si="3"/>
        <v>31</v>
      </c>
      <c r="AB95" s="108" t="s">
        <v>3958</v>
      </c>
      <c r="AC95" s="108" t="s">
        <v>3959</v>
      </c>
      <c r="AD95" s="141" t="s">
        <v>3960</v>
      </c>
      <c r="AE95" s="108"/>
      <c r="AF95" s="108" t="s">
        <v>3961</v>
      </c>
      <c r="AG95" s="114" t="s">
        <v>3962</v>
      </c>
      <c r="AH95" s="115">
        <v>15010078663</v>
      </c>
      <c r="AI95" s="108" t="s">
        <v>189</v>
      </c>
      <c r="AJ95" s="108" t="s">
        <v>3963</v>
      </c>
      <c r="AK95" s="108" t="s">
        <v>3964</v>
      </c>
      <c r="AL95" s="108"/>
      <c r="AM95" s="108"/>
      <c r="AN95" s="108"/>
      <c r="AO95" s="108"/>
      <c r="AP95" s="108"/>
      <c r="AQ95" s="108"/>
      <c r="AR95" s="108"/>
      <c r="AS95" s="147">
        <f t="shared" si="12"/>
        <v>1</v>
      </c>
      <c r="AT95" s="108" t="str">
        <f t="shared" si="13"/>
        <v>K/1</v>
      </c>
      <c r="AU95" s="131" t="s">
        <v>3965</v>
      </c>
      <c r="AV95" s="113" t="s">
        <v>74</v>
      </c>
      <c r="AW95" s="108" t="s">
        <v>16</v>
      </c>
      <c r="AX95" s="108" t="s">
        <v>226</v>
      </c>
      <c r="AY95" s="108" t="s">
        <v>3966</v>
      </c>
      <c r="AZ95" s="108"/>
      <c r="BA95" s="108" t="s">
        <v>16</v>
      </c>
      <c r="BB95" s="108" t="s">
        <v>226</v>
      </c>
      <c r="BC95" s="108" t="s">
        <v>3966</v>
      </c>
      <c r="BD95" s="108"/>
      <c r="BE95" s="116">
        <v>49369</v>
      </c>
      <c r="BF95" s="116">
        <v>49735</v>
      </c>
      <c r="BG95" s="108"/>
      <c r="BH95" s="108"/>
      <c r="BI95" s="108">
        <v>40</v>
      </c>
      <c r="BJ95" s="111">
        <v>44294</v>
      </c>
      <c r="BK95" s="111">
        <v>44322</v>
      </c>
      <c r="BL95" s="176"/>
      <c r="BM95" s="150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11">
        <v>45135</v>
      </c>
      <c r="BZ95" s="147" t="s">
        <v>3413</v>
      </c>
      <c r="CA95" s="147" t="s">
        <v>2988</v>
      </c>
      <c r="CB95" s="147" t="e">
        <f>VLOOKUP(C95,[1]Sertifikasi!$B$4:$I$19,8,0)</f>
        <v>#N/A</v>
      </c>
    </row>
    <row r="96" spans="1:80" ht="11.25" customHeight="1">
      <c r="A96" s="147"/>
      <c r="B96" s="108">
        <v>93</v>
      </c>
      <c r="C96" s="108" t="s">
        <v>3967</v>
      </c>
      <c r="D96" s="109">
        <v>999400065</v>
      </c>
      <c r="E96" s="113">
        <v>1440001097309</v>
      </c>
      <c r="F96" s="110"/>
      <c r="G96" s="113" t="s">
        <v>33</v>
      </c>
      <c r="H96" s="108" t="s">
        <v>71</v>
      </c>
      <c r="I96" s="132">
        <v>43987</v>
      </c>
      <c r="J96" s="113">
        <f t="shared" si="0"/>
        <v>3</v>
      </c>
      <c r="K96" s="108">
        <f t="shared" si="1"/>
        <v>1</v>
      </c>
      <c r="L96" s="108" t="str">
        <f t="shared" si="2"/>
        <v>Organik</v>
      </c>
      <c r="M96" s="108" t="s">
        <v>1401</v>
      </c>
      <c r="N96" s="116">
        <v>34486</v>
      </c>
      <c r="O96" s="108" t="s">
        <v>261</v>
      </c>
      <c r="P96" s="108" t="s">
        <v>261</v>
      </c>
      <c r="Q96" s="108" t="s">
        <v>33</v>
      </c>
      <c r="R96" s="108"/>
      <c r="S96" s="108"/>
      <c r="T96" s="108" t="s">
        <v>214</v>
      </c>
      <c r="U96" s="108" t="s">
        <v>180</v>
      </c>
      <c r="V96" s="108"/>
      <c r="W96" s="108"/>
      <c r="X96" s="108" t="s">
        <v>59</v>
      </c>
      <c r="Y96" s="108" t="s">
        <v>71</v>
      </c>
      <c r="Z96" s="111">
        <v>26298</v>
      </c>
      <c r="AA96" s="108">
        <f t="shared" ca="1" si="3"/>
        <v>51</v>
      </c>
      <c r="AB96" s="108" t="s">
        <v>3968</v>
      </c>
      <c r="AC96" s="108" t="s">
        <v>3969</v>
      </c>
      <c r="AD96" s="108" t="s">
        <v>3970</v>
      </c>
      <c r="AE96" s="108"/>
      <c r="AF96" s="108" t="s">
        <v>3971</v>
      </c>
      <c r="AG96" s="114" t="s">
        <v>3972</v>
      </c>
      <c r="AH96" s="115" t="s">
        <v>3973</v>
      </c>
      <c r="AI96" s="108" t="s">
        <v>189</v>
      </c>
      <c r="AJ96" s="108" t="s">
        <v>3974</v>
      </c>
      <c r="AK96" s="108" t="s">
        <v>3975</v>
      </c>
      <c r="AL96" s="108"/>
      <c r="AM96" s="108"/>
      <c r="AN96" s="108"/>
      <c r="AO96" s="108"/>
      <c r="AP96" s="108"/>
      <c r="AQ96" s="108"/>
      <c r="AR96" s="108"/>
      <c r="AS96" s="147">
        <f t="shared" si="12"/>
        <v>1</v>
      </c>
      <c r="AT96" s="108" t="str">
        <f t="shared" si="13"/>
        <v>K/1</v>
      </c>
      <c r="AU96" s="131" t="s">
        <v>3976</v>
      </c>
      <c r="AV96" s="113" t="s">
        <v>74</v>
      </c>
      <c r="AW96" s="108" t="s">
        <v>16</v>
      </c>
      <c r="AX96" s="108" t="s">
        <v>2206</v>
      </c>
      <c r="AY96" s="108" t="s">
        <v>1412</v>
      </c>
      <c r="AZ96" s="108"/>
      <c r="BA96" s="108" t="s">
        <v>16</v>
      </c>
      <c r="BB96" s="108" t="s">
        <v>2206</v>
      </c>
      <c r="BC96" s="108" t="s">
        <v>1412</v>
      </c>
      <c r="BD96" s="108"/>
      <c r="BE96" s="116">
        <v>46388</v>
      </c>
      <c r="BF96" s="116">
        <v>46753</v>
      </c>
      <c r="BG96" s="108"/>
      <c r="BH96" s="108"/>
      <c r="BI96" s="108">
        <v>42</v>
      </c>
      <c r="BJ96" s="111">
        <v>44294</v>
      </c>
      <c r="BK96" s="111">
        <v>44322</v>
      </c>
      <c r="BL96" s="150">
        <v>44322</v>
      </c>
      <c r="BM96" s="150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11">
        <v>45135</v>
      </c>
      <c r="BZ96" s="147" t="s">
        <v>3413</v>
      </c>
      <c r="CA96" s="147" t="s">
        <v>2988</v>
      </c>
      <c r="CB96" s="147" t="e">
        <f>VLOOKUP(C96,[1]Sertifikasi!$B$4:$I$19,8,0)</f>
        <v>#N/A</v>
      </c>
    </row>
    <row r="97" spans="1:80" ht="11.25" customHeight="1">
      <c r="A97" s="147"/>
      <c r="B97" s="108">
        <v>94</v>
      </c>
      <c r="C97" s="108" t="s">
        <v>3977</v>
      </c>
      <c r="D97" s="109">
        <v>999600047</v>
      </c>
      <c r="E97" s="113">
        <v>1440001099032</v>
      </c>
      <c r="F97" s="110"/>
      <c r="G97" s="113" t="s">
        <v>33</v>
      </c>
      <c r="H97" s="108" t="s">
        <v>71</v>
      </c>
      <c r="I97" s="132">
        <v>43987</v>
      </c>
      <c r="J97" s="113">
        <f t="shared" si="0"/>
        <v>3</v>
      </c>
      <c r="K97" s="108">
        <f t="shared" si="1"/>
        <v>1</v>
      </c>
      <c r="L97" s="108" t="str">
        <f t="shared" si="2"/>
        <v>Organik</v>
      </c>
      <c r="M97" s="108" t="s">
        <v>1401</v>
      </c>
      <c r="N97" s="116">
        <v>35278</v>
      </c>
      <c r="O97" s="108" t="s">
        <v>261</v>
      </c>
      <c r="P97" s="108" t="s">
        <v>261</v>
      </c>
      <c r="Q97" s="108" t="s">
        <v>33</v>
      </c>
      <c r="R97" s="108"/>
      <c r="S97" s="108"/>
      <c r="T97" s="108" t="s">
        <v>214</v>
      </c>
      <c r="U97" s="108" t="s">
        <v>180</v>
      </c>
      <c r="V97" s="108"/>
      <c r="W97" s="108"/>
      <c r="X97" s="108" t="s">
        <v>59</v>
      </c>
      <c r="Y97" s="108" t="s">
        <v>71</v>
      </c>
      <c r="Z97" s="111">
        <v>25389</v>
      </c>
      <c r="AA97" s="108">
        <f t="shared" ca="1" si="3"/>
        <v>54</v>
      </c>
      <c r="AB97" s="108" t="s">
        <v>3978</v>
      </c>
      <c r="AC97" s="108" t="s">
        <v>3979</v>
      </c>
      <c r="AD97" s="108" t="s">
        <v>3980</v>
      </c>
      <c r="AE97" s="108"/>
      <c r="AF97" s="108" t="s">
        <v>3981</v>
      </c>
      <c r="AG97" s="114" t="s">
        <v>3982</v>
      </c>
      <c r="AH97" s="115" t="s">
        <v>3983</v>
      </c>
      <c r="AI97" s="108" t="s">
        <v>189</v>
      </c>
      <c r="AJ97" s="108" t="s">
        <v>3984</v>
      </c>
      <c r="AK97" s="108" t="s">
        <v>3985</v>
      </c>
      <c r="AL97" s="108"/>
      <c r="AM97" s="108"/>
      <c r="AN97" s="108"/>
      <c r="AO97" s="108"/>
      <c r="AP97" s="108"/>
      <c r="AQ97" s="108"/>
      <c r="AR97" s="108"/>
      <c r="AS97" s="147">
        <f t="shared" si="12"/>
        <v>1</v>
      </c>
      <c r="AT97" s="108" t="str">
        <f t="shared" si="13"/>
        <v>K/1</v>
      </c>
      <c r="AU97" s="131" t="s">
        <v>3986</v>
      </c>
      <c r="AV97" s="113" t="s">
        <v>74</v>
      </c>
      <c r="AW97" s="108" t="s">
        <v>16</v>
      </c>
      <c r="AX97" s="108" t="s">
        <v>3987</v>
      </c>
      <c r="AY97" s="108" t="s">
        <v>2180</v>
      </c>
      <c r="AZ97" s="108"/>
      <c r="BA97" s="108" t="s">
        <v>16</v>
      </c>
      <c r="BB97" s="108" t="s">
        <v>3987</v>
      </c>
      <c r="BC97" s="108" t="s">
        <v>2180</v>
      </c>
      <c r="BD97" s="108"/>
      <c r="BE97" s="116">
        <v>45505</v>
      </c>
      <c r="BF97" s="116" t="s">
        <v>3988</v>
      </c>
      <c r="BG97" s="108"/>
      <c r="BH97" s="108"/>
      <c r="BI97" s="108">
        <v>42</v>
      </c>
      <c r="BJ97" s="111">
        <v>44293</v>
      </c>
      <c r="BK97" s="111">
        <v>44322</v>
      </c>
      <c r="BL97" s="150">
        <v>44585</v>
      </c>
      <c r="BM97" s="150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11">
        <v>45135</v>
      </c>
      <c r="BZ97" s="147" t="s">
        <v>3413</v>
      </c>
      <c r="CA97" s="147" t="s">
        <v>2988</v>
      </c>
      <c r="CB97" s="147" t="e">
        <f>VLOOKUP(C97,[1]Sertifikasi!$B$4:$I$19,8,0)</f>
        <v>#N/A</v>
      </c>
    </row>
    <row r="98" spans="1:80" ht="11.25" customHeight="1">
      <c r="A98" s="147"/>
      <c r="B98" s="108">
        <v>95</v>
      </c>
      <c r="C98" s="108" t="s">
        <v>3989</v>
      </c>
      <c r="D98" s="109">
        <v>999900061</v>
      </c>
      <c r="E98" s="113">
        <v>1440001097192</v>
      </c>
      <c r="F98" s="110"/>
      <c r="G98" s="113" t="s">
        <v>33</v>
      </c>
      <c r="H98" s="108" t="s">
        <v>71</v>
      </c>
      <c r="I98" s="132">
        <v>43987</v>
      </c>
      <c r="J98" s="113">
        <f t="shared" si="0"/>
        <v>3</v>
      </c>
      <c r="K98" s="108">
        <f t="shared" si="1"/>
        <v>1</v>
      </c>
      <c r="L98" s="108" t="str">
        <f t="shared" si="2"/>
        <v>Organik</v>
      </c>
      <c r="M98" s="108" t="s">
        <v>1401</v>
      </c>
      <c r="N98" s="116">
        <v>36495</v>
      </c>
      <c r="O98" s="108" t="s">
        <v>261</v>
      </c>
      <c r="P98" s="108" t="s">
        <v>261</v>
      </c>
      <c r="Q98" s="108" t="s">
        <v>33</v>
      </c>
      <c r="R98" s="108"/>
      <c r="S98" s="108"/>
      <c r="T98" s="108" t="s">
        <v>214</v>
      </c>
      <c r="U98" s="108" t="s">
        <v>180</v>
      </c>
      <c r="V98" s="108" t="s">
        <v>83</v>
      </c>
      <c r="W98" s="108"/>
      <c r="X98" s="108" t="s">
        <v>59</v>
      </c>
      <c r="Y98" s="108" t="s">
        <v>71</v>
      </c>
      <c r="Z98" s="111">
        <v>26455</v>
      </c>
      <c r="AA98" s="108">
        <f t="shared" ca="1" si="3"/>
        <v>51</v>
      </c>
      <c r="AB98" s="108" t="s">
        <v>3990</v>
      </c>
      <c r="AC98" s="108" t="s">
        <v>3991</v>
      </c>
      <c r="AD98" s="108">
        <v>85348874488</v>
      </c>
      <c r="AE98" s="108"/>
      <c r="AF98" s="108" t="s">
        <v>3992</v>
      </c>
      <c r="AG98" s="114" t="s">
        <v>3993</v>
      </c>
      <c r="AH98" s="115" t="s">
        <v>3994</v>
      </c>
      <c r="AI98" s="108" t="s">
        <v>189</v>
      </c>
      <c r="AJ98" s="108" t="s">
        <v>3995</v>
      </c>
      <c r="AK98" s="108" t="s">
        <v>3996</v>
      </c>
      <c r="AL98" s="108" t="s">
        <v>3997</v>
      </c>
      <c r="AM98" s="108" t="s">
        <v>3998</v>
      </c>
      <c r="AN98" s="108"/>
      <c r="AO98" s="108"/>
      <c r="AP98" s="108"/>
      <c r="AQ98" s="108"/>
      <c r="AR98" s="108"/>
      <c r="AS98" s="147">
        <f t="shared" si="12"/>
        <v>3</v>
      </c>
      <c r="AT98" s="108" t="str">
        <f t="shared" si="13"/>
        <v>K/3</v>
      </c>
      <c r="AU98" s="131" t="s">
        <v>3999</v>
      </c>
      <c r="AV98" s="113" t="s">
        <v>74</v>
      </c>
      <c r="AW98" s="108" t="s">
        <v>16</v>
      </c>
      <c r="AX98" s="108" t="s">
        <v>2206</v>
      </c>
      <c r="AY98" s="108" t="s">
        <v>1412</v>
      </c>
      <c r="AZ98" s="108"/>
      <c r="BA98" s="108" t="s">
        <v>16</v>
      </c>
      <c r="BB98" s="108" t="s">
        <v>2206</v>
      </c>
      <c r="BC98" s="108" t="s">
        <v>1412</v>
      </c>
      <c r="BD98" s="108"/>
      <c r="BE98" s="116">
        <v>46569</v>
      </c>
      <c r="BF98" s="116">
        <v>46935</v>
      </c>
      <c r="BG98" s="108"/>
      <c r="BH98" s="108"/>
      <c r="BI98" s="175"/>
      <c r="BJ98" s="111">
        <v>44293</v>
      </c>
      <c r="BK98" s="111">
        <v>44322</v>
      </c>
      <c r="BL98" s="150">
        <v>44587</v>
      </c>
      <c r="BM98" s="150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11">
        <v>45135</v>
      </c>
      <c r="BZ98" s="147" t="s">
        <v>3413</v>
      </c>
      <c r="CA98" s="147" t="s">
        <v>2988</v>
      </c>
      <c r="CB98" s="147" t="e">
        <f>VLOOKUP(C98,[1]Sertifikasi!$B$4:$I$19,8,0)</f>
        <v>#N/A</v>
      </c>
    </row>
    <row r="99" spans="1:80" ht="11.25" customHeight="1">
      <c r="A99" s="147"/>
      <c r="B99" s="108">
        <v>96</v>
      </c>
      <c r="C99" s="108" t="s">
        <v>4000</v>
      </c>
      <c r="D99" s="109">
        <v>992000012</v>
      </c>
      <c r="E99" s="113">
        <v>1710005716819</v>
      </c>
      <c r="F99" s="110"/>
      <c r="G99" s="113" t="s">
        <v>33</v>
      </c>
      <c r="H99" s="108" t="s">
        <v>71</v>
      </c>
      <c r="I99" s="132">
        <v>44044</v>
      </c>
      <c r="J99" s="113">
        <f t="shared" si="0"/>
        <v>2</v>
      </c>
      <c r="K99" s="108">
        <f t="shared" si="1"/>
        <v>11</v>
      </c>
      <c r="L99" s="108" t="str">
        <f t="shared" si="2"/>
        <v>Organik</v>
      </c>
      <c r="M99" s="108"/>
      <c r="N99" s="116">
        <v>43994</v>
      </c>
      <c r="O99" s="108" t="s">
        <v>261</v>
      </c>
      <c r="P99" s="108" t="s">
        <v>261</v>
      </c>
      <c r="Q99" s="108" t="s">
        <v>33</v>
      </c>
      <c r="R99" s="108"/>
      <c r="S99" s="108"/>
      <c r="T99" s="108" t="s">
        <v>214</v>
      </c>
      <c r="U99" s="108" t="s">
        <v>180</v>
      </c>
      <c r="V99" s="108"/>
      <c r="W99" s="108"/>
      <c r="X99" s="108" t="s">
        <v>59</v>
      </c>
      <c r="Y99" s="108" t="s">
        <v>4001</v>
      </c>
      <c r="Z99" s="111">
        <v>34604</v>
      </c>
      <c r="AA99" s="108">
        <f t="shared" ca="1" si="3"/>
        <v>29</v>
      </c>
      <c r="AB99" s="108" t="s">
        <v>4002</v>
      </c>
      <c r="AC99" s="108" t="s">
        <v>4003</v>
      </c>
      <c r="AD99" s="108" t="s">
        <v>4004</v>
      </c>
      <c r="AE99" s="108"/>
      <c r="AF99" s="108" t="s">
        <v>4005</v>
      </c>
      <c r="AG99" s="114" t="s">
        <v>4006</v>
      </c>
      <c r="AH99" s="115">
        <v>19061542619</v>
      </c>
      <c r="AI99" s="108" t="s">
        <v>189</v>
      </c>
      <c r="AJ99" s="108"/>
      <c r="AK99" s="108"/>
      <c r="AL99" s="108"/>
      <c r="AM99" s="108"/>
      <c r="AN99" s="108"/>
      <c r="AO99" s="108"/>
      <c r="AP99" s="108"/>
      <c r="AQ99" s="108"/>
      <c r="AR99" s="108"/>
      <c r="AS99" s="147">
        <f t="shared" si="12"/>
        <v>0</v>
      </c>
      <c r="AT99" s="108" t="str">
        <f t="shared" si="13"/>
        <v>K/0</v>
      </c>
      <c r="AU99" s="131">
        <v>920607181735000</v>
      </c>
      <c r="AV99" s="113" t="s">
        <v>75</v>
      </c>
      <c r="AW99" s="108" t="s">
        <v>12</v>
      </c>
      <c r="AX99" s="108" t="s">
        <v>1017</v>
      </c>
      <c r="AY99" s="108" t="s">
        <v>193</v>
      </c>
      <c r="AZ99" s="108"/>
      <c r="BA99" s="108" t="s">
        <v>12</v>
      </c>
      <c r="BB99" s="108" t="s">
        <v>1017</v>
      </c>
      <c r="BC99" s="108" t="s">
        <v>193</v>
      </c>
      <c r="BD99" s="108"/>
      <c r="BE99" s="116"/>
      <c r="BF99" s="116"/>
      <c r="BG99" s="108"/>
      <c r="BH99" s="108"/>
      <c r="BI99" s="108">
        <v>40</v>
      </c>
      <c r="BJ99" s="111">
        <v>44308</v>
      </c>
      <c r="BK99" s="111">
        <v>44322</v>
      </c>
      <c r="BL99" s="150">
        <v>44585</v>
      </c>
      <c r="BM99" s="150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11">
        <v>45135</v>
      </c>
      <c r="BZ99" s="147" t="s">
        <v>3413</v>
      </c>
      <c r="CA99" s="147" t="s">
        <v>2988</v>
      </c>
      <c r="CB99" s="147" t="e">
        <f>VLOOKUP(C99,[1]Sertifikasi!$B$4:$I$19,8,0)</f>
        <v>#N/A</v>
      </c>
    </row>
    <row r="100" spans="1:80" ht="11.25" customHeight="1">
      <c r="A100" s="147"/>
      <c r="B100" s="108">
        <v>97</v>
      </c>
      <c r="C100" s="108" t="s">
        <v>4007</v>
      </c>
      <c r="D100" s="109">
        <v>991200023</v>
      </c>
      <c r="E100" s="110">
        <v>1440013134173</v>
      </c>
      <c r="F100" s="110"/>
      <c r="G100" s="113" t="s">
        <v>33</v>
      </c>
      <c r="H100" s="108" t="s">
        <v>71</v>
      </c>
      <c r="I100" s="132">
        <v>44319</v>
      </c>
      <c r="J100" s="113">
        <f t="shared" si="0"/>
        <v>2</v>
      </c>
      <c r="K100" s="108">
        <f t="shared" si="1"/>
        <v>2</v>
      </c>
      <c r="L100" s="108" t="str">
        <f t="shared" si="2"/>
        <v>Organik</v>
      </c>
      <c r="M100" s="108" t="s">
        <v>4008</v>
      </c>
      <c r="N100" s="116">
        <v>41030</v>
      </c>
      <c r="O100" s="108" t="s">
        <v>2112</v>
      </c>
      <c r="P100" s="108" t="s">
        <v>5</v>
      </c>
      <c r="Q100" s="108" t="s">
        <v>197</v>
      </c>
      <c r="R100" s="108"/>
      <c r="S100" s="108" t="s">
        <v>661</v>
      </c>
      <c r="T100" s="108" t="s">
        <v>661</v>
      </c>
      <c r="U100" s="108" t="s">
        <v>662</v>
      </c>
      <c r="V100" s="108"/>
      <c r="W100" s="108"/>
      <c r="X100" s="108" t="s">
        <v>60</v>
      </c>
      <c r="Y100" s="108" t="s">
        <v>71</v>
      </c>
      <c r="Z100" s="111">
        <v>30305</v>
      </c>
      <c r="AA100" s="108">
        <f t="shared" ca="1" si="3"/>
        <v>40</v>
      </c>
      <c r="AB100" s="108" t="s">
        <v>4009</v>
      </c>
      <c r="AC100" s="108" t="s">
        <v>4010</v>
      </c>
      <c r="AD100" s="108" t="s">
        <v>4011</v>
      </c>
      <c r="AE100" s="108"/>
      <c r="AF100" s="108" t="s">
        <v>4012</v>
      </c>
      <c r="AG100" s="136" t="s">
        <v>4013</v>
      </c>
      <c r="AH100" s="115">
        <v>12003661308</v>
      </c>
      <c r="AI100" s="108" t="s">
        <v>189</v>
      </c>
      <c r="AJ100" s="108" t="s">
        <v>4014</v>
      </c>
      <c r="AK100" s="108" t="s">
        <v>4015</v>
      </c>
      <c r="AL100" s="108" t="s">
        <v>4016</v>
      </c>
      <c r="AM100" s="108" t="s">
        <v>4017</v>
      </c>
      <c r="AN100" s="108"/>
      <c r="AO100" s="108"/>
      <c r="AP100" s="108"/>
      <c r="AQ100" s="108"/>
      <c r="AR100" s="108"/>
      <c r="AS100" s="147">
        <f t="shared" si="12"/>
        <v>3</v>
      </c>
      <c r="AT100" s="108" t="str">
        <f t="shared" si="13"/>
        <v>K/3</v>
      </c>
      <c r="AU100" s="131">
        <v>449162742621000</v>
      </c>
      <c r="AV100" s="113" t="s">
        <v>74</v>
      </c>
      <c r="AW100" s="108" t="s">
        <v>12</v>
      </c>
      <c r="AX100" s="108" t="s">
        <v>1484</v>
      </c>
      <c r="AY100" s="108"/>
      <c r="AZ100" s="108"/>
      <c r="BA100" s="108" t="s">
        <v>12</v>
      </c>
      <c r="BB100" s="108" t="s">
        <v>1484</v>
      </c>
      <c r="BC100" s="108"/>
      <c r="BD100" s="108"/>
      <c r="BE100" s="116"/>
      <c r="BF100" s="116"/>
      <c r="BG100" s="108"/>
      <c r="BH100" s="108"/>
      <c r="BI100" s="133"/>
      <c r="BJ100" s="111">
        <v>44293</v>
      </c>
      <c r="BK100" s="111">
        <v>44322</v>
      </c>
      <c r="BL100" s="150">
        <v>44587</v>
      </c>
      <c r="BM100" s="150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11">
        <v>45135</v>
      </c>
      <c r="BZ100" s="147" t="s">
        <v>3413</v>
      </c>
      <c r="CA100" s="147" t="s">
        <v>3703</v>
      </c>
      <c r="CB100" s="147" t="e">
        <f>VLOOKUP(C100,[1]Sertifikasi!$B$4:$I$19,8,0)</f>
        <v>#N/A</v>
      </c>
    </row>
    <row r="101" spans="1:80" ht="11.25" customHeight="1">
      <c r="A101" s="147"/>
      <c r="B101" s="108">
        <v>98</v>
      </c>
      <c r="C101" s="108" t="s">
        <v>4018</v>
      </c>
      <c r="D101" s="109">
        <v>642301182</v>
      </c>
      <c r="E101" s="113">
        <v>1710012919489</v>
      </c>
      <c r="F101" s="115"/>
      <c r="G101" s="108" t="s">
        <v>71</v>
      </c>
      <c r="H101" s="108" t="s">
        <v>71</v>
      </c>
      <c r="I101" s="111">
        <v>44931</v>
      </c>
      <c r="J101" s="113">
        <f t="shared" si="0"/>
        <v>0</v>
      </c>
      <c r="K101" s="108">
        <f t="shared" si="1"/>
        <v>5</v>
      </c>
      <c r="L101" s="108" t="str">
        <f t="shared" si="2"/>
        <v>PKWT</v>
      </c>
      <c r="M101" s="108"/>
      <c r="N101" s="111">
        <v>45291</v>
      </c>
      <c r="O101" s="111"/>
      <c r="P101" s="108" t="s">
        <v>213</v>
      </c>
      <c r="Q101" s="108" t="s">
        <v>259</v>
      </c>
      <c r="R101" s="108" t="s">
        <v>33</v>
      </c>
      <c r="S101" s="108" t="s">
        <v>91</v>
      </c>
      <c r="T101" s="108" t="s">
        <v>199</v>
      </c>
      <c r="U101" s="108" t="s">
        <v>180</v>
      </c>
      <c r="V101" s="147" t="s">
        <v>263</v>
      </c>
      <c r="W101" s="108"/>
      <c r="X101" s="108" t="s">
        <v>216</v>
      </c>
      <c r="Y101" s="108" t="s">
        <v>2912</v>
      </c>
      <c r="Z101" s="111">
        <v>36930</v>
      </c>
      <c r="AA101" s="108">
        <f t="shared" ca="1" si="3"/>
        <v>22</v>
      </c>
      <c r="AB101" s="108" t="s">
        <v>4019</v>
      </c>
      <c r="AC101" s="108" t="s">
        <v>4020</v>
      </c>
      <c r="AD101" s="108" t="s">
        <v>4021</v>
      </c>
      <c r="AE101" s="108"/>
      <c r="AF101" s="115" t="s">
        <v>4022</v>
      </c>
      <c r="AG101" s="115" t="s">
        <v>4023</v>
      </c>
      <c r="AH101" s="108">
        <v>23009096639</v>
      </c>
      <c r="AI101" s="108" t="s">
        <v>255</v>
      </c>
      <c r="AJ101" s="147"/>
      <c r="AK101" s="108"/>
      <c r="AL101" s="108"/>
      <c r="AM101" s="108"/>
      <c r="AN101" s="108"/>
      <c r="AO101" s="108"/>
      <c r="AP101" s="108"/>
      <c r="AQ101" s="108"/>
      <c r="AR101" s="108"/>
      <c r="AS101" s="108">
        <v>0</v>
      </c>
      <c r="AT101" s="108" t="s">
        <v>304</v>
      </c>
      <c r="AU101" s="108"/>
      <c r="AV101" s="108" t="s">
        <v>74</v>
      </c>
      <c r="AW101" s="108" t="s">
        <v>13</v>
      </c>
      <c r="AX101" s="108" t="s">
        <v>2860</v>
      </c>
      <c r="AY101" s="108" t="s">
        <v>2472</v>
      </c>
      <c r="AZ101" s="108"/>
      <c r="BA101" s="108" t="s">
        <v>13</v>
      </c>
      <c r="BB101" s="108" t="s">
        <v>2860</v>
      </c>
      <c r="BC101" s="108" t="s">
        <v>2472</v>
      </c>
      <c r="BD101" s="148"/>
      <c r="BE101" s="147"/>
      <c r="BF101" s="108"/>
      <c r="BG101" s="108"/>
      <c r="BH101" s="108"/>
      <c r="BI101" s="108">
        <v>43</v>
      </c>
      <c r="BJ101" s="147"/>
      <c r="BK101" s="108"/>
      <c r="BL101" s="108"/>
      <c r="BM101" s="108"/>
      <c r="BN101" s="149"/>
      <c r="BO101" s="149"/>
      <c r="BP101" s="108"/>
      <c r="BQ101" s="108"/>
      <c r="BR101" s="149"/>
      <c r="BS101" s="149"/>
      <c r="BT101" s="108"/>
      <c r="BU101" s="108"/>
      <c r="BV101" s="111"/>
      <c r="BW101" s="111"/>
      <c r="BX101" s="147"/>
      <c r="BY101" s="150">
        <v>45107</v>
      </c>
      <c r="BZ101" s="147" t="s">
        <v>3144</v>
      </c>
      <c r="CA101" s="147"/>
      <c r="CB101" s="147" t="e">
        <f>VLOOKUP(C101,[1]Sertifikasi!$B$4:$I$19,8,0)</f>
        <v>#N/A</v>
      </c>
    </row>
    <row r="102" spans="1:80" ht="11.25" customHeight="1">
      <c r="A102" s="147"/>
      <c r="B102" s="108">
        <v>99</v>
      </c>
      <c r="C102" s="108" t="s">
        <v>4024</v>
      </c>
      <c r="D102" s="109">
        <v>642301179</v>
      </c>
      <c r="E102" s="113">
        <v>1710012921980</v>
      </c>
      <c r="F102" s="115"/>
      <c r="G102" s="108" t="s">
        <v>71</v>
      </c>
      <c r="H102" s="108" t="s">
        <v>71</v>
      </c>
      <c r="I102" s="111">
        <v>44931</v>
      </c>
      <c r="J102" s="113">
        <f t="shared" si="0"/>
        <v>0</v>
      </c>
      <c r="K102" s="108">
        <f t="shared" si="1"/>
        <v>7</v>
      </c>
      <c r="L102" s="108" t="str">
        <f t="shared" si="2"/>
        <v>PKWT</v>
      </c>
      <c r="M102" s="108"/>
      <c r="N102" s="111">
        <v>45291</v>
      </c>
      <c r="O102" s="111"/>
      <c r="P102" s="108" t="s">
        <v>213</v>
      </c>
      <c r="Q102" s="108" t="s">
        <v>259</v>
      </c>
      <c r="R102" s="108" t="s">
        <v>33</v>
      </c>
      <c r="S102" s="108" t="s">
        <v>91</v>
      </c>
      <c r="T102" s="108" t="s">
        <v>199</v>
      </c>
      <c r="U102" s="108" t="s">
        <v>180</v>
      </c>
      <c r="V102" s="147" t="s">
        <v>263</v>
      </c>
      <c r="W102" s="108"/>
      <c r="X102" s="108" t="s">
        <v>60</v>
      </c>
      <c r="Y102" s="108" t="s">
        <v>71</v>
      </c>
      <c r="Z102" s="111">
        <v>36731</v>
      </c>
      <c r="AA102" s="108">
        <f t="shared" ca="1" si="3"/>
        <v>23</v>
      </c>
      <c r="AB102" s="108" t="s">
        <v>4025</v>
      </c>
      <c r="AC102" s="108" t="s">
        <v>4026</v>
      </c>
      <c r="AD102" s="108" t="s">
        <v>4027</v>
      </c>
      <c r="AE102" s="108"/>
      <c r="AF102" s="115" t="s">
        <v>4028</v>
      </c>
      <c r="AG102" s="115" t="s">
        <v>2917</v>
      </c>
      <c r="AH102" s="108">
        <v>23009096597</v>
      </c>
      <c r="AI102" s="108" t="s">
        <v>255</v>
      </c>
      <c r="AJ102" s="147"/>
      <c r="AK102" s="108"/>
      <c r="AL102" s="108"/>
      <c r="AM102" s="108"/>
      <c r="AN102" s="108"/>
      <c r="AO102" s="108"/>
      <c r="AP102" s="108"/>
      <c r="AQ102" s="108"/>
      <c r="AR102" s="108"/>
      <c r="AS102" s="108">
        <v>0</v>
      </c>
      <c r="AT102" s="108" t="s">
        <v>304</v>
      </c>
      <c r="AU102" s="108"/>
      <c r="AV102" s="108" t="s">
        <v>74</v>
      </c>
      <c r="AW102" s="108" t="s">
        <v>13</v>
      </c>
      <c r="AX102" s="108" t="s">
        <v>2860</v>
      </c>
      <c r="AY102" s="108" t="s">
        <v>2472</v>
      </c>
      <c r="AZ102" s="108"/>
      <c r="BA102" s="108" t="s">
        <v>13</v>
      </c>
      <c r="BB102" s="108" t="s">
        <v>2860</v>
      </c>
      <c r="BC102" s="108" t="s">
        <v>2472</v>
      </c>
      <c r="BD102" s="148"/>
      <c r="BE102" s="147"/>
      <c r="BF102" s="108"/>
      <c r="BG102" s="108"/>
      <c r="BH102" s="108"/>
      <c r="BI102" s="108">
        <v>38</v>
      </c>
      <c r="BJ102" s="147"/>
      <c r="BK102" s="108"/>
      <c r="BL102" s="108"/>
      <c r="BM102" s="108"/>
      <c r="BN102" s="149"/>
      <c r="BO102" s="149"/>
      <c r="BP102" s="108"/>
      <c r="BQ102" s="108"/>
      <c r="BR102" s="149"/>
      <c r="BS102" s="149"/>
      <c r="BT102" s="108"/>
      <c r="BU102" s="108"/>
      <c r="BV102" s="111"/>
      <c r="BW102" s="111"/>
      <c r="BX102" s="147"/>
      <c r="BY102" s="150">
        <v>45152</v>
      </c>
      <c r="BZ102" s="147" t="s">
        <v>3144</v>
      </c>
      <c r="CA102" s="147"/>
      <c r="CB102" s="147" t="e">
        <f>VLOOKUP(C102,[1]Sertifikasi!$B$4:$I$19,8,0)</f>
        <v>#N/A</v>
      </c>
    </row>
    <row r="103" spans="1:80" ht="11.25" customHeight="1">
      <c r="A103" s="147"/>
      <c r="B103" s="108">
        <v>100</v>
      </c>
      <c r="C103" s="108" t="s">
        <v>4029</v>
      </c>
      <c r="D103" s="109">
        <v>642301194</v>
      </c>
      <c r="E103" s="113">
        <v>1710012919547</v>
      </c>
      <c r="F103" s="115"/>
      <c r="G103" s="108" t="s">
        <v>71</v>
      </c>
      <c r="H103" s="108" t="s">
        <v>71</v>
      </c>
      <c r="I103" s="111">
        <v>44931</v>
      </c>
      <c r="J103" s="113">
        <f t="shared" si="0"/>
        <v>0</v>
      </c>
      <c r="K103" s="108">
        <f t="shared" si="1"/>
        <v>7</v>
      </c>
      <c r="L103" s="108" t="str">
        <f t="shared" si="2"/>
        <v>PKWT</v>
      </c>
      <c r="M103" s="108"/>
      <c r="N103" s="111">
        <v>45291</v>
      </c>
      <c r="O103" s="111"/>
      <c r="P103" s="108" t="s">
        <v>213</v>
      </c>
      <c r="Q103" s="108" t="s">
        <v>71</v>
      </c>
      <c r="R103" s="108" t="s">
        <v>899</v>
      </c>
      <c r="S103" s="108" t="s">
        <v>101</v>
      </c>
      <c r="T103" s="108" t="s">
        <v>362</v>
      </c>
      <c r="U103" s="108" t="s">
        <v>180</v>
      </c>
      <c r="V103" s="147" t="s">
        <v>277</v>
      </c>
      <c r="W103" s="108"/>
      <c r="X103" s="108" t="s">
        <v>216</v>
      </c>
      <c r="Y103" s="108" t="s">
        <v>1374</v>
      </c>
      <c r="Z103" s="111">
        <v>36958</v>
      </c>
      <c r="AA103" s="108">
        <f t="shared" ca="1" si="3"/>
        <v>22</v>
      </c>
      <c r="AB103" s="108" t="s">
        <v>4030</v>
      </c>
      <c r="AC103" s="108" t="s">
        <v>4031</v>
      </c>
      <c r="AD103" s="108" t="s">
        <v>4032</v>
      </c>
      <c r="AE103" s="108"/>
      <c r="AF103" s="115" t="s">
        <v>4033</v>
      </c>
      <c r="AG103" s="115" t="s">
        <v>4034</v>
      </c>
      <c r="AH103" s="108">
        <v>23009096738</v>
      </c>
      <c r="AI103" s="108" t="s">
        <v>255</v>
      </c>
      <c r="AJ103" s="147"/>
      <c r="AK103" s="108"/>
      <c r="AL103" s="108"/>
      <c r="AM103" s="108"/>
      <c r="AN103" s="108"/>
      <c r="AO103" s="108"/>
      <c r="AP103" s="108"/>
      <c r="AQ103" s="108"/>
      <c r="AR103" s="108"/>
      <c r="AS103" s="108">
        <v>0</v>
      </c>
      <c r="AT103" s="108" t="s">
        <v>304</v>
      </c>
      <c r="AU103" s="108"/>
      <c r="AV103" s="108" t="s">
        <v>74</v>
      </c>
      <c r="AW103" s="108" t="s">
        <v>13</v>
      </c>
      <c r="AX103" s="108" t="s">
        <v>2789</v>
      </c>
      <c r="AY103" s="108" t="s">
        <v>2472</v>
      </c>
      <c r="AZ103" s="108"/>
      <c r="BA103" s="108" t="s">
        <v>13</v>
      </c>
      <c r="BB103" s="108" t="s">
        <v>2789</v>
      </c>
      <c r="BC103" s="108" t="s">
        <v>2472</v>
      </c>
      <c r="BD103" s="148"/>
      <c r="BE103" s="147"/>
      <c r="BF103" s="108"/>
      <c r="BG103" s="108"/>
      <c r="BH103" s="108"/>
      <c r="BI103" s="108">
        <v>42</v>
      </c>
      <c r="BJ103" s="147"/>
      <c r="BK103" s="108"/>
      <c r="BL103" s="108"/>
      <c r="BM103" s="108"/>
      <c r="BN103" s="149"/>
      <c r="BO103" s="149"/>
      <c r="BP103" s="108"/>
      <c r="BQ103" s="108"/>
      <c r="BR103" s="149"/>
      <c r="BS103" s="149"/>
      <c r="BT103" s="108"/>
      <c r="BU103" s="108"/>
      <c r="BV103" s="111"/>
      <c r="BW103" s="111"/>
      <c r="BX103" s="147"/>
      <c r="BY103" s="150">
        <v>45162</v>
      </c>
      <c r="BZ103" s="147" t="s">
        <v>3144</v>
      </c>
      <c r="CA103" s="147"/>
      <c r="CB103" s="147" t="e">
        <f>VLOOKUP(C103,[1]Sertifikasi!$B$4:$I$19,8,0)</f>
        <v>#N/A</v>
      </c>
    </row>
    <row r="104" spans="1:80" ht="15.75" customHeight="1">
      <c r="A104" s="91"/>
      <c r="B104" s="108">
        <v>101</v>
      </c>
      <c r="C104" s="108" t="s">
        <v>4035</v>
      </c>
      <c r="D104" s="109">
        <v>642201173</v>
      </c>
      <c r="E104" s="110">
        <v>1320019390278</v>
      </c>
      <c r="F104" s="110"/>
      <c r="G104" s="108" t="s">
        <v>71</v>
      </c>
      <c r="H104" s="108" t="s">
        <v>71</v>
      </c>
      <c r="I104" s="111">
        <v>44702</v>
      </c>
      <c r="J104" s="113">
        <f t="shared" si="0"/>
        <v>1</v>
      </c>
      <c r="K104" s="108">
        <f t="shared" si="1"/>
        <v>2</v>
      </c>
      <c r="L104" s="108" t="str">
        <f t="shared" si="2"/>
        <v>PKWT</v>
      </c>
      <c r="M104" s="108"/>
      <c r="N104" s="111">
        <v>45434</v>
      </c>
      <c r="O104" s="147"/>
      <c r="P104" s="108" t="s">
        <v>213</v>
      </c>
      <c r="Q104" s="108" t="s">
        <v>71</v>
      </c>
      <c r="R104" s="108" t="s">
        <v>232</v>
      </c>
      <c r="S104" s="147" t="s">
        <v>276</v>
      </c>
      <c r="T104" s="147" t="s">
        <v>276</v>
      </c>
      <c r="U104" s="147" t="s">
        <v>180</v>
      </c>
      <c r="V104" s="91"/>
      <c r="W104" s="108"/>
      <c r="X104" s="108" t="s">
        <v>216</v>
      </c>
      <c r="Y104" s="108" t="s">
        <v>274</v>
      </c>
      <c r="Z104" s="111">
        <v>34852</v>
      </c>
      <c r="AA104" s="108">
        <f t="shared" ca="1" si="3"/>
        <v>28</v>
      </c>
      <c r="AB104" s="108" t="s">
        <v>4036</v>
      </c>
      <c r="AC104" s="108" t="s">
        <v>4037</v>
      </c>
      <c r="AD104" s="109" t="s">
        <v>4038</v>
      </c>
      <c r="AE104" s="91"/>
      <c r="AF104" s="177" t="s">
        <v>4039</v>
      </c>
      <c r="AG104" s="170" t="s">
        <v>4040</v>
      </c>
      <c r="AH104" s="110">
        <v>22063660801</v>
      </c>
      <c r="AI104" s="108" t="s">
        <v>189</v>
      </c>
      <c r="AJ104" s="108"/>
      <c r="AK104" s="91"/>
      <c r="AL104" s="108"/>
      <c r="AM104" s="108"/>
      <c r="AN104" s="108"/>
      <c r="AO104" s="108"/>
      <c r="AP104" s="108"/>
      <c r="AQ104" s="108"/>
      <c r="AR104" s="108"/>
      <c r="AS104" s="108">
        <f>COUNTA(AL104:AO104)</f>
        <v>0</v>
      </c>
      <c r="AT104" s="108" t="str">
        <f>IF(AI104="Menikah","K","TK")&amp;"/"&amp;AS104</f>
        <v>K/0</v>
      </c>
      <c r="AU104" s="113"/>
      <c r="AV104" s="108" t="s">
        <v>74</v>
      </c>
      <c r="AW104" s="108" t="s">
        <v>12</v>
      </c>
      <c r="AX104" s="108" t="s">
        <v>226</v>
      </c>
      <c r="AY104" s="108" t="s">
        <v>3666</v>
      </c>
      <c r="AZ104" s="108"/>
      <c r="BA104" s="108" t="s">
        <v>12</v>
      </c>
      <c r="BB104" s="108" t="s">
        <v>226</v>
      </c>
      <c r="BC104" s="108" t="s">
        <v>3666</v>
      </c>
      <c r="BD104" s="108"/>
      <c r="BE104" s="111"/>
      <c r="BF104" s="91"/>
      <c r="BG104" s="111"/>
      <c r="BH104" s="108"/>
      <c r="BI104" s="108">
        <v>42</v>
      </c>
      <c r="BJ104" s="91"/>
      <c r="BK104" s="111"/>
      <c r="BL104" s="111"/>
      <c r="BM104" s="176"/>
      <c r="BN104" s="108"/>
      <c r="BO104" s="108"/>
      <c r="BP104" s="108"/>
      <c r="BQ104" s="108"/>
      <c r="BR104" s="108" t="e">
        <f>"PKWT-"&amp;#REF!&amp;"/D1/2020"</f>
        <v>#REF!</v>
      </c>
      <c r="BS104" s="108"/>
      <c r="BT104" s="108"/>
      <c r="BU104" s="108"/>
      <c r="BV104" s="108"/>
      <c r="BW104" s="108"/>
      <c r="BX104" s="108"/>
      <c r="BY104" s="132">
        <v>45152</v>
      </c>
      <c r="BZ104" s="147" t="s">
        <v>3144</v>
      </c>
      <c r="CA104" s="91"/>
      <c r="CB104" s="147" t="e">
        <f>VLOOKUP(C104,[1]Sertifikasi!$B$4:$I$19,8,0)</f>
        <v>#N/A</v>
      </c>
    </row>
    <row r="105" spans="1:80" ht="11.25" customHeight="1">
      <c r="A105" s="147"/>
      <c r="B105" s="108">
        <v>102</v>
      </c>
      <c r="C105" s="108" t="s">
        <v>4041</v>
      </c>
      <c r="D105" s="108">
        <v>642111124</v>
      </c>
      <c r="E105" s="110">
        <v>1670004460522</v>
      </c>
      <c r="F105" s="113"/>
      <c r="G105" s="115" t="s">
        <v>259</v>
      </c>
      <c r="H105" s="108" t="s">
        <v>259</v>
      </c>
      <c r="I105" s="111">
        <v>44529</v>
      </c>
      <c r="J105" s="113">
        <f t="shared" si="0"/>
        <v>1</v>
      </c>
      <c r="K105" s="108">
        <f t="shared" si="1"/>
        <v>9</v>
      </c>
      <c r="L105" s="108" t="str">
        <f t="shared" si="2"/>
        <v>PKWT</v>
      </c>
      <c r="M105" s="108"/>
      <c r="N105" s="111">
        <v>45169</v>
      </c>
      <c r="O105" s="111"/>
      <c r="P105" s="111" t="s">
        <v>213</v>
      </c>
      <c r="Q105" s="108" t="s">
        <v>259</v>
      </c>
      <c r="R105" s="108" t="s">
        <v>33</v>
      </c>
      <c r="S105" s="108" t="s">
        <v>90</v>
      </c>
      <c r="T105" s="108" t="s">
        <v>199</v>
      </c>
      <c r="U105" s="108" t="s">
        <v>180</v>
      </c>
      <c r="V105" s="147" t="s">
        <v>931</v>
      </c>
      <c r="W105" s="108"/>
      <c r="X105" s="108" t="s">
        <v>216</v>
      </c>
      <c r="Y105" s="108" t="s">
        <v>422</v>
      </c>
      <c r="Z105" s="111">
        <v>21367</v>
      </c>
      <c r="AA105" s="108">
        <f t="shared" ca="1" si="3"/>
        <v>65</v>
      </c>
      <c r="AB105" s="111" t="s">
        <v>4042</v>
      </c>
      <c r="AC105" s="108" t="s">
        <v>4043</v>
      </c>
      <c r="AD105" s="108" t="s">
        <v>4044</v>
      </c>
      <c r="AE105" s="147"/>
      <c r="AF105" s="108" t="s">
        <v>4045</v>
      </c>
      <c r="AG105" s="115" t="s">
        <v>4046</v>
      </c>
      <c r="AH105" s="115">
        <v>21098326594</v>
      </c>
      <c r="AI105" s="108" t="s">
        <v>189</v>
      </c>
      <c r="AJ105" s="108" t="s">
        <v>4047</v>
      </c>
      <c r="AK105" s="147"/>
      <c r="AL105" s="108"/>
      <c r="AM105" s="108"/>
      <c r="AN105" s="108"/>
      <c r="AO105" s="108"/>
      <c r="AP105" s="108"/>
      <c r="AQ105" s="108"/>
      <c r="AR105" s="108"/>
      <c r="AS105" s="108">
        <v>0</v>
      </c>
      <c r="AT105" s="108" t="s">
        <v>390</v>
      </c>
      <c r="AU105" s="108"/>
      <c r="AV105" s="108" t="s">
        <v>74</v>
      </c>
      <c r="AW105" s="108" t="s">
        <v>16</v>
      </c>
      <c r="AX105" s="108" t="s">
        <v>226</v>
      </c>
      <c r="AY105" s="108" t="s">
        <v>4048</v>
      </c>
      <c r="AZ105" s="108"/>
      <c r="BA105" s="108" t="s">
        <v>16</v>
      </c>
      <c r="BB105" s="108" t="s">
        <v>226</v>
      </c>
      <c r="BC105" s="108" t="s">
        <v>4048</v>
      </c>
      <c r="BD105" s="108"/>
      <c r="BE105" s="148"/>
      <c r="BF105" s="147"/>
      <c r="BG105" s="108"/>
      <c r="BH105" s="108"/>
      <c r="BI105" s="108">
        <v>43</v>
      </c>
      <c r="BJ105" s="147"/>
      <c r="BK105" s="108"/>
      <c r="BL105" s="108"/>
      <c r="BM105" s="108"/>
      <c r="BN105" s="108"/>
      <c r="BO105" s="149"/>
      <c r="BP105" s="149"/>
      <c r="BQ105" s="108"/>
      <c r="BR105" s="108" t="s">
        <v>4049</v>
      </c>
      <c r="BS105" s="149"/>
      <c r="BT105" s="149"/>
      <c r="BU105" s="108"/>
      <c r="BV105" s="108"/>
      <c r="BW105" s="111"/>
      <c r="BX105" s="111"/>
      <c r="BY105" s="178">
        <v>45169</v>
      </c>
      <c r="BZ105" s="150" t="s">
        <v>3138</v>
      </c>
      <c r="CA105" s="147"/>
      <c r="CB105" s="147" t="e">
        <f>VLOOKUP(C105,[1]Sertifikasi!$B$4:$I$19,8,0)</f>
        <v>#N/A</v>
      </c>
    </row>
    <row r="106" spans="1:80" ht="11.25" customHeight="1">
      <c r="A106" s="147"/>
      <c r="B106" s="108">
        <v>103</v>
      </c>
      <c r="C106" s="108" t="s">
        <v>4050</v>
      </c>
      <c r="D106" s="109">
        <v>642301197</v>
      </c>
      <c r="E106" s="113"/>
      <c r="F106" s="115">
        <v>7222439571</v>
      </c>
      <c r="G106" s="108" t="s">
        <v>259</v>
      </c>
      <c r="H106" s="108" t="s">
        <v>259</v>
      </c>
      <c r="I106" s="111">
        <v>44956</v>
      </c>
      <c r="J106" s="113">
        <v>0</v>
      </c>
      <c r="K106" s="108">
        <v>8</v>
      </c>
      <c r="L106" s="108" t="s">
        <v>4051</v>
      </c>
      <c r="M106" s="108"/>
      <c r="N106" s="111">
        <v>45199</v>
      </c>
      <c r="O106" s="111"/>
      <c r="P106" s="108" t="s">
        <v>213</v>
      </c>
      <c r="Q106" s="108" t="s">
        <v>259</v>
      </c>
      <c r="R106" s="108" t="s">
        <v>33</v>
      </c>
      <c r="S106" s="108" t="s">
        <v>90</v>
      </c>
      <c r="T106" s="108" t="s">
        <v>199</v>
      </c>
      <c r="U106" s="108" t="s">
        <v>180</v>
      </c>
      <c r="V106" s="147" t="s">
        <v>931</v>
      </c>
      <c r="W106" s="108"/>
      <c r="X106" s="108" t="s">
        <v>216</v>
      </c>
      <c r="Y106" s="111" t="s">
        <v>259</v>
      </c>
      <c r="Z106" s="111">
        <v>21492</v>
      </c>
      <c r="AA106" s="108">
        <f t="shared" ca="1" si="3"/>
        <v>65</v>
      </c>
      <c r="AB106" s="108" t="s">
        <v>4052</v>
      </c>
      <c r="AC106" s="108" t="s">
        <v>4053</v>
      </c>
      <c r="AD106" s="108" t="s">
        <v>4054</v>
      </c>
      <c r="AE106" s="147"/>
      <c r="AF106" s="108"/>
      <c r="AG106" s="115" t="s">
        <v>4055</v>
      </c>
      <c r="AH106" s="108"/>
      <c r="AI106" s="108" t="s">
        <v>189</v>
      </c>
      <c r="AJ106" s="108" t="s">
        <v>4056</v>
      </c>
      <c r="AK106" s="108"/>
      <c r="AL106" s="108"/>
      <c r="AM106" s="108"/>
      <c r="AN106" s="108"/>
      <c r="AO106" s="147"/>
      <c r="AP106" s="108"/>
      <c r="AQ106" s="108"/>
      <c r="AR106" s="108"/>
      <c r="AS106" s="108">
        <v>0</v>
      </c>
      <c r="AT106" s="108" t="s">
        <v>390</v>
      </c>
      <c r="AU106" s="108">
        <v>490983251425000</v>
      </c>
      <c r="AV106" s="108" t="s">
        <v>74</v>
      </c>
      <c r="AW106" s="108" t="s">
        <v>16</v>
      </c>
      <c r="AX106" s="108"/>
      <c r="AY106" s="108"/>
      <c r="AZ106" s="108"/>
      <c r="BA106" s="108" t="s">
        <v>16</v>
      </c>
      <c r="BB106" s="108"/>
      <c r="BC106" s="108"/>
      <c r="BD106" s="148"/>
      <c r="BE106" s="147"/>
      <c r="BF106" s="108"/>
      <c r="BG106" s="108"/>
      <c r="BH106" s="108"/>
      <c r="BI106" s="108">
        <v>40</v>
      </c>
      <c r="BJ106" s="147"/>
      <c r="BK106" s="108"/>
      <c r="BL106" s="108"/>
      <c r="BM106" s="108"/>
      <c r="BN106" s="149"/>
      <c r="BO106" s="149"/>
      <c r="BP106" s="108"/>
      <c r="BQ106" s="108"/>
      <c r="BR106" s="149"/>
      <c r="BS106" s="149"/>
      <c r="BT106" s="108"/>
      <c r="BU106" s="108"/>
      <c r="BV106" s="111"/>
      <c r="BW106" s="111"/>
      <c r="BX106" s="147"/>
      <c r="BY106" s="150">
        <v>45199</v>
      </c>
      <c r="BZ106" s="147" t="s">
        <v>3138</v>
      </c>
      <c r="CA106" s="147"/>
      <c r="CB106" s="147" t="e">
        <f>VLOOKUP(C106,[1]Sertifikasi!$B$4:$I$19,8,0)</f>
        <v>#N/A</v>
      </c>
    </row>
    <row r="107" spans="1:80" ht="11.25" customHeight="1">
      <c r="A107" s="147"/>
      <c r="B107" s="108">
        <v>104</v>
      </c>
      <c r="C107" s="108" t="s">
        <v>4057</v>
      </c>
      <c r="D107" s="109">
        <v>642111122</v>
      </c>
      <c r="E107" s="113">
        <v>1220007712865</v>
      </c>
      <c r="F107" s="115">
        <v>7183168015</v>
      </c>
      <c r="G107" s="108" t="s">
        <v>259</v>
      </c>
      <c r="H107" s="108" t="s">
        <v>259</v>
      </c>
      <c r="I107" s="111">
        <v>44529</v>
      </c>
      <c r="J107" s="113">
        <v>1</v>
      </c>
      <c r="K107" s="108">
        <v>10</v>
      </c>
      <c r="L107" s="108" t="s">
        <v>4051</v>
      </c>
      <c r="M107" s="108"/>
      <c r="N107" s="111">
        <v>45199</v>
      </c>
      <c r="O107" s="111"/>
      <c r="P107" s="108" t="s">
        <v>213</v>
      </c>
      <c r="Q107" s="108" t="s">
        <v>259</v>
      </c>
      <c r="R107" s="108" t="s">
        <v>33</v>
      </c>
      <c r="S107" s="108" t="s">
        <v>90</v>
      </c>
      <c r="T107" s="108" t="s">
        <v>199</v>
      </c>
      <c r="U107" s="108" t="s">
        <v>180</v>
      </c>
      <c r="V107" s="147" t="s">
        <v>931</v>
      </c>
      <c r="W107" s="108"/>
      <c r="X107" s="108" t="s">
        <v>216</v>
      </c>
      <c r="Y107" s="111" t="s">
        <v>259</v>
      </c>
      <c r="Z107" s="111">
        <v>21655</v>
      </c>
      <c r="AA107" s="108">
        <f t="shared" ca="1" si="3"/>
        <v>64</v>
      </c>
      <c r="AB107" s="108" t="s">
        <v>4058</v>
      </c>
      <c r="AC107" s="108" t="s">
        <v>4059</v>
      </c>
      <c r="AD107" s="108" t="s">
        <v>4060</v>
      </c>
      <c r="AE107" s="147"/>
      <c r="AF107" s="108"/>
      <c r="AG107" s="115" t="s">
        <v>4061</v>
      </c>
      <c r="AH107" s="108">
        <v>22017333794</v>
      </c>
      <c r="AI107" s="108" t="s">
        <v>189</v>
      </c>
      <c r="AJ107" s="108" t="s">
        <v>4062</v>
      </c>
      <c r="AK107" s="108" t="s">
        <v>4063</v>
      </c>
      <c r="AL107" s="108"/>
      <c r="AM107" s="108"/>
      <c r="AN107" s="108"/>
      <c r="AO107" s="147"/>
      <c r="AP107" s="108"/>
      <c r="AQ107" s="108"/>
      <c r="AR107" s="108"/>
      <c r="AS107" s="108">
        <v>1</v>
      </c>
      <c r="AT107" s="108" t="s">
        <v>225</v>
      </c>
      <c r="AU107" s="108"/>
      <c r="AV107" s="108" t="s">
        <v>74</v>
      </c>
      <c r="AW107" s="108" t="s">
        <v>391</v>
      </c>
      <c r="AX107" s="108" t="s">
        <v>392</v>
      </c>
      <c r="AY107" s="108" t="s">
        <v>4064</v>
      </c>
      <c r="AZ107" s="108"/>
      <c r="BA107" s="108" t="s">
        <v>391</v>
      </c>
      <c r="BB107" s="108" t="s">
        <v>392</v>
      </c>
      <c r="BC107" s="108" t="s">
        <v>4064</v>
      </c>
      <c r="BD107" s="148"/>
      <c r="BE107" s="147"/>
      <c r="BF107" s="108"/>
      <c r="BG107" s="108"/>
      <c r="BH107" s="108"/>
      <c r="BI107" s="108">
        <v>42</v>
      </c>
      <c r="BJ107" s="147"/>
      <c r="BK107" s="108"/>
      <c r="BL107" s="108"/>
      <c r="BM107" s="108"/>
      <c r="BN107" s="149"/>
      <c r="BO107" s="149"/>
      <c r="BP107" s="108"/>
      <c r="BQ107" s="108"/>
      <c r="BR107" s="149" t="s">
        <v>4065</v>
      </c>
      <c r="BS107" s="149"/>
      <c r="BT107" s="108"/>
      <c r="BU107" s="108"/>
      <c r="BV107" s="111"/>
      <c r="BW107" s="111"/>
      <c r="BX107" s="147"/>
      <c r="BY107" s="150">
        <v>45199</v>
      </c>
      <c r="BZ107" s="147" t="s">
        <v>3138</v>
      </c>
      <c r="CA107" s="147"/>
      <c r="CB107" s="147" t="e">
        <f>VLOOKUP(C107,[1]Sertifikasi!$B$4:$I$19,8,0)</f>
        <v>#N/A</v>
      </c>
    </row>
    <row r="108" spans="1:80" ht="15.75" customHeight="1">
      <c r="A108" s="91"/>
      <c r="B108" s="108">
        <v>105</v>
      </c>
      <c r="C108" s="108" t="s">
        <v>4066</v>
      </c>
      <c r="D108" s="109">
        <v>642301120</v>
      </c>
      <c r="E108" s="179">
        <v>1710013731735</v>
      </c>
      <c r="F108" s="110"/>
      <c r="G108" s="108" t="s">
        <v>71</v>
      </c>
      <c r="H108" s="108" t="s">
        <v>259</v>
      </c>
      <c r="I108" s="111">
        <v>45084</v>
      </c>
      <c r="J108" s="113">
        <f>DATEDIF(I108,[2]Lapangan!$B$3,"y")</f>
        <v>0</v>
      </c>
      <c r="K108" s="108">
        <f>DATEDIF(I108,[2]Lapangan!$B$3,"YM")</f>
        <v>3</v>
      </c>
      <c r="L108" s="108" t="s">
        <v>4051</v>
      </c>
      <c r="M108" s="108"/>
      <c r="N108" s="111">
        <v>45449</v>
      </c>
      <c r="O108" s="108"/>
      <c r="P108" s="108" t="s">
        <v>213</v>
      </c>
      <c r="Q108" s="108" t="s">
        <v>259</v>
      </c>
      <c r="R108" s="108" t="s">
        <v>262</v>
      </c>
      <c r="S108" s="147" t="s">
        <v>89</v>
      </c>
      <c r="T108" s="108" t="s">
        <v>199</v>
      </c>
      <c r="U108" s="108" t="s">
        <v>180</v>
      </c>
      <c r="V108" s="91"/>
      <c r="W108" s="108"/>
      <c r="X108" s="108" t="s">
        <v>216</v>
      </c>
      <c r="Y108" s="108" t="s">
        <v>433</v>
      </c>
      <c r="Z108" s="111">
        <v>36959</v>
      </c>
      <c r="AA108" s="108">
        <f t="shared" ca="1" si="3"/>
        <v>22</v>
      </c>
      <c r="AB108" s="108" t="s">
        <v>4067</v>
      </c>
      <c r="AC108" s="108" t="s">
        <v>4068</v>
      </c>
      <c r="AD108" s="109" t="s">
        <v>4069</v>
      </c>
      <c r="AE108" s="109"/>
      <c r="AF108" s="115"/>
      <c r="AG108" s="110"/>
      <c r="AH108" s="91"/>
      <c r="AI108" s="108" t="s">
        <v>255</v>
      </c>
      <c r="AJ108" s="108"/>
      <c r="AK108" s="108"/>
      <c r="AL108" s="108"/>
      <c r="AM108" s="108"/>
      <c r="AN108" s="108" t="s">
        <v>4070</v>
      </c>
      <c r="AO108" s="108" t="s">
        <v>4071</v>
      </c>
      <c r="AP108" s="108"/>
      <c r="AQ108" s="108"/>
      <c r="AR108" s="91"/>
      <c r="AS108" s="108">
        <v>0</v>
      </c>
      <c r="AT108" s="108" t="str">
        <f t="shared" ref="AT108:AT109" si="14">IF(AI108="Menikah","K","TK")&amp;"/"&amp;AS108</f>
        <v>TK/0</v>
      </c>
      <c r="AU108" s="91"/>
      <c r="AV108" s="108" t="s">
        <v>74</v>
      </c>
      <c r="AW108" s="108" t="s">
        <v>391</v>
      </c>
      <c r="AX108" s="108" t="s">
        <v>450</v>
      </c>
      <c r="AY108" s="108"/>
      <c r="AZ108" s="108"/>
      <c r="BA108" s="108" t="s">
        <v>391</v>
      </c>
      <c r="BB108" s="108" t="s">
        <v>450</v>
      </c>
      <c r="BC108" s="108"/>
      <c r="BD108" s="108"/>
      <c r="BE108" s="111"/>
      <c r="BF108" s="111"/>
      <c r="BG108" s="108"/>
      <c r="BH108" s="108"/>
      <c r="BI108" s="108">
        <v>43</v>
      </c>
      <c r="BJ108" s="111"/>
      <c r="BK108" s="111"/>
      <c r="BL108" s="180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91"/>
      <c r="BZ108" s="91"/>
      <c r="CA108" s="91"/>
      <c r="CB108" s="147" t="e">
        <f>VLOOKUP(C108,[1]Sertifikasi!$B$4:$I$19,8,0)</f>
        <v>#N/A</v>
      </c>
    </row>
    <row r="109" spans="1:80" ht="15.75" customHeight="1">
      <c r="A109" s="91"/>
      <c r="B109" s="108">
        <v>106</v>
      </c>
      <c r="C109" s="108" t="s">
        <v>4072</v>
      </c>
      <c r="D109" s="109">
        <v>642201142</v>
      </c>
      <c r="E109" s="179">
        <v>1710011622753</v>
      </c>
      <c r="F109" s="110"/>
      <c r="G109" s="108" t="s">
        <v>259</v>
      </c>
      <c r="H109" s="108" t="s">
        <v>259</v>
      </c>
      <c r="I109" s="111">
        <v>44578</v>
      </c>
      <c r="J109" s="113">
        <f>DATEDIF(I109,[2]Lapangan!$B$3,"y")</f>
        <v>1</v>
      </c>
      <c r="K109" s="108">
        <f>DATEDIF(I109,[2]Lapangan!$B$3,"YM")</f>
        <v>8</v>
      </c>
      <c r="L109" s="108" t="s">
        <v>4051</v>
      </c>
      <c r="M109" s="108"/>
      <c r="N109" s="111">
        <v>45291</v>
      </c>
      <c r="O109" s="147"/>
      <c r="P109" s="108" t="s">
        <v>213</v>
      </c>
      <c r="Q109" s="108" t="s">
        <v>259</v>
      </c>
      <c r="R109" s="108" t="s">
        <v>262</v>
      </c>
      <c r="S109" s="147" t="s">
        <v>89</v>
      </c>
      <c r="T109" s="147" t="s">
        <v>199</v>
      </c>
      <c r="U109" s="147" t="s">
        <v>180</v>
      </c>
      <c r="V109" s="91"/>
      <c r="W109" s="108"/>
      <c r="X109" s="108" t="s">
        <v>216</v>
      </c>
      <c r="Y109" s="108" t="s">
        <v>4073</v>
      </c>
      <c r="Z109" s="111">
        <v>37183</v>
      </c>
      <c r="AA109" s="108">
        <f t="shared" ca="1" si="3"/>
        <v>22</v>
      </c>
      <c r="AB109" s="108" t="s">
        <v>4074</v>
      </c>
      <c r="AC109" s="108" t="s">
        <v>4075</v>
      </c>
      <c r="AD109" s="108" t="s">
        <v>4076</v>
      </c>
      <c r="AE109" s="109"/>
      <c r="AF109" s="115" t="s">
        <v>4077</v>
      </c>
      <c r="AG109" s="170" t="s">
        <v>4078</v>
      </c>
      <c r="AH109" s="110">
        <v>22017333752</v>
      </c>
      <c r="AI109" s="108" t="s">
        <v>255</v>
      </c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>
        <f>COUNTA(AK109:AN109)</f>
        <v>0</v>
      </c>
      <c r="AT109" s="108" t="str">
        <f t="shared" si="14"/>
        <v>TK/0</v>
      </c>
      <c r="AU109" s="91"/>
      <c r="AV109" s="108" t="s">
        <v>74</v>
      </c>
      <c r="AW109" s="108" t="s">
        <v>16</v>
      </c>
      <c r="AX109" s="108" t="s">
        <v>331</v>
      </c>
      <c r="AY109" s="108" t="s">
        <v>4079</v>
      </c>
      <c r="AZ109" s="108"/>
      <c r="BA109" s="108" t="s">
        <v>16</v>
      </c>
      <c r="BB109" s="108" t="s">
        <v>331</v>
      </c>
      <c r="BC109" s="108" t="s">
        <v>4079</v>
      </c>
      <c r="BD109" s="91"/>
      <c r="BE109" s="91"/>
      <c r="BF109" s="111"/>
      <c r="BG109" s="111"/>
      <c r="BH109" s="108"/>
      <c r="BI109" s="108">
        <v>43</v>
      </c>
      <c r="BJ109" s="111"/>
      <c r="BK109" s="111"/>
      <c r="BL109" s="150">
        <v>44887</v>
      </c>
      <c r="BM109" s="108"/>
      <c r="BN109" s="108"/>
      <c r="BO109" s="91"/>
      <c r="BP109" s="108"/>
      <c r="BQ109" s="108"/>
      <c r="BR109" s="108" t="str">
        <f>"PKWT-"&amp;[2]Lapangan!$C266&amp;"/D1/2020"</f>
        <v>PKWT-/D1/2020</v>
      </c>
      <c r="BS109" s="108"/>
      <c r="BT109" s="108"/>
      <c r="BU109" s="108"/>
      <c r="BV109" s="108"/>
      <c r="BW109" s="108"/>
      <c r="BX109" s="108"/>
      <c r="BY109" s="108"/>
      <c r="BZ109" s="91"/>
      <c r="CA109" s="91"/>
      <c r="CB109" s="147" t="e">
        <f>VLOOKUP(C109,[1]Sertifikasi!$B$4:$I$19,8,0)</f>
        <v>#N/A</v>
      </c>
    </row>
    <row r="110" spans="1:80" ht="11.25" customHeight="1">
      <c r="A110" s="108"/>
      <c r="B110" s="108">
        <v>105</v>
      </c>
      <c r="C110" s="108" t="s">
        <v>3026</v>
      </c>
      <c r="D110" s="109">
        <v>642307124</v>
      </c>
      <c r="E110" s="110"/>
      <c r="G110" s="108" t="s">
        <v>71</v>
      </c>
      <c r="H110" s="108" t="s">
        <v>409</v>
      </c>
      <c r="I110" s="111">
        <v>45204</v>
      </c>
      <c r="J110" s="108">
        <v>0</v>
      </c>
      <c r="K110" s="108">
        <v>0</v>
      </c>
      <c r="L110" s="108" t="str">
        <f>IF(LEFT(D110,2)="99","Organik",IF(LEFT(D110,2)="97","Tetap",IF(LEFT(D110,2)="75","Capeg",IF(LEFT(D110,2)="64","PKWT","Resign"))))</f>
        <v>PKWT</v>
      </c>
      <c r="M110" s="108"/>
      <c r="N110" s="112">
        <v>45291</v>
      </c>
      <c r="O110" s="108"/>
      <c r="P110" s="108" t="s">
        <v>213</v>
      </c>
      <c r="Q110" s="210" t="s">
        <v>4102</v>
      </c>
      <c r="R110" s="108" t="s">
        <v>259</v>
      </c>
      <c r="S110" s="108" t="s">
        <v>33</v>
      </c>
      <c r="T110" s="108" t="s">
        <v>432</v>
      </c>
      <c r="U110" s="108" t="s">
        <v>199</v>
      </c>
      <c r="V110" s="108" t="s">
        <v>180</v>
      </c>
      <c r="W110" s="108"/>
      <c r="X110" s="108"/>
      <c r="Y110" s="108" t="s">
        <v>216</v>
      </c>
      <c r="Z110" s="108" t="s">
        <v>409</v>
      </c>
      <c r="AA110" s="111">
        <v>36220</v>
      </c>
      <c r="AB110" s="113">
        <v>24</v>
      </c>
      <c r="AC110" s="108"/>
      <c r="AD110" s="129" t="s">
        <v>3027</v>
      </c>
      <c r="AE110" s="108"/>
      <c r="AF110" s="108"/>
      <c r="AG110" s="108" t="s">
        <v>3028</v>
      </c>
      <c r="AH110" s="114"/>
      <c r="AI110" s="115"/>
      <c r="AJ110" s="108" t="s">
        <v>255</v>
      </c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>
        <v>0</v>
      </c>
      <c r="AU110" s="108" t="s">
        <v>304</v>
      </c>
      <c r="AV110" s="115"/>
      <c r="AW110" s="108" t="s">
        <v>74</v>
      </c>
      <c r="AX110" s="108" t="s">
        <v>13</v>
      </c>
      <c r="AY110" s="108" t="s">
        <v>2789</v>
      </c>
      <c r="AZ110" s="108" t="s">
        <v>2472</v>
      </c>
      <c r="BA110" s="108"/>
      <c r="BB110" s="108" t="s">
        <v>13</v>
      </c>
      <c r="BC110" s="108" t="s">
        <v>2789</v>
      </c>
      <c r="BD110" s="108" t="s">
        <v>2472</v>
      </c>
      <c r="BE110" s="108"/>
      <c r="BF110" s="116"/>
      <c r="BG110" s="116"/>
      <c r="BH110" s="108"/>
      <c r="BI110" s="108"/>
      <c r="BJ110" s="108"/>
      <c r="BK110" s="111"/>
      <c r="BL110" s="111"/>
      <c r="BM110" s="111"/>
      <c r="BN110" s="111"/>
      <c r="BO110" s="108"/>
      <c r="BP110" s="108"/>
      <c r="BQ110" s="108"/>
      <c r="BR110" s="108"/>
      <c r="BS110" s="108"/>
      <c r="BT110" s="108"/>
      <c r="BU110" s="108"/>
      <c r="BV110" s="108"/>
      <c r="BW110" s="108"/>
      <c r="BX110" s="108"/>
      <c r="BY110" s="108"/>
      <c r="BZ110" s="108" t="e">
        <f>VLOOKUP(C110,[1]Sertifikasi!$B$4:$I$19,8,0)</f>
        <v>#N/A</v>
      </c>
    </row>
  </sheetData>
  <autoFilter ref="B3:CA64" xr:uid="{00000000-0009-0000-0000-000004000000}">
    <sortState xmlns:xlrd2="http://schemas.microsoft.com/office/spreadsheetml/2017/richdata2" ref="B3:CA64">
      <sortCondition ref="BZ3:BZ64"/>
    </sortState>
  </autoFilter>
  <conditionalFormatting sqref="C110">
    <cfRule type="duplicateValues" dxfId="1" priority="1"/>
    <cfRule type="duplicateValues" dxfId="0" priority="2"/>
  </conditionalFormatting>
  <hyperlinks>
    <hyperlink ref="AF9" r:id="rId1" xr:uid="{00000000-0004-0000-0400-000000000000}"/>
    <hyperlink ref="AF11" r:id="rId2" xr:uid="{00000000-0004-0000-0400-000001000000}"/>
    <hyperlink ref="AF16" r:id="rId3" xr:uid="{00000000-0004-0000-0400-000002000000}"/>
    <hyperlink ref="AF26" r:id="rId4" xr:uid="{00000000-0004-0000-0400-000003000000}"/>
    <hyperlink ref="AF104" r:id="rId5" xr:uid="{00000000-0004-0000-0400-000004000000}"/>
  </hyperlinks>
  <pageMargins left="0.7" right="0.7" top="0.75" bottom="0.75" header="0" footer="0"/>
  <pageSetup paperSize="9" orientation="portrait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Z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4.42578125" defaultRowHeight="15" customHeight="1"/>
  <cols>
    <col min="1" max="1" width="4.85546875" customWidth="1"/>
    <col min="2" max="2" width="3.7109375" customWidth="1"/>
    <col min="3" max="3" width="18.85546875" customWidth="1"/>
    <col min="4" max="4" width="13.140625" customWidth="1"/>
    <col min="5" max="5" width="14.28515625" customWidth="1"/>
    <col min="6" max="6" width="16.28515625" customWidth="1"/>
    <col min="7" max="7" width="10" customWidth="1"/>
    <col min="8" max="8" width="12.28515625" customWidth="1"/>
    <col min="9" max="26" width="9.140625" customWidth="1"/>
  </cols>
  <sheetData>
    <row r="1" spans="1:26" ht="11.25" customHeight="1">
      <c r="A1" s="147"/>
      <c r="B1" s="181" t="s">
        <v>4080</v>
      </c>
      <c r="C1" s="147"/>
      <c r="D1" s="147"/>
      <c r="E1" s="150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spans="1:26" ht="11.25" customHeight="1">
      <c r="A2" s="147"/>
      <c r="B2" s="147"/>
      <c r="C2" s="147"/>
      <c r="D2" s="147"/>
      <c r="E2" s="150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1.25" customHeight="1">
      <c r="A3" s="182"/>
      <c r="B3" s="183" t="s">
        <v>1</v>
      </c>
      <c r="C3" s="183" t="s">
        <v>105</v>
      </c>
      <c r="D3" s="183" t="s">
        <v>4081</v>
      </c>
      <c r="E3" s="184" t="s">
        <v>4082</v>
      </c>
      <c r="F3" s="183" t="s">
        <v>4083</v>
      </c>
      <c r="G3" s="183" t="s">
        <v>53</v>
      </c>
      <c r="H3" s="183" t="s">
        <v>4084</v>
      </c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</row>
    <row r="4" spans="1:26" ht="11.25" customHeight="1">
      <c r="A4" s="147"/>
      <c r="B4" s="147">
        <v>1</v>
      </c>
      <c r="C4" s="147" t="s">
        <v>815</v>
      </c>
      <c r="D4" s="147" t="e">
        <f ca="1">_xludf.IFNA(VLOOKUP(C4,Database!$C$5:$D$330,2,0),(VLOOKUP(C4,logut!$C$4:$D$109,2,0)))</f>
        <v>#NAME?</v>
      </c>
      <c r="E4" s="150">
        <v>44264</v>
      </c>
      <c r="F4" s="185" t="s">
        <v>4085</v>
      </c>
      <c r="G4" s="147" t="s">
        <v>71</v>
      </c>
      <c r="H4" s="147" t="s">
        <v>674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 spans="1:26" ht="11.25" customHeight="1">
      <c r="A5" s="147"/>
      <c r="B5" s="147">
        <v>2</v>
      </c>
      <c r="C5" s="147" t="s">
        <v>1391</v>
      </c>
      <c r="D5" s="147" t="e">
        <f ca="1">_xludf.IFNA(VLOOKUP(C5,Database!$C$5:$D$330,2,0),(VLOOKUP(C5,logut!$C$4:$D$109,2,0)))</f>
        <v>#NAME?</v>
      </c>
      <c r="E5" s="150">
        <v>44264</v>
      </c>
      <c r="F5" s="147"/>
      <c r="G5" s="147" t="s">
        <v>409</v>
      </c>
      <c r="H5" s="147" t="s">
        <v>88</v>
      </c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</row>
    <row r="6" spans="1:26" ht="11.25" customHeight="1">
      <c r="A6" s="147"/>
      <c r="B6" s="147">
        <v>3</v>
      </c>
      <c r="C6" s="147" t="s">
        <v>407</v>
      </c>
      <c r="D6" s="147" t="e">
        <f ca="1">_xludf.IFNA(VLOOKUP(C6,Database!$C$5:$D$330,2,0),(VLOOKUP(C6,logut!$C$4:$D$109,2,0)))</f>
        <v>#NAME?</v>
      </c>
      <c r="E6" s="150">
        <v>44264</v>
      </c>
      <c r="F6" s="147"/>
      <c r="G6" s="147" t="s">
        <v>409</v>
      </c>
      <c r="H6" s="147" t="s">
        <v>88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 spans="1:26" ht="11.25" customHeight="1">
      <c r="A7" s="147"/>
      <c r="B7" s="147">
        <v>4</v>
      </c>
      <c r="C7" s="147" t="s">
        <v>761</v>
      </c>
      <c r="D7" s="147" t="e">
        <f ca="1">_xludf.IFNA(VLOOKUP(C7,Database!$C$5:$D$330,2,0),(VLOOKUP(C7,logut!$C$4:$D$109,2,0)))</f>
        <v>#NAME?</v>
      </c>
      <c r="E7" s="150">
        <v>44267</v>
      </c>
      <c r="F7" s="147"/>
      <c r="G7" s="147" t="s">
        <v>71</v>
      </c>
      <c r="H7" s="147" t="s">
        <v>3278</v>
      </c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 spans="1:26" ht="11.25" customHeight="1">
      <c r="A8" s="147"/>
      <c r="B8" s="147">
        <v>5</v>
      </c>
      <c r="C8" s="147" t="s">
        <v>1251</v>
      </c>
      <c r="D8" s="147" t="e">
        <f ca="1">_xludf.IFNA(VLOOKUP(C8,Database!$C$5:$D$330,2,0),(VLOOKUP(C8,logut!$C$4:$D$109,2,0)))</f>
        <v>#NAME?</v>
      </c>
      <c r="E8" s="150">
        <v>44270</v>
      </c>
      <c r="F8" s="147"/>
      <c r="G8" s="147" t="s">
        <v>422</v>
      </c>
      <c r="H8" s="147" t="s">
        <v>4086</v>
      </c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 spans="1:26" ht="11.25" customHeight="1">
      <c r="A9" s="147"/>
      <c r="B9" s="147">
        <v>6</v>
      </c>
      <c r="C9" s="147" t="s">
        <v>852</v>
      </c>
      <c r="D9" s="147" t="e">
        <f ca="1">_xludf.IFNA(VLOOKUP(C9,Database!$C$5:$D$330,2,0),(VLOOKUP(C9,logut!$C$4:$D$109,2,0)))</f>
        <v>#NAME?</v>
      </c>
      <c r="E9" s="150">
        <v>44273</v>
      </c>
      <c r="F9" s="147"/>
      <c r="G9" s="147" t="s">
        <v>4087</v>
      </c>
      <c r="H9" s="147" t="s">
        <v>4088</v>
      </c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 spans="1:26" ht="11.25" customHeight="1">
      <c r="A10" s="147"/>
      <c r="B10" s="147">
        <v>7</v>
      </c>
      <c r="C10" s="147" t="s">
        <v>750</v>
      </c>
      <c r="D10" s="147" t="e">
        <f ca="1">_xludf.IFNA(VLOOKUP(C10,Database!$C$5:$D$330,2,0),(VLOOKUP(C10,logut!$C$4:$D$109,2,0)))</f>
        <v>#NAME?</v>
      </c>
      <c r="E10" s="150">
        <v>44273</v>
      </c>
      <c r="F10" s="147"/>
      <c r="G10" s="147" t="s">
        <v>4087</v>
      </c>
      <c r="H10" s="147" t="s">
        <v>4088</v>
      </c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 spans="1:26" ht="11.25" customHeight="1">
      <c r="A11" s="147"/>
      <c r="B11" s="147">
        <v>8</v>
      </c>
      <c r="C11" s="147" t="s">
        <v>452</v>
      </c>
      <c r="D11" s="147" t="e">
        <f ca="1">_xludf.IFNA(VLOOKUP(C11,Database!$C$5:$D$330,2,0),(VLOOKUP(C11,logut!$C$4:$D$109,2,0)))</f>
        <v>#NAME?</v>
      </c>
      <c r="E11" s="150">
        <v>44278</v>
      </c>
      <c r="F11" s="147"/>
      <c r="G11" s="147" t="s">
        <v>259</v>
      </c>
      <c r="H11" s="147" t="s">
        <v>3222</v>
      </c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 spans="1:26" ht="11.25" customHeight="1">
      <c r="A12" s="147"/>
      <c r="B12" s="147">
        <v>9</v>
      </c>
      <c r="C12" s="147" t="s">
        <v>3271</v>
      </c>
      <c r="D12" s="147" t="e">
        <f ca="1">_xludf.IFNA(VLOOKUP(C12,Database!$C$5:$D$330,2,0),(VLOOKUP(C12,logut!$C$4:$D$109,2,0)))</f>
        <v>#NAME?</v>
      </c>
      <c r="E12" s="150">
        <v>44278</v>
      </c>
      <c r="F12" s="147"/>
      <c r="G12" s="147" t="s">
        <v>259</v>
      </c>
      <c r="H12" s="147" t="s">
        <v>3222</v>
      </c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 spans="1:26" ht="11.25" customHeight="1">
      <c r="A13" s="147"/>
      <c r="B13" s="147">
        <v>10</v>
      </c>
      <c r="C13" s="147" t="s">
        <v>1613</v>
      </c>
      <c r="D13" s="147" t="e">
        <f ca="1">_xludf.IFNA(VLOOKUP(C13,Database!$C$5:$D$330,2,0),(VLOOKUP(C13,logut!$C$4:$D$109,2,0)))</f>
        <v>#NAME?</v>
      </c>
      <c r="E13" s="150">
        <v>44278</v>
      </c>
      <c r="F13" s="147"/>
      <c r="G13" s="147" t="s">
        <v>259</v>
      </c>
      <c r="H13" s="147" t="s">
        <v>3222</v>
      </c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 spans="1:26" ht="11.25" customHeight="1">
      <c r="A14" s="147"/>
      <c r="B14" s="147">
        <v>11</v>
      </c>
      <c r="C14" s="147" t="s">
        <v>2044</v>
      </c>
      <c r="D14" s="147" t="e">
        <f ca="1">_xludf.IFNA(VLOOKUP(C14,Database!$C$5:$D$330,2,0),(VLOOKUP(C14,logut!$C$4:$D$109,2,0)))</f>
        <v>#NAME?</v>
      </c>
      <c r="E14" s="150">
        <v>44278</v>
      </c>
      <c r="F14" s="147"/>
      <c r="G14" s="147" t="s">
        <v>259</v>
      </c>
      <c r="H14" s="147" t="s">
        <v>3222</v>
      </c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 spans="1:26" ht="11.25" customHeight="1">
      <c r="A15" s="147"/>
      <c r="B15" s="147">
        <v>12</v>
      </c>
      <c r="C15" s="147" t="s">
        <v>3396</v>
      </c>
      <c r="D15" s="147" t="e">
        <f ca="1">_xludf.IFNA(VLOOKUP(C15,Database!$C$5:$D$330,2,0),(VLOOKUP(C15,logut!$C$4:$D$109,2,0)))</f>
        <v>#NAME?</v>
      </c>
      <c r="E15" s="150">
        <v>44278</v>
      </c>
      <c r="F15" s="147"/>
      <c r="G15" s="147" t="s">
        <v>259</v>
      </c>
      <c r="H15" s="147" t="s">
        <v>3222</v>
      </c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</row>
    <row r="16" spans="1:26" ht="11.25" customHeight="1">
      <c r="A16" s="147"/>
      <c r="B16" s="147">
        <v>13</v>
      </c>
      <c r="C16" s="147" t="s">
        <v>2093</v>
      </c>
      <c r="D16" s="147" t="e">
        <f ca="1">_xludf.IFNA(VLOOKUP(C16,Database!$C$5:$D$330,2,0),(VLOOKUP(C16,logut!$C$4:$D$109,2,0)))</f>
        <v>#NAME?</v>
      </c>
      <c r="E16" s="150">
        <v>44278</v>
      </c>
      <c r="F16" s="147"/>
      <c r="G16" s="147" t="s">
        <v>259</v>
      </c>
      <c r="H16" s="147" t="s">
        <v>3222</v>
      </c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 spans="1:26" ht="11.25" customHeight="1">
      <c r="A17" s="147"/>
      <c r="B17" s="147">
        <v>14</v>
      </c>
      <c r="C17" s="147" t="s">
        <v>1897</v>
      </c>
      <c r="D17" s="147" t="e">
        <f ca="1">_xludf.IFNA(VLOOKUP(C17,Database!$C$5:$D$330,2,0),(VLOOKUP(C17,logut!$C$4:$D$109,2,0)))</f>
        <v>#NAME?</v>
      </c>
      <c r="E17" s="150">
        <v>44278</v>
      </c>
      <c r="F17" s="147"/>
      <c r="G17" s="147" t="s">
        <v>259</v>
      </c>
      <c r="H17" s="147" t="s">
        <v>3222</v>
      </c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</row>
    <row r="18" spans="1:26" ht="11.25" customHeight="1">
      <c r="A18" s="147"/>
      <c r="B18" s="147">
        <v>15</v>
      </c>
      <c r="C18" s="147" t="s">
        <v>1883</v>
      </c>
      <c r="D18" s="147" t="e">
        <f ca="1">_xludf.IFNA(VLOOKUP(C18,Database!$C$5:$D$330,2,0),(VLOOKUP(C18,logut!$C$4:$D$109,2,0)))</f>
        <v>#NAME?</v>
      </c>
      <c r="E18" s="150">
        <v>44278</v>
      </c>
      <c r="F18" s="147"/>
      <c r="G18" s="147" t="s">
        <v>259</v>
      </c>
      <c r="H18" s="147" t="s">
        <v>4089</v>
      </c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 spans="1:26" ht="11.25" customHeight="1">
      <c r="A19" s="147"/>
      <c r="B19" s="147">
        <v>16</v>
      </c>
      <c r="C19" s="147" t="s">
        <v>3523</v>
      </c>
      <c r="D19" s="147" t="e">
        <f ca="1">_xludf.IFNA(VLOOKUP(C19,Database!$C$5:$D$330,2,0),(VLOOKUP(C19,logut!$C$4:$D$109,2,0)))</f>
        <v>#NAME?</v>
      </c>
      <c r="E19" s="150">
        <v>44278</v>
      </c>
      <c r="F19" s="147"/>
      <c r="G19" s="147" t="s">
        <v>259</v>
      </c>
      <c r="H19" s="147" t="s">
        <v>4089</v>
      </c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 spans="1:26" ht="11.25" customHeight="1">
      <c r="A20" s="147"/>
      <c r="B20" s="147">
        <v>17</v>
      </c>
      <c r="C20" s="186" t="s">
        <v>1597</v>
      </c>
      <c r="D20" s="147" t="e">
        <f ca="1">_xludf.IFNA(VLOOKUP(C20,Database!$C$5:$D$330,2,0),(VLOOKUP(C20,logut!$C$4:$D$109,2,0)))</f>
        <v>#NAME?</v>
      </c>
      <c r="E20" s="150">
        <v>44278</v>
      </c>
      <c r="F20" s="147"/>
      <c r="G20" s="147" t="s">
        <v>259</v>
      </c>
      <c r="H20" s="147" t="s">
        <v>4089</v>
      </c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spans="1:26" ht="11.25" customHeight="1">
      <c r="A21" s="147"/>
      <c r="B21" s="147">
        <v>18</v>
      </c>
      <c r="C21" s="147" t="s">
        <v>3423</v>
      </c>
      <c r="D21" s="147" t="e">
        <f ca="1">_xludf.IFNA(VLOOKUP(C21,Database!$C$5:$D$330,2,0),(VLOOKUP(C21,logut!$C$4:$D$109,2,0)))</f>
        <v>#NAME?</v>
      </c>
      <c r="E21" s="150">
        <v>44278</v>
      </c>
      <c r="F21" s="147"/>
      <c r="G21" s="147" t="s">
        <v>259</v>
      </c>
      <c r="H21" s="147" t="s">
        <v>4089</v>
      </c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spans="1:26" ht="11.25" customHeight="1">
      <c r="A22" s="147"/>
      <c r="B22" s="147">
        <v>19</v>
      </c>
      <c r="C22" s="147" t="s">
        <v>1883</v>
      </c>
      <c r="D22" s="147" t="e">
        <f ca="1">_xludf.IFNA(VLOOKUP(C22,Database!$C$5:$D$330,2,0),(VLOOKUP(C22,logut!$C$4:$D$109,2,0)))</f>
        <v>#NAME?</v>
      </c>
      <c r="E22" s="150">
        <v>44278</v>
      </c>
      <c r="F22" s="147"/>
      <c r="G22" s="147" t="s">
        <v>259</v>
      </c>
      <c r="H22" s="147" t="s">
        <v>89</v>
      </c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spans="1:26" ht="11.25" customHeight="1">
      <c r="A23" s="147"/>
      <c r="B23" s="147">
        <v>20</v>
      </c>
      <c r="C23" s="147" t="s">
        <v>3523</v>
      </c>
      <c r="D23" s="147" t="e">
        <f ca="1">_xludf.IFNA(VLOOKUP(C23,Database!$C$5:$D$330,2,0),(VLOOKUP(C23,logut!$C$4:$D$109,2,0)))</f>
        <v>#NAME?</v>
      </c>
      <c r="E23" s="150">
        <v>44278</v>
      </c>
      <c r="F23" s="147"/>
      <c r="G23" s="147" t="s">
        <v>259</v>
      </c>
      <c r="H23" s="147" t="s">
        <v>89</v>
      </c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spans="1:26" ht="11.25" customHeight="1">
      <c r="A24" s="147"/>
      <c r="B24" s="147">
        <v>21</v>
      </c>
      <c r="C24" s="186" t="s">
        <v>1597</v>
      </c>
      <c r="D24" s="147" t="e">
        <f ca="1">_xludf.IFNA(VLOOKUP(C24,Database!$C$5:$D$330,2,0),(VLOOKUP(C24,logut!$C$4:$D$109,2,0)))</f>
        <v>#NAME?</v>
      </c>
      <c r="E24" s="150">
        <v>44278</v>
      </c>
      <c r="F24" s="147"/>
      <c r="G24" s="147" t="s">
        <v>259</v>
      </c>
      <c r="H24" s="147" t="s">
        <v>89</v>
      </c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</row>
    <row r="25" spans="1:26" ht="11.25" customHeight="1">
      <c r="A25" s="147"/>
      <c r="B25" s="147">
        <v>22</v>
      </c>
      <c r="C25" s="147" t="s">
        <v>3423</v>
      </c>
      <c r="D25" s="147" t="e">
        <f ca="1">_xludf.IFNA(VLOOKUP(C25,Database!$C$5:$D$330,2,0),(VLOOKUP(C25,logut!$C$4:$D$109,2,0)))</f>
        <v>#NAME?</v>
      </c>
      <c r="E25" s="150">
        <v>44278</v>
      </c>
      <c r="F25" s="147"/>
      <c r="G25" s="147" t="s">
        <v>259</v>
      </c>
      <c r="H25" s="147" t="s">
        <v>89</v>
      </c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</row>
    <row r="26" spans="1:26" ht="11.25" customHeight="1">
      <c r="A26" s="147"/>
      <c r="B26" s="147">
        <v>23</v>
      </c>
      <c r="C26" s="147" t="s">
        <v>942</v>
      </c>
      <c r="D26" s="147" t="e">
        <f ca="1">_xludf.IFNA(VLOOKUP(C26,Database!$C$5:$D$330,2,0),(VLOOKUP(C26,logut!$C$4:$D$109,2,0)))</f>
        <v>#NAME?</v>
      </c>
      <c r="E26" s="150">
        <v>44287</v>
      </c>
      <c r="F26" s="147"/>
      <c r="G26" s="147" t="s">
        <v>71</v>
      </c>
      <c r="H26" s="147" t="s">
        <v>476</v>
      </c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 spans="1:26" ht="11.25" customHeight="1">
      <c r="A27" s="147"/>
      <c r="B27" s="147">
        <v>24</v>
      </c>
      <c r="C27" s="147" t="s">
        <v>1221</v>
      </c>
      <c r="D27" s="147" t="e">
        <f ca="1">_xludf.IFNA(VLOOKUP(C27,Database!$C$5:$D$330,2,0),(VLOOKUP(C27,logut!$C$4:$D$109,2,0)))</f>
        <v>#NAME?</v>
      </c>
      <c r="E27" s="150">
        <v>44287</v>
      </c>
      <c r="F27" s="147"/>
      <c r="G27" s="147" t="s">
        <v>71</v>
      </c>
      <c r="H27" s="147" t="s">
        <v>476</v>
      </c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</row>
    <row r="28" spans="1:26" ht="11.25" customHeight="1">
      <c r="A28" s="147"/>
      <c r="B28" s="147">
        <v>25</v>
      </c>
      <c r="C28" s="147" t="s">
        <v>1131</v>
      </c>
      <c r="D28" s="147" t="e">
        <f ca="1">_xludf.IFNA(VLOOKUP(C28,Database!$C$5:$D$330,2,0),(VLOOKUP(C28,logut!$C$4:$D$109,2,0)))</f>
        <v>#NAME?</v>
      </c>
      <c r="E28" s="150">
        <v>44287</v>
      </c>
      <c r="F28" s="147"/>
      <c r="G28" s="147" t="s">
        <v>71</v>
      </c>
      <c r="H28" s="147" t="s">
        <v>476</v>
      </c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</row>
    <row r="29" spans="1:26" ht="11.25" customHeight="1">
      <c r="A29" s="147"/>
      <c r="B29" s="147">
        <v>26</v>
      </c>
      <c r="C29" s="147" t="s">
        <v>320</v>
      </c>
      <c r="D29" s="147" t="e">
        <f ca="1">_xludf.IFNA(VLOOKUP(C29,Database!$C$5:$D$330,2,0),(VLOOKUP(C29,logut!$C$4:$D$109,2,0)))</f>
        <v>#NAME?</v>
      </c>
      <c r="E29" s="150">
        <v>44287</v>
      </c>
      <c r="F29" s="147"/>
      <c r="G29" s="147" t="s">
        <v>71</v>
      </c>
      <c r="H29" s="147" t="s">
        <v>476</v>
      </c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</row>
    <row r="30" spans="1:26" ht="11.25" customHeight="1">
      <c r="A30" s="147"/>
      <c r="B30" s="147">
        <v>27</v>
      </c>
      <c r="C30" s="147" t="s">
        <v>298</v>
      </c>
      <c r="D30" s="147" t="e">
        <f ca="1">_xludf.IFNA(VLOOKUP(C30,Database!$C$5:$D$330,2,0),(VLOOKUP(C30,logut!$C$4:$D$109,2,0)))</f>
        <v>#NAME?</v>
      </c>
      <c r="E30" s="150">
        <v>44287</v>
      </c>
      <c r="F30" s="147"/>
      <c r="G30" s="147" t="s">
        <v>71</v>
      </c>
      <c r="H30" s="147" t="s">
        <v>476</v>
      </c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</row>
    <row r="31" spans="1:26" ht="11.25" customHeight="1">
      <c r="A31" s="147"/>
      <c r="B31" s="147">
        <v>28</v>
      </c>
      <c r="C31" s="108" t="s">
        <v>3277</v>
      </c>
      <c r="D31" s="147" t="e">
        <f ca="1">_xludf.IFNA(VLOOKUP(C31,Database!$C$5:$D$330,2,0),(VLOOKUP(C31,logut!$C$4:$D$109,2,0)))</f>
        <v>#NAME?</v>
      </c>
      <c r="E31" s="150">
        <v>44287</v>
      </c>
      <c r="F31" s="147"/>
      <c r="G31" s="147" t="s">
        <v>71</v>
      </c>
      <c r="H31" s="147" t="s">
        <v>476</v>
      </c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</row>
    <row r="32" spans="1:26" ht="11.25" customHeight="1">
      <c r="A32" s="147"/>
      <c r="B32" s="147">
        <v>29</v>
      </c>
      <c r="C32" s="147" t="s">
        <v>638</v>
      </c>
      <c r="D32" s="147" t="e">
        <f ca="1">_xludf.IFNA(VLOOKUP(C32,Database!$C$5:$D$330,2,0),(VLOOKUP(C32,logut!$C$4:$D$109,2,0)))</f>
        <v>#NAME?</v>
      </c>
      <c r="E32" s="150">
        <v>44287</v>
      </c>
      <c r="F32" s="147"/>
      <c r="G32" s="147" t="s">
        <v>2045</v>
      </c>
      <c r="H32" s="147" t="s">
        <v>476</v>
      </c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</row>
    <row r="33" spans="1:26" ht="11.25" customHeight="1">
      <c r="A33" s="147"/>
      <c r="B33" s="147">
        <v>30</v>
      </c>
      <c r="C33" s="147" t="s">
        <v>332</v>
      </c>
      <c r="D33" s="147" t="e">
        <f ca="1">_xludf.IFNA(VLOOKUP(C33,Database!$C$5:$D$330,2,0),(VLOOKUP(C33,logut!$C$4:$D$109,2,0)))</f>
        <v>#NAME?</v>
      </c>
      <c r="E33" s="150">
        <v>44287</v>
      </c>
      <c r="F33" s="147"/>
      <c r="G33" s="147" t="s">
        <v>71</v>
      </c>
      <c r="H33" s="147" t="s">
        <v>476</v>
      </c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</row>
    <row r="34" spans="1:26" ht="11.25" customHeight="1">
      <c r="A34" s="147"/>
      <c r="B34" s="147">
        <v>31</v>
      </c>
      <c r="C34" s="147" t="s">
        <v>650</v>
      </c>
      <c r="D34" s="147" t="e">
        <f ca="1">_xludf.IFNA(VLOOKUP(C34,Database!$C$5:$D$330,2,0),(VLOOKUP(C34,logut!$C$4:$D$109,2,0)))</f>
        <v>#NAME?</v>
      </c>
      <c r="E34" s="150">
        <v>44287</v>
      </c>
      <c r="F34" s="147"/>
      <c r="G34" s="147" t="s">
        <v>71</v>
      </c>
      <c r="H34" s="147" t="s">
        <v>476</v>
      </c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</row>
    <row r="35" spans="1:26" ht="11.25" customHeight="1">
      <c r="A35" s="147"/>
      <c r="B35" s="147">
        <v>32</v>
      </c>
      <c r="C35" s="147" t="s">
        <v>1319</v>
      </c>
      <c r="D35" s="147" t="e">
        <f ca="1">_xludf.IFNA(VLOOKUP(C35,Database!$C$5:$D$330,2,0),(VLOOKUP(C35,logut!$C$4:$D$109,2,0)))</f>
        <v>#NAME?</v>
      </c>
      <c r="E35" s="150">
        <v>44287</v>
      </c>
      <c r="F35" s="147"/>
      <c r="G35" s="147" t="s">
        <v>71</v>
      </c>
      <c r="H35" s="147" t="s">
        <v>476</v>
      </c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 spans="1:26" ht="11.25" customHeight="1">
      <c r="A36" s="147"/>
      <c r="B36" s="147">
        <v>33</v>
      </c>
      <c r="C36" s="147" t="s">
        <v>346</v>
      </c>
      <c r="D36" s="147" t="e">
        <f ca="1">_xludf.IFNA(VLOOKUP(C36,Database!$C$5:$D$330,2,0),(VLOOKUP(C36,logut!$C$4:$D$109,2,0)))</f>
        <v>#NAME?</v>
      </c>
      <c r="E36" s="150">
        <v>44287</v>
      </c>
      <c r="F36" s="147"/>
      <c r="G36" s="147" t="s">
        <v>71</v>
      </c>
      <c r="H36" s="147" t="s">
        <v>476</v>
      </c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 spans="1:26" ht="11.25" customHeight="1">
      <c r="A37" s="147"/>
      <c r="B37" s="147">
        <v>34</v>
      </c>
      <c r="C37" s="147" t="s">
        <v>871</v>
      </c>
      <c r="D37" s="147" t="e">
        <f ca="1">_xludf.IFNA(VLOOKUP(C37,Database!$C$5:$D$330,2,0),(VLOOKUP(C37,logut!$C$4:$D$109,2,0)))</f>
        <v>#NAME?</v>
      </c>
      <c r="E37" s="150">
        <v>44287</v>
      </c>
      <c r="F37" s="147"/>
      <c r="G37" s="147" t="s">
        <v>71</v>
      </c>
      <c r="H37" s="147" t="s">
        <v>476</v>
      </c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</row>
    <row r="38" spans="1:26" ht="11.25" customHeight="1">
      <c r="A38" s="147"/>
      <c r="B38" s="147">
        <v>35</v>
      </c>
      <c r="C38" s="147" t="s">
        <v>606</v>
      </c>
      <c r="D38" s="147" t="e">
        <f ca="1">_xludf.IFNA(VLOOKUP(C38,Database!$C$5:$D$330,2,0),(VLOOKUP(C38,logut!$C$4:$D$109,2,0)))</f>
        <v>#NAME?</v>
      </c>
      <c r="E38" s="150">
        <v>44287</v>
      </c>
      <c r="F38" s="147"/>
      <c r="G38" s="147" t="s">
        <v>71</v>
      </c>
      <c r="H38" s="147" t="s">
        <v>476</v>
      </c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 spans="1:26" ht="11.25" customHeight="1">
      <c r="A39" s="147"/>
      <c r="B39" s="147">
        <v>36</v>
      </c>
      <c r="C39" s="147" t="s">
        <v>898</v>
      </c>
      <c r="D39" s="147" t="e">
        <f ca="1">_xludf.IFNA(VLOOKUP(C39,Database!$C$5:$D$330,2,0),(VLOOKUP(C39,logut!$C$4:$D$109,2,0)))</f>
        <v>#NAME?</v>
      </c>
      <c r="E39" s="150">
        <v>44298</v>
      </c>
      <c r="F39" s="147" t="s">
        <v>4090</v>
      </c>
      <c r="G39" s="147" t="s">
        <v>409</v>
      </c>
      <c r="H39" s="147" t="s">
        <v>88</v>
      </c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</row>
    <row r="40" spans="1:26" ht="11.25" customHeight="1">
      <c r="A40" s="147"/>
      <c r="B40" s="147">
        <v>37</v>
      </c>
      <c r="C40" s="147" t="s">
        <v>3436</v>
      </c>
      <c r="D40" s="147" t="e">
        <f ca="1">_xludf.IFNA(VLOOKUP(C40,Database!$C$5:$D$330,2,0),(VLOOKUP(C40,logut!$C$4:$D$109,2,0)))</f>
        <v>#NAME?</v>
      </c>
      <c r="E40" s="150">
        <v>44301</v>
      </c>
      <c r="F40" s="147" t="s">
        <v>4091</v>
      </c>
      <c r="G40" s="147" t="s">
        <v>409</v>
      </c>
      <c r="H40" s="147" t="s">
        <v>88</v>
      </c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 spans="1:26" ht="11.25" customHeight="1">
      <c r="A41" s="147"/>
      <c r="B41" s="147">
        <v>38</v>
      </c>
      <c r="C41" s="147" t="s">
        <v>2343</v>
      </c>
      <c r="D41" s="147" t="e">
        <f ca="1">_xludf.IFNA(VLOOKUP(C41,Database!$C$5:$D$330,2,0),(VLOOKUP(C41,logut!$C$4:$D$109,2,0)))</f>
        <v>#NAME?</v>
      </c>
      <c r="E41" s="150">
        <v>44301</v>
      </c>
      <c r="F41" s="147" t="s">
        <v>4092</v>
      </c>
      <c r="G41" s="147" t="s">
        <v>409</v>
      </c>
      <c r="H41" s="147" t="s">
        <v>88</v>
      </c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</row>
    <row r="42" spans="1:26" ht="11.25" customHeight="1">
      <c r="A42" s="147"/>
      <c r="B42" s="147">
        <v>39</v>
      </c>
      <c r="C42" s="147" t="s">
        <v>3429</v>
      </c>
      <c r="D42" s="147" t="e">
        <f ca="1">_xludf.IFNA(VLOOKUP(C42,Database!$C$5:$D$330,2,0),(VLOOKUP(C42,logut!$C$4:$D$109,2,0)))</f>
        <v>#NAME?</v>
      </c>
      <c r="E42" s="150">
        <v>44301</v>
      </c>
      <c r="F42" s="147" t="s">
        <v>4093</v>
      </c>
      <c r="G42" s="147" t="s">
        <v>409</v>
      </c>
      <c r="H42" s="147" t="s">
        <v>88</v>
      </c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</row>
    <row r="43" spans="1:26" ht="11.25" customHeight="1">
      <c r="A43" s="147"/>
      <c r="B43" s="147">
        <v>40</v>
      </c>
      <c r="C43" s="147" t="s">
        <v>564</v>
      </c>
      <c r="D43" s="147" t="e">
        <f ca="1">_xludf.IFNA(VLOOKUP(C43,Database!$C$5:$D$330,2,0),(VLOOKUP(C43,logut!$C$4:$D$109,2,0)))</f>
        <v>#NAME?</v>
      </c>
      <c r="E43" s="150">
        <v>44303</v>
      </c>
      <c r="F43" s="147"/>
      <c r="G43" s="147" t="s">
        <v>71</v>
      </c>
      <c r="H43" s="147" t="s">
        <v>3278</v>
      </c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</row>
    <row r="44" spans="1:26" ht="11.25" customHeight="1">
      <c r="A44" s="147"/>
      <c r="B44" s="147">
        <v>41</v>
      </c>
      <c r="C44" s="147" t="s">
        <v>1221</v>
      </c>
      <c r="D44" s="147" t="e">
        <f ca="1">_xludf.IFNA(VLOOKUP(C44,Database!$C$5:$D$330,2,0),(VLOOKUP(C44,logut!$C$4:$D$109,2,0)))</f>
        <v>#NAME?</v>
      </c>
      <c r="E44" s="150">
        <v>44316</v>
      </c>
      <c r="F44" s="147"/>
      <c r="G44" s="147" t="s">
        <v>409</v>
      </c>
      <c r="H44" s="147" t="s">
        <v>88</v>
      </c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</row>
    <row r="45" spans="1:26" ht="11.25" customHeight="1">
      <c r="A45" s="147"/>
      <c r="B45" s="147">
        <v>42</v>
      </c>
      <c r="C45" s="108" t="s">
        <v>1796</v>
      </c>
      <c r="D45" s="147" t="e">
        <f ca="1">_xludf.IFNA(VLOOKUP(C45,Database!$C$5:$D$330,2,0),(VLOOKUP(C45,logut!$C$4:$D$109,2,0)))</f>
        <v>#NAME?</v>
      </c>
      <c r="E45" s="150">
        <v>44316</v>
      </c>
      <c r="F45" s="147"/>
      <c r="G45" s="147" t="s">
        <v>409</v>
      </c>
      <c r="H45" s="147" t="s">
        <v>88</v>
      </c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</row>
    <row r="46" spans="1:26" ht="11.25" customHeight="1">
      <c r="A46" s="147"/>
      <c r="B46" s="147">
        <v>43</v>
      </c>
      <c r="C46" s="147" t="s">
        <v>1391</v>
      </c>
      <c r="D46" s="147" t="e">
        <f ca="1">_xludf.IFNA(VLOOKUP(C46,Database!$C$5:$D$330,2,0),(VLOOKUP(C46,logut!$C$4:$D$109,2,0)))</f>
        <v>#NAME?</v>
      </c>
      <c r="E46" s="150">
        <v>44316</v>
      </c>
      <c r="F46" s="147"/>
      <c r="G46" s="147" t="s">
        <v>71</v>
      </c>
      <c r="H46" s="147" t="s">
        <v>3278</v>
      </c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</row>
    <row r="47" spans="1:26" ht="11.25" customHeight="1">
      <c r="A47" s="147"/>
      <c r="B47" s="147">
        <v>44</v>
      </c>
      <c r="C47" s="147" t="s">
        <v>1251</v>
      </c>
      <c r="D47" s="147" t="e">
        <f ca="1">_xludf.IFNA(VLOOKUP(C47,Database!$C$5:$D$330,2,0),(VLOOKUP(C47,logut!$C$4:$D$109,2,0)))</f>
        <v>#NAME?</v>
      </c>
      <c r="E47" s="150">
        <v>44316</v>
      </c>
      <c r="F47" s="147"/>
      <c r="G47" s="147" t="s">
        <v>71</v>
      </c>
      <c r="H47" s="147" t="s">
        <v>3278</v>
      </c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</row>
    <row r="48" spans="1:26" ht="11.25" customHeight="1">
      <c r="A48" s="147"/>
      <c r="B48" s="147">
        <v>45</v>
      </c>
      <c r="C48" s="147" t="s">
        <v>898</v>
      </c>
      <c r="D48" s="147" t="e">
        <f ca="1">_xludf.IFNA(VLOOKUP(C48,Database!$C$5:$D$330,2,0),(VLOOKUP(C48,logut!$C$4:$D$109,2,0)))</f>
        <v>#NAME?</v>
      </c>
      <c r="E48" s="150">
        <v>44319</v>
      </c>
      <c r="F48" s="147"/>
      <c r="G48" s="147" t="s">
        <v>71</v>
      </c>
      <c r="H48" s="147" t="s">
        <v>3278</v>
      </c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</row>
    <row r="49" spans="1:26" ht="11.25" customHeight="1">
      <c r="A49" s="147"/>
      <c r="B49" s="147">
        <v>46</v>
      </c>
      <c r="C49" s="147" t="s">
        <v>1326</v>
      </c>
      <c r="D49" s="147" t="e">
        <f ca="1">_xludf.IFNA(VLOOKUP(C49,Database!$C$5:$D$330,2,0),(VLOOKUP(C49,logut!$C$4:$D$109,2,0)))</f>
        <v>#NAME?</v>
      </c>
      <c r="E49" s="150">
        <v>44320</v>
      </c>
      <c r="F49" s="147"/>
      <c r="G49" s="147" t="s">
        <v>71</v>
      </c>
      <c r="H49" s="147" t="s">
        <v>3278</v>
      </c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</row>
    <row r="50" spans="1:26" ht="11.25" customHeight="1">
      <c r="A50" s="147"/>
      <c r="B50" s="147">
        <v>47</v>
      </c>
      <c r="C50" s="147" t="s">
        <v>272</v>
      </c>
      <c r="D50" s="147" t="e">
        <f ca="1">_xludf.IFNA(VLOOKUP(C50,Database!$C$5:$D$330,2,0),(VLOOKUP(C50,logut!$C$4:$D$109,2,0)))</f>
        <v>#NAME?</v>
      </c>
      <c r="E50" s="150">
        <v>44320</v>
      </c>
      <c r="F50" s="147"/>
      <c r="G50" s="147" t="s">
        <v>71</v>
      </c>
      <c r="H50" s="147" t="s">
        <v>3278</v>
      </c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</row>
    <row r="51" spans="1:26" ht="11.25" customHeight="1">
      <c r="A51" s="147"/>
      <c r="B51" s="147">
        <v>48</v>
      </c>
      <c r="C51" s="147" t="s">
        <v>495</v>
      </c>
      <c r="D51" s="147" t="e">
        <f ca="1">_xludf.IFNA(VLOOKUP(C51,Database!$C$5:$D$330,2,0),(VLOOKUP(C51,logut!$C$4:$D$109,2,0)))</f>
        <v>#NAME?</v>
      </c>
      <c r="E51" s="150">
        <v>44320</v>
      </c>
      <c r="F51" s="147"/>
      <c r="G51" s="147" t="s">
        <v>71</v>
      </c>
      <c r="H51" s="147" t="s">
        <v>3278</v>
      </c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</row>
    <row r="52" spans="1:26" ht="11.25" customHeight="1">
      <c r="A52" s="147"/>
      <c r="B52" s="147">
        <v>49</v>
      </c>
      <c r="C52" s="147" t="s">
        <v>1326</v>
      </c>
      <c r="D52" s="147" t="e">
        <f ca="1">_xludf.IFNA(VLOOKUP(C52,Database!$C$5:$D$330,2,0),(VLOOKUP(C52,logut!$C$4:$D$109,2,0)))</f>
        <v>#NAME?</v>
      </c>
      <c r="E52" s="150">
        <v>44333</v>
      </c>
      <c r="F52" s="147"/>
      <c r="G52" s="147" t="s">
        <v>1834</v>
      </c>
      <c r="H52" s="147" t="s">
        <v>476</v>
      </c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 spans="1:26" ht="11.25" customHeight="1">
      <c r="A53" s="147"/>
      <c r="B53" s="147">
        <v>50</v>
      </c>
      <c r="C53" s="147" t="s">
        <v>272</v>
      </c>
      <c r="D53" s="147" t="e">
        <f ca="1">_xludf.IFNA(VLOOKUP(C53,Database!$C$5:$D$330,2,0),(VLOOKUP(C53,logut!$C$4:$D$109,2,0)))</f>
        <v>#NAME?</v>
      </c>
      <c r="E53" s="150">
        <v>44333</v>
      </c>
      <c r="F53" s="147"/>
      <c r="G53" s="147" t="s">
        <v>1834</v>
      </c>
      <c r="H53" s="147" t="s">
        <v>476</v>
      </c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</row>
    <row r="54" spans="1:26" ht="11.25" customHeight="1">
      <c r="A54" s="147"/>
      <c r="B54" s="147">
        <v>51</v>
      </c>
      <c r="C54" s="147" t="s">
        <v>898</v>
      </c>
      <c r="D54" s="147" t="e">
        <f ca="1">_xludf.IFNA(VLOOKUP(C54,Database!$C$5:$D$330,2,0),(VLOOKUP(C54,logut!$C$4:$D$109,2,0)))</f>
        <v>#NAME?</v>
      </c>
      <c r="E54" s="150">
        <v>44333</v>
      </c>
      <c r="F54" s="147"/>
      <c r="G54" s="147" t="s">
        <v>409</v>
      </c>
      <c r="H54" s="147" t="s">
        <v>88</v>
      </c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</row>
    <row r="55" spans="1:26" ht="11.25" customHeight="1">
      <c r="A55" s="147"/>
      <c r="B55" s="147">
        <v>52</v>
      </c>
      <c r="C55" s="147" t="s">
        <v>517</v>
      </c>
      <c r="D55" s="147" t="e">
        <f ca="1">_xludf.IFNA(VLOOKUP(C55,Database!$C$5:$D$330,2,0),(VLOOKUP(C55,logut!$C$4:$D$109,2,0)))</f>
        <v>#NAME?</v>
      </c>
      <c r="E55" s="150">
        <v>44335</v>
      </c>
      <c r="F55" s="147" t="s">
        <v>4094</v>
      </c>
      <c r="G55" s="147" t="s">
        <v>259</v>
      </c>
      <c r="H55" s="147" t="s">
        <v>3222</v>
      </c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</row>
    <row r="56" spans="1:26" ht="11.25" customHeight="1">
      <c r="A56" s="147"/>
      <c r="B56" s="147">
        <v>53</v>
      </c>
      <c r="C56" s="147" t="s">
        <v>1719</v>
      </c>
      <c r="D56" s="147" t="e">
        <f ca="1">_xludf.IFNA(VLOOKUP(C56,Database!$C$5:$D$330,2,0),(VLOOKUP(C56,logut!$C$4:$D$109,2,0)))</f>
        <v>#NAME?</v>
      </c>
      <c r="E56" s="150">
        <v>44335</v>
      </c>
      <c r="F56" s="147" t="s">
        <v>4094</v>
      </c>
      <c r="G56" s="147" t="s">
        <v>259</v>
      </c>
      <c r="H56" s="147" t="s">
        <v>3222</v>
      </c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 spans="1:26" ht="11.25" customHeight="1">
      <c r="A57" s="147"/>
      <c r="B57" s="147">
        <v>54</v>
      </c>
      <c r="C57" s="147" t="s">
        <v>1131</v>
      </c>
      <c r="D57" s="147" t="e">
        <f ca="1">_xludf.IFNA(VLOOKUP(C57,Database!$C$5:$D$330,2,0),(VLOOKUP(C57,logut!$C$4:$D$109,2,0)))</f>
        <v>#NAME?</v>
      </c>
      <c r="E57" s="150">
        <v>44335</v>
      </c>
      <c r="F57" s="147" t="s">
        <v>4094</v>
      </c>
      <c r="G57" s="147" t="s">
        <v>259</v>
      </c>
      <c r="H57" s="147" t="s">
        <v>3222</v>
      </c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 spans="1:26" ht="11.25" customHeight="1">
      <c r="A58" s="147"/>
      <c r="B58" s="147">
        <v>55</v>
      </c>
      <c r="C58" s="147" t="s">
        <v>1319</v>
      </c>
      <c r="D58" s="147" t="e">
        <f ca="1">_xludf.IFNA(VLOOKUP(C58,Database!$C$5:$D$330,2,0),(VLOOKUP(C58,logut!$C$4:$D$109,2,0)))</f>
        <v>#NAME?</v>
      </c>
      <c r="E58" s="150">
        <v>44335</v>
      </c>
      <c r="F58" s="147" t="s">
        <v>4094</v>
      </c>
      <c r="G58" s="147" t="s">
        <v>259</v>
      </c>
      <c r="H58" s="147" t="s">
        <v>3222</v>
      </c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 spans="1:26" ht="11.25" customHeight="1">
      <c r="A59" s="147"/>
      <c r="B59" s="147">
        <v>56</v>
      </c>
      <c r="C59" s="147" t="s">
        <v>650</v>
      </c>
      <c r="D59" s="147" t="e">
        <f ca="1">_xludf.IFNA(VLOOKUP(C59,Database!$C$5:$D$330,2,0),(VLOOKUP(C59,logut!$C$4:$D$109,2,0)))</f>
        <v>#NAME?</v>
      </c>
      <c r="E59" s="150">
        <v>44335</v>
      </c>
      <c r="F59" s="147" t="s">
        <v>4094</v>
      </c>
      <c r="G59" s="147" t="s">
        <v>259</v>
      </c>
      <c r="H59" s="147" t="s">
        <v>3222</v>
      </c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 spans="1:26" ht="11.25" customHeight="1">
      <c r="A60" s="147"/>
      <c r="B60" s="147">
        <v>57</v>
      </c>
      <c r="C60" s="147" t="s">
        <v>871</v>
      </c>
      <c r="D60" s="147" t="e">
        <f ca="1">_xludf.IFNA(VLOOKUP(C60,Database!$C$5:$D$330,2,0),(VLOOKUP(C60,logut!$C$4:$D$109,2,0)))</f>
        <v>#NAME?</v>
      </c>
      <c r="E60" s="150">
        <v>44335</v>
      </c>
      <c r="F60" s="147" t="s">
        <v>4094</v>
      </c>
      <c r="G60" s="147" t="s">
        <v>259</v>
      </c>
      <c r="H60" s="147" t="s">
        <v>3222</v>
      </c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 spans="1:26" ht="11.25" customHeight="1">
      <c r="A61" s="147"/>
      <c r="B61" s="147">
        <v>58</v>
      </c>
      <c r="C61" s="147" t="s">
        <v>431</v>
      </c>
      <c r="D61" s="147" t="e">
        <f ca="1">_xludf.IFNA(VLOOKUP(C61,Database!$C$5:$D$330,2,0),(VLOOKUP(C61,logut!$C$4:$D$109,2,0)))</f>
        <v>#NAME?</v>
      </c>
      <c r="E61" s="150">
        <v>44335</v>
      </c>
      <c r="F61" s="147" t="s">
        <v>4094</v>
      </c>
      <c r="G61" s="147" t="s">
        <v>259</v>
      </c>
      <c r="H61" s="147" t="s">
        <v>3222</v>
      </c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 spans="1:26" ht="11.25" customHeight="1">
      <c r="A62" s="147"/>
      <c r="B62" s="147">
        <v>59</v>
      </c>
      <c r="C62" s="147" t="s">
        <v>1150</v>
      </c>
      <c r="D62" s="147" t="e">
        <f ca="1">_xludf.IFNA(VLOOKUP(C62,Database!$C$5:$D$330,2,0),(VLOOKUP(C62,logut!$C$4:$D$109,2,0)))</f>
        <v>#NAME?</v>
      </c>
      <c r="E62" s="150">
        <v>44335</v>
      </c>
      <c r="F62" s="147" t="s">
        <v>4094</v>
      </c>
      <c r="G62" s="147" t="s">
        <v>259</v>
      </c>
      <c r="H62" s="147" t="s">
        <v>3222</v>
      </c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 spans="1:26" ht="11.25" customHeight="1">
      <c r="A63" s="147"/>
      <c r="B63" s="147">
        <v>60</v>
      </c>
      <c r="C63" s="147" t="s">
        <v>930</v>
      </c>
      <c r="D63" s="147" t="e">
        <f ca="1">_xludf.IFNA(VLOOKUP(C63,Database!$C$5:$D$330,2,0),(VLOOKUP(C63,logut!$C$4:$D$109,2,0)))</f>
        <v>#NAME?</v>
      </c>
      <c r="E63" s="150">
        <v>44335</v>
      </c>
      <c r="F63" s="147" t="s">
        <v>4094</v>
      </c>
      <c r="G63" s="147" t="s">
        <v>259</v>
      </c>
      <c r="H63" s="147" t="s">
        <v>3222</v>
      </c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 spans="1:26" ht="11.25" customHeight="1">
      <c r="A64" s="147"/>
      <c r="B64" s="147">
        <v>61</v>
      </c>
      <c r="C64" s="147" t="s">
        <v>942</v>
      </c>
      <c r="D64" s="147" t="e">
        <f ca="1">_xludf.IFNA(VLOOKUP(C64,Database!$C$5:$D$330,2,0),(VLOOKUP(C64,logut!$C$4:$D$109,2,0)))</f>
        <v>#NAME?</v>
      </c>
      <c r="E64" s="150">
        <v>44335</v>
      </c>
      <c r="F64" s="147" t="s">
        <v>4094</v>
      </c>
      <c r="G64" s="147" t="s">
        <v>259</v>
      </c>
      <c r="H64" s="147" t="s">
        <v>3222</v>
      </c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 spans="1:26" ht="11.25" customHeight="1">
      <c r="A65" s="147"/>
      <c r="B65" s="147">
        <v>62</v>
      </c>
      <c r="C65" s="108" t="s">
        <v>3448</v>
      </c>
      <c r="D65" s="147" t="e">
        <f ca="1">_xludf.IFNA(VLOOKUP(C65,Database!$C$5:$D$330,2,0),(VLOOKUP(C65,logut!$C$4:$D$109,2,0)))</f>
        <v>#NAME?</v>
      </c>
      <c r="E65" s="150">
        <v>44335</v>
      </c>
      <c r="F65" s="147" t="s">
        <v>4095</v>
      </c>
      <c r="G65" s="147" t="s">
        <v>71</v>
      </c>
      <c r="H65" s="147" t="s">
        <v>2085</v>
      </c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 spans="1:26" ht="11.25" customHeight="1">
      <c r="A66" s="147"/>
      <c r="B66" s="147">
        <v>63</v>
      </c>
      <c r="C66" s="147" t="s">
        <v>2084</v>
      </c>
      <c r="D66" s="147" t="e">
        <f ca="1">_xludf.IFNA(VLOOKUP(C66,Database!$C$5:$D$330,2,0),(VLOOKUP(C66,logut!$C$4:$D$109,2,0)))</f>
        <v>#NAME?</v>
      </c>
      <c r="E66" s="150">
        <v>44335</v>
      </c>
      <c r="F66" s="147" t="s">
        <v>4095</v>
      </c>
      <c r="G66" s="147" t="s">
        <v>71</v>
      </c>
      <c r="H66" s="147" t="s">
        <v>2085</v>
      </c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 spans="1:26" ht="11.25" customHeight="1">
      <c r="A67" s="147"/>
      <c r="B67" s="147">
        <v>64</v>
      </c>
      <c r="C67" s="147" t="s">
        <v>761</v>
      </c>
      <c r="D67" s="147" t="e">
        <f ca="1">_xludf.IFNA(VLOOKUP(C67,Database!$C$5:$D$330,2,0),(VLOOKUP(C67,logut!$C$4:$D$109,2,0)))</f>
        <v>#NAME?</v>
      </c>
      <c r="E67" s="150">
        <v>44335</v>
      </c>
      <c r="F67" s="147" t="s">
        <v>4095</v>
      </c>
      <c r="G67" s="147" t="s">
        <v>71</v>
      </c>
      <c r="H67" s="147" t="s">
        <v>2085</v>
      </c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</row>
    <row r="68" spans="1:26" ht="11.25" customHeight="1">
      <c r="A68" s="147"/>
      <c r="B68" s="147">
        <v>65</v>
      </c>
      <c r="C68" s="147" t="s">
        <v>852</v>
      </c>
      <c r="D68" s="147" t="e">
        <f ca="1">_xludf.IFNA(VLOOKUP(C68,Database!$C$5:$D$330,2,0),(VLOOKUP(C68,logut!$C$4:$D$109,2,0)))</f>
        <v>#NAME?</v>
      </c>
      <c r="E68" s="150">
        <v>44342</v>
      </c>
      <c r="F68" s="147"/>
      <c r="G68" s="147" t="s">
        <v>71</v>
      </c>
      <c r="H68" s="147" t="s">
        <v>3278</v>
      </c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</row>
    <row r="69" spans="1:26" ht="11.25" customHeight="1">
      <c r="A69" s="147"/>
      <c r="B69" s="147">
        <v>66</v>
      </c>
      <c r="C69" s="147" t="s">
        <v>750</v>
      </c>
      <c r="D69" s="147" t="e">
        <f ca="1">_xludf.IFNA(VLOOKUP(C69,Database!$C$5:$D$330,2,0),(VLOOKUP(C69,logut!$C$4:$D$109,2,0)))</f>
        <v>#NAME?</v>
      </c>
      <c r="E69" s="150">
        <v>44342</v>
      </c>
      <c r="F69" s="147"/>
      <c r="G69" s="147" t="s">
        <v>71</v>
      </c>
      <c r="H69" s="147" t="s">
        <v>3278</v>
      </c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</row>
    <row r="70" spans="1:26" ht="11.25" customHeight="1">
      <c r="A70" s="147"/>
      <c r="B70" s="147">
        <v>67</v>
      </c>
      <c r="C70" s="147" t="s">
        <v>1065</v>
      </c>
      <c r="D70" s="147" t="e">
        <f ca="1">_xludf.IFNA(VLOOKUP(C70,Database!$C$5:$D$330,2,0),(VLOOKUP(C70,logut!$C$4:$D$109,2,0)))</f>
        <v>#NAME?</v>
      </c>
      <c r="E70" s="150">
        <v>44348</v>
      </c>
      <c r="F70" s="147"/>
      <c r="G70" s="147" t="s">
        <v>4087</v>
      </c>
      <c r="H70" s="147" t="s">
        <v>4088</v>
      </c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</row>
    <row r="71" spans="1:26" ht="11.25" customHeight="1">
      <c r="A71" s="147"/>
      <c r="B71" s="147">
        <v>68</v>
      </c>
      <c r="C71" s="147" t="s">
        <v>3728</v>
      </c>
      <c r="D71" s="147" t="e">
        <f ca="1">_xludf.IFNA(VLOOKUP(C71,Database!$C$5:$D$330,2,0),(VLOOKUP(C71,logut!$C$4:$D$109,2,0)))</f>
        <v>#NAME?</v>
      </c>
      <c r="E71" s="150">
        <v>44348</v>
      </c>
      <c r="F71" s="147"/>
      <c r="G71" s="147" t="s">
        <v>4087</v>
      </c>
      <c r="H71" s="147" t="s">
        <v>4088</v>
      </c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spans="1:26" ht="11.25" customHeight="1">
      <c r="A72" s="147"/>
      <c r="B72" s="147">
        <v>69</v>
      </c>
      <c r="C72" s="147" t="s">
        <v>2231</v>
      </c>
      <c r="D72" s="147" t="e">
        <f ca="1">_xludf.IFNA(VLOOKUP(C72,Database!$C$5:$D$330,2,0),(VLOOKUP(C72,logut!$C$4:$D$109,2,0)))</f>
        <v>#NAME?</v>
      </c>
      <c r="E72" s="150">
        <v>44348</v>
      </c>
      <c r="F72" s="147"/>
      <c r="G72" s="147" t="s">
        <v>4087</v>
      </c>
      <c r="H72" s="147" t="s">
        <v>4088</v>
      </c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</row>
    <row r="73" spans="1:26" ht="11.25" customHeight="1">
      <c r="A73" s="147"/>
      <c r="B73" s="147">
        <v>70</v>
      </c>
      <c r="C73" s="147" t="s">
        <v>1251</v>
      </c>
      <c r="D73" s="147" t="e">
        <f ca="1">_xludf.IFNA(VLOOKUP(C73,Database!$C$5:$D$330,2,0),(VLOOKUP(C73,logut!$C$4:$D$109,2,0)))</f>
        <v>#NAME?</v>
      </c>
      <c r="E73" s="150">
        <v>44354</v>
      </c>
      <c r="F73" s="147"/>
      <c r="G73" s="147" t="s">
        <v>259</v>
      </c>
      <c r="H73" s="147" t="s">
        <v>3222</v>
      </c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</row>
    <row r="74" spans="1:26" ht="11.25" customHeight="1">
      <c r="A74" s="147"/>
      <c r="B74" s="147">
        <v>71</v>
      </c>
      <c r="C74" s="147" t="s">
        <v>1982</v>
      </c>
      <c r="D74" s="147" t="e">
        <f ca="1">_xludf.IFNA(VLOOKUP(C74,Database!$C$5:$D$330,2,0),(VLOOKUP(C74,logut!$C$4:$D$109,2,0)))</f>
        <v>#NAME?</v>
      </c>
      <c r="E74" s="150">
        <v>44414</v>
      </c>
      <c r="F74" s="147" t="s">
        <v>4096</v>
      </c>
      <c r="G74" s="147" t="s">
        <v>259</v>
      </c>
      <c r="H74" s="147" t="s">
        <v>3222</v>
      </c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</row>
    <row r="75" spans="1:26" ht="11.25" customHeight="1">
      <c r="A75" s="147"/>
      <c r="B75" s="147">
        <v>72</v>
      </c>
      <c r="C75" s="147" t="s">
        <v>1788</v>
      </c>
      <c r="D75" s="147" t="e">
        <f ca="1">_xludf.IFNA(VLOOKUP(C75,Database!$C$5:$D$330,2,0),(VLOOKUP(C75,logut!$C$4:$D$109,2,0)))</f>
        <v>#NAME?</v>
      </c>
      <c r="E75" s="150">
        <v>44414</v>
      </c>
      <c r="F75" s="147" t="s">
        <v>4096</v>
      </c>
      <c r="G75" s="147" t="s">
        <v>259</v>
      </c>
      <c r="H75" s="147" t="s">
        <v>88</v>
      </c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</row>
    <row r="76" spans="1:26" ht="11.25" customHeight="1">
      <c r="A76" s="147"/>
      <c r="B76" s="147">
        <v>73</v>
      </c>
      <c r="C76" s="147" t="s">
        <v>272</v>
      </c>
      <c r="D76" s="147" t="e">
        <f ca="1">_xludf.IFNA(VLOOKUP(C76,Database!$C$5:$D$330,2,0),(VLOOKUP(C76,logut!$C$4:$D$109,2,0)))</f>
        <v>#NAME?</v>
      </c>
      <c r="E76" s="150">
        <v>44414</v>
      </c>
      <c r="F76" s="147" t="s">
        <v>4097</v>
      </c>
      <c r="G76" s="147" t="s">
        <v>422</v>
      </c>
      <c r="H76" s="147" t="s">
        <v>4086</v>
      </c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</row>
    <row r="77" spans="1:26" ht="11.25" customHeight="1">
      <c r="A77" s="147"/>
      <c r="B77" s="147">
        <v>74</v>
      </c>
      <c r="C77" s="147" t="s">
        <v>3221</v>
      </c>
      <c r="D77" s="147" t="e">
        <f ca="1">_xludf.IFNA(VLOOKUP(C77,Database!$C$5:$D$330,2,0),(VLOOKUP(C77,logut!$C$4:$D$109,2,0)))</f>
        <v>#NAME?</v>
      </c>
      <c r="E77" s="150">
        <v>44414</v>
      </c>
      <c r="F77" s="147" t="s">
        <v>4096</v>
      </c>
      <c r="G77" s="147" t="s">
        <v>259</v>
      </c>
      <c r="H77" s="147" t="s">
        <v>3222</v>
      </c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</row>
    <row r="78" spans="1:26" ht="11.25" customHeight="1">
      <c r="A78" s="147"/>
      <c r="B78" s="147">
        <v>75</v>
      </c>
      <c r="C78" s="147" t="s">
        <v>1780</v>
      </c>
      <c r="D78" s="147" t="e">
        <f ca="1">_xludf.IFNA(VLOOKUP(C78,Database!$C$5:$D$330,2,0),(VLOOKUP(C78,logut!$C$4:$D$109,2,0)))</f>
        <v>#NAME?</v>
      </c>
      <c r="E78" s="150">
        <v>44414</v>
      </c>
      <c r="F78" s="147" t="s">
        <v>4096</v>
      </c>
      <c r="G78" s="147" t="s">
        <v>1773</v>
      </c>
      <c r="H78" s="147" t="s">
        <v>476</v>
      </c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</row>
    <row r="79" spans="1:26" ht="11.25" customHeight="1">
      <c r="A79" s="147"/>
      <c r="B79" s="147">
        <v>76</v>
      </c>
      <c r="C79" s="147" t="s">
        <v>1974</v>
      </c>
      <c r="D79" s="147" t="e">
        <f ca="1">_xludf.IFNA(VLOOKUP(C79,Database!$C$5:$D$330,2,0),(VLOOKUP(C79,logut!$C$4:$D$109,2,0)))</f>
        <v>#NAME?</v>
      </c>
      <c r="E79" s="150">
        <v>44414</v>
      </c>
      <c r="F79" s="147" t="s">
        <v>4096</v>
      </c>
      <c r="G79" s="147" t="s">
        <v>37</v>
      </c>
      <c r="H79" s="147" t="s">
        <v>476</v>
      </c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</row>
    <row r="80" spans="1:26" ht="11.25" customHeight="1">
      <c r="A80" s="147"/>
      <c r="B80" s="147">
        <v>77</v>
      </c>
      <c r="C80" s="147" t="s">
        <v>2065</v>
      </c>
      <c r="D80" s="147" t="e">
        <f ca="1">_xludf.IFNA(VLOOKUP(C80,Database!$C$5:$D$330,2,0),(VLOOKUP(C80,logut!$C$4:$D$109,2,0)))</f>
        <v>#NAME?</v>
      </c>
      <c r="E80" s="150">
        <v>44414</v>
      </c>
      <c r="F80" s="147" t="s">
        <v>4096</v>
      </c>
      <c r="G80" s="147" t="s">
        <v>37</v>
      </c>
      <c r="H80" s="147" t="s">
        <v>476</v>
      </c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</row>
    <row r="81" spans="1:26" ht="11.25" customHeight="1">
      <c r="A81" s="147"/>
      <c r="B81" s="147">
        <v>78</v>
      </c>
      <c r="C81" s="147" t="s">
        <v>2073</v>
      </c>
      <c r="D81" s="147" t="e">
        <f ca="1">_xludf.IFNA(VLOOKUP(C81,Database!$C$5:$D$330,2,0),(VLOOKUP(C81,logut!$C$4:$D$109,2,0)))</f>
        <v>#NAME?</v>
      </c>
      <c r="E81" s="150">
        <v>44414</v>
      </c>
      <c r="F81" s="147" t="s">
        <v>4097</v>
      </c>
      <c r="G81" s="147" t="s">
        <v>37</v>
      </c>
      <c r="H81" s="147" t="s">
        <v>476</v>
      </c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</row>
    <row r="82" spans="1:26" ht="11.25" customHeight="1">
      <c r="A82" s="147"/>
      <c r="B82" s="147">
        <v>79</v>
      </c>
      <c r="C82" s="147" t="s">
        <v>1948</v>
      </c>
      <c r="D82" s="147" t="e">
        <f ca="1">_xludf.IFNA(VLOOKUP(C82,Database!$C$5:$D$330,2,0),(VLOOKUP(C82,logut!$C$4:$D$109,2,0)))</f>
        <v>#NAME?</v>
      </c>
      <c r="E82" s="150">
        <v>44414</v>
      </c>
      <c r="F82" s="147" t="s">
        <v>4097</v>
      </c>
      <c r="G82" s="147" t="s">
        <v>37</v>
      </c>
      <c r="H82" s="147" t="s">
        <v>476</v>
      </c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</row>
    <row r="83" spans="1:26" ht="11.25" customHeight="1">
      <c r="A83" s="147"/>
      <c r="B83" s="147">
        <v>80</v>
      </c>
      <c r="C83" s="147" t="s">
        <v>1750</v>
      </c>
      <c r="D83" s="147" t="e">
        <f ca="1">_xludf.IFNA(VLOOKUP(C83,Database!$C$5:$D$330,2,0),(VLOOKUP(C83,logut!$C$4:$D$109,2,0)))</f>
        <v>#NAME?</v>
      </c>
      <c r="E83" s="150">
        <v>44414</v>
      </c>
      <c r="F83" s="147" t="s">
        <v>4096</v>
      </c>
      <c r="G83" s="147" t="s">
        <v>36</v>
      </c>
      <c r="H83" s="147" t="s">
        <v>87</v>
      </c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</row>
    <row r="84" spans="1:26" ht="11.25" customHeight="1">
      <c r="A84" s="147"/>
      <c r="B84" s="147">
        <v>81</v>
      </c>
      <c r="C84" s="147" t="s">
        <v>1384</v>
      </c>
      <c r="D84" s="147" t="e">
        <f ca="1">_xludf.IFNA(VLOOKUP(C84,Database!$C$5:$D$330,2,0),(VLOOKUP(C84,logut!$C$4:$D$109,2,0)))</f>
        <v>#NAME?</v>
      </c>
      <c r="E84" s="150">
        <v>44414</v>
      </c>
      <c r="F84" s="147" t="s">
        <v>4096</v>
      </c>
      <c r="G84" s="147" t="s">
        <v>575</v>
      </c>
      <c r="H84" s="147" t="s">
        <v>92</v>
      </c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</row>
    <row r="85" spans="1:26" ht="11.25" customHeight="1">
      <c r="A85" s="147"/>
      <c r="B85" s="147">
        <v>82</v>
      </c>
      <c r="C85" s="147" t="s">
        <v>3341</v>
      </c>
      <c r="D85" s="147" t="e">
        <f ca="1">_xludf.IFNA(VLOOKUP(C85,Database!$C$5:$D$330,2,0),(VLOOKUP(C85,logut!$C$4:$D$109,2,0)))</f>
        <v>#NAME?</v>
      </c>
      <c r="E85" s="150">
        <v>44414</v>
      </c>
      <c r="F85" s="147" t="s">
        <v>4096</v>
      </c>
      <c r="G85" s="147" t="s">
        <v>71</v>
      </c>
      <c r="H85" s="147" t="s">
        <v>476</v>
      </c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</row>
    <row r="86" spans="1:26" ht="11.25" customHeight="1">
      <c r="A86" s="147"/>
      <c r="B86" s="147">
        <v>83</v>
      </c>
      <c r="C86" s="147" t="s">
        <v>320</v>
      </c>
      <c r="D86" s="147" t="e">
        <f ca="1">_xludf.IFNA(VLOOKUP(C86,Database!$C$5:$D$330,2,0),(VLOOKUP(C86,logut!$C$4:$D$109,2,0)))</f>
        <v>#NAME?</v>
      </c>
      <c r="E86" s="150">
        <v>44414</v>
      </c>
      <c r="F86" s="147" t="s">
        <v>4096</v>
      </c>
      <c r="G86" s="147" t="s">
        <v>259</v>
      </c>
      <c r="H86" s="147" t="s">
        <v>476</v>
      </c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</row>
    <row r="87" spans="1:26" ht="11.25" customHeight="1">
      <c r="A87" s="147"/>
      <c r="B87" s="147">
        <v>84</v>
      </c>
      <c r="C87" s="147" t="s">
        <v>452</v>
      </c>
      <c r="D87" s="147" t="e">
        <f ca="1">_xludf.IFNA(VLOOKUP(C87,Database!$C$5:$D$330,2,0),(VLOOKUP(C87,logut!$C$4:$D$109,2,0)))</f>
        <v>#NAME?</v>
      </c>
      <c r="E87" s="150">
        <v>44416</v>
      </c>
      <c r="F87" s="147" t="s">
        <v>4096</v>
      </c>
      <c r="G87" s="147" t="s">
        <v>259</v>
      </c>
      <c r="H87" s="147" t="s">
        <v>476</v>
      </c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</row>
    <row r="88" spans="1:26" ht="11.25" customHeight="1">
      <c r="A88" s="147"/>
      <c r="B88" s="147">
        <v>85</v>
      </c>
      <c r="C88" s="147" t="s">
        <v>1897</v>
      </c>
      <c r="D88" s="147" t="e">
        <f ca="1">_xludf.IFNA(VLOOKUP(C88,Database!$C$5:$D$330,2,0),(VLOOKUP(C88,logut!$C$4:$D$109,2,0)))</f>
        <v>#NAME?</v>
      </c>
      <c r="E88" s="150">
        <v>44416</v>
      </c>
      <c r="F88" s="147" t="s">
        <v>4096</v>
      </c>
      <c r="G88" s="147" t="s">
        <v>259</v>
      </c>
      <c r="H88" s="147" t="s">
        <v>476</v>
      </c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</row>
    <row r="89" spans="1:26" ht="11.25" customHeight="1">
      <c r="A89" s="147"/>
      <c r="B89" s="147">
        <v>86</v>
      </c>
      <c r="C89" s="147" t="s">
        <v>638</v>
      </c>
      <c r="D89" s="147" t="e">
        <f ca="1">_xludf.IFNA(VLOOKUP(C89,Database!$C$5:$D$330,2,0),(VLOOKUP(C89,logut!$C$4:$D$109,2,0)))</f>
        <v>#NAME?</v>
      </c>
      <c r="E89" s="150">
        <v>44417</v>
      </c>
      <c r="F89" s="147" t="s">
        <v>4096</v>
      </c>
      <c r="G89" s="147" t="s">
        <v>259</v>
      </c>
      <c r="H89" s="147" t="s">
        <v>3222</v>
      </c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</row>
    <row r="90" spans="1:26" ht="11.25" customHeight="1">
      <c r="A90" s="147"/>
      <c r="B90" s="147">
        <v>87</v>
      </c>
      <c r="C90" s="147" t="s">
        <v>761</v>
      </c>
      <c r="D90" s="147" t="e">
        <f ca="1">_xludf.IFNA(VLOOKUP(C90,Database!$C$5:$D$330,2,0),(VLOOKUP(C90,logut!$C$4:$D$109,2,0)))</f>
        <v>#NAME?</v>
      </c>
      <c r="E90" s="150">
        <v>44419</v>
      </c>
      <c r="F90" s="147" t="s">
        <v>4096</v>
      </c>
      <c r="G90" s="147" t="s">
        <v>475</v>
      </c>
      <c r="H90" s="147" t="s">
        <v>476</v>
      </c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</row>
    <row r="91" spans="1:26" ht="11.25" customHeight="1">
      <c r="A91" s="147"/>
      <c r="B91" s="147">
        <v>88</v>
      </c>
      <c r="C91" s="147" t="s">
        <v>495</v>
      </c>
      <c r="D91" s="147" t="e">
        <f ca="1">_xludf.IFNA(VLOOKUP(C91,Database!$C$5:$D$330,2,0),(VLOOKUP(C91,logut!$C$4:$D$109,2,0)))</f>
        <v>#NAME?</v>
      </c>
      <c r="E91" s="150">
        <v>44419</v>
      </c>
      <c r="F91" s="147" t="s">
        <v>4096</v>
      </c>
      <c r="G91" s="147" t="s">
        <v>475</v>
      </c>
      <c r="H91" s="147" t="s">
        <v>476</v>
      </c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</row>
    <row r="92" spans="1:26" ht="11.25" customHeight="1">
      <c r="A92" s="147"/>
      <c r="B92" s="147">
        <v>89</v>
      </c>
      <c r="C92" s="147" t="s">
        <v>910</v>
      </c>
      <c r="D92" s="147" t="e">
        <f ca="1">_xludf.IFNA(VLOOKUP(C92,Database!$C$5:$D$330,2,0),(VLOOKUP(C92,logut!$C$4:$D$109,2,0)))</f>
        <v>#NAME?</v>
      </c>
      <c r="E92" s="150">
        <v>44419</v>
      </c>
      <c r="F92" s="147" t="s">
        <v>4096</v>
      </c>
      <c r="G92" s="147" t="s">
        <v>409</v>
      </c>
      <c r="H92" s="147" t="s">
        <v>88</v>
      </c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</row>
    <row r="93" spans="1:26" ht="11.25" customHeight="1">
      <c r="A93" s="147"/>
      <c r="B93" s="147">
        <v>90</v>
      </c>
      <c r="C93" s="147" t="s">
        <v>1391</v>
      </c>
      <c r="D93" s="147" t="e">
        <f ca="1">_xludf.IFNA(VLOOKUP(C93,Database!$C$5:$D$330,2,0),(VLOOKUP(C93,logut!$C$4:$D$109,2,0)))</f>
        <v>#NAME?</v>
      </c>
      <c r="E93" s="150">
        <v>44419</v>
      </c>
      <c r="F93" s="147" t="s">
        <v>4096</v>
      </c>
      <c r="G93" s="147" t="s">
        <v>475</v>
      </c>
      <c r="H93" s="147" t="s">
        <v>476</v>
      </c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</row>
    <row r="94" spans="1:26" ht="11.25" customHeight="1">
      <c r="A94" s="147"/>
      <c r="B94" s="147">
        <v>91</v>
      </c>
      <c r="C94" s="147" t="s">
        <v>1001</v>
      </c>
      <c r="D94" s="147" t="e">
        <f ca="1">_xludf.IFNA(VLOOKUP(C94,Database!$C$5:$D$330,2,0),(VLOOKUP(C94,logut!$C$4:$D$109,2,0)))</f>
        <v>#NAME?</v>
      </c>
      <c r="E94" s="150">
        <v>44419</v>
      </c>
      <c r="F94" s="147" t="s">
        <v>4096</v>
      </c>
      <c r="G94" s="147" t="s">
        <v>475</v>
      </c>
      <c r="H94" s="147" t="s">
        <v>476</v>
      </c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</row>
    <row r="95" spans="1:26" ht="11.25" customHeight="1">
      <c r="A95" s="147"/>
      <c r="B95" s="147">
        <v>92</v>
      </c>
      <c r="C95" s="147" t="s">
        <v>969</v>
      </c>
      <c r="D95" s="147" t="e">
        <f ca="1">_xludf.IFNA(VLOOKUP(C95,Database!$C$5:$D$330,2,0),(VLOOKUP(C95,logut!$C$4:$D$109,2,0)))</f>
        <v>#NAME?</v>
      </c>
      <c r="E95" s="150">
        <v>44419</v>
      </c>
      <c r="F95" s="147" t="s">
        <v>4096</v>
      </c>
      <c r="G95" s="147" t="s">
        <v>475</v>
      </c>
      <c r="H95" s="147" t="s">
        <v>476</v>
      </c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</row>
    <row r="96" spans="1:26" ht="11.25" customHeight="1">
      <c r="A96" s="147"/>
      <c r="B96" s="147">
        <v>93</v>
      </c>
      <c r="C96" s="147" t="s">
        <v>332</v>
      </c>
      <c r="D96" s="147" t="e">
        <f ca="1">_xludf.IFNA(VLOOKUP(C96,Database!$C$5:$D$330,2,0),(VLOOKUP(C96,logut!$C$4:$D$109,2,0)))</f>
        <v>#NAME?</v>
      </c>
      <c r="E96" s="150">
        <v>44419</v>
      </c>
      <c r="F96" s="147" t="s">
        <v>4096</v>
      </c>
      <c r="G96" s="147" t="s">
        <v>475</v>
      </c>
      <c r="H96" s="147" t="s">
        <v>476</v>
      </c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</row>
    <row r="97" spans="1:26" ht="11.25" customHeight="1">
      <c r="A97" s="147"/>
      <c r="B97" s="147">
        <v>94</v>
      </c>
      <c r="C97" s="147" t="s">
        <v>553</v>
      </c>
      <c r="D97" s="147" t="e">
        <f ca="1">_xludf.IFNA(VLOOKUP(C97,Database!$C$5:$D$330,2,0),(VLOOKUP(C97,logut!$C$4:$D$109,2,0)))</f>
        <v>#NAME?</v>
      </c>
      <c r="E97" s="150">
        <v>44423</v>
      </c>
      <c r="F97" s="147" t="s">
        <v>4096</v>
      </c>
      <c r="G97" s="147" t="s">
        <v>37</v>
      </c>
      <c r="H97" s="147" t="s">
        <v>476</v>
      </c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</row>
    <row r="98" spans="1:26" ht="11.25" customHeight="1">
      <c r="A98" s="147"/>
      <c r="B98" s="147">
        <v>95</v>
      </c>
      <c r="C98" s="147" t="s">
        <v>1284</v>
      </c>
      <c r="D98" s="147" t="e">
        <f ca="1">_xludf.IFNA(VLOOKUP(C98,Database!$C$5:$D$330,2,0),(VLOOKUP(C98,logut!$C$4:$D$109,2,0)))</f>
        <v>#NAME?</v>
      </c>
      <c r="E98" s="150">
        <v>44423</v>
      </c>
      <c r="F98" s="147" t="s">
        <v>4096</v>
      </c>
      <c r="G98" s="147" t="s">
        <v>409</v>
      </c>
      <c r="H98" s="147" t="s">
        <v>88</v>
      </c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</row>
    <row r="99" spans="1:26" ht="11.25" customHeight="1">
      <c r="A99" s="147"/>
      <c r="B99" s="147">
        <v>96</v>
      </c>
      <c r="C99" s="147" t="s">
        <v>564</v>
      </c>
      <c r="D99" s="147" t="e">
        <f ca="1">_xludf.IFNA(VLOOKUP(C99,Database!$C$5:$D$330,2,0),(VLOOKUP(C99,logut!$C$4:$D$109,2,0)))</f>
        <v>#NAME?</v>
      </c>
      <c r="E99" s="150">
        <v>44423</v>
      </c>
      <c r="F99" s="147" t="s">
        <v>4096</v>
      </c>
      <c r="G99" s="147" t="s">
        <v>1276</v>
      </c>
      <c r="H99" s="147" t="s">
        <v>4098</v>
      </c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</row>
    <row r="100" spans="1:26" ht="11.25" customHeight="1">
      <c r="A100" s="147"/>
      <c r="B100" s="147">
        <v>97</v>
      </c>
      <c r="C100" s="147" t="s">
        <v>898</v>
      </c>
      <c r="D100" s="147" t="e">
        <f ca="1">_xludf.IFNA(VLOOKUP(C100,Database!$C$5:$D$330,2,0),(VLOOKUP(C100,logut!$C$4:$D$109,2,0)))</f>
        <v>#NAME?</v>
      </c>
      <c r="E100" s="150">
        <v>44424</v>
      </c>
      <c r="F100" s="147" t="s">
        <v>4096</v>
      </c>
      <c r="G100" s="147" t="s">
        <v>1773</v>
      </c>
      <c r="H100" s="147" t="s">
        <v>476</v>
      </c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</row>
    <row r="101" spans="1:26" ht="11.25" customHeight="1">
      <c r="A101" s="147"/>
      <c r="B101" s="147">
        <v>98</v>
      </c>
      <c r="C101" s="147" t="s">
        <v>2084</v>
      </c>
      <c r="D101" s="147" t="e">
        <f ca="1">_xludf.IFNA(VLOOKUP(C101,Database!$C$5:$D$330,2,0),(VLOOKUP(C101,logut!$C$4:$D$109,2,0)))</f>
        <v>#NAME?</v>
      </c>
      <c r="E101" s="150">
        <v>44424</v>
      </c>
      <c r="F101" s="147" t="s">
        <v>4096</v>
      </c>
      <c r="G101" s="147" t="s">
        <v>1773</v>
      </c>
      <c r="H101" s="147" t="s">
        <v>476</v>
      </c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</row>
    <row r="102" spans="1:26" ht="11.25" customHeight="1">
      <c r="A102" s="147"/>
      <c r="B102" s="147">
        <v>99</v>
      </c>
      <c r="C102" s="147" t="s">
        <v>871</v>
      </c>
      <c r="D102" s="147" t="e">
        <f ca="1">_xludf.IFNA(VLOOKUP(C102,Database!$C$5:$D$330,2,0),(VLOOKUP(C102,logut!$C$4:$D$109,2,0)))</f>
        <v>#NAME?</v>
      </c>
      <c r="E102" s="150">
        <v>44427</v>
      </c>
      <c r="F102" s="147" t="s">
        <v>4096</v>
      </c>
      <c r="G102" s="147" t="s">
        <v>1789</v>
      </c>
      <c r="H102" s="147" t="s">
        <v>476</v>
      </c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</row>
    <row r="103" spans="1:26" ht="11.25" customHeight="1">
      <c r="A103" s="147"/>
      <c r="B103" s="147">
        <v>100</v>
      </c>
      <c r="C103" s="147" t="s">
        <v>606</v>
      </c>
      <c r="D103" s="147" t="e">
        <f ca="1">_xludf.IFNA(VLOOKUP(C103,Database!$C$5:$D$330,2,0),(VLOOKUP(C103,logut!$C$4:$D$109,2,0)))</f>
        <v>#NAME?</v>
      </c>
      <c r="E103" s="150">
        <v>44427</v>
      </c>
      <c r="F103" s="147" t="s">
        <v>4097</v>
      </c>
      <c r="G103" s="147" t="s">
        <v>575</v>
      </c>
      <c r="H103" s="147" t="s">
        <v>92</v>
      </c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</row>
    <row r="104" spans="1:26" ht="11.25" customHeight="1">
      <c r="A104" s="147"/>
      <c r="B104" s="147">
        <v>101</v>
      </c>
      <c r="C104" s="147" t="s">
        <v>1874</v>
      </c>
      <c r="D104" s="147" t="e">
        <f ca="1">_xludf.IFNA(VLOOKUP(C104,Database!$C$5:$D$330,2,0),(VLOOKUP(C104,logut!$C$4:$D$109,2,0)))</f>
        <v>#NAME?</v>
      </c>
      <c r="E104" s="150">
        <v>44427</v>
      </c>
      <c r="F104" s="147" t="s">
        <v>4096</v>
      </c>
      <c r="G104" s="147" t="s">
        <v>1789</v>
      </c>
      <c r="H104" s="147" t="s">
        <v>476</v>
      </c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</row>
    <row r="105" spans="1:26" ht="11.25" customHeight="1">
      <c r="A105" s="147"/>
      <c r="B105" s="147">
        <v>102</v>
      </c>
      <c r="C105" s="147" t="s">
        <v>1435</v>
      </c>
      <c r="D105" s="147" t="e">
        <f ca="1">_xludf.IFNA(VLOOKUP(C105,Database!$C$5:$D$330,2,0),(VLOOKUP(C105,logut!$C$4:$D$109,2,0)))</f>
        <v>#NAME?</v>
      </c>
      <c r="E105" s="150">
        <v>44427</v>
      </c>
      <c r="F105" s="147" t="s">
        <v>4096</v>
      </c>
      <c r="G105" s="147" t="s">
        <v>1436</v>
      </c>
      <c r="H105" s="147" t="s">
        <v>476</v>
      </c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</row>
    <row r="106" spans="1:26" ht="11.25" customHeight="1">
      <c r="A106" s="147"/>
      <c r="B106" s="147">
        <v>103</v>
      </c>
      <c r="C106" s="147" t="s">
        <v>1924</v>
      </c>
      <c r="D106" s="147" t="e">
        <f ca="1">_xludf.IFNA(VLOOKUP(C106,Database!$C$5:$D$330,2,0),(VLOOKUP(C106,logut!$C$4:$D$109,2,0)))</f>
        <v>#NAME?</v>
      </c>
      <c r="E106" s="150">
        <v>44427</v>
      </c>
      <c r="F106" s="147" t="s">
        <v>4096</v>
      </c>
      <c r="G106" s="147" t="s">
        <v>259</v>
      </c>
      <c r="H106" s="147" t="s">
        <v>476</v>
      </c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</row>
    <row r="107" spans="1:26" ht="11.25" customHeight="1">
      <c r="A107" s="147"/>
      <c r="B107" s="147">
        <v>104</v>
      </c>
      <c r="C107" s="147" t="s">
        <v>1939</v>
      </c>
      <c r="D107" s="147" t="e">
        <f ca="1">_xludf.IFNA(VLOOKUP(C107,Database!$C$5:$D$330,2,0),(VLOOKUP(C107,logut!$C$4:$D$109,2,0)))</f>
        <v>#NAME?</v>
      </c>
      <c r="E107" s="150">
        <v>44427</v>
      </c>
      <c r="F107" s="147" t="s">
        <v>4096</v>
      </c>
      <c r="G107" s="147" t="s">
        <v>259</v>
      </c>
      <c r="H107" s="147" t="s">
        <v>476</v>
      </c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</row>
    <row r="108" spans="1:26" ht="11.25" customHeight="1">
      <c r="A108" s="147"/>
      <c r="B108" s="147">
        <v>105</v>
      </c>
      <c r="C108" s="147" t="s">
        <v>3335</v>
      </c>
      <c r="D108" s="147" t="e">
        <f ca="1">_xludf.IFNA(VLOOKUP(C108,Database!$C$5:$D$330,2,0),(VLOOKUP(C108,logut!$C$4:$D$109,2,0)))</f>
        <v>#NAME?</v>
      </c>
      <c r="E108" s="150">
        <v>44427</v>
      </c>
      <c r="F108" s="147" t="s">
        <v>4096</v>
      </c>
      <c r="G108" s="147" t="s">
        <v>71</v>
      </c>
      <c r="H108" s="147" t="s">
        <v>2085</v>
      </c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</row>
    <row r="109" spans="1:26" ht="11.25" customHeight="1">
      <c r="A109" s="147"/>
      <c r="B109" s="147">
        <v>106</v>
      </c>
      <c r="C109" s="147" t="s">
        <v>1326</v>
      </c>
      <c r="D109" s="147" t="e">
        <f ca="1">_xludf.IFNA(VLOOKUP(C109,Database!$C$5:$D$330,2,0),(VLOOKUP(C109,logut!$C$4:$D$109,2,0)))</f>
        <v>#NAME?</v>
      </c>
      <c r="E109" s="150">
        <v>44427</v>
      </c>
      <c r="F109" s="147" t="s">
        <v>4097</v>
      </c>
      <c r="G109" s="147" t="s">
        <v>409</v>
      </c>
      <c r="H109" s="147" t="s">
        <v>88</v>
      </c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</row>
    <row r="110" spans="1:26" ht="11.25" customHeight="1">
      <c r="A110" s="147"/>
      <c r="B110" s="147">
        <v>107</v>
      </c>
      <c r="C110" s="147" t="s">
        <v>1833</v>
      </c>
      <c r="D110" s="147" t="e">
        <f ca="1">_xludf.IFNA(VLOOKUP(C110,Database!$C$5:$D$330,2,0),(VLOOKUP(C110,logut!$C$4:$D$109,2,0)))</f>
        <v>#NAME?</v>
      </c>
      <c r="E110" s="150">
        <v>44427</v>
      </c>
      <c r="F110" s="147" t="s">
        <v>4096</v>
      </c>
      <c r="G110" s="147" t="s">
        <v>259</v>
      </c>
      <c r="H110" s="147" t="s">
        <v>89</v>
      </c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</row>
    <row r="111" spans="1:26" ht="11.25" customHeight="1">
      <c r="A111" s="147"/>
      <c r="B111" s="147">
        <v>108</v>
      </c>
      <c r="C111" s="147" t="s">
        <v>2035</v>
      </c>
      <c r="D111" s="147" t="e">
        <f ca="1">_xludf.IFNA(VLOOKUP(C111,Database!$C$5:$D$330,2,0),(VLOOKUP(C111,logut!$C$4:$D$109,2,0)))</f>
        <v>#NAME?</v>
      </c>
      <c r="E111" s="150">
        <v>44427</v>
      </c>
      <c r="F111" s="147" t="s">
        <v>4096</v>
      </c>
      <c r="G111" s="147" t="s">
        <v>409</v>
      </c>
      <c r="H111" s="147" t="s">
        <v>476</v>
      </c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</row>
    <row r="112" spans="1:26" ht="11.25" customHeight="1">
      <c r="A112" s="147"/>
      <c r="B112" s="147">
        <v>109</v>
      </c>
      <c r="C112" s="147" t="s">
        <v>2336</v>
      </c>
      <c r="D112" s="147" t="e">
        <f ca="1">_xludf.IFNA(VLOOKUP(C112,Database!$C$5:$D$330,2,0),(VLOOKUP(C112,logut!$C$4:$D$109,2,0)))</f>
        <v>#NAME?</v>
      </c>
      <c r="E112" s="150">
        <v>44427</v>
      </c>
      <c r="F112" s="147" t="s">
        <v>4097</v>
      </c>
      <c r="G112" s="147" t="s">
        <v>409</v>
      </c>
      <c r="H112" s="147" t="s">
        <v>88</v>
      </c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</row>
    <row r="113" spans="1:26" ht="11.25" customHeight="1">
      <c r="A113" s="147"/>
      <c r="B113" s="147">
        <v>110</v>
      </c>
      <c r="C113" s="147" t="s">
        <v>346</v>
      </c>
      <c r="D113" s="147" t="e">
        <f ca="1">_xludf.IFNA(VLOOKUP(C113,Database!$C$5:$D$330,2,0),(VLOOKUP(C113,logut!$C$4:$D$109,2,0)))</f>
        <v>#NAME?</v>
      </c>
      <c r="E113" s="150">
        <v>44427</v>
      </c>
      <c r="F113" s="147" t="s">
        <v>4097</v>
      </c>
      <c r="G113" s="147" t="s">
        <v>1436</v>
      </c>
      <c r="H113" s="147" t="s">
        <v>476</v>
      </c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</row>
    <row r="114" spans="1:26" ht="11.25" customHeight="1">
      <c r="A114" s="147"/>
      <c r="B114" s="147">
        <v>111</v>
      </c>
      <c r="C114" s="147" t="s">
        <v>2418</v>
      </c>
      <c r="D114" s="147" t="e">
        <f ca="1">_xludf.IFNA(VLOOKUP(C114,Database!$C$5:$D$330,2,0),(VLOOKUP(C114,logut!$C$4:$D$109,2,0)))</f>
        <v>#NAME?</v>
      </c>
      <c r="E114" s="150">
        <v>44466</v>
      </c>
      <c r="F114" s="147"/>
      <c r="G114" s="147" t="s">
        <v>575</v>
      </c>
      <c r="H114" s="147" t="s">
        <v>92</v>
      </c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</row>
    <row r="115" spans="1:26" ht="11.25" customHeight="1">
      <c r="A115" s="147"/>
      <c r="B115" s="147">
        <v>112</v>
      </c>
      <c r="C115" s="147" t="s">
        <v>2425</v>
      </c>
      <c r="D115" s="147" t="e">
        <f ca="1">_xludf.IFNA(VLOOKUP(C115,Database!$C$5:$D$330,2,0),(VLOOKUP(C115,logut!$C$4:$D$109,2,0)))</f>
        <v>#NAME?</v>
      </c>
      <c r="E115" s="150">
        <v>44466</v>
      </c>
      <c r="F115" s="147"/>
      <c r="G115" s="147" t="s">
        <v>575</v>
      </c>
      <c r="H115" s="147" t="s">
        <v>92</v>
      </c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</row>
    <row r="116" spans="1:26" ht="11.25" customHeight="1">
      <c r="A116" s="147"/>
      <c r="B116" s="147">
        <v>113</v>
      </c>
      <c r="C116" s="147" t="s">
        <v>2411</v>
      </c>
      <c r="D116" s="147" t="e">
        <f ca="1">_xludf.IFNA(VLOOKUP(C116,Database!$C$5:$D$330,2,0),(VLOOKUP(C116,logut!$C$4:$D$109,2,0)))</f>
        <v>#NAME?</v>
      </c>
      <c r="E116" s="150">
        <v>44466</v>
      </c>
      <c r="F116" s="147"/>
      <c r="G116" s="147" t="s">
        <v>575</v>
      </c>
      <c r="H116" s="147" t="s">
        <v>92</v>
      </c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</row>
    <row r="117" spans="1:26" ht="11.25" customHeight="1">
      <c r="A117" s="147"/>
      <c r="B117" s="147">
        <v>114</v>
      </c>
      <c r="C117" s="147" t="s">
        <v>2448</v>
      </c>
      <c r="D117" s="147" t="e">
        <f ca="1">_xludf.IFNA(VLOOKUP(C117,Database!$C$5:$D$330,2,0),(VLOOKUP(C117,logut!$C$4:$D$109,2,0)))</f>
        <v>#NAME?</v>
      </c>
      <c r="E117" s="150">
        <v>44466</v>
      </c>
      <c r="F117" s="147"/>
      <c r="G117" s="147" t="s">
        <v>575</v>
      </c>
      <c r="H117" s="147" t="s">
        <v>92</v>
      </c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</row>
    <row r="118" spans="1:26" ht="11.25" customHeight="1">
      <c r="A118" s="147"/>
      <c r="B118" s="147">
        <v>115</v>
      </c>
      <c r="C118" s="147" t="s">
        <v>3504</v>
      </c>
      <c r="D118" s="147" t="e">
        <f ca="1">_xludf.IFNA(VLOOKUP(C118,Database!$C$5:$D$330,2,0),(VLOOKUP(C118,logut!$C$4:$D$109,2,0)))</f>
        <v>#NAME?</v>
      </c>
      <c r="E118" s="150">
        <v>44466</v>
      </c>
      <c r="F118" s="147"/>
      <c r="G118" s="147" t="s">
        <v>575</v>
      </c>
      <c r="H118" s="147" t="s">
        <v>92</v>
      </c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</row>
    <row r="119" spans="1:26" ht="11.25" customHeight="1">
      <c r="A119" s="147"/>
      <c r="B119" s="147">
        <v>116</v>
      </c>
      <c r="C119" s="147" t="s">
        <v>2432</v>
      </c>
      <c r="D119" s="147" t="e">
        <f ca="1">_xludf.IFNA(VLOOKUP(C119,Database!$C$5:$D$330,2,0),(VLOOKUP(C119,logut!$C$4:$D$109,2,0)))</f>
        <v>#NAME?</v>
      </c>
      <c r="E119" s="150">
        <v>44466</v>
      </c>
      <c r="F119" s="147"/>
      <c r="G119" s="147" t="s">
        <v>409</v>
      </c>
      <c r="H119" s="147" t="s">
        <v>88</v>
      </c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</row>
    <row r="120" spans="1:26" ht="11.25" customHeight="1">
      <c r="A120" s="147"/>
      <c r="B120" s="147">
        <v>117</v>
      </c>
      <c r="C120" s="147" t="s">
        <v>3496</v>
      </c>
      <c r="D120" s="147" t="e">
        <f ca="1">_xludf.IFNA(VLOOKUP(C120,Database!$C$5:$D$330,2,0),(VLOOKUP(C120,logut!$C$4:$D$109,2,0)))</f>
        <v>#NAME?</v>
      </c>
      <c r="E120" s="150">
        <v>44466</v>
      </c>
      <c r="F120" s="147"/>
      <c r="G120" s="147" t="s">
        <v>409</v>
      </c>
      <c r="H120" s="147" t="s">
        <v>88</v>
      </c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 spans="1:26" ht="11.25" customHeight="1">
      <c r="A121" s="147"/>
      <c r="B121" s="147">
        <v>118</v>
      </c>
      <c r="C121" s="147" t="s">
        <v>2440</v>
      </c>
      <c r="D121" s="147" t="e">
        <f ca="1">_xludf.IFNA(VLOOKUP(C121,Database!$C$5:$D$330,2,0),(VLOOKUP(C121,logut!$C$4:$D$109,2,0)))</f>
        <v>#NAME?</v>
      </c>
      <c r="E121" s="150">
        <v>44466</v>
      </c>
      <c r="F121" s="147"/>
      <c r="G121" s="147" t="s">
        <v>409</v>
      </c>
      <c r="H121" s="147" t="s">
        <v>88</v>
      </c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 spans="1:26" ht="11.25" customHeight="1">
      <c r="A122" s="147"/>
      <c r="B122" s="147"/>
      <c r="C122" s="147"/>
      <c r="D122" s="147"/>
      <c r="E122" s="150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</row>
    <row r="123" spans="1:26" ht="11.25" customHeight="1">
      <c r="A123" s="147"/>
      <c r="B123" s="147"/>
      <c r="C123" s="147"/>
      <c r="D123" s="147"/>
      <c r="E123" s="150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</row>
    <row r="124" spans="1:26" ht="11.25" customHeight="1">
      <c r="A124" s="147"/>
      <c r="B124" s="147"/>
      <c r="C124" s="147"/>
      <c r="D124" s="147"/>
      <c r="E124" s="150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</row>
    <row r="125" spans="1:26" ht="11.25" customHeight="1">
      <c r="A125" s="147"/>
      <c r="B125" s="147"/>
      <c r="C125" s="147"/>
      <c r="D125" s="147"/>
      <c r="E125" s="150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</row>
    <row r="126" spans="1:26" ht="11.25" customHeight="1">
      <c r="A126" s="147"/>
      <c r="B126" s="147"/>
      <c r="C126" s="147"/>
      <c r="D126" s="147"/>
      <c r="E126" s="150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</row>
    <row r="127" spans="1:26" ht="11.25" customHeight="1">
      <c r="A127" s="147"/>
      <c r="B127" s="147"/>
      <c r="C127" s="147"/>
      <c r="D127" s="147"/>
      <c r="E127" s="150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</row>
    <row r="128" spans="1:26" ht="11.25" customHeight="1">
      <c r="A128" s="147"/>
      <c r="B128" s="147"/>
      <c r="C128" s="147"/>
      <c r="D128" s="147"/>
      <c r="E128" s="150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</row>
    <row r="129" spans="1:26" ht="11.25" customHeight="1">
      <c r="A129" s="147"/>
      <c r="B129" s="147"/>
      <c r="C129" s="147"/>
      <c r="D129" s="147"/>
      <c r="E129" s="150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</row>
    <row r="130" spans="1:26" ht="11.25" customHeight="1">
      <c r="A130" s="147"/>
      <c r="B130" s="147"/>
      <c r="C130" s="147"/>
      <c r="D130" s="147"/>
      <c r="E130" s="150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</row>
    <row r="131" spans="1:26" ht="11.25" customHeight="1">
      <c r="A131" s="147"/>
      <c r="B131" s="147"/>
      <c r="C131" s="147"/>
      <c r="D131" s="147"/>
      <c r="E131" s="150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</row>
    <row r="132" spans="1:26" ht="11.25" customHeight="1">
      <c r="A132" s="147"/>
      <c r="B132" s="147"/>
      <c r="C132" s="147"/>
      <c r="D132" s="147"/>
      <c r="E132" s="150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</row>
    <row r="133" spans="1:26" ht="11.25" customHeight="1">
      <c r="A133" s="147"/>
      <c r="B133" s="147"/>
      <c r="C133" s="147"/>
      <c r="D133" s="147"/>
      <c r="E133" s="150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</row>
    <row r="134" spans="1:26" ht="11.25" customHeight="1">
      <c r="A134" s="147"/>
      <c r="B134" s="147"/>
      <c r="C134" s="147"/>
      <c r="D134" s="147"/>
      <c r="E134" s="150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</row>
    <row r="135" spans="1:26" ht="11.25" customHeight="1">
      <c r="A135" s="147"/>
      <c r="B135" s="147"/>
      <c r="C135" s="147"/>
      <c r="D135" s="147"/>
      <c r="E135" s="150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</row>
    <row r="136" spans="1:26" ht="11.25" customHeight="1">
      <c r="A136" s="147"/>
      <c r="B136" s="147"/>
      <c r="C136" s="147"/>
      <c r="D136" s="147"/>
      <c r="E136" s="150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</row>
    <row r="137" spans="1:26" ht="11.25" customHeight="1">
      <c r="A137" s="147"/>
      <c r="B137" s="147"/>
      <c r="C137" s="147"/>
      <c r="D137" s="147"/>
      <c r="E137" s="150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</row>
    <row r="138" spans="1:26" ht="11.25" customHeight="1">
      <c r="A138" s="147"/>
      <c r="B138" s="147"/>
      <c r="C138" s="147"/>
      <c r="D138" s="147"/>
      <c r="E138" s="150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</row>
    <row r="139" spans="1:26" ht="11.25" customHeight="1">
      <c r="A139" s="147"/>
      <c r="B139" s="147"/>
      <c r="C139" s="147"/>
      <c r="D139" s="147"/>
      <c r="E139" s="150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</row>
    <row r="140" spans="1:26" ht="11.25" customHeight="1">
      <c r="A140" s="147"/>
      <c r="B140" s="147"/>
      <c r="C140" s="147"/>
      <c r="D140" s="147"/>
      <c r="E140" s="150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</row>
    <row r="141" spans="1:26" ht="11.25" customHeight="1">
      <c r="A141" s="147"/>
      <c r="B141" s="147"/>
      <c r="C141" s="147"/>
      <c r="D141" s="147"/>
      <c r="E141" s="150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</row>
    <row r="142" spans="1:26" ht="11.25" customHeight="1">
      <c r="A142" s="147"/>
      <c r="B142" s="147"/>
      <c r="C142" s="147"/>
      <c r="D142" s="147"/>
      <c r="E142" s="150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</row>
    <row r="143" spans="1:26" ht="11.25" customHeight="1">
      <c r="A143" s="147"/>
      <c r="B143" s="147"/>
      <c r="C143" s="147"/>
      <c r="D143" s="147"/>
      <c r="E143" s="150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</row>
    <row r="144" spans="1:26" ht="11.25" customHeight="1">
      <c r="A144" s="147"/>
      <c r="B144" s="147"/>
      <c r="C144" s="147"/>
      <c r="D144" s="147"/>
      <c r="E144" s="150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</row>
    <row r="145" spans="1:26" ht="11.25" customHeight="1">
      <c r="A145" s="147"/>
      <c r="B145" s="147"/>
      <c r="C145" s="147"/>
      <c r="D145" s="147"/>
      <c r="E145" s="150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</row>
    <row r="146" spans="1:26" ht="11.25" customHeight="1">
      <c r="A146" s="147"/>
      <c r="B146" s="147"/>
      <c r="C146" s="147"/>
      <c r="D146" s="147"/>
      <c r="E146" s="150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</row>
    <row r="147" spans="1:26" ht="11.25" customHeight="1">
      <c r="A147" s="147"/>
      <c r="B147" s="147"/>
      <c r="C147" s="147"/>
      <c r="D147" s="147"/>
      <c r="E147" s="150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</row>
    <row r="148" spans="1:26" ht="11.25" customHeight="1">
      <c r="A148" s="147"/>
      <c r="B148" s="147"/>
      <c r="C148" s="147"/>
      <c r="D148" s="147"/>
      <c r="E148" s="150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</row>
    <row r="149" spans="1:26" ht="11.25" customHeight="1">
      <c r="A149" s="147"/>
      <c r="B149" s="147"/>
      <c r="C149" s="147"/>
      <c r="D149" s="147"/>
      <c r="E149" s="150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</row>
    <row r="150" spans="1:26" ht="11.25" customHeight="1">
      <c r="A150" s="147"/>
      <c r="B150" s="147"/>
      <c r="C150" s="147"/>
      <c r="D150" s="147"/>
      <c r="E150" s="150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</row>
    <row r="151" spans="1:26" ht="11.25" customHeight="1">
      <c r="A151" s="147"/>
      <c r="B151" s="147"/>
      <c r="C151" s="147"/>
      <c r="D151" s="147"/>
      <c r="E151" s="150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</row>
    <row r="152" spans="1:26" ht="11.25" customHeight="1">
      <c r="A152" s="147"/>
      <c r="B152" s="147"/>
      <c r="C152" s="147"/>
      <c r="D152" s="147"/>
      <c r="E152" s="150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</row>
    <row r="153" spans="1:26" ht="11.25" customHeight="1">
      <c r="A153" s="147"/>
      <c r="B153" s="147"/>
      <c r="C153" s="147"/>
      <c r="D153" s="147"/>
      <c r="E153" s="150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</row>
    <row r="154" spans="1:26" ht="11.25" customHeight="1">
      <c r="A154" s="147"/>
      <c r="B154" s="147"/>
      <c r="C154" s="147"/>
      <c r="D154" s="147"/>
      <c r="E154" s="150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</row>
    <row r="155" spans="1:26" ht="11.25" customHeight="1">
      <c r="A155" s="147"/>
      <c r="B155" s="147"/>
      <c r="C155" s="147"/>
      <c r="D155" s="147"/>
      <c r="E155" s="150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</row>
    <row r="156" spans="1:26" ht="11.25" customHeight="1">
      <c r="A156" s="147"/>
      <c r="B156" s="147"/>
      <c r="C156" s="147"/>
      <c r="D156" s="147"/>
      <c r="E156" s="150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</row>
    <row r="157" spans="1:26" ht="11.25" customHeight="1">
      <c r="A157" s="147"/>
      <c r="B157" s="147"/>
      <c r="C157" s="147"/>
      <c r="D157" s="147"/>
      <c r="E157" s="150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</row>
    <row r="158" spans="1:26" ht="11.25" customHeight="1">
      <c r="A158" s="147"/>
      <c r="B158" s="147"/>
      <c r="C158" s="147"/>
      <c r="D158" s="147"/>
      <c r="E158" s="150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</row>
    <row r="159" spans="1:26" ht="11.25" customHeight="1">
      <c r="A159" s="147"/>
      <c r="B159" s="147"/>
      <c r="C159" s="147"/>
      <c r="D159" s="147"/>
      <c r="E159" s="150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</row>
    <row r="160" spans="1:26" ht="11.25" customHeight="1">
      <c r="A160" s="147"/>
      <c r="B160" s="147"/>
      <c r="C160" s="147"/>
      <c r="D160" s="147"/>
      <c r="E160" s="150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</row>
    <row r="161" spans="1:26" ht="11.25" customHeight="1">
      <c r="A161" s="147"/>
      <c r="B161" s="147"/>
      <c r="C161" s="147"/>
      <c r="D161" s="147"/>
      <c r="E161" s="150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</row>
    <row r="162" spans="1:26" ht="11.25" customHeight="1">
      <c r="A162" s="147"/>
      <c r="B162" s="147"/>
      <c r="C162" s="147"/>
      <c r="D162" s="147"/>
      <c r="E162" s="150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</row>
    <row r="163" spans="1:26" ht="11.25" customHeight="1">
      <c r="A163" s="147"/>
      <c r="B163" s="147"/>
      <c r="C163" s="147"/>
      <c r="D163" s="147"/>
      <c r="E163" s="150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</row>
    <row r="164" spans="1:26" ht="11.25" customHeight="1">
      <c r="A164" s="147"/>
      <c r="B164" s="147"/>
      <c r="C164" s="147"/>
      <c r="D164" s="147"/>
      <c r="E164" s="150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</row>
    <row r="165" spans="1:26" ht="11.25" customHeight="1">
      <c r="A165" s="147"/>
      <c r="B165" s="147"/>
      <c r="C165" s="147"/>
      <c r="D165" s="147"/>
      <c r="E165" s="150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</row>
    <row r="166" spans="1:26" ht="11.25" customHeight="1">
      <c r="A166" s="147"/>
      <c r="B166" s="147"/>
      <c r="C166" s="147"/>
      <c r="D166" s="147"/>
      <c r="E166" s="150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</row>
    <row r="167" spans="1:26" ht="11.25" customHeight="1">
      <c r="A167" s="147"/>
      <c r="B167" s="147"/>
      <c r="C167" s="147"/>
      <c r="D167" s="147"/>
      <c r="E167" s="150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</row>
    <row r="168" spans="1:26" ht="11.25" customHeight="1">
      <c r="A168" s="147"/>
      <c r="B168" s="147"/>
      <c r="C168" s="147"/>
      <c r="D168" s="147"/>
      <c r="E168" s="150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</row>
    <row r="169" spans="1:26" ht="11.25" customHeight="1">
      <c r="A169" s="147"/>
      <c r="B169" s="147"/>
      <c r="C169" s="147"/>
      <c r="D169" s="147"/>
      <c r="E169" s="150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</row>
    <row r="170" spans="1:26" ht="11.25" customHeight="1">
      <c r="A170" s="147"/>
      <c r="B170" s="147"/>
      <c r="C170" s="147"/>
      <c r="D170" s="147"/>
      <c r="E170" s="150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</row>
    <row r="171" spans="1:26" ht="11.25" customHeight="1">
      <c r="A171" s="147"/>
      <c r="B171" s="147"/>
      <c r="C171" s="147"/>
      <c r="D171" s="147"/>
      <c r="E171" s="150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</row>
    <row r="172" spans="1:26" ht="11.25" customHeight="1">
      <c r="A172" s="147"/>
      <c r="B172" s="147"/>
      <c r="C172" s="147"/>
      <c r="D172" s="147"/>
      <c r="E172" s="150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</row>
    <row r="173" spans="1:26" ht="11.25" customHeight="1">
      <c r="A173" s="147"/>
      <c r="B173" s="147"/>
      <c r="C173" s="147"/>
      <c r="D173" s="147"/>
      <c r="E173" s="150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</row>
    <row r="174" spans="1:26" ht="11.25" customHeight="1">
      <c r="A174" s="147"/>
      <c r="B174" s="147"/>
      <c r="C174" s="147"/>
      <c r="D174" s="147"/>
      <c r="E174" s="150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</row>
    <row r="175" spans="1:26" ht="11.25" customHeight="1">
      <c r="A175" s="147"/>
      <c r="B175" s="147"/>
      <c r="C175" s="147"/>
      <c r="D175" s="147"/>
      <c r="E175" s="150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</row>
    <row r="176" spans="1:26" ht="11.25" customHeight="1">
      <c r="A176" s="147"/>
      <c r="B176" s="147"/>
      <c r="C176" s="147"/>
      <c r="D176" s="147"/>
      <c r="E176" s="150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</row>
    <row r="177" spans="1:26" ht="11.25" customHeight="1">
      <c r="A177" s="147"/>
      <c r="B177" s="147"/>
      <c r="C177" s="147"/>
      <c r="D177" s="147"/>
      <c r="E177" s="150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</row>
    <row r="178" spans="1:26" ht="11.25" customHeight="1">
      <c r="A178" s="147"/>
      <c r="B178" s="147"/>
      <c r="C178" s="147"/>
      <c r="D178" s="147"/>
      <c r="E178" s="150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</row>
    <row r="179" spans="1:26" ht="11.25" customHeight="1">
      <c r="A179" s="147"/>
      <c r="B179" s="147"/>
      <c r="C179" s="147"/>
      <c r="D179" s="147"/>
      <c r="E179" s="150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</row>
    <row r="180" spans="1:26" ht="11.25" customHeight="1">
      <c r="A180" s="147"/>
      <c r="B180" s="147"/>
      <c r="C180" s="147"/>
      <c r="D180" s="147"/>
      <c r="E180" s="150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</row>
    <row r="181" spans="1:26" ht="11.25" customHeight="1">
      <c r="A181" s="147"/>
      <c r="B181" s="147"/>
      <c r="C181" s="147"/>
      <c r="D181" s="147"/>
      <c r="E181" s="150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</row>
    <row r="182" spans="1:26" ht="11.25" customHeight="1">
      <c r="A182" s="147"/>
      <c r="B182" s="147"/>
      <c r="C182" s="147"/>
      <c r="D182" s="147"/>
      <c r="E182" s="150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</row>
    <row r="183" spans="1:26" ht="11.25" customHeight="1">
      <c r="A183" s="147"/>
      <c r="B183" s="147"/>
      <c r="C183" s="147"/>
      <c r="D183" s="147"/>
      <c r="E183" s="150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</row>
    <row r="184" spans="1:26" ht="11.25" customHeight="1">
      <c r="A184" s="147"/>
      <c r="B184" s="147"/>
      <c r="C184" s="147"/>
      <c r="D184" s="147"/>
      <c r="E184" s="150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</row>
    <row r="185" spans="1:26" ht="11.25" customHeight="1">
      <c r="A185" s="147"/>
      <c r="B185" s="147"/>
      <c r="C185" s="147"/>
      <c r="D185" s="147"/>
      <c r="E185" s="150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</row>
    <row r="186" spans="1:26" ht="11.25" customHeight="1">
      <c r="A186" s="147"/>
      <c r="B186" s="147"/>
      <c r="C186" s="147"/>
      <c r="D186" s="147"/>
      <c r="E186" s="150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</row>
    <row r="187" spans="1:26" ht="11.25" customHeight="1">
      <c r="A187" s="147"/>
      <c r="B187" s="147"/>
      <c r="C187" s="147"/>
      <c r="D187" s="147"/>
      <c r="E187" s="150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</row>
    <row r="188" spans="1:26" ht="11.25" customHeight="1">
      <c r="A188" s="147"/>
      <c r="B188" s="147"/>
      <c r="C188" s="147"/>
      <c r="D188" s="147"/>
      <c r="E188" s="150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</row>
    <row r="189" spans="1:26" ht="11.25" customHeight="1">
      <c r="A189" s="147"/>
      <c r="B189" s="147"/>
      <c r="C189" s="147"/>
      <c r="D189" s="147"/>
      <c r="E189" s="150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</row>
    <row r="190" spans="1:26" ht="11.25" customHeight="1">
      <c r="A190" s="147"/>
      <c r="B190" s="147"/>
      <c r="C190" s="147"/>
      <c r="D190" s="147"/>
      <c r="E190" s="150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</row>
    <row r="191" spans="1:26" ht="11.25" customHeight="1">
      <c r="A191" s="147"/>
      <c r="B191" s="147"/>
      <c r="C191" s="147"/>
      <c r="D191" s="147"/>
      <c r="E191" s="150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</row>
    <row r="192" spans="1:26" ht="11.25" customHeight="1">
      <c r="A192" s="147"/>
      <c r="B192" s="147"/>
      <c r="C192" s="147"/>
      <c r="D192" s="147"/>
      <c r="E192" s="150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</row>
    <row r="193" spans="1:26" ht="11.25" customHeight="1">
      <c r="A193" s="147"/>
      <c r="B193" s="147"/>
      <c r="C193" s="147"/>
      <c r="D193" s="147"/>
      <c r="E193" s="150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</row>
    <row r="194" spans="1:26" ht="11.25" customHeight="1">
      <c r="A194" s="147"/>
      <c r="B194" s="147"/>
      <c r="C194" s="147"/>
      <c r="D194" s="147"/>
      <c r="E194" s="150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</row>
    <row r="195" spans="1:26" ht="11.25" customHeight="1">
      <c r="A195" s="147"/>
      <c r="B195" s="147"/>
      <c r="C195" s="147"/>
      <c r="D195" s="147"/>
      <c r="E195" s="150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</row>
    <row r="196" spans="1:26" ht="11.25" customHeight="1">
      <c r="A196" s="147"/>
      <c r="B196" s="147"/>
      <c r="C196" s="147"/>
      <c r="D196" s="147"/>
      <c r="E196" s="150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</row>
    <row r="197" spans="1:26" ht="11.25" customHeight="1">
      <c r="A197" s="147"/>
      <c r="B197" s="147"/>
      <c r="C197" s="147"/>
      <c r="D197" s="147"/>
      <c r="E197" s="150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</row>
    <row r="198" spans="1:26" ht="11.25" customHeight="1">
      <c r="A198" s="147"/>
      <c r="B198" s="147"/>
      <c r="C198" s="147"/>
      <c r="D198" s="147"/>
      <c r="E198" s="150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</row>
    <row r="199" spans="1:26" ht="11.25" customHeight="1">
      <c r="A199" s="147"/>
      <c r="B199" s="147"/>
      <c r="C199" s="147"/>
      <c r="D199" s="147"/>
      <c r="E199" s="150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</row>
    <row r="200" spans="1:26" ht="11.25" customHeight="1">
      <c r="A200" s="147"/>
      <c r="B200" s="147"/>
      <c r="C200" s="147"/>
      <c r="D200" s="147"/>
      <c r="E200" s="150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</row>
    <row r="201" spans="1:26" ht="11.25" customHeight="1">
      <c r="A201" s="147"/>
      <c r="B201" s="147"/>
      <c r="C201" s="147"/>
      <c r="D201" s="147"/>
      <c r="E201" s="150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</row>
    <row r="202" spans="1:26" ht="11.25" customHeight="1">
      <c r="A202" s="147"/>
      <c r="B202" s="147"/>
      <c r="C202" s="147"/>
      <c r="D202" s="147"/>
      <c r="E202" s="150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</row>
    <row r="203" spans="1:26" ht="11.25" customHeight="1">
      <c r="A203" s="147"/>
      <c r="B203" s="147"/>
      <c r="C203" s="147"/>
      <c r="D203" s="147"/>
      <c r="E203" s="150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</row>
    <row r="204" spans="1:26" ht="11.25" customHeight="1">
      <c r="A204" s="147"/>
      <c r="B204" s="147"/>
      <c r="C204" s="147"/>
      <c r="D204" s="147"/>
      <c r="E204" s="150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</row>
    <row r="205" spans="1:26" ht="11.25" customHeight="1">
      <c r="A205" s="147"/>
      <c r="B205" s="147"/>
      <c r="C205" s="147"/>
      <c r="D205" s="147"/>
      <c r="E205" s="150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</row>
    <row r="206" spans="1:26" ht="11.25" customHeight="1">
      <c r="A206" s="147"/>
      <c r="B206" s="147"/>
      <c r="C206" s="147"/>
      <c r="D206" s="147"/>
      <c r="E206" s="150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</row>
    <row r="207" spans="1:26" ht="11.25" customHeight="1">
      <c r="A207" s="147"/>
      <c r="B207" s="147"/>
      <c r="C207" s="147"/>
      <c r="D207" s="147"/>
      <c r="E207" s="150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</row>
    <row r="208" spans="1:26" ht="11.25" customHeight="1">
      <c r="A208" s="147"/>
      <c r="B208" s="147"/>
      <c r="C208" s="147"/>
      <c r="D208" s="147"/>
      <c r="E208" s="150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</row>
    <row r="209" spans="1:26" ht="11.25" customHeight="1">
      <c r="A209" s="147"/>
      <c r="B209" s="147"/>
      <c r="C209" s="147"/>
      <c r="D209" s="147"/>
      <c r="E209" s="150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</row>
    <row r="210" spans="1:26" ht="11.25" customHeight="1">
      <c r="A210" s="147"/>
      <c r="B210" s="147"/>
      <c r="C210" s="147"/>
      <c r="D210" s="147"/>
      <c r="E210" s="150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</row>
    <row r="211" spans="1:26" ht="11.25" customHeight="1">
      <c r="A211" s="147"/>
      <c r="B211" s="147"/>
      <c r="C211" s="147"/>
      <c r="D211" s="147"/>
      <c r="E211" s="150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</row>
    <row r="212" spans="1:26" ht="11.25" customHeight="1">
      <c r="A212" s="147"/>
      <c r="B212" s="147"/>
      <c r="C212" s="147"/>
      <c r="D212" s="147"/>
      <c r="E212" s="150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</row>
    <row r="213" spans="1:26" ht="11.25" customHeight="1">
      <c r="A213" s="147"/>
      <c r="B213" s="147"/>
      <c r="C213" s="147"/>
      <c r="D213" s="147"/>
      <c r="E213" s="150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</row>
    <row r="214" spans="1:26" ht="11.25" customHeight="1">
      <c r="A214" s="147"/>
      <c r="B214" s="147"/>
      <c r="C214" s="147"/>
      <c r="D214" s="147"/>
      <c r="E214" s="150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</row>
    <row r="215" spans="1:26" ht="11.25" customHeight="1">
      <c r="A215" s="147"/>
      <c r="B215" s="147"/>
      <c r="C215" s="147"/>
      <c r="D215" s="147"/>
      <c r="E215" s="150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</row>
    <row r="216" spans="1:26" ht="11.25" customHeight="1">
      <c r="A216" s="147"/>
      <c r="B216" s="147"/>
      <c r="C216" s="147"/>
      <c r="D216" s="147"/>
      <c r="E216" s="150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</row>
    <row r="217" spans="1:26" ht="11.25" customHeight="1">
      <c r="A217" s="147"/>
      <c r="B217" s="147"/>
      <c r="C217" s="147"/>
      <c r="D217" s="147"/>
      <c r="E217" s="150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</row>
    <row r="218" spans="1:26" ht="11.25" customHeight="1">
      <c r="A218" s="147"/>
      <c r="B218" s="147"/>
      <c r="C218" s="147"/>
      <c r="D218" s="147"/>
      <c r="E218" s="150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</row>
    <row r="219" spans="1:26" ht="11.25" customHeight="1">
      <c r="A219" s="147"/>
      <c r="B219" s="147"/>
      <c r="C219" s="147"/>
      <c r="D219" s="147"/>
      <c r="E219" s="150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</row>
    <row r="220" spans="1:26" ht="11.25" customHeight="1">
      <c r="A220" s="147"/>
      <c r="B220" s="147"/>
      <c r="C220" s="147"/>
      <c r="D220" s="147"/>
      <c r="E220" s="150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</row>
    <row r="221" spans="1:26" ht="11.25" customHeight="1">
      <c r="A221" s="147"/>
      <c r="B221" s="147"/>
      <c r="C221" s="147"/>
      <c r="D221" s="147"/>
      <c r="E221" s="150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</row>
    <row r="222" spans="1:26" ht="11.25" customHeight="1">
      <c r="A222" s="147"/>
      <c r="B222" s="147"/>
      <c r="C222" s="147"/>
      <c r="D222" s="147"/>
      <c r="E222" s="150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</row>
    <row r="223" spans="1:26" ht="11.25" customHeight="1">
      <c r="A223" s="147"/>
      <c r="B223" s="147"/>
      <c r="C223" s="147"/>
      <c r="D223" s="147"/>
      <c r="E223" s="150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</row>
    <row r="224" spans="1:26" ht="11.25" customHeight="1">
      <c r="A224" s="147"/>
      <c r="B224" s="147"/>
      <c r="C224" s="147"/>
      <c r="D224" s="147"/>
      <c r="E224" s="150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</row>
    <row r="225" spans="1:26" ht="11.25" customHeight="1">
      <c r="A225" s="147"/>
      <c r="B225" s="147"/>
      <c r="C225" s="147"/>
      <c r="D225" s="147"/>
      <c r="E225" s="150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</row>
    <row r="226" spans="1:26" ht="11.25" customHeight="1">
      <c r="A226" s="147"/>
      <c r="B226" s="147"/>
      <c r="C226" s="147"/>
      <c r="D226" s="147"/>
      <c r="E226" s="150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</row>
    <row r="227" spans="1:26" ht="11.25" customHeight="1">
      <c r="A227" s="147"/>
      <c r="B227" s="147"/>
      <c r="C227" s="147"/>
      <c r="D227" s="147"/>
      <c r="E227" s="150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</row>
    <row r="228" spans="1:26" ht="11.25" customHeight="1">
      <c r="A228" s="147"/>
      <c r="B228" s="147"/>
      <c r="C228" s="147"/>
      <c r="D228" s="147"/>
      <c r="E228" s="150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</row>
    <row r="229" spans="1:26" ht="11.25" customHeight="1">
      <c r="A229" s="147"/>
      <c r="B229" s="147"/>
      <c r="C229" s="147"/>
      <c r="D229" s="147"/>
      <c r="E229" s="150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</row>
    <row r="230" spans="1:26" ht="11.25" customHeight="1">
      <c r="A230" s="147"/>
      <c r="B230" s="147"/>
      <c r="C230" s="147"/>
      <c r="D230" s="147"/>
      <c r="E230" s="150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</row>
    <row r="231" spans="1:26" ht="11.25" customHeight="1">
      <c r="A231" s="147"/>
      <c r="B231" s="147"/>
      <c r="C231" s="147"/>
      <c r="D231" s="147"/>
      <c r="E231" s="150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</row>
    <row r="232" spans="1:26" ht="11.25" customHeight="1">
      <c r="A232" s="147"/>
      <c r="B232" s="147"/>
      <c r="C232" s="147"/>
      <c r="D232" s="147"/>
      <c r="E232" s="150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</row>
    <row r="233" spans="1:26" ht="11.25" customHeight="1">
      <c r="A233" s="147"/>
      <c r="B233" s="147"/>
      <c r="C233" s="147"/>
      <c r="D233" s="147"/>
      <c r="E233" s="150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</row>
    <row r="234" spans="1:26" ht="11.25" customHeight="1">
      <c r="A234" s="147"/>
      <c r="B234" s="147"/>
      <c r="C234" s="147"/>
      <c r="D234" s="147"/>
      <c r="E234" s="150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</row>
    <row r="235" spans="1:26" ht="11.25" customHeight="1">
      <c r="A235" s="147"/>
      <c r="B235" s="147"/>
      <c r="C235" s="147"/>
      <c r="D235" s="147"/>
      <c r="E235" s="150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</row>
    <row r="236" spans="1:26" ht="11.25" customHeight="1">
      <c r="A236" s="147"/>
      <c r="B236" s="147"/>
      <c r="C236" s="147"/>
      <c r="D236" s="147"/>
      <c r="E236" s="150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</row>
    <row r="237" spans="1:26" ht="11.25" customHeight="1">
      <c r="A237" s="147"/>
      <c r="B237" s="147"/>
      <c r="C237" s="147"/>
      <c r="D237" s="147"/>
      <c r="E237" s="150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</row>
    <row r="238" spans="1:26" ht="11.25" customHeight="1">
      <c r="A238" s="147"/>
      <c r="B238" s="147"/>
      <c r="C238" s="147"/>
      <c r="D238" s="147"/>
      <c r="E238" s="150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</row>
    <row r="239" spans="1:26" ht="11.25" customHeight="1">
      <c r="A239" s="147"/>
      <c r="B239" s="147"/>
      <c r="C239" s="147"/>
      <c r="D239" s="147"/>
      <c r="E239" s="150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</row>
    <row r="240" spans="1:26" ht="11.25" customHeight="1">
      <c r="A240" s="147"/>
      <c r="B240" s="147"/>
      <c r="C240" s="147"/>
      <c r="D240" s="147"/>
      <c r="E240" s="150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</row>
    <row r="241" spans="1:26" ht="11.25" customHeight="1">
      <c r="A241" s="147"/>
      <c r="B241" s="147"/>
      <c r="C241" s="147"/>
      <c r="D241" s="147"/>
      <c r="E241" s="150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</row>
    <row r="242" spans="1:26" ht="11.25" customHeight="1">
      <c r="A242" s="147"/>
      <c r="B242" s="147"/>
      <c r="C242" s="147"/>
      <c r="D242" s="147"/>
      <c r="E242" s="150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</row>
    <row r="243" spans="1:26" ht="11.25" customHeight="1">
      <c r="A243" s="147"/>
      <c r="B243" s="147"/>
      <c r="C243" s="147"/>
      <c r="D243" s="147"/>
      <c r="E243" s="150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</row>
    <row r="244" spans="1:26" ht="11.25" customHeight="1">
      <c r="A244" s="147"/>
      <c r="B244" s="147"/>
      <c r="C244" s="147"/>
      <c r="D244" s="147"/>
      <c r="E244" s="150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</row>
    <row r="245" spans="1:26" ht="11.25" customHeight="1">
      <c r="A245" s="147"/>
      <c r="B245" s="147"/>
      <c r="C245" s="147"/>
      <c r="D245" s="147"/>
      <c r="E245" s="150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</row>
    <row r="246" spans="1:26" ht="11.25" customHeight="1">
      <c r="A246" s="147"/>
      <c r="B246" s="147"/>
      <c r="C246" s="147"/>
      <c r="D246" s="147"/>
      <c r="E246" s="150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</row>
    <row r="247" spans="1:26" ht="11.25" customHeight="1">
      <c r="A247" s="147"/>
      <c r="B247" s="147"/>
      <c r="C247" s="147"/>
      <c r="D247" s="147"/>
      <c r="E247" s="150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</row>
    <row r="248" spans="1:26" ht="11.25" customHeight="1">
      <c r="A248" s="147"/>
      <c r="B248" s="147"/>
      <c r="C248" s="147"/>
      <c r="D248" s="147"/>
      <c r="E248" s="150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</row>
    <row r="249" spans="1:26" ht="11.25" customHeight="1">
      <c r="A249" s="147"/>
      <c r="B249" s="147"/>
      <c r="C249" s="147"/>
      <c r="D249" s="147"/>
      <c r="E249" s="150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</row>
    <row r="250" spans="1:26" ht="11.25" customHeight="1">
      <c r="A250" s="147"/>
      <c r="B250" s="147"/>
      <c r="C250" s="147"/>
      <c r="D250" s="147"/>
      <c r="E250" s="150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</row>
    <row r="251" spans="1:26" ht="11.25" customHeight="1">
      <c r="A251" s="147"/>
      <c r="B251" s="147"/>
      <c r="C251" s="147"/>
      <c r="D251" s="147"/>
      <c r="E251" s="150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</row>
    <row r="252" spans="1:26" ht="11.25" customHeight="1">
      <c r="A252" s="147"/>
      <c r="B252" s="147"/>
      <c r="C252" s="147"/>
      <c r="D252" s="147"/>
      <c r="E252" s="150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</row>
    <row r="253" spans="1:26" ht="11.25" customHeight="1">
      <c r="A253" s="147"/>
      <c r="B253" s="147"/>
      <c r="C253" s="147"/>
      <c r="D253" s="147"/>
      <c r="E253" s="150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</row>
    <row r="254" spans="1:26" ht="11.25" customHeight="1">
      <c r="A254" s="147"/>
      <c r="B254" s="147"/>
      <c r="C254" s="147"/>
      <c r="D254" s="147"/>
      <c r="E254" s="150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</row>
    <row r="255" spans="1:26" ht="11.25" customHeight="1">
      <c r="A255" s="147"/>
      <c r="B255" s="147"/>
      <c r="C255" s="147"/>
      <c r="D255" s="147"/>
      <c r="E255" s="150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</row>
    <row r="256" spans="1:26" ht="11.25" customHeight="1">
      <c r="A256" s="147"/>
      <c r="B256" s="147"/>
      <c r="C256" s="147"/>
      <c r="D256" s="147"/>
      <c r="E256" s="150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</row>
    <row r="257" spans="1:26" ht="11.25" customHeight="1">
      <c r="A257" s="147"/>
      <c r="B257" s="147"/>
      <c r="C257" s="147"/>
      <c r="D257" s="147"/>
      <c r="E257" s="150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</row>
    <row r="258" spans="1:26" ht="11.25" customHeight="1">
      <c r="A258" s="147"/>
      <c r="B258" s="147"/>
      <c r="C258" s="147"/>
      <c r="D258" s="147"/>
      <c r="E258" s="150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</row>
    <row r="259" spans="1:26" ht="11.25" customHeight="1">
      <c r="A259" s="147"/>
      <c r="B259" s="147"/>
      <c r="C259" s="147"/>
      <c r="D259" s="147"/>
      <c r="E259" s="150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</row>
    <row r="260" spans="1:26" ht="11.25" customHeight="1">
      <c r="A260" s="147"/>
      <c r="B260" s="147"/>
      <c r="C260" s="147"/>
      <c r="D260" s="147"/>
      <c r="E260" s="150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</row>
    <row r="261" spans="1:26" ht="11.25" customHeight="1">
      <c r="A261" s="147"/>
      <c r="B261" s="147"/>
      <c r="C261" s="147"/>
      <c r="D261" s="147"/>
      <c r="E261" s="150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</row>
    <row r="262" spans="1:26" ht="11.25" customHeight="1">
      <c r="A262" s="147"/>
      <c r="B262" s="147"/>
      <c r="C262" s="147"/>
      <c r="D262" s="147"/>
      <c r="E262" s="150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</row>
    <row r="263" spans="1:26" ht="11.25" customHeight="1">
      <c r="A263" s="147"/>
      <c r="B263" s="147"/>
      <c r="C263" s="147"/>
      <c r="D263" s="147"/>
      <c r="E263" s="150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</row>
    <row r="264" spans="1:26" ht="11.25" customHeight="1">
      <c r="A264" s="147"/>
      <c r="B264" s="147"/>
      <c r="C264" s="147"/>
      <c r="D264" s="147"/>
      <c r="E264" s="150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</row>
    <row r="265" spans="1:26" ht="11.25" customHeight="1">
      <c r="A265" s="147"/>
      <c r="B265" s="147"/>
      <c r="C265" s="147"/>
      <c r="D265" s="147"/>
      <c r="E265" s="150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</row>
    <row r="266" spans="1:26" ht="11.25" customHeight="1">
      <c r="A266" s="147"/>
      <c r="B266" s="147"/>
      <c r="C266" s="147"/>
      <c r="D266" s="147"/>
      <c r="E266" s="150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</row>
    <row r="267" spans="1:26" ht="11.25" customHeight="1">
      <c r="A267" s="147"/>
      <c r="B267" s="147"/>
      <c r="C267" s="147"/>
      <c r="D267" s="147"/>
      <c r="E267" s="150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</row>
    <row r="268" spans="1:26" ht="11.25" customHeight="1">
      <c r="A268" s="147"/>
      <c r="B268" s="147"/>
      <c r="C268" s="147"/>
      <c r="D268" s="147"/>
      <c r="E268" s="150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</row>
    <row r="269" spans="1:26" ht="11.25" customHeight="1">
      <c r="A269" s="147"/>
      <c r="B269" s="147"/>
      <c r="C269" s="147"/>
      <c r="D269" s="147"/>
      <c r="E269" s="150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</row>
    <row r="270" spans="1:26" ht="11.25" customHeight="1">
      <c r="A270" s="147"/>
      <c r="B270" s="147"/>
      <c r="C270" s="147"/>
      <c r="D270" s="147"/>
      <c r="E270" s="150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</row>
    <row r="271" spans="1:26" ht="11.25" customHeight="1">
      <c r="A271" s="147"/>
      <c r="B271" s="147"/>
      <c r="C271" s="147"/>
      <c r="D271" s="147"/>
      <c r="E271" s="150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</row>
    <row r="272" spans="1:26" ht="11.25" customHeight="1">
      <c r="A272" s="147"/>
      <c r="B272" s="147"/>
      <c r="C272" s="147"/>
      <c r="D272" s="147"/>
      <c r="E272" s="150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</row>
    <row r="273" spans="1:26" ht="11.25" customHeight="1">
      <c r="A273" s="147"/>
      <c r="B273" s="147"/>
      <c r="C273" s="147"/>
      <c r="D273" s="147"/>
      <c r="E273" s="150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</row>
    <row r="274" spans="1:26" ht="11.25" customHeight="1">
      <c r="A274" s="147"/>
      <c r="B274" s="147"/>
      <c r="C274" s="147"/>
      <c r="D274" s="147"/>
      <c r="E274" s="150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</row>
    <row r="275" spans="1:26" ht="11.25" customHeight="1">
      <c r="A275" s="147"/>
      <c r="B275" s="147"/>
      <c r="C275" s="147"/>
      <c r="D275" s="147"/>
      <c r="E275" s="150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</row>
    <row r="276" spans="1:26" ht="11.25" customHeight="1">
      <c r="A276" s="147"/>
      <c r="B276" s="147"/>
      <c r="C276" s="147"/>
      <c r="D276" s="147"/>
      <c r="E276" s="150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</row>
    <row r="277" spans="1:26" ht="11.25" customHeight="1">
      <c r="A277" s="147"/>
      <c r="B277" s="147"/>
      <c r="C277" s="147"/>
      <c r="D277" s="147"/>
      <c r="E277" s="150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</row>
    <row r="278" spans="1:26" ht="11.25" customHeight="1">
      <c r="A278" s="147"/>
      <c r="B278" s="147"/>
      <c r="C278" s="147"/>
      <c r="D278" s="147"/>
      <c r="E278" s="150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</row>
    <row r="279" spans="1:26" ht="11.25" customHeight="1">
      <c r="A279" s="147"/>
      <c r="B279" s="147"/>
      <c r="C279" s="147"/>
      <c r="D279" s="147"/>
      <c r="E279" s="150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</row>
    <row r="280" spans="1:26" ht="11.25" customHeight="1">
      <c r="A280" s="147"/>
      <c r="B280" s="147"/>
      <c r="C280" s="147"/>
      <c r="D280" s="147"/>
      <c r="E280" s="150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</row>
    <row r="281" spans="1:26" ht="11.25" customHeight="1">
      <c r="A281" s="147"/>
      <c r="B281" s="147"/>
      <c r="C281" s="147"/>
      <c r="D281" s="147"/>
      <c r="E281" s="150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</row>
    <row r="282" spans="1:26" ht="11.25" customHeight="1">
      <c r="A282" s="147"/>
      <c r="B282" s="147"/>
      <c r="C282" s="147"/>
      <c r="D282" s="147"/>
      <c r="E282" s="150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</row>
    <row r="283" spans="1:26" ht="11.25" customHeight="1">
      <c r="A283" s="147"/>
      <c r="B283" s="147"/>
      <c r="C283" s="147"/>
      <c r="D283" s="147"/>
      <c r="E283" s="150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</row>
    <row r="284" spans="1:26" ht="11.25" customHeight="1">
      <c r="A284" s="147"/>
      <c r="B284" s="147"/>
      <c r="C284" s="147"/>
      <c r="D284" s="147"/>
      <c r="E284" s="150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</row>
    <row r="285" spans="1:26" ht="11.25" customHeight="1">
      <c r="A285" s="147"/>
      <c r="B285" s="147"/>
      <c r="C285" s="147"/>
      <c r="D285" s="147"/>
      <c r="E285" s="150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</row>
    <row r="286" spans="1:26" ht="11.25" customHeight="1">
      <c r="A286" s="147"/>
      <c r="B286" s="147"/>
      <c r="C286" s="147"/>
      <c r="D286" s="147"/>
      <c r="E286" s="150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</row>
    <row r="287" spans="1:26" ht="11.25" customHeight="1">
      <c r="A287" s="147"/>
      <c r="B287" s="147"/>
      <c r="C287" s="147"/>
      <c r="D287" s="147"/>
      <c r="E287" s="150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</row>
    <row r="288" spans="1:26" ht="11.25" customHeight="1">
      <c r="A288" s="147"/>
      <c r="B288" s="147"/>
      <c r="C288" s="147"/>
      <c r="D288" s="147"/>
      <c r="E288" s="150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</row>
    <row r="289" spans="1:26" ht="11.25" customHeight="1">
      <c r="A289" s="147"/>
      <c r="B289" s="147"/>
      <c r="C289" s="147"/>
      <c r="D289" s="147"/>
      <c r="E289" s="150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</row>
    <row r="290" spans="1:26" ht="11.25" customHeight="1">
      <c r="A290" s="147"/>
      <c r="B290" s="147"/>
      <c r="C290" s="147"/>
      <c r="D290" s="147"/>
      <c r="E290" s="150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</row>
    <row r="291" spans="1:26" ht="11.25" customHeight="1">
      <c r="A291" s="147"/>
      <c r="B291" s="147"/>
      <c r="C291" s="147"/>
      <c r="D291" s="147"/>
      <c r="E291" s="150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</row>
    <row r="292" spans="1:26" ht="11.25" customHeight="1">
      <c r="A292" s="147"/>
      <c r="B292" s="147"/>
      <c r="C292" s="147"/>
      <c r="D292" s="147"/>
      <c r="E292" s="150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</row>
    <row r="293" spans="1:26" ht="11.25" customHeight="1">
      <c r="A293" s="147"/>
      <c r="B293" s="147"/>
      <c r="C293" s="147"/>
      <c r="D293" s="147"/>
      <c r="E293" s="150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</row>
    <row r="294" spans="1:26" ht="11.25" customHeight="1">
      <c r="A294" s="147"/>
      <c r="B294" s="147"/>
      <c r="C294" s="147"/>
      <c r="D294" s="147"/>
      <c r="E294" s="150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</row>
    <row r="295" spans="1:26" ht="11.25" customHeight="1">
      <c r="A295" s="147"/>
      <c r="B295" s="147"/>
      <c r="C295" s="147"/>
      <c r="D295" s="147"/>
      <c r="E295" s="150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</row>
    <row r="296" spans="1:26" ht="11.25" customHeight="1">
      <c r="A296" s="147"/>
      <c r="B296" s="147"/>
      <c r="C296" s="147"/>
      <c r="D296" s="147"/>
      <c r="E296" s="150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</row>
    <row r="297" spans="1:26" ht="11.25" customHeight="1">
      <c r="A297" s="147"/>
      <c r="B297" s="147"/>
      <c r="C297" s="147"/>
      <c r="D297" s="147"/>
      <c r="E297" s="150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</row>
    <row r="298" spans="1:26" ht="11.25" customHeight="1">
      <c r="A298" s="147"/>
      <c r="B298" s="147"/>
      <c r="C298" s="147"/>
      <c r="D298" s="147"/>
      <c r="E298" s="150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</row>
    <row r="299" spans="1:26" ht="11.25" customHeight="1">
      <c r="A299" s="147"/>
      <c r="B299" s="147"/>
      <c r="C299" s="147"/>
      <c r="D299" s="147"/>
      <c r="E299" s="150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</row>
    <row r="300" spans="1:26" ht="11.25" customHeight="1">
      <c r="A300" s="147"/>
      <c r="B300" s="147"/>
      <c r="C300" s="147"/>
      <c r="D300" s="147"/>
      <c r="E300" s="150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</row>
    <row r="301" spans="1:26" ht="11.25" customHeight="1">
      <c r="A301" s="147"/>
      <c r="B301" s="147"/>
      <c r="C301" s="147"/>
      <c r="D301" s="147"/>
      <c r="E301" s="150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</row>
    <row r="302" spans="1:26" ht="11.25" customHeight="1">
      <c r="A302" s="147"/>
      <c r="B302" s="147"/>
      <c r="C302" s="147"/>
      <c r="D302" s="147"/>
      <c r="E302" s="150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</row>
    <row r="303" spans="1:26" ht="11.25" customHeight="1">
      <c r="A303" s="147"/>
      <c r="B303" s="147"/>
      <c r="C303" s="147"/>
      <c r="D303" s="147"/>
      <c r="E303" s="150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</row>
    <row r="304" spans="1:26" ht="11.25" customHeight="1">
      <c r="A304" s="147"/>
      <c r="B304" s="147"/>
      <c r="C304" s="147"/>
      <c r="D304" s="147"/>
      <c r="E304" s="150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</row>
    <row r="305" spans="1:26" ht="11.25" customHeight="1">
      <c r="A305" s="147"/>
      <c r="B305" s="147"/>
      <c r="C305" s="147"/>
      <c r="D305" s="147"/>
      <c r="E305" s="150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</row>
    <row r="306" spans="1:26" ht="11.25" customHeight="1">
      <c r="A306" s="147"/>
      <c r="B306" s="147"/>
      <c r="C306" s="147"/>
      <c r="D306" s="147"/>
      <c r="E306" s="150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</row>
    <row r="307" spans="1:26" ht="11.25" customHeight="1">
      <c r="A307" s="147"/>
      <c r="B307" s="147"/>
      <c r="C307" s="147"/>
      <c r="D307" s="147"/>
      <c r="E307" s="150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</row>
    <row r="308" spans="1:26" ht="11.25" customHeight="1">
      <c r="A308" s="147"/>
      <c r="B308" s="147"/>
      <c r="C308" s="147"/>
      <c r="D308" s="147"/>
      <c r="E308" s="150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</row>
    <row r="309" spans="1:26" ht="11.25" customHeight="1">
      <c r="A309" s="147"/>
      <c r="B309" s="147"/>
      <c r="C309" s="147"/>
      <c r="D309" s="147"/>
      <c r="E309" s="150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</row>
    <row r="310" spans="1:26" ht="11.25" customHeight="1">
      <c r="A310" s="147"/>
      <c r="B310" s="147"/>
      <c r="C310" s="147"/>
      <c r="D310" s="147"/>
      <c r="E310" s="150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</row>
    <row r="311" spans="1:26" ht="11.25" customHeight="1">
      <c r="A311" s="147"/>
      <c r="B311" s="147"/>
      <c r="C311" s="147"/>
      <c r="D311" s="147"/>
      <c r="E311" s="150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</row>
    <row r="312" spans="1:26" ht="11.25" customHeight="1">
      <c r="A312" s="147"/>
      <c r="B312" s="147"/>
      <c r="C312" s="147"/>
      <c r="D312" s="147"/>
      <c r="E312" s="150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</row>
    <row r="313" spans="1:26" ht="11.25" customHeight="1">
      <c r="A313" s="147"/>
      <c r="B313" s="147"/>
      <c r="C313" s="147"/>
      <c r="D313" s="147"/>
      <c r="E313" s="150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</row>
    <row r="314" spans="1:26" ht="11.25" customHeight="1">
      <c r="A314" s="147"/>
      <c r="B314" s="147"/>
      <c r="C314" s="147"/>
      <c r="D314" s="147"/>
      <c r="E314" s="150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</row>
    <row r="315" spans="1:26" ht="11.25" customHeight="1">
      <c r="A315" s="147"/>
      <c r="B315" s="147"/>
      <c r="C315" s="147"/>
      <c r="D315" s="147"/>
      <c r="E315" s="150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</row>
    <row r="316" spans="1:26" ht="11.25" customHeight="1">
      <c r="A316" s="147"/>
      <c r="B316" s="147"/>
      <c r="C316" s="147"/>
      <c r="D316" s="147"/>
      <c r="E316" s="150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</row>
    <row r="317" spans="1:26" ht="11.25" customHeight="1">
      <c r="A317" s="147"/>
      <c r="B317" s="147"/>
      <c r="C317" s="147"/>
      <c r="D317" s="147"/>
      <c r="E317" s="150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</row>
    <row r="318" spans="1:26" ht="11.25" customHeight="1">
      <c r="A318" s="147"/>
      <c r="B318" s="147"/>
      <c r="C318" s="147"/>
      <c r="D318" s="147"/>
      <c r="E318" s="150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</row>
    <row r="319" spans="1:26" ht="11.25" customHeight="1">
      <c r="A319" s="147"/>
      <c r="B319" s="147"/>
      <c r="C319" s="147"/>
      <c r="D319" s="147"/>
      <c r="E319" s="150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</row>
    <row r="320" spans="1:26" ht="11.25" customHeight="1">
      <c r="A320" s="147"/>
      <c r="B320" s="147"/>
      <c r="C320" s="147"/>
      <c r="D320" s="147"/>
      <c r="E320" s="150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</row>
    <row r="321" spans="1:26" ht="11.25" customHeight="1">
      <c r="A321" s="147"/>
      <c r="B321" s="147"/>
      <c r="C321" s="147"/>
      <c r="D321" s="147"/>
      <c r="E321" s="150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</row>
    <row r="322" spans="1:26" ht="15.75" customHeight="1"/>
    <row r="323" spans="1:26" ht="15.75" customHeight="1"/>
    <row r="324" spans="1:26" ht="15.75" customHeight="1"/>
    <row r="325" spans="1:26" ht="15.75" customHeight="1"/>
    <row r="326" spans="1:26" ht="15.75" customHeight="1"/>
    <row r="327" spans="1:26" ht="15.75" customHeight="1"/>
    <row r="328" spans="1:26" ht="15.75" customHeight="1"/>
    <row r="329" spans="1:26" ht="15.75" customHeight="1"/>
    <row r="330" spans="1:26" ht="15.75" customHeight="1"/>
    <row r="331" spans="1:26" ht="15.75" customHeight="1"/>
    <row r="332" spans="1:26" ht="15.75" customHeight="1"/>
    <row r="333" spans="1:26" ht="15.75" customHeight="1"/>
    <row r="334" spans="1:26" ht="15.75" customHeight="1"/>
    <row r="335" spans="1:26" ht="15.75" customHeight="1"/>
    <row r="336" spans="1:2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3:H33" xr:uid="{00000000-0009-0000-0000-000005000000}">
    <sortState xmlns:xlrd2="http://schemas.microsoft.com/office/spreadsheetml/2017/richdata2" ref="B3:H33">
      <sortCondition ref="E3:E33"/>
    </sortState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F1:G1000"/>
  <sheetViews>
    <sheetView workbookViewId="0"/>
  </sheetViews>
  <sheetFormatPr defaultColWidth="14.42578125" defaultRowHeight="15" customHeight="1"/>
  <cols>
    <col min="1" max="5" width="8.7109375" customWidth="1"/>
    <col min="6" max="6" width="23.140625" customWidth="1"/>
    <col min="7" max="7" width="34.140625" customWidth="1"/>
    <col min="8" max="26" width="8.7109375" customWidth="1"/>
  </cols>
  <sheetData>
    <row r="1" spans="6:7">
      <c r="F1" s="120" t="s">
        <v>105</v>
      </c>
      <c r="G1" s="115" t="s">
        <v>796</v>
      </c>
    </row>
    <row r="2" spans="6:7">
      <c r="F2" s="121" t="s">
        <v>106</v>
      </c>
      <c r="G2" s="115">
        <v>642001052</v>
      </c>
    </row>
    <row r="3" spans="6:7">
      <c r="F3" s="120" t="s">
        <v>110</v>
      </c>
      <c r="G3" s="115" t="s">
        <v>71</v>
      </c>
    </row>
    <row r="4" spans="6:7">
      <c r="F4" s="122" t="s">
        <v>111</v>
      </c>
      <c r="G4" s="187">
        <v>42644</v>
      </c>
    </row>
    <row r="5" spans="6:7">
      <c r="F5" s="120" t="s">
        <v>112</v>
      </c>
      <c r="G5" s="115">
        <v>7</v>
      </c>
    </row>
    <row r="6" spans="6:7">
      <c r="F6" s="120" t="s">
        <v>114</v>
      </c>
      <c r="G6" s="115" t="str">
        <f>IF(LEFT(G2,2)="99","Organik",IF(LEFT(G2,2)="97","Tetap",IF(LEFT(G2,2)="75","Capeg",IF(LEFT(G2,2)="64","PKWT","Resign"))))</f>
        <v>PKWT</v>
      </c>
    </row>
    <row r="7" spans="6:7">
      <c r="F7" s="123" t="s">
        <v>116</v>
      </c>
      <c r="G7" s="188">
        <v>45291</v>
      </c>
    </row>
    <row r="8" spans="6:7">
      <c r="F8" s="120" t="s">
        <v>118</v>
      </c>
      <c r="G8" s="115" t="s">
        <v>213</v>
      </c>
    </row>
    <row r="9" spans="6:7">
      <c r="F9" s="120" t="s">
        <v>53</v>
      </c>
      <c r="G9" s="115" t="s">
        <v>71</v>
      </c>
    </row>
    <row r="10" spans="6:7">
      <c r="F10" s="120" t="s">
        <v>119</v>
      </c>
      <c r="G10" s="115" t="s">
        <v>33</v>
      </c>
    </row>
    <row r="11" spans="6:7">
      <c r="F11" s="120" t="s">
        <v>120</v>
      </c>
      <c r="G11" s="115" t="s">
        <v>84</v>
      </c>
    </row>
    <row r="12" spans="6:7">
      <c r="F12" s="120" t="s">
        <v>121</v>
      </c>
      <c r="G12" s="115" t="s">
        <v>214</v>
      </c>
    </row>
    <row r="13" spans="6:7">
      <c r="F13" s="120" t="s">
        <v>122</v>
      </c>
      <c r="G13" s="115" t="s">
        <v>180</v>
      </c>
    </row>
    <row r="14" spans="6:7">
      <c r="F14" s="120" t="s">
        <v>125</v>
      </c>
      <c r="G14" s="115" t="s">
        <v>216</v>
      </c>
    </row>
    <row r="15" spans="6:7">
      <c r="F15" s="120" t="s">
        <v>126</v>
      </c>
      <c r="G15" s="115" t="s">
        <v>71</v>
      </c>
    </row>
    <row r="16" spans="6:7">
      <c r="F16" s="122" t="s">
        <v>127</v>
      </c>
      <c r="G16" s="187">
        <v>31106</v>
      </c>
    </row>
    <row r="17" spans="6:7">
      <c r="F17" s="124" t="s">
        <v>128</v>
      </c>
      <c r="G17" s="131">
        <v>38</v>
      </c>
    </row>
    <row r="18" spans="6:7">
      <c r="F18" s="120" t="s">
        <v>129</v>
      </c>
      <c r="G18" s="115" t="s">
        <v>797</v>
      </c>
    </row>
    <row r="19" spans="6:7">
      <c r="F19" s="120" t="s">
        <v>130</v>
      </c>
      <c r="G19" s="189" t="s">
        <v>798</v>
      </c>
    </row>
    <row r="20" spans="6:7">
      <c r="F20" s="120" t="s">
        <v>131</v>
      </c>
      <c r="G20" s="115" t="s">
        <v>799</v>
      </c>
    </row>
    <row r="21" spans="6:7" ht="15.75" customHeight="1">
      <c r="F21" s="120" t="s">
        <v>133</v>
      </c>
      <c r="G21" s="115" t="s">
        <v>800</v>
      </c>
    </row>
    <row r="22" spans="6:7" ht="15.75" customHeight="1">
      <c r="F22" s="125" t="s">
        <v>134</v>
      </c>
      <c r="G22" s="142" t="s">
        <v>801</v>
      </c>
    </row>
    <row r="23" spans="6:7" ht="15.75" customHeight="1">
      <c r="F23" s="126" t="s">
        <v>135</v>
      </c>
      <c r="G23" s="115">
        <v>17043907595</v>
      </c>
    </row>
    <row r="24" spans="6:7" ht="15.75" customHeight="1">
      <c r="F24" s="120" t="s">
        <v>136</v>
      </c>
      <c r="G24" s="115" t="s">
        <v>189</v>
      </c>
    </row>
    <row r="25" spans="6:7" ht="15.75" customHeight="1">
      <c r="F25" s="120" t="s">
        <v>149</v>
      </c>
      <c r="G25" s="115" t="s">
        <v>74</v>
      </c>
    </row>
    <row r="26" spans="6:7" ht="15.75" customHeight="1">
      <c r="F26" s="120" t="s">
        <v>150</v>
      </c>
      <c r="G26" s="115" t="s">
        <v>16</v>
      </c>
    </row>
    <row r="27" spans="6:7" ht="15.75" customHeight="1">
      <c r="F27" s="120" t="s">
        <v>151</v>
      </c>
      <c r="G27" s="115" t="s">
        <v>226</v>
      </c>
    </row>
    <row r="28" spans="6:7" ht="15.75" customHeight="1">
      <c r="F28" s="120" t="s">
        <v>152</v>
      </c>
      <c r="G28" s="115" t="s">
        <v>802</v>
      </c>
    </row>
    <row r="29" spans="6:7" ht="15.75" customHeight="1">
      <c r="F29" s="120" t="s">
        <v>153</v>
      </c>
      <c r="G29" s="115">
        <v>2005</v>
      </c>
    </row>
    <row r="30" spans="6:7" ht="15.75" customHeight="1">
      <c r="F30" s="120" t="s">
        <v>154</v>
      </c>
      <c r="G30" s="115" t="s">
        <v>287</v>
      </c>
    </row>
    <row r="31" spans="6:7" ht="15.75" customHeight="1">
      <c r="F31" s="120" t="s">
        <v>155</v>
      </c>
      <c r="G31" s="115" t="s">
        <v>226</v>
      </c>
    </row>
    <row r="32" spans="6:7" ht="15.75" customHeight="1">
      <c r="F32" s="120" t="s">
        <v>156</v>
      </c>
      <c r="G32" s="115" t="s">
        <v>802</v>
      </c>
    </row>
    <row r="33" spans="6:7" ht="15.75" customHeight="1">
      <c r="F33" s="120" t="s">
        <v>153</v>
      </c>
      <c r="G33" s="115">
        <v>2005</v>
      </c>
    </row>
    <row r="34" spans="6:7" ht="15.75" customHeight="1">
      <c r="F34" s="120" t="s">
        <v>168</v>
      </c>
      <c r="G34" s="115" t="s">
        <v>803</v>
      </c>
    </row>
    <row r="35" spans="6:7" ht="15.75" customHeight="1">
      <c r="F35" s="120" t="s">
        <v>169</v>
      </c>
      <c r="G35" s="115" t="s">
        <v>804</v>
      </c>
    </row>
    <row r="36" spans="6:7" ht="15.75" customHeight="1"/>
    <row r="37" spans="6:7" ht="15.75" customHeight="1">
      <c r="G37" s="190"/>
    </row>
    <row r="38" spans="6:7" ht="15.75" customHeight="1">
      <c r="G38" s="190"/>
    </row>
    <row r="39" spans="6:7" ht="15.75" customHeight="1">
      <c r="G39" s="190"/>
    </row>
    <row r="40" spans="6:7" ht="15.75" customHeight="1">
      <c r="G40" s="190"/>
    </row>
    <row r="41" spans="6:7" ht="15.75" customHeight="1">
      <c r="G41" s="190"/>
    </row>
    <row r="42" spans="6:7" ht="15.75" customHeight="1">
      <c r="G42" s="190"/>
    </row>
    <row r="43" spans="6:7" ht="15.75" customHeight="1">
      <c r="G43" s="190"/>
    </row>
    <row r="44" spans="6:7" ht="15.75" customHeight="1">
      <c r="G44" s="190"/>
    </row>
    <row r="45" spans="6:7" ht="15.75" customHeight="1">
      <c r="G45" s="190"/>
    </row>
    <row r="46" spans="6:7" ht="15.75" customHeight="1">
      <c r="G46" s="190"/>
    </row>
    <row r="47" spans="6:7" ht="15.75" customHeight="1">
      <c r="G47" s="190"/>
    </row>
    <row r="48" spans="6:7" ht="15.75" customHeight="1">
      <c r="G48" s="190"/>
    </row>
    <row r="49" spans="7:7" ht="15.75" customHeight="1">
      <c r="G49" s="190"/>
    </row>
    <row r="50" spans="7:7" ht="15.75" customHeight="1">
      <c r="G50" s="190"/>
    </row>
    <row r="51" spans="7:7" ht="15.75" customHeight="1">
      <c r="G51" s="190"/>
    </row>
    <row r="52" spans="7:7" ht="15.75" customHeight="1">
      <c r="G52" s="190"/>
    </row>
    <row r="53" spans="7:7" ht="15.75" customHeight="1">
      <c r="G53" s="190"/>
    </row>
    <row r="54" spans="7:7" ht="15.75" customHeight="1">
      <c r="G54" s="190"/>
    </row>
    <row r="55" spans="7:7" ht="15.75" customHeight="1">
      <c r="G55" s="190"/>
    </row>
    <row r="56" spans="7:7" ht="15.75" customHeight="1">
      <c r="G56" s="190"/>
    </row>
    <row r="57" spans="7:7" ht="15.75" customHeight="1">
      <c r="G57" s="190"/>
    </row>
    <row r="58" spans="7:7" ht="15.75" customHeight="1">
      <c r="G58" s="190"/>
    </row>
    <row r="59" spans="7:7" ht="15.75" customHeight="1">
      <c r="G59" s="190"/>
    </row>
    <row r="60" spans="7:7" ht="15.75" customHeight="1">
      <c r="G60" s="190"/>
    </row>
    <row r="61" spans="7:7" ht="15.75" customHeight="1">
      <c r="G61" s="190"/>
    </row>
    <row r="62" spans="7:7" ht="15.75" customHeight="1">
      <c r="G62" s="190"/>
    </row>
    <row r="63" spans="7:7" ht="15.75" customHeight="1">
      <c r="G63" s="190"/>
    </row>
    <row r="64" spans="7:7" ht="15.75" customHeight="1">
      <c r="G64" s="190"/>
    </row>
    <row r="65" spans="7:7" ht="15.75" customHeight="1">
      <c r="G65" s="190"/>
    </row>
    <row r="66" spans="7:7" ht="15.75" customHeight="1">
      <c r="G66" s="190"/>
    </row>
    <row r="67" spans="7:7" ht="15.75" customHeight="1">
      <c r="G67" s="190"/>
    </row>
    <row r="68" spans="7:7" ht="15.75" customHeight="1">
      <c r="G68" s="190"/>
    </row>
    <row r="69" spans="7:7" ht="15.75" customHeight="1">
      <c r="G69" s="190"/>
    </row>
    <row r="70" spans="7:7" ht="15.75" customHeight="1">
      <c r="G70" s="190"/>
    </row>
    <row r="71" spans="7:7" ht="15.75" customHeight="1">
      <c r="G71" s="190"/>
    </row>
    <row r="72" spans="7:7" ht="15.75" customHeight="1">
      <c r="G72" s="190"/>
    </row>
    <row r="73" spans="7:7" ht="15.75" customHeight="1">
      <c r="G73" s="190"/>
    </row>
    <row r="74" spans="7:7" ht="15.75" customHeight="1">
      <c r="G74" s="190"/>
    </row>
    <row r="75" spans="7:7" ht="15.75" customHeight="1">
      <c r="G75" s="190"/>
    </row>
    <row r="76" spans="7:7" ht="15.75" customHeight="1">
      <c r="G76" s="190"/>
    </row>
    <row r="77" spans="7:7" ht="15.75" customHeight="1">
      <c r="G77" s="190"/>
    </row>
    <row r="78" spans="7:7" ht="15.75" customHeight="1">
      <c r="G78" s="190"/>
    </row>
    <row r="79" spans="7:7" ht="15.75" customHeight="1">
      <c r="G79" s="190"/>
    </row>
    <row r="80" spans="7:7" ht="15.75" customHeight="1">
      <c r="G80" s="190"/>
    </row>
    <row r="81" spans="7:7" ht="15.75" customHeight="1">
      <c r="G81" s="190"/>
    </row>
    <row r="82" spans="7:7" ht="15.75" customHeight="1">
      <c r="G82" s="190"/>
    </row>
    <row r="83" spans="7:7" ht="15.75" customHeight="1">
      <c r="G83" s="190"/>
    </row>
    <row r="84" spans="7:7" ht="15.75" customHeight="1">
      <c r="G84" s="190"/>
    </row>
    <row r="85" spans="7:7" ht="15.75" customHeight="1">
      <c r="G85" s="190"/>
    </row>
    <row r="86" spans="7:7" ht="15.75" customHeight="1">
      <c r="G86" s="190"/>
    </row>
    <row r="87" spans="7:7" ht="15.75" customHeight="1">
      <c r="G87" s="190"/>
    </row>
    <row r="88" spans="7:7" ht="15.75" customHeight="1">
      <c r="G88" s="190"/>
    </row>
    <row r="89" spans="7:7" ht="15.75" customHeight="1">
      <c r="G89" s="190"/>
    </row>
    <row r="90" spans="7:7" ht="15.75" customHeight="1">
      <c r="G90" s="190"/>
    </row>
    <row r="91" spans="7:7" ht="15.75" customHeight="1">
      <c r="G91" s="190"/>
    </row>
    <row r="92" spans="7:7" ht="15.75" customHeight="1">
      <c r="G92" s="190"/>
    </row>
    <row r="93" spans="7:7" ht="15.75" customHeight="1">
      <c r="G93" s="190"/>
    </row>
    <row r="94" spans="7:7" ht="15.75" customHeight="1">
      <c r="G94" s="190"/>
    </row>
    <row r="95" spans="7:7" ht="15.75" customHeight="1">
      <c r="G95" s="190"/>
    </row>
    <row r="96" spans="7:7" ht="15.75" customHeight="1">
      <c r="G96" s="190"/>
    </row>
    <row r="97" spans="7:7" ht="15.75" customHeight="1">
      <c r="G97" s="190"/>
    </row>
    <row r="98" spans="7:7" ht="15.75" customHeight="1">
      <c r="G98" s="190"/>
    </row>
    <row r="99" spans="7:7" ht="15.75" customHeight="1">
      <c r="G99" s="190"/>
    </row>
    <row r="100" spans="7:7" ht="15.75" customHeight="1">
      <c r="G100" s="190"/>
    </row>
    <row r="101" spans="7:7" ht="15.75" customHeight="1">
      <c r="G101" s="190"/>
    </row>
    <row r="102" spans="7:7" ht="15.75" customHeight="1">
      <c r="G102" s="190"/>
    </row>
    <row r="103" spans="7:7" ht="15.75" customHeight="1">
      <c r="G103" s="190"/>
    </row>
    <row r="104" spans="7:7" ht="15.75" customHeight="1">
      <c r="G104" s="190"/>
    </row>
    <row r="105" spans="7:7" ht="15.75" customHeight="1">
      <c r="G105" s="190"/>
    </row>
    <row r="106" spans="7:7" ht="15.75" customHeight="1">
      <c r="G106" s="190"/>
    </row>
    <row r="107" spans="7:7" ht="15.75" customHeight="1">
      <c r="G107" s="190"/>
    </row>
    <row r="108" spans="7:7" ht="15.75" customHeight="1">
      <c r="G108" s="190"/>
    </row>
    <row r="109" spans="7:7" ht="15.75" customHeight="1">
      <c r="G109" s="190"/>
    </row>
    <row r="110" spans="7:7" ht="15.75" customHeight="1">
      <c r="G110" s="190"/>
    </row>
    <row r="111" spans="7:7" ht="15.75" customHeight="1">
      <c r="G111" s="190"/>
    </row>
    <row r="112" spans="7:7" ht="15.75" customHeight="1">
      <c r="G112" s="190"/>
    </row>
    <row r="113" spans="7:7" ht="15.75" customHeight="1">
      <c r="G113" s="190"/>
    </row>
    <row r="114" spans="7:7" ht="15.75" customHeight="1">
      <c r="G114" s="190"/>
    </row>
    <row r="115" spans="7:7" ht="15.75" customHeight="1">
      <c r="G115" s="190"/>
    </row>
    <row r="116" spans="7:7" ht="15.75" customHeight="1">
      <c r="G116" s="190"/>
    </row>
    <row r="117" spans="7:7" ht="15.75" customHeight="1">
      <c r="G117" s="190"/>
    </row>
    <row r="118" spans="7:7" ht="15.75" customHeight="1">
      <c r="G118" s="190"/>
    </row>
    <row r="119" spans="7:7" ht="15.75" customHeight="1">
      <c r="G119" s="190"/>
    </row>
    <row r="120" spans="7:7" ht="15.75" customHeight="1">
      <c r="G120" s="190"/>
    </row>
    <row r="121" spans="7:7" ht="15.75" customHeight="1">
      <c r="G121" s="190"/>
    </row>
    <row r="122" spans="7:7" ht="15.75" customHeight="1">
      <c r="G122" s="190"/>
    </row>
    <row r="123" spans="7:7" ht="15.75" customHeight="1">
      <c r="G123" s="190"/>
    </row>
    <row r="124" spans="7:7" ht="15.75" customHeight="1">
      <c r="G124" s="190"/>
    </row>
    <row r="125" spans="7:7" ht="15.75" customHeight="1">
      <c r="G125" s="190"/>
    </row>
    <row r="126" spans="7:7" ht="15.75" customHeight="1">
      <c r="G126" s="190"/>
    </row>
    <row r="127" spans="7:7" ht="15.75" customHeight="1">
      <c r="G127" s="190"/>
    </row>
    <row r="128" spans="7:7" ht="15.75" customHeight="1">
      <c r="G128" s="190"/>
    </row>
    <row r="129" spans="7:7" ht="15.75" customHeight="1">
      <c r="G129" s="190"/>
    </row>
    <row r="130" spans="7:7" ht="15.75" customHeight="1">
      <c r="G130" s="190"/>
    </row>
    <row r="131" spans="7:7" ht="15.75" customHeight="1">
      <c r="G131" s="190"/>
    </row>
    <row r="132" spans="7:7" ht="15.75" customHeight="1">
      <c r="G132" s="190"/>
    </row>
    <row r="133" spans="7:7" ht="15.75" customHeight="1">
      <c r="G133" s="190"/>
    </row>
    <row r="134" spans="7:7" ht="15.75" customHeight="1">
      <c r="G134" s="190"/>
    </row>
    <row r="135" spans="7:7" ht="15.75" customHeight="1">
      <c r="G135" s="190"/>
    </row>
    <row r="136" spans="7:7" ht="15.75" customHeight="1">
      <c r="G136" s="190"/>
    </row>
    <row r="137" spans="7:7" ht="15.75" customHeight="1">
      <c r="G137" s="190"/>
    </row>
    <row r="138" spans="7:7" ht="15.75" customHeight="1">
      <c r="G138" s="190"/>
    </row>
    <row r="139" spans="7:7" ht="15.75" customHeight="1">
      <c r="G139" s="190"/>
    </row>
    <row r="140" spans="7:7" ht="15.75" customHeight="1">
      <c r="G140" s="190"/>
    </row>
    <row r="141" spans="7:7" ht="15.75" customHeight="1">
      <c r="G141" s="190"/>
    </row>
    <row r="142" spans="7:7" ht="15.75" customHeight="1">
      <c r="G142" s="190"/>
    </row>
    <row r="143" spans="7:7" ht="15.75" customHeight="1">
      <c r="G143" s="190"/>
    </row>
    <row r="144" spans="7:7" ht="15.75" customHeight="1">
      <c r="G144" s="190"/>
    </row>
    <row r="145" spans="7:7" ht="15.75" customHeight="1">
      <c r="G145" s="190"/>
    </row>
    <row r="146" spans="7:7" ht="15.75" customHeight="1">
      <c r="G146" s="190"/>
    </row>
    <row r="147" spans="7:7" ht="15.75" customHeight="1">
      <c r="G147" s="190"/>
    </row>
    <row r="148" spans="7:7" ht="15.75" customHeight="1">
      <c r="G148" s="190"/>
    </row>
    <row r="149" spans="7:7" ht="15.75" customHeight="1">
      <c r="G149" s="190"/>
    </row>
    <row r="150" spans="7:7" ht="15.75" customHeight="1">
      <c r="G150" s="190"/>
    </row>
    <row r="151" spans="7:7" ht="15.75" customHeight="1">
      <c r="G151" s="190"/>
    </row>
    <row r="152" spans="7:7" ht="15.75" customHeight="1">
      <c r="G152" s="190"/>
    </row>
    <row r="153" spans="7:7" ht="15.75" customHeight="1">
      <c r="G153" s="190"/>
    </row>
    <row r="154" spans="7:7" ht="15.75" customHeight="1">
      <c r="G154" s="190"/>
    </row>
    <row r="155" spans="7:7" ht="15.75" customHeight="1">
      <c r="G155" s="190"/>
    </row>
    <row r="156" spans="7:7" ht="15.75" customHeight="1">
      <c r="G156" s="190"/>
    </row>
    <row r="157" spans="7:7" ht="15.75" customHeight="1">
      <c r="G157" s="190"/>
    </row>
    <row r="158" spans="7:7" ht="15.75" customHeight="1">
      <c r="G158" s="190"/>
    </row>
    <row r="159" spans="7:7" ht="15.75" customHeight="1">
      <c r="G159" s="190"/>
    </row>
    <row r="160" spans="7:7" ht="15.75" customHeight="1">
      <c r="G160" s="190"/>
    </row>
    <row r="161" spans="7:7" ht="15.75" customHeight="1">
      <c r="G161" s="190"/>
    </row>
    <row r="162" spans="7:7" ht="15.75" customHeight="1">
      <c r="G162" s="190"/>
    </row>
    <row r="163" spans="7:7" ht="15.75" customHeight="1">
      <c r="G163" s="190"/>
    </row>
    <row r="164" spans="7:7" ht="15.75" customHeight="1">
      <c r="G164" s="190"/>
    </row>
    <row r="165" spans="7:7" ht="15.75" customHeight="1">
      <c r="G165" s="190"/>
    </row>
    <row r="166" spans="7:7" ht="15.75" customHeight="1">
      <c r="G166" s="190"/>
    </row>
    <row r="167" spans="7:7" ht="15.75" customHeight="1">
      <c r="G167" s="190"/>
    </row>
    <row r="168" spans="7:7" ht="15.75" customHeight="1">
      <c r="G168" s="190"/>
    </row>
    <row r="169" spans="7:7" ht="15.75" customHeight="1">
      <c r="G169" s="190"/>
    </row>
    <row r="170" spans="7:7" ht="15.75" customHeight="1">
      <c r="G170" s="190"/>
    </row>
    <row r="171" spans="7:7" ht="15.75" customHeight="1">
      <c r="G171" s="190"/>
    </row>
    <row r="172" spans="7:7" ht="15.75" customHeight="1">
      <c r="G172" s="190"/>
    </row>
    <row r="173" spans="7:7" ht="15.75" customHeight="1">
      <c r="G173" s="190"/>
    </row>
    <row r="174" spans="7:7" ht="15.75" customHeight="1">
      <c r="G174" s="190"/>
    </row>
    <row r="175" spans="7:7" ht="15.75" customHeight="1">
      <c r="G175" s="190"/>
    </row>
    <row r="176" spans="7:7" ht="15.75" customHeight="1">
      <c r="G176" s="190"/>
    </row>
    <row r="177" spans="7:7" ht="15.75" customHeight="1">
      <c r="G177" s="190"/>
    </row>
    <row r="178" spans="7:7" ht="15.75" customHeight="1">
      <c r="G178" s="190"/>
    </row>
    <row r="179" spans="7:7" ht="15.75" customHeight="1">
      <c r="G179" s="190"/>
    </row>
    <row r="180" spans="7:7" ht="15.75" customHeight="1">
      <c r="G180" s="190"/>
    </row>
    <row r="181" spans="7:7" ht="15.75" customHeight="1">
      <c r="G181" s="190"/>
    </row>
    <row r="182" spans="7:7" ht="15.75" customHeight="1">
      <c r="G182" s="190"/>
    </row>
    <row r="183" spans="7:7" ht="15.75" customHeight="1">
      <c r="G183" s="190"/>
    </row>
    <row r="184" spans="7:7" ht="15.75" customHeight="1">
      <c r="G184" s="190"/>
    </row>
    <row r="185" spans="7:7" ht="15.75" customHeight="1">
      <c r="G185" s="190"/>
    </row>
    <row r="186" spans="7:7" ht="15.75" customHeight="1">
      <c r="G186" s="190"/>
    </row>
    <row r="187" spans="7:7" ht="15.75" customHeight="1">
      <c r="G187" s="190"/>
    </row>
    <row r="188" spans="7:7" ht="15.75" customHeight="1">
      <c r="G188" s="190"/>
    </row>
    <row r="189" spans="7:7" ht="15.75" customHeight="1">
      <c r="G189" s="190"/>
    </row>
    <row r="190" spans="7:7" ht="15.75" customHeight="1">
      <c r="G190" s="190"/>
    </row>
    <row r="191" spans="7:7" ht="15.75" customHeight="1">
      <c r="G191" s="190"/>
    </row>
    <row r="192" spans="7:7" ht="15.75" customHeight="1">
      <c r="G192" s="190"/>
    </row>
    <row r="193" spans="7:7" ht="15.75" customHeight="1">
      <c r="G193" s="190"/>
    </row>
    <row r="194" spans="7:7" ht="15.75" customHeight="1">
      <c r="G194" s="190"/>
    </row>
    <row r="195" spans="7:7" ht="15.75" customHeight="1">
      <c r="G195" s="190"/>
    </row>
    <row r="196" spans="7:7" ht="15.75" customHeight="1">
      <c r="G196" s="190"/>
    </row>
    <row r="197" spans="7:7" ht="15.75" customHeight="1">
      <c r="G197" s="190"/>
    </row>
    <row r="198" spans="7:7" ht="15.75" customHeight="1">
      <c r="G198" s="190"/>
    </row>
    <row r="199" spans="7:7" ht="15.75" customHeight="1">
      <c r="G199" s="190"/>
    </row>
    <row r="200" spans="7:7" ht="15.75" customHeight="1">
      <c r="G200" s="190"/>
    </row>
    <row r="201" spans="7:7" ht="15.75" customHeight="1">
      <c r="G201" s="190"/>
    </row>
    <row r="202" spans="7:7" ht="15.75" customHeight="1">
      <c r="G202" s="190"/>
    </row>
    <row r="203" spans="7:7" ht="15.75" customHeight="1">
      <c r="G203" s="190"/>
    </row>
    <row r="204" spans="7:7" ht="15.75" customHeight="1">
      <c r="G204" s="190"/>
    </row>
    <row r="205" spans="7:7" ht="15.75" customHeight="1">
      <c r="G205" s="190"/>
    </row>
    <row r="206" spans="7:7" ht="15.75" customHeight="1">
      <c r="G206" s="190"/>
    </row>
    <row r="207" spans="7:7" ht="15.75" customHeight="1">
      <c r="G207" s="190"/>
    </row>
    <row r="208" spans="7:7" ht="15.75" customHeight="1">
      <c r="G208" s="190"/>
    </row>
    <row r="209" spans="7:7" ht="15.75" customHeight="1">
      <c r="G209" s="190"/>
    </row>
    <row r="210" spans="7:7" ht="15.75" customHeight="1">
      <c r="G210" s="190"/>
    </row>
    <row r="211" spans="7:7" ht="15.75" customHeight="1">
      <c r="G211" s="190"/>
    </row>
    <row r="212" spans="7:7" ht="15.75" customHeight="1">
      <c r="G212" s="190"/>
    </row>
    <row r="213" spans="7:7" ht="15.75" customHeight="1">
      <c r="G213" s="190"/>
    </row>
    <row r="214" spans="7:7" ht="15.75" customHeight="1">
      <c r="G214" s="190"/>
    </row>
    <row r="215" spans="7:7" ht="15.75" customHeight="1">
      <c r="G215" s="190"/>
    </row>
    <row r="216" spans="7:7" ht="15.75" customHeight="1">
      <c r="G216" s="190"/>
    </row>
    <row r="217" spans="7:7" ht="15.75" customHeight="1">
      <c r="G217" s="190"/>
    </row>
    <row r="218" spans="7:7" ht="15.75" customHeight="1">
      <c r="G218" s="190"/>
    </row>
    <row r="219" spans="7:7" ht="15.75" customHeight="1">
      <c r="G219" s="190"/>
    </row>
    <row r="220" spans="7:7" ht="15.75" customHeight="1">
      <c r="G220" s="190"/>
    </row>
    <row r="221" spans="7:7" ht="15.75" customHeight="1">
      <c r="G221" s="190"/>
    </row>
    <row r="222" spans="7:7" ht="15.75" customHeight="1">
      <c r="G222" s="190"/>
    </row>
    <row r="223" spans="7:7" ht="15.75" customHeight="1">
      <c r="G223" s="190"/>
    </row>
    <row r="224" spans="7:7" ht="15.75" customHeight="1">
      <c r="G224" s="190"/>
    </row>
    <row r="225" spans="7:7" ht="15.75" customHeight="1">
      <c r="G225" s="190"/>
    </row>
    <row r="226" spans="7:7" ht="15.75" customHeight="1">
      <c r="G226" s="190"/>
    </row>
    <row r="227" spans="7:7" ht="15.75" customHeight="1">
      <c r="G227" s="190"/>
    </row>
    <row r="228" spans="7:7" ht="15.75" customHeight="1">
      <c r="G228" s="190"/>
    </row>
    <row r="229" spans="7:7" ht="15.75" customHeight="1">
      <c r="G229" s="190"/>
    </row>
    <row r="230" spans="7:7" ht="15.75" customHeight="1">
      <c r="G230" s="190"/>
    </row>
    <row r="231" spans="7:7" ht="15.75" customHeight="1">
      <c r="G231" s="190"/>
    </row>
    <row r="232" spans="7:7" ht="15.75" customHeight="1">
      <c r="G232" s="190"/>
    </row>
    <row r="233" spans="7:7" ht="15.75" customHeight="1">
      <c r="G233" s="190"/>
    </row>
    <row r="234" spans="7:7" ht="15.75" customHeight="1">
      <c r="G234" s="190"/>
    </row>
    <row r="235" spans="7:7" ht="15.75" customHeight="1">
      <c r="G235" s="190"/>
    </row>
    <row r="236" spans="7:7" ht="15.75" customHeight="1">
      <c r="G236" s="190"/>
    </row>
    <row r="237" spans="7:7" ht="15.75" customHeight="1">
      <c r="G237" s="190"/>
    </row>
    <row r="238" spans="7:7" ht="15.75" customHeight="1">
      <c r="G238" s="190"/>
    </row>
    <row r="239" spans="7:7" ht="15.75" customHeight="1">
      <c r="G239" s="190"/>
    </row>
    <row r="240" spans="7:7" ht="15.75" customHeight="1">
      <c r="G240" s="190"/>
    </row>
    <row r="241" spans="7:7" ht="15.75" customHeight="1">
      <c r="G241" s="190"/>
    </row>
    <row r="242" spans="7:7" ht="15.75" customHeight="1">
      <c r="G242" s="190"/>
    </row>
    <row r="243" spans="7:7" ht="15.75" customHeight="1">
      <c r="G243" s="190"/>
    </row>
    <row r="244" spans="7:7" ht="15.75" customHeight="1">
      <c r="G244" s="190"/>
    </row>
    <row r="245" spans="7:7" ht="15.75" customHeight="1">
      <c r="G245" s="190"/>
    </row>
    <row r="246" spans="7:7" ht="15.75" customHeight="1">
      <c r="G246" s="190"/>
    </row>
    <row r="247" spans="7:7" ht="15.75" customHeight="1">
      <c r="G247" s="190"/>
    </row>
    <row r="248" spans="7:7" ht="15.75" customHeight="1">
      <c r="G248" s="190"/>
    </row>
    <row r="249" spans="7:7" ht="15.75" customHeight="1">
      <c r="G249" s="190"/>
    </row>
    <row r="250" spans="7:7" ht="15.75" customHeight="1">
      <c r="G250" s="190"/>
    </row>
    <row r="251" spans="7:7" ht="15.75" customHeight="1">
      <c r="G251" s="190"/>
    </row>
    <row r="252" spans="7:7" ht="15.75" customHeight="1">
      <c r="G252" s="190"/>
    </row>
    <row r="253" spans="7:7" ht="15.75" customHeight="1">
      <c r="G253" s="190"/>
    </row>
    <row r="254" spans="7:7" ht="15.75" customHeight="1">
      <c r="G254" s="190"/>
    </row>
    <row r="255" spans="7:7" ht="15.75" customHeight="1">
      <c r="G255" s="190"/>
    </row>
    <row r="256" spans="7:7" ht="15.75" customHeight="1">
      <c r="G256" s="190"/>
    </row>
    <row r="257" spans="7:7" ht="15.75" customHeight="1">
      <c r="G257" s="190"/>
    </row>
    <row r="258" spans="7:7" ht="15.75" customHeight="1">
      <c r="G258" s="190"/>
    </row>
    <row r="259" spans="7:7" ht="15.75" customHeight="1">
      <c r="G259" s="190"/>
    </row>
    <row r="260" spans="7:7" ht="15.75" customHeight="1">
      <c r="G260" s="190"/>
    </row>
    <row r="261" spans="7:7" ht="15.75" customHeight="1">
      <c r="G261" s="190"/>
    </row>
    <row r="262" spans="7:7" ht="15.75" customHeight="1">
      <c r="G262" s="190"/>
    </row>
    <row r="263" spans="7:7" ht="15.75" customHeight="1">
      <c r="G263" s="190"/>
    </row>
    <row r="264" spans="7:7" ht="15.75" customHeight="1">
      <c r="G264" s="190"/>
    </row>
    <row r="265" spans="7:7" ht="15.75" customHeight="1">
      <c r="G265" s="190"/>
    </row>
    <row r="266" spans="7:7" ht="15.75" customHeight="1">
      <c r="G266" s="190"/>
    </row>
    <row r="267" spans="7:7" ht="15.75" customHeight="1">
      <c r="G267" s="190"/>
    </row>
    <row r="268" spans="7:7" ht="15.75" customHeight="1">
      <c r="G268" s="190"/>
    </row>
    <row r="269" spans="7:7" ht="15.75" customHeight="1">
      <c r="G269" s="190"/>
    </row>
    <row r="270" spans="7:7" ht="15.75" customHeight="1">
      <c r="G270" s="190"/>
    </row>
    <row r="271" spans="7:7" ht="15.75" customHeight="1">
      <c r="G271" s="190"/>
    </row>
    <row r="272" spans="7:7" ht="15.75" customHeight="1">
      <c r="G272" s="190"/>
    </row>
    <row r="273" spans="7:7" ht="15.75" customHeight="1">
      <c r="G273" s="190"/>
    </row>
    <row r="274" spans="7:7" ht="15.75" customHeight="1">
      <c r="G274" s="190"/>
    </row>
    <row r="275" spans="7:7" ht="15.75" customHeight="1">
      <c r="G275" s="190"/>
    </row>
    <row r="276" spans="7:7" ht="15.75" customHeight="1">
      <c r="G276" s="190"/>
    </row>
    <row r="277" spans="7:7" ht="15.75" customHeight="1">
      <c r="G277" s="190"/>
    </row>
    <row r="278" spans="7:7" ht="15.75" customHeight="1">
      <c r="G278" s="190"/>
    </row>
    <row r="279" spans="7:7" ht="15.75" customHeight="1">
      <c r="G279" s="190"/>
    </row>
    <row r="280" spans="7:7" ht="15.75" customHeight="1">
      <c r="G280" s="190"/>
    </row>
    <row r="281" spans="7:7" ht="15.75" customHeight="1">
      <c r="G281" s="190"/>
    </row>
    <row r="282" spans="7:7" ht="15.75" customHeight="1">
      <c r="G282" s="190"/>
    </row>
    <row r="283" spans="7:7" ht="15.75" customHeight="1">
      <c r="G283" s="190"/>
    </row>
    <row r="284" spans="7:7" ht="15.75" customHeight="1">
      <c r="G284" s="190"/>
    </row>
    <row r="285" spans="7:7" ht="15.75" customHeight="1">
      <c r="G285" s="190"/>
    </row>
    <row r="286" spans="7:7" ht="15.75" customHeight="1">
      <c r="G286" s="190"/>
    </row>
    <row r="287" spans="7:7" ht="15.75" customHeight="1">
      <c r="G287" s="190"/>
    </row>
    <row r="288" spans="7:7" ht="15.75" customHeight="1">
      <c r="G288" s="190"/>
    </row>
    <row r="289" spans="7:7" ht="15.75" customHeight="1">
      <c r="G289" s="190"/>
    </row>
    <row r="290" spans="7:7" ht="15.75" customHeight="1">
      <c r="G290" s="190"/>
    </row>
    <row r="291" spans="7:7" ht="15.75" customHeight="1">
      <c r="G291" s="190"/>
    </row>
    <row r="292" spans="7:7" ht="15.75" customHeight="1">
      <c r="G292" s="190"/>
    </row>
    <row r="293" spans="7:7" ht="15.75" customHeight="1">
      <c r="G293" s="190"/>
    </row>
    <row r="294" spans="7:7" ht="15.75" customHeight="1">
      <c r="G294" s="190"/>
    </row>
    <row r="295" spans="7:7" ht="15.75" customHeight="1">
      <c r="G295" s="190"/>
    </row>
    <row r="296" spans="7:7" ht="15.75" customHeight="1">
      <c r="G296" s="190"/>
    </row>
    <row r="297" spans="7:7" ht="15.75" customHeight="1">
      <c r="G297" s="190"/>
    </row>
    <row r="298" spans="7:7" ht="15.75" customHeight="1">
      <c r="G298" s="190"/>
    </row>
    <row r="299" spans="7:7" ht="15.75" customHeight="1">
      <c r="G299" s="190"/>
    </row>
    <row r="300" spans="7:7" ht="15.75" customHeight="1">
      <c r="G300" s="190"/>
    </row>
    <row r="301" spans="7:7" ht="15.75" customHeight="1">
      <c r="G301" s="190"/>
    </row>
    <row r="302" spans="7:7" ht="15.75" customHeight="1">
      <c r="G302" s="190"/>
    </row>
    <row r="303" spans="7:7" ht="15.75" customHeight="1">
      <c r="G303" s="190"/>
    </row>
    <row r="304" spans="7:7" ht="15.75" customHeight="1">
      <c r="G304" s="190"/>
    </row>
    <row r="305" spans="7:7" ht="15.75" customHeight="1">
      <c r="G305" s="190"/>
    </row>
    <row r="306" spans="7:7" ht="15.75" customHeight="1">
      <c r="G306" s="190"/>
    </row>
    <row r="307" spans="7:7" ht="15.75" customHeight="1">
      <c r="G307" s="190"/>
    </row>
    <row r="308" spans="7:7" ht="15.75" customHeight="1">
      <c r="G308" s="190"/>
    </row>
    <row r="309" spans="7:7" ht="15.75" customHeight="1">
      <c r="G309" s="190"/>
    </row>
    <row r="310" spans="7:7" ht="15.75" customHeight="1">
      <c r="G310" s="190"/>
    </row>
    <row r="311" spans="7:7" ht="15.75" customHeight="1">
      <c r="G311" s="190"/>
    </row>
    <row r="312" spans="7:7" ht="15.75" customHeight="1">
      <c r="G312" s="190"/>
    </row>
    <row r="313" spans="7:7" ht="15.75" customHeight="1">
      <c r="G313" s="190"/>
    </row>
    <row r="314" spans="7:7" ht="15.75" customHeight="1">
      <c r="G314" s="190"/>
    </row>
    <row r="315" spans="7:7" ht="15.75" customHeight="1">
      <c r="G315" s="190"/>
    </row>
    <row r="316" spans="7:7" ht="15.75" customHeight="1">
      <c r="G316" s="190"/>
    </row>
    <row r="317" spans="7:7" ht="15.75" customHeight="1">
      <c r="G317" s="190"/>
    </row>
    <row r="318" spans="7:7" ht="15.75" customHeight="1">
      <c r="G318" s="190"/>
    </row>
    <row r="319" spans="7:7" ht="15.75" customHeight="1">
      <c r="G319" s="190"/>
    </row>
    <row r="320" spans="7:7" ht="15.75" customHeight="1">
      <c r="G320" s="190"/>
    </row>
    <row r="321" spans="7:7" ht="15.75" customHeight="1">
      <c r="G321" s="190"/>
    </row>
    <row r="322" spans="7:7" ht="15.75" customHeight="1">
      <c r="G322" s="190"/>
    </row>
    <row r="323" spans="7:7" ht="15.75" customHeight="1">
      <c r="G323" s="190"/>
    </row>
    <row r="324" spans="7:7" ht="15.75" customHeight="1">
      <c r="G324" s="190"/>
    </row>
    <row r="325" spans="7:7" ht="15.75" customHeight="1">
      <c r="G325" s="190"/>
    </row>
    <row r="326" spans="7:7" ht="15.75" customHeight="1">
      <c r="G326" s="190"/>
    </row>
    <row r="327" spans="7:7" ht="15.75" customHeight="1">
      <c r="G327" s="190"/>
    </row>
    <row r="328" spans="7:7" ht="15.75" customHeight="1">
      <c r="G328" s="190"/>
    </row>
    <row r="329" spans="7:7" ht="15.75" customHeight="1">
      <c r="G329" s="190"/>
    </row>
    <row r="330" spans="7:7" ht="15.75" customHeight="1">
      <c r="G330" s="190"/>
    </row>
    <row r="331" spans="7:7" ht="15.75" customHeight="1">
      <c r="G331" s="190"/>
    </row>
    <row r="332" spans="7:7" ht="15.75" customHeight="1">
      <c r="G332" s="190"/>
    </row>
    <row r="333" spans="7:7" ht="15.75" customHeight="1">
      <c r="G333" s="190"/>
    </row>
    <row r="334" spans="7:7" ht="15.75" customHeight="1">
      <c r="G334" s="190"/>
    </row>
    <row r="335" spans="7:7" ht="15.75" customHeight="1">
      <c r="G335" s="190"/>
    </row>
    <row r="336" spans="7:7" ht="15.75" customHeight="1">
      <c r="G336" s="190"/>
    </row>
    <row r="337" spans="7:7" ht="15.75" customHeight="1">
      <c r="G337" s="190"/>
    </row>
    <row r="338" spans="7:7" ht="15.75" customHeight="1">
      <c r="G338" s="190"/>
    </row>
    <row r="339" spans="7:7" ht="15.75" customHeight="1">
      <c r="G339" s="190"/>
    </row>
    <row r="340" spans="7:7" ht="15.75" customHeight="1">
      <c r="G340" s="190"/>
    </row>
    <row r="341" spans="7:7" ht="15.75" customHeight="1">
      <c r="G341" s="190"/>
    </row>
    <row r="342" spans="7:7" ht="15.75" customHeight="1">
      <c r="G342" s="190"/>
    </row>
    <row r="343" spans="7:7" ht="15.75" customHeight="1">
      <c r="G343" s="190"/>
    </row>
    <row r="344" spans="7:7" ht="15.75" customHeight="1">
      <c r="G344" s="190"/>
    </row>
    <row r="345" spans="7:7" ht="15.75" customHeight="1">
      <c r="G345" s="190"/>
    </row>
    <row r="346" spans="7:7" ht="15.75" customHeight="1">
      <c r="G346" s="190"/>
    </row>
    <row r="347" spans="7:7" ht="15.75" customHeight="1">
      <c r="G347" s="190"/>
    </row>
    <row r="348" spans="7:7" ht="15.75" customHeight="1">
      <c r="G348" s="190"/>
    </row>
    <row r="349" spans="7:7" ht="15.75" customHeight="1">
      <c r="G349" s="190"/>
    </row>
    <row r="350" spans="7:7" ht="15.75" customHeight="1">
      <c r="G350" s="190"/>
    </row>
    <row r="351" spans="7:7" ht="15.75" customHeight="1">
      <c r="G351" s="190"/>
    </row>
    <row r="352" spans="7:7" ht="15.75" customHeight="1">
      <c r="G352" s="190"/>
    </row>
    <row r="353" spans="7:7" ht="15.75" customHeight="1">
      <c r="G353" s="190"/>
    </row>
    <row r="354" spans="7:7" ht="15.75" customHeight="1">
      <c r="G354" s="190"/>
    </row>
    <row r="355" spans="7:7" ht="15.75" customHeight="1">
      <c r="G355" s="190"/>
    </row>
    <row r="356" spans="7:7" ht="15.75" customHeight="1">
      <c r="G356" s="190"/>
    </row>
    <row r="357" spans="7:7" ht="15.75" customHeight="1">
      <c r="G357" s="190"/>
    </row>
    <row r="358" spans="7:7" ht="15.75" customHeight="1">
      <c r="G358" s="190"/>
    </row>
    <row r="359" spans="7:7" ht="15.75" customHeight="1">
      <c r="G359" s="190"/>
    </row>
    <row r="360" spans="7:7" ht="15.75" customHeight="1">
      <c r="G360" s="190"/>
    </row>
    <row r="361" spans="7:7" ht="15.75" customHeight="1">
      <c r="G361" s="190"/>
    </row>
    <row r="362" spans="7:7" ht="15.75" customHeight="1">
      <c r="G362" s="190"/>
    </row>
    <row r="363" spans="7:7" ht="15.75" customHeight="1">
      <c r="G363" s="190"/>
    </row>
    <row r="364" spans="7:7" ht="15.75" customHeight="1">
      <c r="G364" s="190"/>
    </row>
    <row r="365" spans="7:7" ht="15.75" customHeight="1">
      <c r="G365" s="190"/>
    </row>
    <row r="366" spans="7:7" ht="15.75" customHeight="1">
      <c r="G366" s="190"/>
    </row>
    <row r="367" spans="7:7" ht="15.75" customHeight="1">
      <c r="G367" s="190"/>
    </row>
    <row r="368" spans="7:7" ht="15.75" customHeight="1">
      <c r="G368" s="190"/>
    </row>
    <row r="369" spans="7:7" ht="15.75" customHeight="1">
      <c r="G369" s="190"/>
    </row>
    <row r="370" spans="7:7" ht="15.75" customHeight="1">
      <c r="G370" s="190"/>
    </row>
    <row r="371" spans="7:7" ht="15.75" customHeight="1">
      <c r="G371" s="190"/>
    </row>
    <row r="372" spans="7:7" ht="15.75" customHeight="1">
      <c r="G372" s="190"/>
    </row>
    <row r="373" spans="7:7" ht="15.75" customHeight="1">
      <c r="G373" s="190"/>
    </row>
    <row r="374" spans="7:7" ht="15.75" customHeight="1">
      <c r="G374" s="190"/>
    </row>
    <row r="375" spans="7:7" ht="15.75" customHeight="1">
      <c r="G375" s="190"/>
    </row>
    <row r="376" spans="7:7" ht="15.75" customHeight="1">
      <c r="G376" s="190"/>
    </row>
    <row r="377" spans="7:7" ht="15.75" customHeight="1">
      <c r="G377" s="190"/>
    </row>
    <row r="378" spans="7:7" ht="15.75" customHeight="1">
      <c r="G378" s="190"/>
    </row>
    <row r="379" spans="7:7" ht="15.75" customHeight="1">
      <c r="G379" s="190"/>
    </row>
    <row r="380" spans="7:7" ht="15.75" customHeight="1">
      <c r="G380" s="190"/>
    </row>
    <row r="381" spans="7:7" ht="15.75" customHeight="1">
      <c r="G381" s="190"/>
    </row>
    <row r="382" spans="7:7" ht="15.75" customHeight="1">
      <c r="G382" s="190"/>
    </row>
    <row r="383" spans="7:7" ht="15.75" customHeight="1">
      <c r="G383" s="190"/>
    </row>
    <row r="384" spans="7:7" ht="15.75" customHeight="1">
      <c r="G384" s="190"/>
    </row>
    <row r="385" spans="7:7" ht="15.75" customHeight="1">
      <c r="G385" s="190"/>
    </row>
    <row r="386" spans="7:7" ht="15.75" customHeight="1">
      <c r="G386" s="190"/>
    </row>
    <row r="387" spans="7:7" ht="15.75" customHeight="1">
      <c r="G387" s="190"/>
    </row>
    <row r="388" spans="7:7" ht="15.75" customHeight="1">
      <c r="G388" s="190"/>
    </row>
    <row r="389" spans="7:7" ht="15.75" customHeight="1">
      <c r="G389" s="190"/>
    </row>
    <row r="390" spans="7:7" ht="15.75" customHeight="1">
      <c r="G390" s="190"/>
    </row>
    <row r="391" spans="7:7" ht="15.75" customHeight="1">
      <c r="G391" s="190"/>
    </row>
    <row r="392" spans="7:7" ht="15.75" customHeight="1">
      <c r="G392" s="190"/>
    </row>
    <row r="393" spans="7:7" ht="15.75" customHeight="1">
      <c r="G393" s="190"/>
    </row>
    <row r="394" spans="7:7" ht="15.75" customHeight="1">
      <c r="G394" s="190"/>
    </row>
    <row r="395" spans="7:7" ht="15.75" customHeight="1">
      <c r="G395" s="190"/>
    </row>
    <row r="396" spans="7:7" ht="15.75" customHeight="1">
      <c r="G396" s="190"/>
    </row>
    <row r="397" spans="7:7" ht="15.75" customHeight="1">
      <c r="G397" s="190"/>
    </row>
    <row r="398" spans="7:7" ht="15.75" customHeight="1">
      <c r="G398" s="190"/>
    </row>
    <row r="399" spans="7:7" ht="15.75" customHeight="1">
      <c r="G399" s="190"/>
    </row>
    <row r="400" spans="7:7" ht="15.75" customHeight="1">
      <c r="G400" s="190"/>
    </row>
    <row r="401" spans="7:7" ht="15.75" customHeight="1">
      <c r="G401" s="190"/>
    </row>
    <row r="402" spans="7:7" ht="15.75" customHeight="1">
      <c r="G402" s="190"/>
    </row>
    <row r="403" spans="7:7" ht="15.75" customHeight="1">
      <c r="G403" s="190"/>
    </row>
    <row r="404" spans="7:7" ht="15.75" customHeight="1">
      <c r="G404" s="190"/>
    </row>
    <row r="405" spans="7:7" ht="15.75" customHeight="1">
      <c r="G405" s="190"/>
    </row>
    <row r="406" spans="7:7" ht="15.75" customHeight="1">
      <c r="G406" s="190"/>
    </row>
    <row r="407" spans="7:7" ht="15.75" customHeight="1">
      <c r="G407" s="190"/>
    </row>
    <row r="408" spans="7:7" ht="15.75" customHeight="1">
      <c r="G408" s="190"/>
    </row>
    <row r="409" spans="7:7" ht="15.75" customHeight="1">
      <c r="G409" s="190"/>
    </row>
    <row r="410" spans="7:7" ht="15.75" customHeight="1">
      <c r="G410" s="190"/>
    </row>
    <row r="411" spans="7:7" ht="15.75" customHeight="1">
      <c r="G411" s="190"/>
    </row>
    <row r="412" spans="7:7" ht="15.75" customHeight="1">
      <c r="G412" s="190"/>
    </row>
    <row r="413" spans="7:7" ht="15.75" customHeight="1">
      <c r="G413" s="190"/>
    </row>
    <row r="414" spans="7:7" ht="15.75" customHeight="1">
      <c r="G414" s="190"/>
    </row>
    <row r="415" spans="7:7" ht="15.75" customHeight="1">
      <c r="G415" s="190"/>
    </row>
    <row r="416" spans="7:7" ht="15.75" customHeight="1">
      <c r="G416" s="190"/>
    </row>
    <row r="417" spans="7:7" ht="15.75" customHeight="1">
      <c r="G417" s="190"/>
    </row>
    <row r="418" spans="7:7" ht="15.75" customHeight="1">
      <c r="G418" s="190"/>
    </row>
    <row r="419" spans="7:7" ht="15.75" customHeight="1">
      <c r="G419" s="190"/>
    </row>
    <row r="420" spans="7:7" ht="15.75" customHeight="1">
      <c r="G420" s="190"/>
    </row>
    <row r="421" spans="7:7" ht="15.75" customHeight="1">
      <c r="G421" s="190"/>
    </row>
    <row r="422" spans="7:7" ht="15.75" customHeight="1">
      <c r="G422" s="190"/>
    </row>
    <row r="423" spans="7:7" ht="15.75" customHeight="1">
      <c r="G423" s="190"/>
    </row>
    <row r="424" spans="7:7" ht="15.75" customHeight="1">
      <c r="G424" s="190"/>
    </row>
    <row r="425" spans="7:7" ht="15.75" customHeight="1">
      <c r="G425" s="190"/>
    </row>
    <row r="426" spans="7:7" ht="15.75" customHeight="1">
      <c r="G426" s="190"/>
    </row>
    <row r="427" spans="7:7" ht="15.75" customHeight="1">
      <c r="G427" s="190"/>
    </row>
    <row r="428" spans="7:7" ht="15.75" customHeight="1">
      <c r="G428" s="190"/>
    </row>
    <row r="429" spans="7:7" ht="15.75" customHeight="1">
      <c r="G429" s="190"/>
    </row>
    <row r="430" spans="7:7" ht="15.75" customHeight="1">
      <c r="G430" s="190"/>
    </row>
    <row r="431" spans="7:7" ht="15.75" customHeight="1">
      <c r="G431" s="190"/>
    </row>
    <row r="432" spans="7:7" ht="15.75" customHeight="1">
      <c r="G432" s="190"/>
    </row>
    <row r="433" spans="7:7" ht="15.75" customHeight="1">
      <c r="G433" s="190"/>
    </row>
    <row r="434" spans="7:7" ht="15.75" customHeight="1">
      <c r="G434" s="190"/>
    </row>
    <row r="435" spans="7:7" ht="15.75" customHeight="1">
      <c r="G435" s="190"/>
    </row>
    <row r="436" spans="7:7" ht="15.75" customHeight="1">
      <c r="G436" s="190"/>
    </row>
    <row r="437" spans="7:7" ht="15.75" customHeight="1">
      <c r="G437" s="190"/>
    </row>
    <row r="438" spans="7:7" ht="15.75" customHeight="1">
      <c r="G438" s="190"/>
    </row>
    <row r="439" spans="7:7" ht="15.75" customHeight="1">
      <c r="G439" s="190"/>
    </row>
    <row r="440" spans="7:7" ht="15.75" customHeight="1">
      <c r="G440" s="190"/>
    </row>
    <row r="441" spans="7:7" ht="15.75" customHeight="1">
      <c r="G441" s="190"/>
    </row>
    <row r="442" spans="7:7" ht="15.75" customHeight="1">
      <c r="G442" s="190"/>
    </row>
    <row r="443" spans="7:7" ht="15.75" customHeight="1">
      <c r="G443" s="190"/>
    </row>
    <row r="444" spans="7:7" ht="15.75" customHeight="1">
      <c r="G444" s="190"/>
    </row>
    <row r="445" spans="7:7" ht="15.75" customHeight="1">
      <c r="G445" s="190"/>
    </row>
    <row r="446" spans="7:7" ht="15.75" customHeight="1">
      <c r="G446" s="190"/>
    </row>
    <row r="447" spans="7:7" ht="15.75" customHeight="1">
      <c r="G447" s="190"/>
    </row>
    <row r="448" spans="7:7" ht="15.75" customHeight="1">
      <c r="G448" s="190"/>
    </row>
    <row r="449" spans="7:7" ht="15.75" customHeight="1">
      <c r="G449" s="190"/>
    </row>
    <row r="450" spans="7:7" ht="15.75" customHeight="1">
      <c r="G450" s="190"/>
    </row>
    <row r="451" spans="7:7" ht="15.75" customHeight="1">
      <c r="G451" s="190"/>
    </row>
    <row r="452" spans="7:7" ht="15.75" customHeight="1">
      <c r="G452" s="190"/>
    </row>
    <row r="453" spans="7:7" ht="15.75" customHeight="1">
      <c r="G453" s="190"/>
    </row>
    <row r="454" spans="7:7" ht="15.75" customHeight="1">
      <c r="G454" s="190"/>
    </row>
    <row r="455" spans="7:7" ht="15.75" customHeight="1">
      <c r="G455" s="190"/>
    </row>
    <row r="456" spans="7:7" ht="15.75" customHeight="1">
      <c r="G456" s="190"/>
    </row>
    <row r="457" spans="7:7" ht="15.75" customHeight="1">
      <c r="G457" s="190"/>
    </row>
    <row r="458" spans="7:7" ht="15.75" customHeight="1">
      <c r="G458" s="190"/>
    </row>
    <row r="459" spans="7:7" ht="15.75" customHeight="1">
      <c r="G459" s="190"/>
    </row>
    <row r="460" spans="7:7" ht="15.75" customHeight="1">
      <c r="G460" s="190"/>
    </row>
    <row r="461" spans="7:7" ht="15.75" customHeight="1">
      <c r="G461" s="190"/>
    </row>
    <row r="462" spans="7:7" ht="15.75" customHeight="1">
      <c r="G462" s="190"/>
    </row>
    <row r="463" spans="7:7" ht="15.75" customHeight="1">
      <c r="G463" s="190"/>
    </row>
    <row r="464" spans="7:7" ht="15.75" customHeight="1">
      <c r="G464" s="190"/>
    </row>
    <row r="465" spans="7:7" ht="15.75" customHeight="1">
      <c r="G465" s="190"/>
    </row>
    <row r="466" spans="7:7" ht="15.75" customHeight="1">
      <c r="G466" s="190"/>
    </row>
    <row r="467" spans="7:7" ht="15.75" customHeight="1">
      <c r="G467" s="190"/>
    </row>
    <row r="468" spans="7:7" ht="15.75" customHeight="1">
      <c r="G468" s="190"/>
    </row>
    <row r="469" spans="7:7" ht="15.75" customHeight="1">
      <c r="G469" s="190"/>
    </row>
    <row r="470" spans="7:7" ht="15.75" customHeight="1">
      <c r="G470" s="190"/>
    </row>
    <row r="471" spans="7:7" ht="15.75" customHeight="1">
      <c r="G471" s="190"/>
    </row>
    <row r="472" spans="7:7" ht="15.75" customHeight="1">
      <c r="G472" s="190"/>
    </row>
    <row r="473" spans="7:7" ht="15.75" customHeight="1">
      <c r="G473" s="190"/>
    </row>
    <row r="474" spans="7:7" ht="15.75" customHeight="1">
      <c r="G474" s="190"/>
    </row>
    <row r="475" spans="7:7" ht="15.75" customHeight="1">
      <c r="G475" s="190"/>
    </row>
    <row r="476" spans="7:7" ht="15.75" customHeight="1">
      <c r="G476" s="190"/>
    </row>
    <row r="477" spans="7:7" ht="15.75" customHeight="1">
      <c r="G477" s="190"/>
    </row>
    <row r="478" spans="7:7" ht="15.75" customHeight="1">
      <c r="G478" s="190"/>
    </row>
    <row r="479" spans="7:7" ht="15.75" customHeight="1">
      <c r="G479" s="190"/>
    </row>
    <row r="480" spans="7:7" ht="15.75" customHeight="1">
      <c r="G480" s="190"/>
    </row>
    <row r="481" spans="7:7" ht="15.75" customHeight="1">
      <c r="G481" s="190"/>
    </row>
    <row r="482" spans="7:7" ht="15.75" customHeight="1">
      <c r="G482" s="190"/>
    </row>
    <row r="483" spans="7:7" ht="15.75" customHeight="1">
      <c r="G483" s="190"/>
    </row>
    <row r="484" spans="7:7" ht="15.75" customHeight="1">
      <c r="G484" s="190"/>
    </row>
    <row r="485" spans="7:7" ht="15.75" customHeight="1">
      <c r="G485" s="190"/>
    </row>
    <row r="486" spans="7:7" ht="15.75" customHeight="1">
      <c r="G486" s="190"/>
    </row>
    <row r="487" spans="7:7" ht="15.75" customHeight="1">
      <c r="G487" s="190"/>
    </row>
    <row r="488" spans="7:7" ht="15.75" customHeight="1">
      <c r="G488" s="190"/>
    </row>
    <row r="489" spans="7:7" ht="15.75" customHeight="1">
      <c r="G489" s="190"/>
    </row>
    <row r="490" spans="7:7" ht="15.75" customHeight="1">
      <c r="G490" s="190"/>
    </row>
    <row r="491" spans="7:7" ht="15.75" customHeight="1">
      <c r="G491" s="190"/>
    </row>
    <row r="492" spans="7:7" ht="15.75" customHeight="1">
      <c r="G492" s="190"/>
    </row>
    <row r="493" spans="7:7" ht="15.75" customHeight="1">
      <c r="G493" s="190"/>
    </row>
    <row r="494" spans="7:7" ht="15.75" customHeight="1">
      <c r="G494" s="190"/>
    </row>
    <row r="495" spans="7:7" ht="15.75" customHeight="1">
      <c r="G495" s="190"/>
    </row>
    <row r="496" spans="7:7" ht="15.75" customHeight="1">
      <c r="G496" s="190"/>
    </row>
    <row r="497" spans="7:7" ht="15.75" customHeight="1">
      <c r="G497" s="190"/>
    </row>
    <row r="498" spans="7:7" ht="15.75" customHeight="1">
      <c r="G498" s="190"/>
    </row>
    <row r="499" spans="7:7" ht="15.75" customHeight="1">
      <c r="G499" s="190"/>
    </row>
    <row r="500" spans="7:7" ht="15.75" customHeight="1">
      <c r="G500" s="190"/>
    </row>
    <row r="501" spans="7:7" ht="15.75" customHeight="1">
      <c r="G501" s="190"/>
    </row>
    <row r="502" spans="7:7" ht="15.75" customHeight="1">
      <c r="G502" s="190"/>
    </row>
    <row r="503" spans="7:7" ht="15.75" customHeight="1">
      <c r="G503" s="190"/>
    </row>
    <row r="504" spans="7:7" ht="15.75" customHeight="1">
      <c r="G504" s="190"/>
    </row>
    <row r="505" spans="7:7" ht="15.75" customHeight="1">
      <c r="G505" s="190"/>
    </row>
    <row r="506" spans="7:7" ht="15.75" customHeight="1">
      <c r="G506" s="190"/>
    </row>
    <row r="507" spans="7:7" ht="15.75" customHeight="1">
      <c r="G507" s="190"/>
    </row>
    <row r="508" spans="7:7" ht="15.75" customHeight="1">
      <c r="G508" s="190"/>
    </row>
    <row r="509" spans="7:7" ht="15.75" customHeight="1">
      <c r="G509" s="190"/>
    </row>
    <row r="510" spans="7:7" ht="15.75" customHeight="1">
      <c r="G510" s="190"/>
    </row>
    <row r="511" spans="7:7" ht="15.75" customHeight="1">
      <c r="G511" s="190"/>
    </row>
    <row r="512" spans="7:7" ht="15.75" customHeight="1">
      <c r="G512" s="190"/>
    </row>
    <row r="513" spans="7:7" ht="15.75" customHeight="1">
      <c r="G513" s="190"/>
    </row>
    <row r="514" spans="7:7" ht="15.75" customHeight="1">
      <c r="G514" s="190"/>
    </row>
    <row r="515" spans="7:7" ht="15.75" customHeight="1">
      <c r="G515" s="190"/>
    </row>
    <row r="516" spans="7:7" ht="15.75" customHeight="1">
      <c r="G516" s="190"/>
    </row>
    <row r="517" spans="7:7" ht="15.75" customHeight="1">
      <c r="G517" s="190"/>
    </row>
    <row r="518" spans="7:7" ht="15.75" customHeight="1">
      <c r="G518" s="190"/>
    </row>
    <row r="519" spans="7:7" ht="15.75" customHeight="1">
      <c r="G519" s="190"/>
    </row>
    <row r="520" spans="7:7" ht="15.75" customHeight="1">
      <c r="G520" s="190"/>
    </row>
    <row r="521" spans="7:7" ht="15.75" customHeight="1">
      <c r="G521" s="190"/>
    </row>
    <row r="522" spans="7:7" ht="15.75" customHeight="1">
      <c r="G522" s="190"/>
    </row>
    <row r="523" spans="7:7" ht="15.75" customHeight="1">
      <c r="G523" s="190"/>
    </row>
    <row r="524" spans="7:7" ht="15.75" customHeight="1">
      <c r="G524" s="190"/>
    </row>
    <row r="525" spans="7:7" ht="15.75" customHeight="1">
      <c r="G525" s="190"/>
    </row>
    <row r="526" spans="7:7" ht="15.75" customHeight="1">
      <c r="G526" s="190"/>
    </row>
    <row r="527" spans="7:7" ht="15.75" customHeight="1">
      <c r="G527" s="190"/>
    </row>
    <row r="528" spans="7:7" ht="15.75" customHeight="1">
      <c r="G528" s="190"/>
    </row>
    <row r="529" spans="7:7" ht="15.75" customHeight="1">
      <c r="G529" s="190"/>
    </row>
    <row r="530" spans="7:7" ht="15.75" customHeight="1">
      <c r="G530" s="190"/>
    </row>
    <row r="531" spans="7:7" ht="15.75" customHeight="1">
      <c r="G531" s="190"/>
    </row>
    <row r="532" spans="7:7" ht="15.75" customHeight="1">
      <c r="G532" s="190"/>
    </row>
    <row r="533" spans="7:7" ht="15.75" customHeight="1">
      <c r="G533" s="190"/>
    </row>
    <row r="534" spans="7:7" ht="15.75" customHeight="1">
      <c r="G534" s="190"/>
    </row>
    <row r="535" spans="7:7" ht="15.75" customHeight="1">
      <c r="G535" s="190"/>
    </row>
    <row r="536" spans="7:7" ht="15.75" customHeight="1">
      <c r="G536" s="190"/>
    </row>
    <row r="537" spans="7:7" ht="15.75" customHeight="1">
      <c r="G537" s="190"/>
    </row>
    <row r="538" spans="7:7" ht="15.75" customHeight="1">
      <c r="G538" s="190"/>
    </row>
    <row r="539" spans="7:7" ht="15.75" customHeight="1">
      <c r="G539" s="190"/>
    </row>
    <row r="540" spans="7:7" ht="15.75" customHeight="1">
      <c r="G540" s="190"/>
    </row>
    <row r="541" spans="7:7" ht="15.75" customHeight="1">
      <c r="G541" s="190"/>
    </row>
    <row r="542" spans="7:7" ht="15.75" customHeight="1">
      <c r="G542" s="190"/>
    </row>
    <row r="543" spans="7:7" ht="15.75" customHeight="1">
      <c r="G543" s="190"/>
    </row>
    <row r="544" spans="7:7" ht="15.75" customHeight="1">
      <c r="G544" s="190"/>
    </row>
    <row r="545" spans="7:7" ht="15.75" customHeight="1">
      <c r="G545" s="190"/>
    </row>
    <row r="546" spans="7:7" ht="15.75" customHeight="1">
      <c r="G546" s="190"/>
    </row>
    <row r="547" spans="7:7" ht="15.75" customHeight="1">
      <c r="G547" s="190"/>
    </row>
    <row r="548" spans="7:7" ht="15.75" customHeight="1">
      <c r="G548" s="190"/>
    </row>
    <row r="549" spans="7:7" ht="15.75" customHeight="1">
      <c r="G549" s="190"/>
    </row>
    <row r="550" spans="7:7" ht="15.75" customHeight="1">
      <c r="G550" s="190"/>
    </row>
    <row r="551" spans="7:7" ht="15.75" customHeight="1">
      <c r="G551" s="190"/>
    </row>
    <row r="552" spans="7:7" ht="15.75" customHeight="1">
      <c r="G552" s="190"/>
    </row>
    <row r="553" spans="7:7" ht="15.75" customHeight="1">
      <c r="G553" s="190"/>
    </row>
    <row r="554" spans="7:7" ht="15.75" customHeight="1">
      <c r="G554" s="190"/>
    </row>
    <row r="555" spans="7:7" ht="15.75" customHeight="1">
      <c r="G555" s="190"/>
    </row>
    <row r="556" spans="7:7" ht="15.75" customHeight="1">
      <c r="G556" s="190"/>
    </row>
    <row r="557" spans="7:7" ht="15.75" customHeight="1">
      <c r="G557" s="190"/>
    </row>
    <row r="558" spans="7:7" ht="15.75" customHeight="1">
      <c r="G558" s="190"/>
    </row>
    <row r="559" spans="7:7" ht="15.75" customHeight="1">
      <c r="G559" s="190"/>
    </row>
    <row r="560" spans="7:7" ht="15.75" customHeight="1">
      <c r="G560" s="190"/>
    </row>
    <row r="561" spans="7:7" ht="15.75" customHeight="1">
      <c r="G561" s="190"/>
    </row>
    <row r="562" spans="7:7" ht="15.75" customHeight="1">
      <c r="G562" s="190"/>
    </row>
    <row r="563" spans="7:7" ht="15.75" customHeight="1">
      <c r="G563" s="190"/>
    </row>
    <row r="564" spans="7:7" ht="15.75" customHeight="1">
      <c r="G564" s="190"/>
    </row>
    <row r="565" spans="7:7" ht="15.75" customHeight="1">
      <c r="G565" s="190"/>
    </row>
    <row r="566" spans="7:7" ht="15.75" customHeight="1">
      <c r="G566" s="190"/>
    </row>
    <row r="567" spans="7:7" ht="15.75" customHeight="1">
      <c r="G567" s="190"/>
    </row>
    <row r="568" spans="7:7" ht="15.75" customHeight="1">
      <c r="G568" s="190"/>
    </row>
    <row r="569" spans="7:7" ht="15.75" customHeight="1">
      <c r="G569" s="190"/>
    </row>
    <row r="570" spans="7:7" ht="15.75" customHeight="1">
      <c r="G570" s="190"/>
    </row>
    <row r="571" spans="7:7" ht="15.75" customHeight="1">
      <c r="G571" s="190"/>
    </row>
    <row r="572" spans="7:7" ht="15.75" customHeight="1">
      <c r="G572" s="190"/>
    </row>
    <row r="573" spans="7:7" ht="15.75" customHeight="1">
      <c r="G573" s="190"/>
    </row>
    <row r="574" spans="7:7" ht="15.75" customHeight="1">
      <c r="G574" s="190"/>
    </row>
    <row r="575" spans="7:7" ht="15.75" customHeight="1">
      <c r="G575" s="190"/>
    </row>
    <row r="576" spans="7:7" ht="15.75" customHeight="1">
      <c r="G576" s="190"/>
    </row>
    <row r="577" spans="7:7" ht="15.75" customHeight="1">
      <c r="G577" s="190"/>
    </row>
    <row r="578" spans="7:7" ht="15.75" customHeight="1">
      <c r="G578" s="190"/>
    </row>
    <row r="579" spans="7:7" ht="15.75" customHeight="1">
      <c r="G579" s="190"/>
    </row>
    <row r="580" spans="7:7" ht="15.75" customHeight="1">
      <c r="G580" s="190"/>
    </row>
    <row r="581" spans="7:7" ht="15.75" customHeight="1">
      <c r="G581" s="190"/>
    </row>
    <row r="582" spans="7:7" ht="15.75" customHeight="1">
      <c r="G582" s="190"/>
    </row>
    <row r="583" spans="7:7" ht="15.75" customHeight="1">
      <c r="G583" s="190"/>
    </row>
    <row r="584" spans="7:7" ht="15.75" customHeight="1">
      <c r="G584" s="190"/>
    </row>
    <row r="585" spans="7:7" ht="15.75" customHeight="1">
      <c r="G585" s="190"/>
    </row>
    <row r="586" spans="7:7" ht="15.75" customHeight="1">
      <c r="G586" s="190"/>
    </row>
    <row r="587" spans="7:7" ht="15.75" customHeight="1">
      <c r="G587" s="190"/>
    </row>
    <row r="588" spans="7:7" ht="15.75" customHeight="1">
      <c r="G588" s="190"/>
    </row>
    <row r="589" spans="7:7" ht="15.75" customHeight="1">
      <c r="G589" s="190"/>
    </row>
    <row r="590" spans="7:7" ht="15.75" customHeight="1">
      <c r="G590" s="190"/>
    </row>
    <row r="591" spans="7:7" ht="15.75" customHeight="1">
      <c r="G591" s="190"/>
    </row>
    <row r="592" spans="7:7" ht="15.75" customHeight="1">
      <c r="G592" s="190"/>
    </row>
    <row r="593" spans="7:7" ht="15.75" customHeight="1">
      <c r="G593" s="190"/>
    </row>
    <row r="594" spans="7:7" ht="15.75" customHeight="1">
      <c r="G594" s="190"/>
    </row>
    <row r="595" spans="7:7" ht="15.75" customHeight="1">
      <c r="G595" s="190"/>
    </row>
    <row r="596" spans="7:7" ht="15.75" customHeight="1">
      <c r="G596" s="190"/>
    </row>
    <row r="597" spans="7:7" ht="15.75" customHeight="1">
      <c r="G597" s="190"/>
    </row>
    <row r="598" spans="7:7" ht="15.75" customHeight="1">
      <c r="G598" s="190"/>
    </row>
    <row r="599" spans="7:7" ht="15.75" customHeight="1">
      <c r="G599" s="190"/>
    </row>
    <row r="600" spans="7:7" ht="15.75" customHeight="1">
      <c r="G600" s="190"/>
    </row>
    <row r="601" spans="7:7" ht="15.75" customHeight="1">
      <c r="G601" s="190"/>
    </row>
    <row r="602" spans="7:7" ht="15.75" customHeight="1">
      <c r="G602" s="190"/>
    </row>
    <row r="603" spans="7:7" ht="15.75" customHeight="1">
      <c r="G603" s="190"/>
    </row>
    <row r="604" spans="7:7" ht="15.75" customHeight="1">
      <c r="G604" s="190"/>
    </row>
    <row r="605" spans="7:7" ht="15.75" customHeight="1">
      <c r="G605" s="190"/>
    </row>
    <row r="606" spans="7:7" ht="15.75" customHeight="1">
      <c r="G606" s="190"/>
    </row>
    <row r="607" spans="7:7" ht="15.75" customHeight="1">
      <c r="G607" s="190"/>
    </row>
    <row r="608" spans="7:7" ht="15.75" customHeight="1">
      <c r="G608" s="190"/>
    </row>
    <row r="609" spans="7:7" ht="15.75" customHeight="1">
      <c r="G609" s="190"/>
    </row>
    <row r="610" spans="7:7" ht="15.75" customHeight="1">
      <c r="G610" s="190"/>
    </row>
    <row r="611" spans="7:7" ht="15.75" customHeight="1">
      <c r="G611" s="190"/>
    </row>
    <row r="612" spans="7:7" ht="15.75" customHeight="1">
      <c r="G612" s="190"/>
    </row>
    <row r="613" spans="7:7" ht="15.75" customHeight="1">
      <c r="G613" s="190"/>
    </row>
    <row r="614" spans="7:7" ht="15.75" customHeight="1">
      <c r="G614" s="190"/>
    </row>
    <row r="615" spans="7:7" ht="15.75" customHeight="1">
      <c r="G615" s="190"/>
    </row>
    <row r="616" spans="7:7" ht="15.75" customHeight="1">
      <c r="G616" s="190"/>
    </row>
    <row r="617" spans="7:7" ht="15.75" customHeight="1">
      <c r="G617" s="190"/>
    </row>
    <row r="618" spans="7:7" ht="15.75" customHeight="1">
      <c r="G618" s="190"/>
    </row>
    <row r="619" spans="7:7" ht="15.75" customHeight="1">
      <c r="G619" s="190"/>
    </row>
    <row r="620" spans="7:7" ht="15.75" customHeight="1">
      <c r="G620" s="190"/>
    </row>
    <row r="621" spans="7:7" ht="15.75" customHeight="1">
      <c r="G621" s="190"/>
    </row>
    <row r="622" spans="7:7" ht="15.75" customHeight="1">
      <c r="G622" s="190"/>
    </row>
    <row r="623" spans="7:7" ht="15.75" customHeight="1">
      <c r="G623" s="190"/>
    </row>
    <row r="624" spans="7:7" ht="15.75" customHeight="1">
      <c r="G624" s="190"/>
    </row>
    <row r="625" spans="7:7" ht="15.75" customHeight="1">
      <c r="G625" s="190"/>
    </row>
    <row r="626" spans="7:7" ht="15.75" customHeight="1">
      <c r="G626" s="190"/>
    </row>
    <row r="627" spans="7:7" ht="15.75" customHeight="1">
      <c r="G627" s="190"/>
    </row>
    <row r="628" spans="7:7" ht="15.75" customHeight="1">
      <c r="G628" s="190"/>
    </row>
    <row r="629" spans="7:7" ht="15.75" customHeight="1">
      <c r="G629" s="190"/>
    </row>
    <row r="630" spans="7:7" ht="15.75" customHeight="1">
      <c r="G630" s="190"/>
    </row>
    <row r="631" spans="7:7" ht="15.75" customHeight="1">
      <c r="G631" s="190"/>
    </row>
    <row r="632" spans="7:7" ht="15.75" customHeight="1">
      <c r="G632" s="190"/>
    </row>
    <row r="633" spans="7:7" ht="15.75" customHeight="1">
      <c r="G633" s="190"/>
    </row>
    <row r="634" spans="7:7" ht="15.75" customHeight="1">
      <c r="G634" s="190"/>
    </row>
    <row r="635" spans="7:7" ht="15.75" customHeight="1">
      <c r="G635" s="190"/>
    </row>
    <row r="636" spans="7:7" ht="15.75" customHeight="1">
      <c r="G636" s="190"/>
    </row>
    <row r="637" spans="7:7" ht="15.75" customHeight="1">
      <c r="G637" s="190"/>
    </row>
    <row r="638" spans="7:7" ht="15.75" customHeight="1">
      <c r="G638" s="190"/>
    </row>
    <row r="639" spans="7:7" ht="15.75" customHeight="1">
      <c r="G639" s="190"/>
    </row>
    <row r="640" spans="7:7" ht="15.75" customHeight="1">
      <c r="G640" s="190"/>
    </row>
    <row r="641" spans="7:7" ht="15.75" customHeight="1">
      <c r="G641" s="190"/>
    </row>
    <row r="642" spans="7:7" ht="15.75" customHeight="1">
      <c r="G642" s="190"/>
    </row>
    <row r="643" spans="7:7" ht="15.75" customHeight="1">
      <c r="G643" s="190"/>
    </row>
    <row r="644" spans="7:7" ht="15.75" customHeight="1">
      <c r="G644" s="190"/>
    </row>
    <row r="645" spans="7:7" ht="15.75" customHeight="1">
      <c r="G645" s="190"/>
    </row>
    <row r="646" spans="7:7" ht="15.75" customHeight="1">
      <c r="G646" s="190"/>
    </row>
    <row r="647" spans="7:7" ht="15.75" customHeight="1">
      <c r="G647" s="190"/>
    </row>
    <row r="648" spans="7:7" ht="15.75" customHeight="1">
      <c r="G648" s="190"/>
    </row>
    <row r="649" spans="7:7" ht="15.75" customHeight="1">
      <c r="G649" s="190"/>
    </row>
    <row r="650" spans="7:7" ht="15.75" customHeight="1">
      <c r="G650" s="190"/>
    </row>
    <row r="651" spans="7:7" ht="15.75" customHeight="1">
      <c r="G651" s="190"/>
    </row>
    <row r="652" spans="7:7" ht="15.75" customHeight="1">
      <c r="G652" s="190"/>
    </row>
    <row r="653" spans="7:7" ht="15.75" customHeight="1">
      <c r="G653" s="190"/>
    </row>
    <row r="654" spans="7:7" ht="15.75" customHeight="1">
      <c r="G654" s="190"/>
    </row>
    <row r="655" spans="7:7" ht="15.75" customHeight="1">
      <c r="G655" s="190"/>
    </row>
    <row r="656" spans="7:7" ht="15.75" customHeight="1">
      <c r="G656" s="190"/>
    </row>
    <row r="657" spans="7:7" ht="15.75" customHeight="1">
      <c r="G657" s="190"/>
    </row>
    <row r="658" spans="7:7" ht="15.75" customHeight="1">
      <c r="G658" s="190"/>
    </row>
    <row r="659" spans="7:7" ht="15.75" customHeight="1">
      <c r="G659" s="190"/>
    </row>
    <row r="660" spans="7:7" ht="15.75" customHeight="1">
      <c r="G660" s="190"/>
    </row>
    <row r="661" spans="7:7" ht="15.75" customHeight="1">
      <c r="G661" s="190"/>
    </row>
    <row r="662" spans="7:7" ht="15.75" customHeight="1">
      <c r="G662" s="190"/>
    </row>
    <row r="663" spans="7:7" ht="15.75" customHeight="1">
      <c r="G663" s="190"/>
    </row>
    <row r="664" spans="7:7" ht="15.75" customHeight="1">
      <c r="G664" s="190"/>
    </row>
    <row r="665" spans="7:7" ht="15.75" customHeight="1">
      <c r="G665" s="190"/>
    </row>
    <row r="666" spans="7:7" ht="15.75" customHeight="1">
      <c r="G666" s="190"/>
    </row>
    <row r="667" spans="7:7" ht="15.75" customHeight="1">
      <c r="G667" s="190"/>
    </row>
    <row r="668" spans="7:7" ht="15.75" customHeight="1">
      <c r="G668" s="190"/>
    </row>
    <row r="669" spans="7:7" ht="15.75" customHeight="1">
      <c r="G669" s="190"/>
    </row>
    <row r="670" spans="7:7" ht="15.75" customHeight="1">
      <c r="G670" s="190"/>
    </row>
    <row r="671" spans="7:7" ht="15.75" customHeight="1">
      <c r="G671" s="190"/>
    </row>
    <row r="672" spans="7:7" ht="15.75" customHeight="1">
      <c r="G672" s="190"/>
    </row>
    <row r="673" spans="7:7" ht="15.75" customHeight="1">
      <c r="G673" s="190"/>
    </row>
    <row r="674" spans="7:7" ht="15.75" customHeight="1">
      <c r="G674" s="190"/>
    </row>
    <row r="675" spans="7:7" ht="15.75" customHeight="1">
      <c r="G675" s="190"/>
    </row>
    <row r="676" spans="7:7" ht="15.75" customHeight="1">
      <c r="G676" s="190"/>
    </row>
    <row r="677" spans="7:7" ht="15.75" customHeight="1">
      <c r="G677" s="190"/>
    </row>
    <row r="678" spans="7:7" ht="15.75" customHeight="1">
      <c r="G678" s="190"/>
    </row>
    <row r="679" spans="7:7" ht="15.75" customHeight="1">
      <c r="G679" s="190"/>
    </row>
    <row r="680" spans="7:7" ht="15.75" customHeight="1">
      <c r="G680" s="190"/>
    </row>
    <row r="681" spans="7:7" ht="15.75" customHeight="1">
      <c r="G681" s="190"/>
    </row>
    <row r="682" spans="7:7" ht="15.75" customHeight="1">
      <c r="G682" s="190"/>
    </row>
    <row r="683" spans="7:7" ht="15.75" customHeight="1">
      <c r="G683" s="190"/>
    </row>
    <row r="684" spans="7:7" ht="15.75" customHeight="1">
      <c r="G684" s="190"/>
    </row>
    <row r="685" spans="7:7" ht="15.75" customHeight="1">
      <c r="G685" s="190"/>
    </row>
    <row r="686" spans="7:7" ht="15.75" customHeight="1">
      <c r="G686" s="190"/>
    </row>
    <row r="687" spans="7:7" ht="15.75" customHeight="1">
      <c r="G687" s="190"/>
    </row>
    <row r="688" spans="7:7" ht="15.75" customHeight="1">
      <c r="G688" s="190"/>
    </row>
    <row r="689" spans="7:7" ht="15.75" customHeight="1">
      <c r="G689" s="190"/>
    </row>
    <row r="690" spans="7:7" ht="15.75" customHeight="1">
      <c r="G690" s="190"/>
    </row>
    <row r="691" spans="7:7" ht="15.75" customHeight="1">
      <c r="G691" s="190"/>
    </row>
    <row r="692" spans="7:7" ht="15.75" customHeight="1">
      <c r="G692" s="190"/>
    </row>
    <row r="693" spans="7:7" ht="15.75" customHeight="1">
      <c r="G693" s="190"/>
    </row>
    <row r="694" spans="7:7" ht="15.75" customHeight="1">
      <c r="G694" s="190"/>
    </row>
    <row r="695" spans="7:7" ht="15.75" customHeight="1">
      <c r="G695" s="190"/>
    </row>
    <row r="696" spans="7:7" ht="15.75" customHeight="1">
      <c r="G696" s="190"/>
    </row>
    <row r="697" spans="7:7" ht="15.75" customHeight="1">
      <c r="G697" s="190"/>
    </row>
    <row r="698" spans="7:7" ht="15.75" customHeight="1">
      <c r="G698" s="190"/>
    </row>
    <row r="699" spans="7:7" ht="15.75" customHeight="1">
      <c r="G699" s="190"/>
    </row>
    <row r="700" spans="7:7" ht="15.75" customHeight="1">
      <c r="G700" s="190"/>
    </row>
    <row r="701" spans="7:7" ht="15.75" customHeight="1">
      <c r="G701" s="190"/>
    </row>
    <row r="702" spans="7:7" ht="15.75" customHeight="1">
      <c r="G702" s="190"/>
    </row>
    <row r="703" spans="7:7" ht="15.75" customHeight="1">
      <c r="G703" s="190"/>
    </row>
    <row r="704" spans="7:7" ht="15.75" customHeight="1">
      <c r="G704" s="190"/>
    </row>
    <row r="705" spans="7:7" ht="15.75" customHeight="1">
      <c r="G705" s="190"/>
    </row>
    <row r="706" spans="7:7" ht="15.75" customHeight="1">
      <c r="G706" s="190"/>
    </row>
    <row r="707" spans="7:7" ht="15.75" customHeight="1">
      <c r="G707" s="190"/>
    </row>
    <row r="708" spans="7:7" ht="15.75" customHeight="1">
      <c r="G708" s="190"/>
    </row>
    <row r="709" spans="7:7" ht="15.75" customHeight="1">
      <c r="G709" s="190"/>
    </row>
    <row r="710" spans="7:7" ht="15.75" customHeight="1">
      <c r="G710" s="190"/>
    </row>
    <row r="711" spans="7:7" ht="15.75" customHeight="1">
      <c r="G711" s="190"/>
    </row>
    <row r="712" spans="7:7" ht="15.75" customHeight="1">
      <c r="G712" s="190"/>
    </row>
    <row r="713" spans="7:7" ht="15.75" customHeight="1">
      <c r="G713" s="190"/>
    </row>
    <row r="714" spans="7:7" ht="15.75" customHeight="1">
      <c r="G714" s="190"/>
    </row>
    <row r="715" spans="7:7" ht="15.75" customHeight="1">
      <c r="G715" s="190"/>
    </row>
    <row r="716" spans="7:7" ht="15.75" customHeight="1">
      <c r="G716" s="190"/>
    </row>
    <row r="717" spans="7:7" ht="15.75" customHeight="1">
      <c r="G717" s="190"/>
    </row>
    <row r="718" spans="7:7" ht="15.75" customHeight="1">
      <c r="G718" s="190"/>
    </row>
    <row r="719" spans="7:7" ht="15.75" customHeight="1">
      <c r="G719" s="190"/>
    </row>
    <row r="720" spans="7:7" ht="15.75" customHeight="1">
      <c r="G720" s="190"/>
    </row>
    <row r="721" spans="7:7" ht="15.75" customHeight="1">
      <c r="G721" s="190"/>
    </row>
    <row r="722" spans="7:7" ht="15.75" customHeight="1">
      <c r="G722" s="190"/>
    </row>
    <row r="723" spans="7:7" ht="15.75" customHeight="1">
      <c r="G723" s="190"/>
    </row>
    <row r="724" spans="7:7" ht="15.75" customHeight="1">
      <c r="G724" s="190"/>
    </row>
    <row r="725" spans="7:7" ht="15.75" customHeight="1">
      <c r="G725" s="190"/>
    </row>
    <row r="726" spans="7:7" ht="15.75" customHeight="1">
      <c r="G726" s="190"/>
    </row>
    <row r="727" spans="7:7" ht="15.75" customHeight="1">
      <c r="G727" s="190"/>
    </row>
    <row r="728" spans="7:7" ht="15.75" customHeight="1">
      <c r="G728" s="190"/>
    </row>
    <row r="729" spans="7:7" ht="15.75" customHeight="1">
      <c r="G729" s="190"/>
    </row>
    <row r="730" spans="7:7" ht="15.75" customHeight="1">
      <c r="G730" s="190"/>
    </row>
    <row r="731" spans="7:7" ht="15.75" customHeight="1">
      <c r="G731" s="190"/>
    </row>
    <row r="732" spans="7:7" ht="15.75" customHeight="1">
      <c r="G732" s="190"/>
    </row>
    <row r="733" spans="7:7" ht="15.75" customHeight="1">
      <c r="G733" s="190"/>
    </row>
    <row r="734" spans="7:7" ht="15.75" customHeight="1">
      <c r="G734" s="190"/>
    </row>
    <row r="735" spans="7:7" ht="15.75" customHeight="1">
      <c r="G735" s="190"/>
    </row>
    <row r="736" spans="7:7" ht="15.75" customHeight="1">
      <c r="G736" s="190"/>
    </row>
    <row r="737" spans="7:7" ht="15.75" customHeight="1">
      <c r="G737" s="190"/>
    </row>
    <row r="738" spans="7:7" ht="15.75" customHeight="1">
      <c r="G738" s="190"/>
    </row>
    <row r="739" spans="7:7" ht="15.75" customHeight="1">
      <c r="G739" s="190"/>
    </row>
    <row r="740" spans="7:7" ht="15.75" customHeight="1">
      <c r="G740" s="190"/>
    </row>
    <row r="741" spans="7:7" ht="15.75" customHeight="1">
      <c r="G741" s="190"/>
    </row>
    <row r="742" spans="7:7" ht="15.75" customHeight="1">
      <c r="G742" s="190"/>
    </row>
    <row r="743" spans="7:7" ht="15.75" customHeight="1">
      <c r="G743" s="190"/>
    </row>
    <row r="744" spans="7:7" ht="15.75" customHeight="1">
      <c r="G744" s="190"/>
    </row>
    <row r="745" spans="7:7" ht="15.75" customHeight="1">
      <c r="G745" s="190"/>
    </row>
    <row r="746" spans="7:7" ht="15.75" customHeight="1">
      <c r="G746" s="190"/>
    </row>
    <row r="747" spans="7:7" ht="15.75" customHeight="1">
      <c r="G747" s="190"/>
    </row>
    <row r="748" spans="7:7" ht="15.75" customHeight="1">
      <c r="G748" s="190"/>
    </row>
    <row r="749" spans="7:7" ht="15.75" customHeight="1">
      <c r="G749" s="190"/>
    </row>
    <row r="750" spans="7:7" ht="15.75" customHeight="1">
      <c r="G750" s="190"/>
    </row>
    <row r="751" spans="7:7" ht="15.75" customHeight="1">
      <c r="G751" s="190"/>
    </row>
    <row r="752" spans="7:7" ht="15.75" customHeight="1">
      <c r="G752" s="190"/>
    </row>
    <row r="753" spans="7:7" ht="15.75" customHeight="1">
      <c r="G753" s="190"/>
    </row>
    <row r="754" spans="7:7" ht="15.75" customHeight="1">
      <c r="G754" s="190"/>
    </row>
    <row r="755" spans="7:7" ht="15.75" customHeight="1">
      <c r="G755" s="190"/>
    </row>
    <row r="756" spans="7:7" ht="15.75" customHeight="1">
      <c r="G756" s="190"/>
    </row>
    <row r="757" spans="7:7" ht="15.75" customHeight="1">
      <c r="G757" s="190"/>
    </row>
    <row r="758" spans="7:7" ht="15.75" customHeight="1">
      <c r="G758" s="190"/>
    </row>
    <row r="759" spans="7:7" ht="15.75" customHeight="1">
      <c r="G759" s="190"/>
    </row>
    <row r="760" spans="7:7" ht="15.75" customHeight="1">
      <c r="G760" s="190"/>
    </row>
    <row r="761" spans="7:7" ht="15.75" customHeight="1">
      <c r="G761" s="190"/>
    </row>
    <row r="762" spans="7:7" ht="15.75" customHeight="1">
      <c r="G762" s="190"/>
    </row>
    <row r="763" spans="7:7" ht="15.75" customHeight="1">
      <c r="G763" s="190"/>
    </row>
    <row r="764" spans="7:7" ht="15.75" customHeight="1">
      <c r="G764" s="190"/>
    </row>
    <row r="765" spans="7:7" ht="15.75" customHeight="1">
      <c r="G765" s="190"/>
    </row>
    <row r="766" spans="7:7" ht="15.75" customHeight="1">
      <c r="G766" s="190"/>
    </row>
    <row r="767" spans="7:7" ht="15.75" customHeight="1">
      <c r="G767" s="190"/>
    </row>
    <row r="768" spans="7:7" ht="15.75" customHeight="1">
      <c r="G768" s="190"/>
    </row>
    <row r="769" spans="7:7" ht="15.75" customHeight="1">
      <c r="G769" s="190"/>
    </row>
    <row r="770" spans="7:7" ht="15.75" customHeight="1">
      <c r="G770" s="190"/>
    </row>
    <row r="771" spans="7:7" ht="15.75" customHeight="1">
      <c r="G771" s="190"/>
    </row>
    <row r="772" spans="7:7" ht="15.75" customHeight="1">
      <c r="G772" s="190"/>
    </row>
    <row r="773" spans="7:7" ht="15.75" customHeight="1">
      <c r="G773" s="190"/>
    </row>
    <row r="774" spans="7:7" ht="15.75" customHeight="1">
      <c r="G774" s="190"/>
    </row>
    <row r="775" spans="7:7" ht="15.75" customHeight="1">
      <c r="G775" s="190"/>
    </row>
    <row r="776" spans="7:7" ht="15.75" customHeight="1">
      <c r="G776" s="190"/>
    </row>
    <row r="777" spans="7:7" ht="15.75" customHeight="1">
      <c r="G777" s="190"/>
    </row>
    <row r="778" spans="7:7" ht="15.75" customHeight="1">
      <c r="G778" s="190"/>
    </row>
    <row r="779" spans="7:7" ht="15.75" customHeight="1">
      <c r="G779" s="190"/>
    </row>
    <row r="780" spans="7:7" ht="15.75" customHeight="1">
      <c r="G780" s="190"/>
    </row>
    <row r="781" spans="7:7" ht="15.75" customHeight="1">
      <c r="G781" s="190"/>
    </row>
    <row r="782" spans="7:7" ht="15.75" customHeight="1">
      <c r="G782" s="190"/>
    </row>
    <row r="783" spans="7:7" ht="15.75" customHeight="1">
      <c r="G783" s="190"/>
    </row>
    <row r="784" spans="7:7" ht="15.75" customHeight="1">
      <c r="G784" s="190"/>
    </row>
    <row r="785" spans="7:7" ht="15.75" customHeight="1">
      <c r="G785" s="190"/>
    </row>
    <row r="786" spans="7:7" ht="15.75" customHeight="1">
      <c r="G786" s="190"/>
    </row>
    <row r="787" spans="7:7" ht="15.75" customHeight="1">
      <c r="G787" s="190"/>
    </row>
    <row r="788" spans="7:7" ht="15.75" customHeight="1">
      <c r="G788" s="190"/>
    </row>
    <row r="789" spans="7:7" ht="15.75" customHeight="1">
      <c r="G789" s="190"/>
    </row>
    <row r="790" spans="7:7" ht="15.75" customHeight="1">
      <c r="G790" s="190"/>
    </row>
    <row r="791" spans="7:7" ht="15.75" customHeight="1">
      <c r="G791" s="190"/>
    </row>
    <row r="792" spans="7:7" ht="15.75" customHeight="1">
      <c r="G792" s="190"/>
    </row>
    <row r="793" spans="7:7" ht="15.75" customHeight="1">
      <c r="G793" s="190"/>
    </row>
    <row r="794" spans="7:7" ht="15.75" customHeight="1">
      <c r="G794" s="190"/>
    </row>
    <row r="795" spans="7:7" ht="15.75" customHeight="1">
      <c r="G795" s="190"/>
    </row>
    <row r="796" spans="7:7" ht="15.75" customHeight="1">
      <c r="G796" s="190"/>
    </row>
    <row r="797" spans="7:7" ht="15.75" customHeight="1">
      <c r="G797" s="190"/>
    </row>
    <row r="798" spans="7:7" ht="15.75" customHeight="1">
      <c r="G798" s="190"/>
    </row>
    <row r="799" spans="7:7" ht="15.75" customHeight="1">
      <c r="G799" s="190"/>
    </row>
    <row r="800" spans="7:7" ht="15.75" customHeight="1">
      <c r="G800" s="190"/>
    </row>
    <row r="801" spans="7:7" ht="15.75" customHeight="1">
      <c r="G801" s="190"/>
    </row>
    <row r="802" spans="7:7" ht="15.75" customHeight="1">
      <c r="G802" s="190"/>
    </row>
    <row r="803" spans="7:7" ht="15.75" customHeight="1">
      <c r="G803" s="190"/>
    </row>
    <row r="804" spans="7:7" ht="15.75" customHeight="1">
      <c r="G804" s="190"/>
    </row>
    <row r="805" spans="7:7" ht="15.75" customHeight="1">
      <c r="G805" s="190"/>
    </row>
    <row r="806" spans="7:7" ht="15.75" customHeight="1">
      <c r="G806" s="190"/>
    </row>
    <row r="807" spans="7:7" ht="15.75" customHeight="1">
      <c r="G807" s="190"/>
    </row>
    <row r="808" spans="7:7" ht="15.75" customHeight="1">
      <c r="G808" s="190"/>
    </row>
    <row r="809" spans="7:7" ht="15.75" customHeight="1">
      <c r="G809" s="190"/>
    </row>
    <row r="810" spans="7:7" ht="15.75" customHeight="1">
      <c r="G810" s="190"/>
    </row>
    <row r="811" spans="7:7" ht="15.75" customHeight="1">
      <c r="G811" s="190"/>
    </row>
    <row r="812" spans="7:7" ht="15.75" customHeight="1">
      <c r="G812" s="190"/>
    </row>
    <row r="813" spans="7:7" ht="15.75" customHeight="1">
      <c r="G813" s="190"/>
    </row>
    <row r="814" spans="7:7" ht="15.75" customHeight="1">
      <c r="G814" s="190"/>
    </row>
    <row r="815" spans="7:7" ht="15.75" customHeight="1">
      <c r="G815" s="190"/>
    </row>
    <row r="816" spans="7:7" ht="15.75" customHeight="1">
      <c r="G816" s="190"/>
    </row>
    <row r="817" spans="7:7" ht="15.75" customHeight="1">
      <c r="G817" s="190"/>
    </row>
    <row r="818" spans="7:7" ht="15.75" customHeight="1">
      <c r="G818" s="190"/>
    </row>
    <row r="819" spans="7:7" ht="15.75" customHeight="1">
      <c r="G819" s="190"/>
    </row>
    <row r="820" spans="7:7" ht="15.75" customHeight="1">
      <c r="G820" s="190"/>
    </row>
    <row r="821" spans="7:7" ht="15.75" customHeight="1">
      <c r="G821" s="190"/>
    </row>
    <row r="822" spans="7:7" ht="15.75" customHeight="1">
      <c r="G822" s="190"/>
    </row>
    <row r="823" spans="7:7" ht="15.75" customHeight="1">
      <c r="G823" s="190"/>
    </row>
    <row r="824" spans="7:7" ht="15.75" customHeight="1">
      <c r="G824" s="190"/>
    </row>
    <row r="825" spans="7:7" ht="15.75" customHeight="1">
      <c r="G825" s="190"/>
    </row>
    <row r="826" spans="7:7" ht="15.75" customHeight="1">
      <c r="G826" s="190"/>
    </row>
    <row r="827" spans="7:7" ht="15.75" customHeight="1">
      <c r="G827" s="190"/>
    </row>
    <row r="828" spans="7:7" ht="15.75" customHeight="1">
      <c r="G828" s="190"/>
    </row>
    <row r="829" spans="7:7" ht="15.75" customHeight="1">
      <c r="G829" s="190"/>
    </row>
    <row r="830" spans="7:7" ht="15.75" customHeight="1">
      <c r="G830" s="190"/>
    </row>
    <row r="831" spans="7:7" ht="15.75" customHeight="1">
      <c r="G831" s="190"/>
    </row>
    <row r="832" spans="7:7" ht="15.75" customHeight="1">
      <c r="G832" s="190"/>
    </row>
    <row r="833" spans="7:7" ht="15.75" customHeight="1">
      <c r="G833" s="190"/>
    </row>
    <row r="834" spans="7:7" ht="15.75" customHeight="1">
      <c r="G834" s="190"/>
    </row>
    <row r="835" spans="7:7" ht="15.75" customHeight="1">
      <c r="G835" s="190"/>
    </row>
    <row r="836" spans="7:7" ht="15.75" customHeight="1">
      <c r="G836" s="190"/>
    </row>
    <row r="837" spans="7:7" ht="15.75" customHeight="1">
      <c r="G837" s="190"/>
    </row>
    <row r="838" spans="7:7" ht="15.75" customHeight="1">
      <c r="G838" s="190"/>
    </row>
    <row r="839" spans="7:7" ht="15.75" customHeight="1">
      <c r="G839" s="190"/>
    </row>
    <row r="840" spans="7:7" ht="15.75" customHeight="1">
      <c r="G840" s="190"/>
    </row>
    <row r="841" spans="7:7" ht="15.75" customHeight="1">
      <c r="G841" s="190"/>
    </row>
    <row r="842" spans="7:7" ht="15.75" customHeight="1">
      <c r="G842" s="190"/>
    </row>
    <row r="843" spans="7:7" ht="15.75" customHeight="1">
      <c r="G843" s="190"/>
    </row>
    <row r="844" spans="7:7" ht="15.75" customHeight="1">
      <c r="G844" s="190"/>
    </row>
    <row r="845" spans="7:7" ht="15.75" customHeight="1">
      <c r="G845" s="190"/>
    </row>
    <row r="846" spans="7:7" ht="15.75" customHeight="1">
      <c r="G846" s="190"/>
    </row>
    <row r="847" spans="7:7" ht="15.75" customHeight="1">
      <c r="G847" s="190"/>
    </row>
    <row r="848" spans="7:7" ht="15.75" customHeight="1">
      <c r="G848" s="190"/>
    </row>
    <row r="849" spans="7:7" ht="15.75" customHeight="1">
      <c r="G849" s="190"/>
    </row>
    <row r="850" spans="7:7" ht="15.75" customHeight="1">
      <c r="G850" s="190"/>
    </row>
    <row r="851" spans="7:7" ht="15.75" customHeight="1">
      <c r="G851" s="190"/>
    </row>
    <row r="852" spans="7:7" ht="15.75" customHeight="1">
      <c r="G852" s="190"/>
    </row>
    <row r="853" spans="7:7" ht="15.75" customHeight="1">
      <c r="G853" s="190"/>
    </row>
    <row r="854" spans="7:7" ht="15.75" customHeight="1">
      <c r="G854" s="190"/>
    </row>
    <row r="855" spans="7:7" ht="15.75" customHeight="1">
      <c r="G855" s="190"/>
    </row>
    <row r="856" spans="7:7" ht="15.75" customHeight="1">
      <c r="G856" s="190"/>
    </row>
    <row r="857" spans="7:7" ht="15.75" customHeight="1">
      <c r="G857" s="190"/>
    </row>
    <row r="858" spans="7:7" ht="15.75" customHeight="1">
      <c r="G858" s="190"/>
    </row>
    <row r="859" spans="7:7" ht="15.75" customHeight="1">
      <c r="G859" s="190"/>
    </row>
    <row r="860" spans="7:7" ht="15.75" customHeight="1">
      <c r="G860" s="190"/>
    </row>
    <row r="861" spans="7:7" ht="15.75" customHeight="1">
      <c r="G861" s="190"/>
    </row>
    <row r="862" spans="7:7" ht="15.75" customHeight="1">
      <c r="G862" s="190"/>
    </row>
    <row r="863" spans="7:7" ht="15.75" customHeight="1">
      <c r="G863" s="190"/>
    </row>
    <row r="864" spans="7:7" ht="15.75" customHeight="1">
      <c r="G864" s="190"/>
    </row>
    <row r="865" spans="7:7" ht="15.75" customHeight="1">
      <c r="G865" s="190"/>
    </row>
    <row r="866" spans="7:7" ht="15.75" customHeight="1">
      <c r="G866" s="190"/>
    </row>
    <row r="867" spans="7:7" ht="15.75" customHeight="1">
      <c r="G867" s="190"/>
    </row>
    <row r="868" spans="7:7" ht="15.75" customHeight="1">
      <c r="G868" s="190"/>
    </row>
    <row r="869" spans="7:7" ht="15.75" customHeight="1">
      <c r="G869" s="190"/>
    </row>
    <row r="870" spans="7:7" ht="15.75" customHeight="1">
      <c r="G870" s="190"/>
    </row>
    <row r="871" spans="7:7" ht="15.75" customHeight="1">
      <c r="G871" s="190"/>
    </row>
    <row r="872" spans="7:7" ht="15.75" customHeight="1">
      <c r="G872" s="190"/>
    </row>
    <row r="873" spans="7:7" ht="15.75" customHeight="1">
      <c r="G873" s="190"/>
    </row>
    <row r="874" spans="7:7" ht="15.75" customHeight="1">
      <c r="G874" s="190"/>
    </row>
    <row r="875" spans="7:7" ht="15.75" customHeight="1">
      <c r="G875" s="190"/>
    </row>
    <row r="876" spans="7:7" ht="15.75" customHeight="1">
      <c r="G876" s="190"/>
    </row>
    <row r="877" spans="7:7" ht="15.75" customHeight="1">
      <c r="G877" s="190"/>
    </row>
    <row r="878" spans="7:7" ht="15.75" customHeight="1">
      <c r="G878" s="190"/>
    </row>
    <row r="879" spans="7:7" ht="15.75" customHeight="1">
      <c r="G879" s="190"/>
    </row>
    <row r="880" spans="7:7" ht="15.75" customHeight="1">
      <c r="G880" s="190"/>
    </row>
    <row r="881" spans="7:7" ht="15.75" customHeight="1">
      <c r="G881" s="190"/>
    </row>
    <row r="882" spans="7:7" ht="15.75" customHeight="1">
      <c r="G882" s="190"/>
    </row>
    <row r="883" spans="7:7" ht="15.75" customHeight="1">
      <c r="G883" s="190"/>
    </row>
    <row r="884" spans="7:7" ht="15.75" customHeight="1">
      <c r="G884" s="190"/>
    </row>
    <row r="885" spans="7:7" ht="15.75" customHeight="1">
      <c r="G885" s="190"/>
    </row>
    <row r="886" spans="7:7" ht="15.75" customHeight="1">
      <c r="G886" s="190"/>
    </row>
    <row r="887" spans="7:7" ht="15.75" customHeight="1">
      <c r="G887" s="190"/>
    </row>
    <row r="888" spans="7:7" ht="15.75" customHeight="1">
      <c r="G888" s="190"/>
    </row>
    <row r="889" spans="7:7" ht="15.75" customHeight="1">
      <c r="G889" s="190"/>
    </row>
    <row r="890" spans="7:7" ht="15.75" customHeight="1">
      <c r="G890" s="190"/>
    </row>
    <row r="891" spans="7:7" ht="15.75" customHeight="1">
      <c r="G891" s="190"/>
    </row>
    <row r="892" spans="7:7" ht="15.75" customHeight="1">
      <c r="G892" s="190"/>
    </row>
    <row r="893" spans="7:7" ht="15.75" customHeight="1">
      <c r="G893" s="190"/>
    </row>
    <row r="894" spans="7:7" ht="15.75" customHeight="1">
      <c r="G894" s="190"/>
    </row>
    <row r="895" spans="7:7" ht="15.75" customHeight="1">
      <c r="G895" s="190"/>
    </row>
    <row r="896" spans="7:7" ht="15.75" customHeight="1">
      <c r="G896" s="190"/>
    </row>
    <row r="897" spans="7:7" ht="15.75" customHeight="1">
      <c r="G897" s="190"/>
    </row>
    <row r="898" spans="7:7" ht="15.75" customHeight="1">
      <c r="G898" s="190"/>
    </row>
    <row r="899" spans="7:7" ht="15.75" customHeight="1">
      <c r="G899" s="190"/>
    </row>
    <row r="900" spans="7:7" ht="15.75" customHeight="1">
      <c r="G900" s="190"/>
    </row>
    <row r="901" spans="7:7" ht="15.75" customHeight="1">
      <c r="G901" s="190"/>
    </row>
    <row r="902" spans="7:7" ht="15.75" customHeight="1">
      <c r="G902" s="190"/>
    </row>
    <row r="903" spans="7:7" ht="15.75" customHeight="1">
      <c r="G903" s="190"/>
    </row>
    <row r="904" spans="7:7" ht="15.75" customHeight="1">
      <c r="G904" s="190"/>
    </row>
    <row r="905" spans="7:7" ht="15.75" customHeight="1">
      <c r="G905" s="190"/>
    </row>
    <row r="906" spans="7:7" ht="15.75" customHeight="1">
      <c r="G906" s="190"/>
    </row>
    <row r="907" spans="7:7" ht="15.75" customHeight="1">
      <c r="G907" s="190"/>
    </row>
    <row r="908" spans="7:7" ht="15.75" customHeight="1">
      <c r="G908" s="190"/>
    </row>
    <row r="909" spans="7:7" ht="15.75" customHeight="1">
      <c r="G909" s="190"/>
    </row>
    <row r="910" spans="7:7" ht="15.75" customHeight="1">
      <c r="G910" s="190"/>
    </row>
    <row r="911" spans="7:7" ht="15.75" customHeight="1">
      <c r="G911" s="190"/>
    </row>
    <row r="912" spans="7:7" ht="15.75" customHeight="1">
      <c r="G912" s="190"/>
    </row>
    <row r="913" spans="7:7" ht="15.75" customHeight="1">
      <c r="G913" s="190"/>
    </row>
    <row r="914" spans="7:7" ht="15.75" customHeight="1">
      <c r="G914" s="190"/>
    </row>
    <row r="915" spans="7:7" ht="15.75" customHeight="1">
      <c r="G915" s="190"/>
    </row>
    <row r="916" spans="7:7" ht="15.75" customHeight="1">
      <c r="G916" s="190"/>
    </row>
    <row r="917" spans="7:7" ht="15.75" customHeight="1">
      <c r="G917" s="190"/>
    </row>
    <row r="918" spans="7:7" ht="15.75" customHeight="1">
      <c r="G918" s="190"/>
    </row>
    <row r="919" spans="7:7" ht="15.75" customHeight="1">
      <c r="G919" s="190"/>
    </row>
    <row r="920" spans="7:7" ht="15.75" customHeight="1">
      <c r="G920" s="190"/>
    </row>
    <row r="921" spans="7:7" ht="15.75" customHeight="1">
      <c r="G921" s="190"/>
    </row>
    <row r="922" spans="7:7" ht="15.75" customHeight="1">
      <c r="G922" s="190"/>
    </row>
    <row r="923" spans="7:7" ht="15.75" customHeight="1">
      <c r="G923" s="190"/>
    </row>
    <row r="924" spans="7:7" ht="15.75" customHeight="1">
      <c r="G924" s="190"/>
    </row>
    <row r="925" spans="7:7" ht="15.75" customHeight="1">
      <c r="G925" s="190"/>
    </row>
    <row r="926" spans="7:7" ht="15.75" customHeight="1">
      <c r="G926" s="190"/>
    </row>
    <row r="927" spans="7:7" ht="15.75" customHeight="1">
      <c r="G927" s="190"/>
    </row>
    <row r="928" spans="7:7" ht="15.75" customHeight="1">
      <c r="G928" s="190"/>
    </row>
    <row r="929" spans="7:7" ht="15.75" customHeight="1">
      <c r="G929" s="190"/>
    </row>
    <row r="930" spans="7:7" ht="15.75" customHeight="1">
      <c r="G930" s="190"/>
    </row>
    <row r="931" spans="7:7" ht="15.75" customHeight="1">
      <c r="G931" s="190"/>
    </row>
    <row r="932" spans="7:7" ht="15.75" customHeight="1">
      <c r="G932" s="190"/>
    </row>
    <row r="933" spans="7:7" ht="15.75" customHeight="1">
      <c r="G933" s="190"/>
    </row>
    <row r="934" spans="7:7" ht="15.75" customHeight="1">
      <c r="G934" s="190"/>
    </row>
    <row r="935" spans="7:7" ht="15.75" customHeight="1">
      <c r="G935" s="190"/>
    </row>
    <row r="936" spans="7:7" ht="15.75" customHeight="1">
      <c r="G936" s="190"/>
    </row>
    <row r="937" spans="7:7" ht="15.75" customHeight="1">
      <c r="G937" s="190"/>
    </row>
    <row r="938" spans="7:7" ht="15.75" customHeight="1">
      <c r="G938" s="190"/>
    </row>
    <row r="939" spans="7:7" ht="15.75" customHeight="1">
      <c r="G939" s="190"/>
    </row>
    <row r="940" spans="7:7" ht="15.75" customHeight="1">
      <c r="G940" s="190"/>
    </row>
    <row r="941" spans="7:7" ht="15.75" customHeight="1">
      <c r="G941" s="190"/>
    </row>
    <row r="942" spans="7:7" ht="15.75" customHeight="1">
      <c r="G942" s="190"/>
    </row>
    <row r="943" spans="7:7" ht="15.75" customHeight="1">
      <c r="G943" s="190"/>
    </row>
    <row r="944" spans="7:7" ht="15.75" customHeight="1">
      <c r="G944" s="190"/>
    </row>
    <row r="945" spans="7:7" ht="15.75" customHeight="1">
      <c r="G945" s="190"/>
    </row>
    <row r="946" spans="7:7" ht="15.75" customHeight="1">
      <c r="G946" s="190"/>
    </row>
    <row r="947" spans="7:7" ht="15.75" customHeight="1">
      <c r="G947" s="190"/>
    </row>
    <row r="948" spans="7:7" ht="15.75" customHeight="1">
      <c r="G948" s="190"/>
    </row>
    <row r="949" spans="7:7" ht="15.75" customHeight="1">
      <c r="G949" s="190"/>
    </row>
    <row r="950" spans="7:7" ht="15.75" customHeight="1">
      <c r="G950" s="190"/>
    </row>
    <row r="951" spans="7:7" ht="15.75" customHeight="1">
      <c r="G951" s="190"/>
    </row>
    <row r="952" spans="7:7" ht="15.75" customHeight="1">
      <c r="G952" s="190"/>
    </row>
    <row r="953" spans="7:7" ht="15.75" customHeight="1">
      <c r="G953" s="190"/>
    </row>
    <row r="954" spans="7:7" ht="15.75" customHeight="1">
      <c r="G954" s="190"/>
    </row>
    <row r="955" spans="7:7" ht="15.75" customHeight="1">
      <c r="G955" s="190"/>
    </row>
    <row r="956" spans="7:7" ht="15.75" customHeight="1">
      <c r="G956" s="190"/>
    </row>
    <row r="957" spans="7:7" ht="15.75" customHeight="1">
      <c r="G957" s="190"/>
    </row>
    <row r="958" spans="7:7" ht="15.75" customHeight="1">
      <c r="G958" s="190"/>
    </row>
    <row r="959" spans="7:7" ht="15.75" customHeight="1">
      <c r="G959" s="190"/>
    </row>
    <row r="960" spans="7:7" ht="15.75" customHeight="1">
      <c r="G960" s="190"/>
    </row>
    <row r="961" spans="7:7" ht="15.75" customHeight="1">
      <c r="G961" s="190"/>
    </row>
    <row r="962" spans="7:7" ht="15.75" customHeight="1">
      <c r="G962" s="190"/>
    </row>
    <row r="963" spans="7:7" ht="15.75" customHeight="1">
      <c r="G963" s="190"/>
    </row>
    <row r="964" spans="7:7" ht="15.75" customHeight="1">
      <c r="G964" s="190"/>
    </row>
    <row r="965" spans="7:7" ht="15.75" customHeight="1">
      <c r="G965" s="190"/>
    </row>
    <row r="966" spans="7:7" ht="15.75" customHeight="1">
      <c r="G966" s="190"/>
    </row>
    <row r="967" spans="7:7" ht="15.75" customHeight="1">
      <c r="G967" s="190"/>
    </row>
    <row r="968" spans="7:7" ht="15.75" customHeight="1">
      <c r="G968" s="190"/>
    </row>
    <row r="969" spans="7:7" ht="15.75" customHeight="1">
      <c r="G969" s="190"/>
    </row>
    <row r="970" spans="7:7" ht="15.75" customHeight="1">
      <c r="G970" s="190"/>
    </row>
    <row r="971" spans="7:7" ht="15.75" customHeight="1">
      <c r="G971" s="190"/>
    </row>
    <row r="972" spans="7:7" ht="15.75" customHeight="1">
      <c r="G972" s="190"/>
    </row>
    <row r="973" spans="7:7" ht="15.75" customHeight="1">
      <c r="G973" s="190"/>
    </row>
    <row r="974" spans="7:7" ht="15.75" customHeight="1">
      <c r="G974" s="190"/>
    </row>
    <row r="975" spans="7:7" ht="15.75" customHeight="1">
      <c r="G975" s="190"/>
    </row>
    <row r="976" spans="7:7" ht="15.75" customHeight="1">
      <c r="G976" s="190"/>
    </row>
    <row r="977" spans="7:7" ht="15.75" customHeight="1">
      <c r="G977" s="190"/>
    </row>
    <row r="978" spans="7:7" ht="15.75" customHeight="1">
      <c r="G978" s="190"/>
    </row>
    <row r="979" spans="7:7" ht="15.75" customHeight="1">
      <c r="G979" s="190"/>
    </row>
    <row r="980" spans="7:7" ht="15.75" customHeight="1">
      <c r="G980" s="190"/>
    </row>
    <row r="981" spans="7:7" ht="15.75" customHeight="1">
      <c r="G981" s="190"/>
    </row>
    <row r="982" spans="7:7" ht="15.75" customHeight="1">
      <c r="G982" s="190"/>
    </row>
    <row r="983" spans="7:7" ht="15.75" customHeight="1">
      <c r="G983" s="190"/>
    </row>
    <row r="984" spans="7:7" ht="15.75" customHeight="1">
      <c r="G984" s="190"/>
    </row>
    <row r="985" spans="7:7" ht="15.75" customHeight="1">
      <c r="G985" s="190"/>
    </row>
    <row r="986" spans="7:7" ht="15.75" customHeight="1">
      <c r="G986" s="190"/>
    </row>
    <row r="987" spans="7:7" ht="15.75" customHeight="1">
      <c r="G987" s="190"/>
    </row>
    <row r="988" spans="7:7" ht="15.75" customHeight="1">
      <c r="G988" s="190"/>
    </row>
    <row r="989" spans="7:7" ht="15.75" customHeight="1">
      <c r="G989" s="190"/>
    </row>
    <row r="990" spans="7:7" ht="15.75" customHeight="1">
      <c r="G990" s="190"/>
    </row>
    <row r="991" spans="7:7" ht="15.75" customHeight="1">
      <c r="G991" s="190"/>
    </row>
    <row r="992" spans="7:7" ht="15.75" customHeight="1">
      <c r="G992" s="190"/>
    </row>
    <row r="993" spans="7:7" ht="15.75" customHeight="1">
      <c r="G993" s="190"/>
    </row>
    <row r="994" spans="7:7" ht="15.75" customHeight="1">
      <c r="G994" s="190"/>
    </row>
    <row r="995" spans="7:7" ht="15.75" customHeight="1">
      <c r="G995" s="190"/>
    </row>
    <row r="996" spans="7:7" ht="15.75" customHeight="1">
      <c r="G996" s="190"/>
    </row>
    <row r="997" spans="7:7" ht="15.75" customHeight="1">
      <c r="G997" s="190"/>
    </row>
    <row r="998" spans="7:7" ht="15.75" customHeight="1">
      <c r="G998" s="190"/>
    </row>
    <row r="999" spans="7:7" ht="15.75" customHeight="1">
      <c r="G999" s="190"/>
    </row>
    <row r="1000" spans="7:7" ht="15.75" customHeight="1">
      <c r="G1000" s="19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</vt:lpstr>
      <vt:lpstr>demografi</vt:lpstr>
      <vt:lpstr>Database</vt:lpstr>
      <vt:lpstr>logut</vt:lpstr>
      <vt:lpstr>Data Mutasi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sdm imss</cp:lastModifiedBy>
  <dcterms:created xsi:type="dcterms:W3CDTF">2019-10-15T01:49:03Z</dcterms:created>
  <dcterms:modified xsi:type="dcterms:W3CDTF">2023-11-16T04:06:42Z</dcterms:modified>
</cp:coreProperties>
</file>