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mc:AlternateContent xmlns:mc="http://schemas.openxmlformats.org/markup-compatibility/2006">
    <mc:Choice Requires="x15">
      <x15ac:absPath xmlns:x15ac="http://schemas.microsoft.com/office/spreadsheetml/2010/11/ac" url="E:\pydate\EXCEL\custodes\Default original spreadsheets\xlsx\"/>
    </mc:Choice>
  </mc:AlternateContent>
  <xr:revisionPtr revIDLastSave="0" documentId="13_ncr:1_{46CC2012-E87E-4932-8B4B-1B171C024402}" xr6:coauthVersionLast="45" xr6:coauthVersionMax="45" xr10:uidLastSave="{00000000-0000-0000-0000-000000000000}"/>
  <bookViews>
    <workbookView xWindow="-120" yWindow="-120" windowWidth="29040" windowHeight="15990" tabRatio="928" firstSheet="2" activeTab="11" xr2:uid="{00000000-000D-0000-FFFF-FFFF00000000}"/>
  </bookViews>
  <sheets>
    <sheet name="INCOME STATEMENT" sheetId="1" r:id="rId1"/>
    <sheet name="BALANCE SHEET" sheetId="2" r:id="rId2"/>
    <sheet name="CHANGES IN EQUITY" sheetId="3" r:id="rId3"/>
    <sheet name="CASH FLOW STATEMENT" sheetId="4" r:id="rId4"/>
    <sheet name="NOTES TO FS" sheetId="5" r:id="rId5"/>
    <sheet name="DISCLOSURE NOTES" sheetId="6" r:id="rId6"/>
    <sheet name="ANNEXURE 1D" sheetId="7" r:id="rId7"/>
    <sheet name="ANNEXURE 2A" sheetId="8" r:id="rId8"/>
    <sheet name="ANNEXURE 3" sheetId="9" r:id="rId9"/>
    <sheet name="ANNEXURE 4 " sheetId="10" r:id="rId10"/>
    <sheet name="APPROPRIATION STATEMENT" sheetId="11" r:id="rId11"/>
    <sheet name="NOTES TO APPR. STATEMENT" sheetId="12" r:id="rId12"/>
  </sheets>
  <definedNames>
    <definedName name="_xlnm.Print_Area" localSheetId="10">'APPROPRIATION STATEMENT'!$A$1:$J$413</definedName>
    <definedName name="_xlnm.Print_Area" localSheetId="3">'CASH FLOW STATEMENT'!$A$1:$D$22</definedName>
    <definedName name="_xlnm.Print_Area" localSheetId="5">'DISCLOSURE NOTES'!$A$1:$H$92</definedName>
    <definedName name="_xlnm.Print_Area" localSheetId="0">'INCOME STATEMENT'!$A$1:$D$43</definedName>
    <definedName name="_xlnm.Print_Area" localSheetId="4">'NOTES TO FS'!$A$1:$G$373</definedName>
    <definedName name="_xlnm.Print_Titles" localSheetId="6">'ANNEXURE 1D'!$1:$1</definedName>
  </definedNames>
  <calcPr calcId="181029"/>
</workbook>
</file>

<file path=xl/calcChain.xml><?xml version="1.0" encoding="utf-8"?>
<calcChain xmlns="http://schemas.openxmlformats.org/spreadsheetml/2006/main">
  <c r="H36" i="12" l="1"/>
  <c r="J411" i="11"/>
  <c r="I411" i="11"/>
  <c r="F411" i="11"/>
  <c r="D411" i="11"/>
  <c r="C411" i="11"/>
  <c r="E410" i="11"/>
  <c r="G410" i="11" s="1"/>
  <c r="E409" i="11"/>
  <c r="H409" i="11" s="1"/>
  <c r="E408" i="11"/>
  <c r="H408" i="11" s="1"/>
  <c r="E407" i="11"/>
  <c r="H407" i="11" s="1"/>
  <c r="E406" i="11"/>
  <c r="H406" i="11" s="1"/>
  <c r="H405" i="11"/>
  <c r="E405" i="11"/>
  <c r="E404" i="11"/>
  <c r="E411" i="11" s="1"/>
  <c r="J398" i="11"/>
  <c r="I398" i="11"/>
  <c r="F398" i="11"/>
  <c r="H398" i="11" s="1"/>
  <c r="D398" i="11"/>
  <c r="C398" i="11"/>
  <c r="G397" i="11"/>
  <c r="E397" i="11"/>
  <c r="H397" i="11" s="1"/>
  <c r="E396" i="11"/>
  <c r="G396" i="11" s="1"/>
  <c r="G398" i="11" s="1"/>
  <c r="E394" i="11"/>
  <c r="E398" i="11" s="1"/>
  <c r="H393" i="11"/>
  <c r="E393" i="11"/>
  <c r="J386" i="11"/>
  <c r="I386" i="11"/>
  <c r="F386" i="11"/>
  <c r="D386" i="11"/>
  <c r="C386" i="11"/>
  <c r="E385" i="11"/>
  <c r="H385" i="11" s="1"/>
  <c r="G383" i="11"/>
  <c r="E383" i="11"/>
  <c r="E381" i="11"/>
  <c r="G381" i="11" s="1"/>
  <c r="E380" i="11"/>
  <c r="E386" i="11" s="1"/>
  <c r="H386" i="11" s="1"/>
  <c r="J370" i="11"/>
  <c r="I370" i="11"/>
  <c r="F370" i="11"/>
  <c r="D370" i="11"/>
  <c r="C370" i="11"/>
  <c r="E368" i="11"/>
  <c r="H368" i="11" s="1"/>
  <c r="E367" i="11"/>
  <c r="H367" i="11" s="1"/>
  <c r="H366" i="11"/>
  <c r="E366" i="11"/>
  <c r="H365" i="11"/>
  <c r="E365" i="11"/>
  <c r="E364" i="11"/>
  <c r="E370" i="11" s="1"/>
  <c r="H370" i="11" s="1"/>
  <c r="E363" i="11"/>
  <c r="H363" i="11" s="1"/>
  <c r="J357" i="11"/>
  <c r="I357" i="11"/>
  <c r="F357" i="11"/>
  <c r="D357" i="11"/>
  <c r="C357" i="11"/>
  <c r="H356" i="11"/>
  <c r="E356" i="11"/>
  <c r="H355" i="11"/>
  <c r="E355" i="11"/>
  <c r="E353" i="11"/>
  <c r="H353" i="11" s="1"/>
  <c r="E352" i="11"/>
  <c r="H352" i="11" s="1"/>
  <c r="E351" i="11"/>
  <c r="H351" i="11" s="1"/>
  <c r="J344" i="11"/>
  <c r="I344" i="11"/>
  <c r="F344" i="11"/>
  <c r="D344" i="11"/>
  <c r="C344" i="11"/>
  <c r="E343" i="11"/>
  <c r="H343" i="11" s="1"/>
  <c r="H341" i="11"/>
  <c r="E341" i="11"/>
  <c r="H340" i="11"/>
  <c r="G340" i="11"/>
  <c r="G344" i="11" s="1"/>
  <c r="E340" i="11"/>
  <c r="H338" i="11"/>
  <c r="E338" i="11"/>
  <c r="E337" i="11"/>
  <c r="H337" i="11" s="1"/>
  <c r="E335" i="11"/>
  <c r="H335" i="11" s="1"/>
  <c r="H334" i="11"/>
  <c r="E334" i="11"/>
  <c r="H332" i="11"/>
  <c r="E332" i="11"/>
  <c r="E331" i="11"/>
  <c r="H331" i="11" s="1"/>
  <c r="E329" i="11"/>
  <c r="H329" i="11" s="1"/>
  <c r="H328" i="11"/>
  <c r="E328" i="11"/>
  <c r="H326" i="11"/>
  <c r="E326" i="11"/>
  <c r="E325" i="11"/>
  <c r="E344" i="11" s="1"/>
  <c r="H344" i="11" s="1"/>
  <c r="J310" i="11"/>
  <c r="I310" i="11"/>
  <c r="F310" i="11"/>
  <c r="D310" i="11"/>
  <c r="C310" i="11"/>
  <c r="E308" i="11"/>
  <c r="H308" i="11" s="1"/>
  <c r="E307" i="11"/>
  <c r="H307" i="11" s="1"/>
  <c r="E306" i="11"/>
  <c r="G306" i="11" s="1"/>
  <c r="H305" i="11"/>
  <c r="E305" i="11"/>
  <c r="E304" i="11"/>
  <c r="H304" i="11" s="1"/>
  <c r="E303" i="11"/>
  <c r="H303" i="11" s="1"/>
  <c r="E302" i="11"/>
  <c r="E310" i="11" s="1"/>
  <c r="J296" i="11"/>
  <c r="I296" i="11"/>
  <c r="F296" i="11"/>
  <c r="D296" i="11"/>
  <c r="C296" i="11"/>
  <c r="J295" i="11"/>
  <c r="E295" i="11"/>
  <c r="H295" i="11" s="1"/>
  <c r="J293" i="11"/>
  <c r="E293" i="11"/>
  <c r="E296" i="11" s="1"/>
  <c r="H296" i="11" s="1"/>
  <c r="H292" i="11"/>
  <c r="E292" i="11"/>
  <c r="E291" i="11"/>
  <c r="H291" i="11" s="1"/>
  <c r="I284" i="11"/>
  <c r="F284" i="11"/>
  <c r="H284" i="11" s="1"/>
  <c r="D284" i="11"/>
  <c r="C284" i="11"/>
  <c r="J283" i="11"/>
  <c r="J282" i="11"/>
  <c r="J284" i="11" s="1"/>
  <c r="E282" i="11"/>
  <c r="H282" i="11" s="1"/>
  <c r="H280" i="11"/>
  <c r="E280" i="11"/>
  <c r="E278" i="11"/>
  <c r="G278" i="11" s="1"/>
  <c r="E277" i="11"/>
  <c r="H277" i="11" s="1"/>
  <c r="E275" i="11"/>
  <c r="H275" i="11" s="1"/>
  <c r="H274" i="11"/>
  <c r="E274" i="11"/>
  <c r="E272" i="11"/>
  <c r="H272" i="11" s="1"/>
  <c r="E271" i="11"/>
  <c r="H271" i="11" s="1"/>
  <c r="E269" i="11"/>
  <c r="H269" i="11" s="1"/>
  <c r="H268" i="11"/>
  <c r="E268" i="11"/>
  <c r="G268" i="11" s="1"/>
  <c r="G284" i="11" s="1"/>
  <c r="H266" i="11"/>
  <c r="E266" i="11"/>
  <c r="H265" i="11"/>
  <c r="E265" i="11"/>
  <c r="E263" i="11"/>
  <c r="H263" i="11" s="1"/>
  <c r="E262" i="11"/>
  <c r="E284" i="11" s="1"/>
  <c r="J252" i="11"/>
  <c r="I252" i="11"/>
  <c r="F252" i="11"/>
  <c r="D252" i="11"/>
  <c r="C252" i="11"/>
  <c r="E251" i="11"/>
  <c r="H251" i="11" s="1"/>
  <c r="E250" i="11"/>
  <c r="H250" i="11" s="1"/>
  <c r="E249" i="11"/>
  <c r="H249" i="11" s="1"/>
  <c r="H248" i="11"/>
  <c r="E248" i="11"/>
  <c r="E247" i="11"/>
  <c r="H247" i="11" s="1"/>
  <c r="E246" i="11"/>
  <c r="H246" i="11" s="1"/>
  <c r="E245" i="11"/>
  <c r="H245" i="11" s="1"/>
  <c r="J239" i="11"/>
  <c r="I239" i="11"/>
  <c r="F239" i="11"/>
  <c r="D239" i="11"/>
  <c r="C239" i="11"/>
  <c r="E238" i="11"/>
  <c r="H238" i="11" s="1"/>
  <c r="E236" i="11"/>
  <c r="H236" i="11" s="1"/>
  <c r="H235" i="11"/>
  <c r="E235" i="11"/>
  <c r="H234" i="11"/>
  <c r="E234" i="11"/>
  <c r="E239" i="11" s="1"/>
  <c r="J227" i="11"/>
  <c r="I227" i="11"/>
  <c r="F227" i="11"/>
  <c r="H227" i="11" s="1"/>
  <c r="D227" i="11"/>
  <c r="C227" i="11"/>
  <c r="E226" i="11"/>
  <c r="H226" i="11" s="1"/>
  <c r="H224" i="11"/>
  <c r="E224" i="11"/>
  <c r="E222" i="11"/>
  <c r="H222" i="11" s="1"/>
  <c r="E220" i="11"/>
  <c r="H220" i="11" s="1"/>
  <c r="E219" i="11"/>
  <c r="H219" i="11" s="1"/>
  <c r="H217" i="11"/>
  <c r="E217" i="11"/>
  <c r="E216" i="11"/>
  <c r="H216" i="11" s="1"/>
  <c r="E214" i="11"/>
  <c r="H214" i="11" s="1"/>
  <c r="E213" i="11"/>
  <c r="H213" i="11" s="1"/>
  <c r="H211" i="11"/>
  <c r="E211" i="11"/>
  <c r="E210" i="11"/>
  <c r="H210" i="11" s="1"/>
  <c r="E208" i="11"/>
  <c r="H208" i="11" s="1"/>
  <c r="E207" i="11"/>
  <c r="E227" i="11" s="1"/>
  <c r="J197" i="11"/>
  <c r="I197" i="11"/>
  <c r="F197" i="11"/>
  <c r="D197" i="11"/>
  <c r="C197" i="11"/>
  <c r="E196" i="11"/>
  <c r="H196" i="11" s="1"/>
  <c r="E195" i="11"/>
  <c r="H195" i="11" s="1"/>
  <c r="H194" i="11"/>
  <c r="E194" i="11"/>
  <c r="H193" i="11"/>
  <c r="E193" i="11"/>
  <c r="E192" i="11"/>
  <c r="H192" i="11" s="1"/>
  <c r="E191" i="11"/>
  <c r="H191" i="11" s="1"/>
  <c r="J185" i="11"/>
  <c r="I185" i="11"/>
  <c r="D185" i="11"/>
  <c r="C185" i="11"/>
  <c r="E184" i="11"/>
  <c r="H184" i="11" s="1"/>
  <c r="F182" i="11"/>
  <c r="D182" i="11"/>
  <c r="E182" i="11" s="1"/>
  <c r="H181" i="11"/>
  <c r="E181" i="11"/>
  <c r="F180" i="11"/>
  <c r="D180" i="11"/>
  <c r="E180" i="11" s="1"/>
  <c r="J173" i="11"/>
  <c r="I173" i="11"/>
  <c r="F173" i="11"/>
  <c r="D173" i="11"/>
  <c r="C173" i="11"/>
  <c r="H171" i="11"/>
  <c r="E171" i="11"/>
  <c r="E169" i="11"/>
  <c r="H169" i="11" s="1"/>
  <c r="H168" i="11"/>
  <c r="E168" i="11"/>
  <c r="H166" i="11"/>
  <c r="E166" i="11"/>
  <c r="H164" i="11"/>
  <c r="E164" i="11"/>
  <c r="E162" i="11"/>
  <c r="E173" i="11" s="1"/>
  <c r="H173" i="11" s="1"/>
  <c r="J152" i="11"/>
  <c r="I152" i="11"/>
  <c r="F152" i="11"/>
  <c r="D152" i="11"/>
  <c r="C152" i="11"/>
  <c r="H151" i="11"/>
  <c r="E151" i="11"/>
  <c r="E150" i="11"/>
  <c r="H150" i="11" s="1"/>
  <c r="E149" i="11"/>
  <c r="H149" i="11" s="1"/>
  <c r="H148" i="11"/>
  <c r="E148" i="11"/>
  <c r="E147" i="11"/>
  <c r="H147" i="11" s="1"/>
  <c r="E146" i="11"/>
  <c r="H146" i="11" s="1"/>
  <c r="E145" i="11"/>
  <c r="E152" i="11" s="1"/>
  <c r="J139" i="11"/>
  <c r="I139" i="11"/>
  <c r="F139" i="11"/>
  <c r="D139" i="11"/>
  <c r="C139" i="11"/>
  <c r="H138" i="11"/>
  <c r="E138" i="11"/>
  <c r="E136" i="11"/>
  <c r="H136" i="11" s="1"/>
  <c r="G135" i="11"/>
  <c r="G139" i="11" s="1"/>
  <c r="E135" i="11"/>
  <c r="H135" i="11" s="1"/>
  <c r="E134" i="11"/>
  <c r="E139" i="11" s="1"/>
  <c r="H139" i="11" s="1"/>
  <c r="J127" i="11"/>
  <c r="I127" i="11"/>
  <c r="F127" i="11"/>
  <c r="H127" i="11" s="1"/>
  <c r="D127" i="11"/>
  <c r="C127" i="11"/>
  <c r="E126" i="11"/>
  <c r="H126" i="11" s="1"/>
  <c r="E124" i="11"/>
  <c r="H124" i="11" s="1"/>
  <c r="E123" i="11"/>
  <c r="H123" i="11" s="1"/>
  <c r="H121" i="11"/>
  <c r="E121" i="11"/>
  <c r="E120" i="11"/>
  <c r="H120" i="11" s="1"/>
  <c r="E118" i="11"/>
  <c r="H118" i="11" s="1"/>
  <c r="E117" i="11"/>
  <c r="H117" i="11" s="1"/>
  <c r="H115" i="11"/>
  <c r="E115" i="11"/>
  <c r="E114" i="11"/>
  <c r="H114" i="11" s="1"/>
  <c r="E112" i="11"/>
  <c r="H112" i="11" s="1"/>
  <c r="E111" i="11"/>
  <c r="E127" i="11" s="1"/>
  <c r="J101" i="11"/>
  <c r="I101" i="11"/>
  <c r="F101" i="11"/>
  <c r="H101" i="11" s="1"/>
  <c r="D101" i="11"/>
  <c r="C101" i="11"/>
  <c r="E100" i="11"/>
  <c r="H100" i="11" s="1"/>
  <c r="H99" i="11"/>
  <c r="E99" i="11"/>
  <c r="F98" i="11"/>
  <c r="E98" i="11"/>
  <c r="H98" i="11" s="1"/>
  <c r="E97" i="11"/>
  <c r="H97" i="11" s="1"/>
  <c r="H96" i="11"/>
  <c r="F96" i="11"/>
  <c r="E96" i="11"/>
  <c r="H95" i="11"/>
  <c r="E95" i="11"/>
  <c r="E101" i="11" s="1"/>
  <c r="J89" i="11"/>
  <c r="F89" i="11"/>
  <c r="H89" i="11" s="1"/>
  <c r="D89" i="11"/>
  <c r="C89" i="11"/>
  <c r="I88" i="11"/>
  <c r="I89" i="11" s="1"/>
  <c r="H88" i="11"/>
  <c r="E88" i="11"/>
  <c r="E86" i="11"/>
  <c r="E89" i="11" s="1"/>
  <c r="H85" i="11"/>
  <c r="E85" i="11"/>
  <c r="J78" i="11"/>
  <c r="I78" i="11"/>
  <c r="F78" i="11"/>
  <c r="D78" i="11"/>
  <c r="C78" i="11"/>
  <c r="E77" i="11"/>
  <c r="H77" i="11" s="1"/>
  <c r="E76" i="11"/>
  <c r="H76" i="11" s="1"/>
  <c r="E74" i="11"/>
  <c r="H74" i="11" s="1"/>
  <c r="H73" i="11"/>
  <c r="E73" i="11"/>
  <c r="E71" i="11"/>
  <c r="H71" i="11" s="1"/>
  <c r="E69" i="11"/>
  <c r="H69" i="11" s="1"/>
  <c r="J59" i="11"/>
  <c r="I59" i="11"/>
  <c r="H59" i="11"/>
  <c r="G59" i="11"/>
  <c r="F59" i="11"/>
  <c r="E59" i="11"/>
  <c r="C59" i="11"/>
  <c r="H58" i="11"/>
  <c r="H57" i="11"/>
  <c r="H56" i="11"/>
  <c r="H55" i="11"/>
  <c r="H54" i="11"/>
  <c r="H53" i="11"/>
  <c r="H52" i="11"/>
  <c r="H51" i="11"/>
  <c r="H50" i="11"/>
  <c r="I45" i="11"/>
  <c r="H45" i="11"/>
  <c r="G45" i="11"/>
  <c r="F45" i="11"/>
  <c r="E45" i="11"/>
  <c r="C45" i="11"/>
  <c r="J44" i="11"/>
  <c r="H44" i="11"/>
  <c r="H43" i="11"/>
  <c r="J41" i="11"/>
  <c r="J45" i="11" s="1"/>
  <c r="H41" i="11"/>
  <c r="H40" i="11"/>
  <c r="H39" i="11"/>
  <c r="H30" i="11"/>
  <c r="G30" i="11"/>
  <c r="F30" i="11"/>
  <c r="E30" i="11"/>
  <c r="C30" i="11"/>
  <c r="L29" i="11"/>
  <c r="H29" i="11"/>
  <c r="L27" i="11"/>
  <c r="H27" i="11"/>
  <c r="L26" i="11"/>
  <c r="H26" i="11"/>
  <c r="L24" i="11"/>
  <c r="H24" i="11"/>
  <c r="L23" i="11"/>
  <c r="H23" i="11"/>
  <c r="L21" i="11"/>
  <c r="J21" i="11"/>
  <c r="L20" i="11" s="1"/>
  <c r="H21" i="11"/>
  <c r="J20" i="11"/>
  <c r="H20" i="11"/>
  <c r="L18" i="11"/>
  <c r="H18" i="11"/>
  <c r="L17" i="11"/>
  <c r="H17" i="11"/>
  <c r="L15" i="11"/>
  <c r="H15" i="11"/>
  <c r="L14" i="11"/>
  <c r="H14" i="11"/>
  <c r="L12" i="11"/>
  <c r="H12" i="11"/>
  <c r="L11" i="11"/>
  <c r="I11" i="11"/>
  <c r="I30" i="11" s="1"/>
  <c r="H11" i="11"/>
  <c r="L9" i="11"/>
  <c r="H9" i="11"/>
  <c r="L8" i="11"/>
  <c r="L30" i="11" s="1"/>
  <c r="H8" i="11"/>
  <c r="G27" i="10"/>
  <c r="G26" i="10"/>
  <c r="G25" i="10"/>
  <c r="G24" i="10" s="1"/>
  <c r="C24" i="10"/>
  <c r="G22" i="10"/>
  <c r="G21" i="10" s="1"/>
  <c r="C21" i="10"/>
  <c r="C29" i="10" s="1"/>
  <c r="G14" i="10"/>
  <c r="C13" i="10"/>
  <c r="G13" i="10" s="1"/>
  <c r="G12" i="10"/>
  <c r="G11" i="10" s="1"/>
  <c r="G9" i="10"/>
  <c r="G8" i="10"/>
  <c r="G16" i="10" s="1"/>
  <c r="C8" i="10"/>
  <c r="D29" i="9"/>
  <c r="C29" i="9"/>
  <c r="F28" i="9"/>
  <c r="F29" i="9" s="1"/>
  <c r="C23" i="9"/>
  <c r="E21" i="9"/>
  <c r="H21" i="9" s="1"/>
  <c r="D20" i="9"/>
  <c r="H20" i="9" s="1"/>
  <c r="H19" i="9"/>
  <c r="H18" i="9"/>
  <c r="H17" i="9"/>
  <c r="H16" i="9"/>
  <c r="E16" i="9"/>
  <c r="D16" i="9"/>
  <c r="H15" i="9"/>
  <c r="H14" i="9"/>
  <c r="F14" i="9"/>
  <c r="F23" i="9" s="1"/>
  <c r="E14" i="9"/>
  <c r="E13" i="9"/>
  <c r="E23" i="9" s="1"/>
  <c r="D13" i="9"/>
  <c r="D23" i="9" s="1"/>
  <c r="C13" i="9"/>
  <c r="H12" i="9"/>
  <c r="H11" i="9"/>
  <c r="K18" i="7"/>
  <c r="J18" i="7"/>
  <c r="I17" i="7"/>
  <c r="H17" i="7"/>
  <c r="H18" i="7" s="1"/>
  <c r="F17" i="7"/>
  <c r="D17" i="7"/>
  <c r="G16" i="7"/>
  <c r="D16" i="7"/>
  <c r="F16" i="7" s="1"/>
  <c r="F15" i="7"/>
  <c r="I15" i="7" s="1"/>
  <c r="I14" i="7"/>
  <c r="F14" i="7"/>
  <c r="F13" i="7"/>
  <c r="I13" i="7" s="1"/>
  <c r="G12" i="7"/>
  <c r="D12" i="7"/>
  <c r="F12" i="7" s="1"/>
  <c r="G11" i="7"/>
  <c r="D11" i="7"/>
  <c r="F11" i="7" s="1"/>
  <c r="I11" i="7" s="1"/>
  <c r="F10" i="7"/>
  <c r="I10" i="7" s="1"/>
  <c r="G9" i="7"/>
  <c r="I9" i="7" s="1"/>
  <c r="F9" i="7"/>
  <c r="D9" i="7"/>
  <c r="G8" i="7"/>
  <c r="D8" i="7"/>
  <c r="F8" i="7" s="1"/>
  <c r="F18" i="7" s="1"/>
  <c r="F89" i="6"/>
  <c r="E89" i="6"/>
  <c r="G88" i="6"/>
  <c r="F88" i="6"/>
  <c r="G87" i="6"/>
  <c r="G89" i="6" s="1"/>
  <c r="F87" i="6"/>
  <c r="G76" i="6"/>
  <c r="G78" i="6" s="1"/>
  <c r="G75" i="6"/>
  <c r="E75" i="6"/>
  <c r="G74" i="6"/>
  <c r="F74" i="6"/>
  <c r="E74" i="6"/>
  <c r="F73" i="6"/>
  <c r="F76" i="6" s="1"/>
  <c r="F78" i="6" s="1"/>
  <c r="E67" i="6"/>
  <c r="E66" i="6"/>
  <c r="G65" i="6"/>
  <c r="G68" i="6" s="1"/>
  <c r="G70" i="6" s="1"/>
  <c r="F65" i="6"/>
  <c r="F68" i="6" s="1"/>
  <c r="F70" i="6" s="1"/>
  <c r="E65" i="6"/>
  <c r="E68" i="6" s="1"/>
  <c r="E70" i="6" s="1"/>
  <c r="G60" i="6"/>
  <c r="G62" i="6" s="1"/>
  <c r="F60" i="6"/>
  <c r="F62" i="6" s="1"/>
  <c r="F80" i="6" s="1"/>
  <c r="E59" i="6"/>
  <c r="E58" i="6"/>
  <c r="E60" i="6" s="1"/>
  <c r="E62" i="6" s="1"/>
  <c r="G57" i="6"/>
  <c r="E57" i="6"/>
  <c r="G48" i="6"/>
  <c r="F48" i="6"/>
  <c r="F46" i="6"/>
  <c r="F45" i="6"/>
  <c r="G39" i="6"/>
  <c r="F39" i="6"/>
  <c r="F34" i="6"/>
  <c r="G31" i="6"/>
  <c r="F27" i="6"/>
  <c r="F31" i="6" s="1"/>
  <c r="G19" i="6"/>
  <c r="F19" i="6"/>
  <c r="F21" i="6" s="1"/>
  <c r="G15" i="6"/>
  <c r="G21" i="6" s="1"/>
  <c r="F15" i="6"/>
  <c r="G8" i="6"/>
  <c r="F8" i="6"/>
  <c r="F372" i="5"/>
  <c r="G371" i="5"/>
  <c r="G373" i="5" s="1"/>
  <c r="D10" i="4" s="1"/>
  <c r="I369" i="5"/>
  <c r="H365" i="5"/>
  <c r="I364" i="5"/>
  <c r="H364" i="5"/>
  <c r="H366" i="5" s="1"/>
  <c r="G364" i="5"/>
  <c r="G365" i="5" s="1"/>
  <c r="D9" i="4" s="1"/>
  <c r="F363" i="5"/>
  <c r="H362" i="5"/>
  <c r="F362" i="5"/>
  <c r="F365" i="5" s="1"/>
  <c r="C9" i="4" s="1"/>
  <c r="G355" i="5"/>
  <c r="F355" i="5"/>
  <c r="C15" i="4" s="1"/>
  <c r="I353" i="5"/>
  <c r="I355" i="5" s="1"/>
  <c r="G346" i="5"/>
  <c r="F345" i="5"/>
  <c r="F346" i="5" s="1"/>
  <c r="F338" i="5" s="1"/>
  <c r="F344" i="5"/>
  <c r="G338" i="5"/>
  <c r="G339" i="5" s="1"/>
  <c r="D22" i="2" s="1"/>
  <c r="F337" i="5"/>
  <c r="G331" i="5"/>
  <c r="F331" i="5"/>
  <c r="F330" i="5"/>
  <c r="G329" i="5"/>
  <c r="F329" i="5"/>
  <c r="G321" i="5"/>
  <c r="D19" i="2" s="1"/>
  <c r="F320" i="5"/>
  <c r="F371" i="5" s="1"/>
  <c r="F373" i="5" s="1"/>
  <c r="C10" i="4" s="1"/>
  <c r="F319" i="5"/>
  <c r="F318" i="5"/>
  <c r="F321" i="5" s="1"/>
  <c r="C19" i="2" s="1"/>
  <c r="G311" i="5"/>
  <c r="F311" i="5"/>
  <c r="G302" i="5"/>
  <c r="F302" i="5"/>
  <c r="F272" i="5" s="1"/>
  <c r="G291" i="5"/>
  <c r="G271" i="5" s="1"/>
  <c r="G274" i="5" s="1"/>
  <c r="D11" i="2" s="1"/>
  <c r="F291" i="5"/>
  <c r="G284" i="5"/>
  <c r="F284" i="5"/>
  <c r="G273" i="5"/>
  <c r="F273" i="5"/>
  <c r="G272" i="5"/>
  <c r="F271" i="5"/>
  <c r="F274" i="5" s="1"/>
  <c r="C11" i="2" s="1"/>
  <c r="G263" i="5"/>
  <c r="F263" i="5"/>
  <c r="G255" i="5"/>
  <c r="G251" i="5"/>
  <c r="G243" i="5"/>
  <c r="G229" i="5" s="1"/>
  <c r="G230" i="5" s="1"/>
  <c r="D9" i="2" s="1"/>
  <c r="D8" i="2" s="1"/>
  <c r="D14" i="2" s="1"/>
  <c r="F242" i="5"/>
  <c r="F243" i="5" s="1"/>
  <c r="F229" i="5" s="1"/>
  <c r="F230" i="5" s="1"/>
  <c r="C9" i="2" s="1"/>
  <c r="G235" i="5"/>
  <c r="F235" i="5"/>
  <c r="G223" i="5"/>
  <c r="F223" i="5"/>
  <c r="G218" i="5"/>
  <c r="G193" i="5" s="1"/>
  <c r="F218" i="5"/>
  <c r="F193" i="5" s="1"/>
  <c r="G213" i="5"/>
  <c r="C213" i="5"/>
  <c r="F212" i="5"/>
  <c r="F211" i="5"/>
  <c r="F210" i="5"/>
  <c r="F209" i="5"/>
  <c r="F213" i="5" s="1"/>
  <c r="G204" i="5"/>
  <c r="G192" i="5" s="1"/>
  <c r="G194" i="5" s="1"/>
  <c r="D26" i="1" s="1"/>
  <c r="F204" i="5"/>
  <c r="G199" i="5"/>
  <c r="F199" i="5"/>
  <c r="F192" i="5"/>
  <c r="G191" i="5"/>
  <c r="F191" i="5"/>
  <c r="F194" i="5" s="1"/>
  <c r="C26" i="1" s="1"/>
  <c r="G185" i="5"/>
  <c r="G165" i="5" s="1"/>
  <c r="F185" i="5"/>
  <c r="F176" i="5"/>
  <c r="G173" i="5"/>
  <c r="G176" i="5" s="1"/>
  <c r="G164" i="5" s="1"/>
  <c r="F165" i="5"/>
  <c r="F164" i="5"/>
  <c r="F167" i="5" s="1"/>
  <c r="G159" i="5"/>
  <c r="G153" i="5" s="1"/>
  <c r="G154" i="5" s="1"/>
  <c r="F159" i="5"/>
  <c r="I158" i="5"/>
  <c r="G158" i="5"/>
  <c r="F153" i="5"/>
  <c r="F154" i="5" s="1"/>
  <c r="G145" i="5"/>
  <c r="F145" i="5"/>
  <c r="C34" i="1" s="1"/>
  <c r="F141" i="5"/>
  <c r="F147" i="5" s="1"/>
  <c r="I140" i="5"/>
  <c r="G140" i="5"/>
  <c r="I139" i="5"/>
  <c r="G139" i="5"/>
  <c r="I138" i="5"/>
  <c r="G138" i="5"/>
  <c r="I137" i="5"/>
  <c r="I141" i="5" s="1"/>
  <c r="G137" i="5"/>
  <c r="G141" i="5" s="1"/>
  <c r="G129" i="5"/>
  <c r="G124" i="5" s="1"/>
  <c r="G125" i="5" s="1"/>
  <c r="F129" i="5"/>
  <c r="F124" i="5" s="1"/>
  <c r="F118" i="5"/>
  <c r="C32" i="1" s="1"/>
  <c r="I117" i="5"/>
  <c r="G117" i="5"/>
  <c r="I116" i="5"/>
  <c r="G116" i="5"/>
  <c r="F116" i="5"/>
  <c r="I115" i="5"/>
  <c r="I118" i="5" s="1"/>
  <c r="G115" i="5"/>
  <c r="G118" i="5" s="1"/>
  <c r="I110" i="5"/>
  <c r="G110" i="5"/>
  <c r="F102" i="5"/>
  <c r="C31" i="1" s="1"/>
  <c r="F94" i="5"/>
  <c r="F104" i="5" s="1"/>
  <c r="I93" i="5"/>
  <c r="G93" i="5"/>
  <c r="I92" i="5"/>
  <c r="G92" i="5"/>
  <c r="I91" i="5"/>
  <c r="G91" i="5"/>
  <c r="I90" i="5"/>
  <c r="G90" i="5"/>
  <c r="I89" i="5"/>
  <c r="G89" i="5"/>
  <c r="F89" i="5"/>
  <c r="I88" i="5"/>
  <c r="G88" i="5"/>
  <c r="I87" i="5"/>
  <c r="I94" i="5" s="1"/>
  <c r="G87" i="5"/>
  <c r="G94" i="5" s="1"/>
  <c r="F80" i="5"/>
  <c r="G76" i="5"/>
  <c r="G80" i="5" s="1"/>
  <c r="F76" i="5"/>
  <c r="I75" i="5"/>
  <c r="I74" i="5"/>
  <c r="I73" i="5"/>
  <c r="I72" i="5"/>
  <c r="I76" i="5" s="1"/>
  <c r="G65" i="5"/>
  <c r="F60" i="5"/>
  <c r="C36" i="1" s="1"/>
  <c r="E60" i="5"/>
  <c r="G35" i="12" s="1"/>
  <c r="G36" i="12" s="1"/>
  <c r="C60" i="5"/>
  <c r="G58" i="5"/>
  <c r="G56" i="5"/>
  <c r="G53" i="5"/>
  <c r="G52" i="5"/>
  <c r="G51" i="5"/>
  <c r="D48" i="5"/>
  <c r="D60" i="5" s="1"/>
  <c r="G40" i="5"/>
  <c r="F40" i="5"/>
  <c r="F30" i="5"/>
  <c r="G14" i="5"/>
  <c r="C14" i="5"/>
  <c r="C9" i="1" s="1"/>
  <c r="C8" i="1" s="1"/>
  <c r="F12" i="5"/>
  <c r="F11" i="5"/>
  <c r="E10" i="5"/>
  <c r="F10" i="5" s="1"/>
  <c r="F14" i="5" s="1"/>
  <c r="F7" i="5"/>
  <c r="D16" i="4"/>
  <c r="D18" i="3"/>
  <c r="C15" i="3"/>
  <c r="D12" i="3"/>
  <c r="D20" i="3" s="1"/>
  <c r="C12" i="3"/>
  <c r="C20" i="3" s="1"/>
  <c r="C11" i="3"/>
  <c r="C10" i="3"/>
  <c r="C9" i="3"/>
  <c r="D32" i="2"/>
  <c r="D29" i="2"/>
  <c r="D28" i="2"/>
  <c r="D21" i="2"/>
  <c r="C21" i="2"/>
  <c r="C20" i="2"/>
  <c r="D10" i="2"/>
  <c r="C10" i="2"/>
  <c r="D41" i="1"/>
  <c r="D35" i="1"/>
  <c r="C35" i="1"/>
  <c r="D34" i="1"/>
  <c r="C30" i="1"/>
  <c r="D24" i="1"/>
  <c r="C24" i="1"/>
  <c r="F23" i="1"/>
  <c r="C23" i="1"/>
  <c r="D22" i="1"/>
  <c r="C22" i="1"/>
  <c r="C21" i="1"/>
  <c r="D20" i="1"/>
  <c r="C20" i="1"/>
  <c r="C19" i="1"/>
  <c r="F14" i="1"/>
  <c r="D13" i="1"/>
  <c r="D12" i="1"/>
  <c r="C12" i="1"/>
  <c r="D11" i="1"/>
  <c r="D9" i="1"/>
  <c r="D8" i="1" s="1"/>
  <c r="D15" i="1" s="1"/>
  <c r="G80" i="6" l="1"/>
  <c r="D21" i="1"/>
  <c r="G104" i="5"/>
  <c r="H23" i="9"/>
  <c r="H182" i="11"/>
  <c r="H239" i="11"/>
  <c r="I16" i="7"/>
  <c r="H152" i="11"/>
  <c r="F125" i="5"/>
  <c r="C33" i="1"/>
  <c r="C29" i="1" s="1"/>
  <c r="F357" i="5" s="1"/>
  <c r="I8" i="7"/>
  <c r="G310" i="11"/>
  <c r="D32" i="1"/>
  <c r="G111" i="5"/>
  <c r="G112" i="5" s="1"/>
  <c r="D18" i="2"/>
  <c r="D24" i="2" s="1"/>
  <c r="D26" i="2" s="1"/>
  <c r="I12" i="7"/>
  <c r="E185" i="11"/>
  <c r="F339" i="5"/>
  <c r="C22" i="2"/>
  <c r="C18" i="2" s="1"/>
  <c r="C24" i="2" s="1"/>
  <c r="G29" i="10"/>
  <c r="H180" i="11"/>
  <c r="H411" i="11"/>
  <c r="G60" i="5"/>
  <c r="G147" i="5"/>
  <c r="D23" i="1"/>
  <c r="F169" i="5"/>
  <c r="C25" i="1"/>
  <c r="H357" i="11"/>
  <c r="G386" i="11"/>
  <c r="F253" i="5"/>
  <c r="F251" i="5" s="1"/>
  <c r="F255" i="5" s="1"/>
  <c r="C16" i="3"/>
  <c r="C13" i="1"/>
  <c r="C11" i="1" s="1"/>
  <c r="C15" i="1" s="1"/>
  <c r="G167" i="5"/>
  <c r="H310" i="11"/>
  <c r="E357" i="11"/>
  <c r="C29" i="2"/>
  <c r="C28" i="2" s="1"/>
  <c r="C32" i="2" s="1"/>
  <c r="E14" i="5"/>
  <c r="E78" i="11"/>
  <c r="H78" i="11" s="1"/>
  <c r="H86" i="11"/>
  <c r="H134" i="11"/>
  <c r="H162" i="11"/>
  <c r="E252" i="11"/>
  <c r="H252" i="11" s="1"/>
  <c r="H325" i="11"/>
  <c r="H364" i="11"/>
  <c r="G368" i="11"/>
  <c r="G370" i="11" s="1"/>
  <c r="G409" i="11"/>
  <c r="D18" i="7"/>
  <c r="H28" i="9"/>
  <c r="H29" i="9" s="1"/>
  <c r="C11" i="10"/>
  <c r="C16" i="10" s="1"/>
  <c r="H111" i="11"/>
  <c r="H145" i="11"/>
  <c r="F185" i="11"/>
  <c r="H185" i="11" s="1"/>
  <c r="H207" i="11"/>
  <c r="G293" i="11"/>
  <c r="H302" i="11"/>
  <c r="G385" i="11"/>
  <c r="D19" i="1"/>
  <c r="C27" i="1"/>
  <c r="D33" i="1"/>
  <c r="E73" i="6"/>
  <c r="E76" i="6" s="1"/>
  <c r="E78" i="6" s="1"/>
  <c r="E80" i="6" s="1"/>
  <c r="J30" i="11"/>
  <c r="H293" i="11"/>
  <c r="G18" i="7"/>
  <c r="G150" i="11"/>
  <c r="G152" i="11" s="1"/>
  <c r="E197" i="11"/>
  <c r="H197" i="11" s="1"/>
  <c r="G307" i="11"/>
  <c r="H380" i="11"/>
  <c r="F111" i="5"/>
  <c r="F112" i="5" s="1"/>
  <c r="H13" i="9"/>
  <c r="G126" i="11"/>
  <c r="G127" i="11" s="1"/>
  <c r="G295" i="11"/>
  <c r="G352" i="11"/>
  <c r="G357" i="11" s="1"/>
  <c r="H404" i="11"/>
  <c r="G408" i="11"/>
  <c r="G411" i="11" s="1"/>
  <c r="H262" i="11"/>
  <c r="H394" i="11"/>
  <c r="C14" i="4" l="1"/>
  <c r="C13" i="4" s="1"/>
  <c r="F354" i="5"/>
  <c r="C26" i="2"/>
  <c r="G296" i="11"/>
  <c r="C12" i="2"/>
  <c r="C8" i="2" s="1"/>
  <c r="C14" i="2" s="1"/>
  <c r="F63" i="5"/>
  <c r="F65" i="5" s="1"/>
  <c r="G169" i="5"/>
  <c r="D25" i="1"/>
  <c r="D18" i="1" s="1"/>
  <c r="D38" i="1" s="1"/>
  <c r="D39" i="1" s="1"/>
  <c r="D43" i="1" s="1"/>
  <c r="G352" i="5" s="1"/>
  <c r="C18" i="1"/>
  <c r="C38" i="1" s="1"/>
  <c r="C39" i="1" s="1"/>
  <c r="C43" i="1" s="1"/>
  <c r="F352" i="5" s="1"/>
  <c r="F359" i="5" s="1"/>
  <c r="C8" i="4" s="1"/>
  <c r="C11" i="4" s="1"/>
  <c r="C18" i="4" s="1"/>
  <c r="C20" i="4" s="1"/>
  <c r="C22" i="4" s="1"/>
  <c r="D29" i="1"/>
  <c r="G357" i="5" s="1"/>
  <c r="G359" i="5" l="1"/>
  <c r="D8" i="4" s="1"/>
  <c r="D11" i="4" s="1"/>
  <c r="D18" i="4" s="1"/>
  <c r="D20" i="4" s="1"/>
  <c r="D22" i="4" s="1"/>
  <c r="D14" i="4"/>
  <c r="D13" i="4" s="1"/>
  <c r="H357" i="5"/>
  <c r="G35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8" authorId="0" shapeId="0" xr:uid="{00000000-0006-0000-0000-000001000000}">
      <text>
        <r>
          <rPr>
            <sz val="10"/>
            <rFont val="Arial"/>
            <family val="2"/>
          </rPr>
          <t>reference:C9
mrs:(C9,+,10.0000)  
Rotate:True</t>
        </r>
      </text>
    </comment>
    <comment ref="D8" authorId="0" shapeId="0" xr:uid="{00000000-0006-0000-0000-000002000000}">
      <text>
        <r>
          <rPr>
            <sz val="10"/>
            <rFont val="Arial"/>
            <family val="2"/>
          </rPr>
          <t>reference:D9
mrs:(D9,+,10.0000)  
Rotate:True</t>
        </r>
      </text>
    </comment>
    <comment ref="C11" authorId="0" shapeId="0" xr:uid="{00000000-0006-0000-0000-000003000000}">
      <text>
        <r>
          <rPr>
            <sz val="10"/>
            <rFont val="Arial"/>
            <family val="2"/>
          </rPr>
          <t>reference:C12,C13
mrs:(C12,+,10.0000)  (C13,+,10.0000)  
Rotate:True</t>
        </r>
      </text>
    </comment>
    <comment ref="D11" authorId="0" shapeId="0" xr:uid="{00000000-0006-0000-0000-000004000000}">
      <text>
        <r>
          <rPr>
            <sz val="10"/>
            <rFont val="Arial"/>
            <family val="2"/>
          </rPr>
          <t>reference:D12,D13
mrs:(D12,+,10.0000)  (D13,+,10.0000)  
Rotate:True</t>
        </r>
      </text>
    </comment>
    <comment ref="F14" authorId="0" shapeId="0" xr:uid="{00000000-0006-0000-0000-000005000000}">
      <text>
        <r>
          <rPr>
            <sz val="10"/>
            <rFont val="Arial"/>
            <family val="2"/>
          </rPr>
          <t>reference:F9,F10,F11,F12,F13
mrs:(F9,+,10.0000)  (F10,+,10.0000)  (F11,+,10.0000)  (F12,+,10.0000)  (F13,+,10.0000)  
Rotate:True</t>
        </r>
      </text>
    </comment>
    <comment ref="C15" authorId="0" shapeId="0" xr:uid="{00000000-0006-0000-0000-000006000000}">
      <text>
        <r>
          <rPr>
            <sz val="10"/>
            <rFont val="Arial"/>
            <family val="2"/>
          </rPr>
          <t>reference:C8,C11
mrs:(C8,+,10.0000)  (C11,+,10.0000)  
Rotate:True</t>
        </r>
      </text>
    </comment>
    <comment ref="D15" authorId="0" shapeId="0" xr:uid="{00000000-0006-0000-0000-000007000000}">
      <text>
        <r>
          <rPr>
            <sz val="10"/>
            <rFont val="Arial"/>
            <family val="2"/>
          </rPr>
          <t>reference:D8,D11
mrs:(D8,+,10.0000)  (D11,+,10.0000)  
Rotate:True</t>
        </r>
      </text>
    </comment>
    <comment ref="C18" authorId="0" shapeId="0" xr:uid="{00000000-0006-0000-0000-000008000000}">
      <text>
        <r>
          <rPr>
            <sz val="10"/>
            <rFont val="Arial"/>
            <family val="2"/>
          </rPr>
          <t>reference:C19,C20,C21,C22,C23,C24,C25,C26,C27
mrs:(C19,+,10.0000)  (C20,+,10.0000)  (C21,+,10.0000)  (C22,+,10.0000)  (C23,+,10.0000)  (C24,+,10.0000)  (C25,+,10.0000)  (C26,+,10.0000)  (C27,+,10.0000)  
Rotate:True</t>
        </r>
      </text>
    </comment>
    <comment ref="D18" authorId="0" shapeId="0" xr:uid="{00000000-0006-0000-0000-000009000000}">
      <text>
        <r>
          <rPr>
            <sz val="10"/>
            <rFont val="Arial"/>
            <family val="2"/>
          </rPr>
          <t>reference:D19,D20,D21,D22,D23,D24,D25,D26,D27
mrs:(D19,+,10.0000)  (D20,+,10.0000)  (D21,+,10.0000)  (D22,+,10.0000)  (D23,+,10.0000)  (D24,+,10.0000)  (D25,+,10.0000)  (D26,+,10.0000)  (D27,+,10.0000)  
Rotate:True</t>
        </r>
      </text>
    </comment>
    <comment ref="F23" authorId="0" shapeId="0" xr:uid="{00000000-0006-0000-0000-00000A000000}">
      <text>
        <r>
          <rPr>
            <sz val="10"/>
            <rFont val="Arial"/>
            <family val="2"/>
          </rPr>
          <t>reference:F20,F21,F22
mrs:(F20,+,10.0000)  (F21,+,10.0000)  (F22,+,10.0000)  
Rotate:True</t>
        </r>
      </text>
    </comment>
    <comment ref="C29" authorId="0" shapeId="0" xr:uid="{00000000-0006-0000-0000-00000B000000}">
      <text>
        <r>
          <rPr>
            <sz val="10"/>
            <rFont val="Arial"/>
            <family val="2"/>
          </rPr>
          <t>reference:C30,C31,C32,C33,C34,C35,C36
mrs:(C30,+,10.0000)  (C31,+,10.0000)  (C32,+,10.0000)  (C33,+,10.0000)  (C34,+,10.0000)  (C35,+,10.0000)  (C36,+,10.0000)  
Rotate:True</t>
        </r>
      </text>
    </comment>
    <comment ref="D29" authorId="0" shapeId="0" xr:uid="{00000000-0006-0000-0000-00000C000000}">
      <text>
        <r>
          <rPr>
            <sz val="10"/>
            <rFont val="Arial"/>
            <family val="2"/>
          </rPr>
          <t>reference:D30,D31,D32,D33,D34,D35,D36
mrs:(D30,+,10.0000)  (D31,+,10.0000)  (D32,+,10.0000)  (D33,+,10.0000)  (D34,+,10.0000)  (D35,+,10.0000)  (D36,+,10.0000)  
Rotate:True</t>
        </r>
      </text>
    </comment>
    <comment ref="C38" authorId="0" shapeId="0" xr:uid="{00000000-0006-0000-0000-00000D000000}">
      <text>
        <r>
          <rPr>
            <sz val="10"/>
            <rFont val="Arial"/>
            <family val="2"/>
          </rPr>
          <t>reference:C18,C29
mrs:(C18,+,10.0000)  (C29,+,10.0000)  
Rotate:True</t>
        </r>
      </text>
    </comment>
    <comment ref="D38" authorId="0" shapeId="0" xr:uid="{00000000-0006-0000-0000-00000E000000}">
      <text>
        <r>
          <rPr>
            <sz val="10"/>
            <rFont val="Arial"/>
            <family val="2"/>
          </rPr>
          <t>reference:D18,D29
mrs:(D18,+,10.0000)  (D29,+,10.0000)  
Rotate:True</t>
        </r>
      </text>
    </comment>
    <comment ref="C39" authorId="0" shapeId="0" xr:uid="{00000000-0006-0000-0000-00000F000000}">
      <text>
        <r>
          <rPr>
            <sz val="10"/>
            <rFont val="Arial"/>
            <family val="2"/>
          </rPr>
          <t>reference:C15,C38
mrs:(C15,+,10.0000)  (C38,+,-10.0000)  
Rotate:True</t>
        </r>
      </text>
    </comment>
    <comment ref="D39" authorId="0" shapeId="0" xr:uid="{00000000-0006-0000-0000-000010000000}">
      <text>
        <r>
          <rPr>
            <sz val="10"/>
            <rFont val="Arial"/>
            <family val="2"/>
          </rPr>
          <t>reference:D15,D38
mrs:(D15,+,10.0000)  (D38,+,-10.0000)  
Rotate:True</t>
        </r>
      </text>
    </comment>
    <comment ref="C43" authorId="0" shapeId="0" xr:uid="{00000000-0006-0000-0000-000011000000}">
      <text>
        <r>
          <rPr>
            <sz val="10"/>
            <rFont val="Arial"/>
            <family val="2"/>
          </rPr>
          <t>reference:C41,C39
mrs:(C41,+,10.0000)  (C39,+,10.0000)  
Rotate:True</t>
        </r>
      </text>
    </comment>
    <comment ref="D43" authorId="0" shapeId="0" xr:uid="{00000000-0006-0000-0000-000012000000}">
      <text>
        <r>
          <rPr>
            <sz val="10"/>
            <rFont val="Arial"/>
            <family val="2"/>
          </rPr>
          <t>reference:D41,D39
mrs:(D41,+,10.0000)  (D39,+,10.0000)  
Rotate:True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H8" authorId="0" shapeId="0" xr:uid="{00000000-0006-0000-0A00-000001000000}">
      <text>
        <r>
          <rPr>
            <sz val="10"/>
            <rFont val="Arial"/>
            <family val="2"/>
          </rPr>
          <t>reference:F8,E8
mrs:
Rotate:True</t>
        </r>
      </text>
    </comment>
    <comment ref="L8" authorId="0" shapeId="0" xr:uid="{00000000-0006-0000-0A00-000002000000}">
      <text>
        <r>
          <rPr>
            <sz val="10"/>
            <rFont val="Arial"/>
            <family val="2"/>
          </rPr>
          <t>reference:J8,J9
mrs:(J8,+,10.0000)  (J9,+,10.0000)  
Rotate:True</t>
        </r>
      </text>
    </comment>
    <comment ref="H9" authorId="0" shapeId="0" xr:uid="{00000000-0006-0000-0A00-000003000000}">
      <text>
        <r>
          <rPr>
            <sz val="10"/>
            <rFont val="Arial"/>
            <family val="2"/>
          </rPr>
          <t>reference:F9,E9
mrs:
Rotate:True</t>
        </r>
      </text>
    </comment>
    <comment ref="L9" authorId="0" shapeId="0" xr:uid="{00000000-0006-0000-0A00-000004000000}">
      <text>
        <r>
          <rPr>
            <sz val="10"/>
            <rFont val="Arial"/>
            <family val="2"/>
          </rPr>
          <t>reference:I8,I9
mrs:(I8,+,10.0000)  (I9,+,10.0000)  
Rotate:True</t>
        </r>
      </text>
    </comment>
    <comment ref="H11" authorId="0" shapeId="0" xr:uid="{00000000-0006-0000-0A00-000005000000}">
      <text>
        <r>
          <rPr>
            <sz val="10"/>
            <rFont val="Arial"/>
            <family val="2"/>
          </rPr>
          <t>reference:F11,E11
mrs:
Rotate:True</t>
        </r>
      </text>
    </comment>
    <comment ref="L11" authorId="0" shapeId="0" xr:uid="{00000000-0006-0000-0A00-000006000000}">
      <text>
        <r>
          <rPr>
            <sz val="10"/>
            <rFont val="Arial"/>
            <family val="2"/>
          </rPr>
          <t>reference:J11,J12
mrs:(J11,+,10.0000)  (J12,+,10.0000)  
Rotate:True</t>
        </r>
      </text>
    </comment>
    <comment ref="H12" authorId="0" shapeId="0" xr:uid="{00000000-0006-0000-0A00-000007000000}">
      <text>
        <r>
          <rPr>
            <sz val="10"/>
            <rFont val="Arial"/>
            <family val="2"/>
          </rPr>
          <t>reference:F12,E12
mrs:
Rotate:True</t>
        </r>
      </text>
    </comment>
    <comment ref="L12" authorId="0" shapeId="0" xr:uid="{00000000-0006-0000-0A00-000008000000}">
      <text>
        <r>
          <rPr>
            <sz val="10"/>
            <rFont val="Arial"/>
            <family val="2"/>
          </rPr>
          <t>reference:I11,I12
mrs:(I11,+,10.0000)  (I12,+,10.0000)  
Rotate:True</t>
        </r>
      </text>
    </comment>
    <comment ref="H14" authorId="0" shapeId="0" xr:uid="{00000000-0006-0000-0A00-000009000000}">
      <text>
        <r>
          <rPr>
            <sz val="10"/>
            <rFont val="Arial"/>
            <family val="2"/>
          </rPr>
          <t>reference:F14,E14
mrs:
Rotate:True</t>
        </r>
      </text>
    </comment>
    <comment ref="L14" authorId="0" shapeId="0" xr:uid="{00000000-0006-0000-0A00-00000A000000}">
      <text>
        <r>
          <rPr>
            <sz val="10"/>
            <rFont val="Arial"/>
            <family val="2"/>
          </rPr>
          <t>reference:J14,J15
mrs:(J14,+,10.0000)  (J15,+,10.0000)  
Rotate:True</t>
        </r>
      </text>
    </comment>
    <comment ref="H15" authorId="0" shapeId="0" xr:uid="{00000000-0006-0000-0A00-00000B000000}">
      <text>
        <r>
          <rPr>
            <sz val="10"/>
            <rFont val="Arial"/>
            <family val="2"/>
          </rPr>
          <t>reference:F15,E15
mrs:
Rotate:True</t>
        </r>
      </text>
    </comment>
    <comment ref="L15" authorId="0" shapeId="0" xr:uid="{00000000-0006-0000-0A00-00000C000000}">
      <text>
        <r>
          <rPr>
            <sz val="10"/>
            <rFont val="Arial"/>
            <family val="2"/>
          </rPr>
          <t>reference:I14,I15
mrs:(I14,+,10.0000)  (I15,+,10.0000)  
Rotate:True</t>
        </r>
      </text>
    </comment>
    <comment ref="H17" authorId="0" shapeId="0" xr:uid="{00000000-0006-0000-0A00-00000D000000}">
      <text>
        <r>
          <rPr>
            <sz val="10"/>
            <rFont val="Arial"/>
            <family val="2"/>
          </rPr>
          <t>reference:F17,E17
mrs:
Rotate:True</t>
        </r>
      </text>
    </comment>
    <comment ref="L17" authorId="0" shapeId="0" xr:uid="{00000000-0006-0000-0A00-00000E000000}">
      <text>
        <r>
          <rPr>
            <sz val="10"/>
            <rFont val="Arial"/>
            <family val="2"/>
          </rPr>
          <t>reference:J17,J18
mrs:(J17,+,10.0000)  (J18,+,10.0000)  
Rotate:True</t>
        </r>
      </text>
    </comment>
    <comment ref="H18" authorId="0" shapeId="0" xr:uid="{00000000-0006-0000-0A00-00000F000000}">
      <text>
        <r>
          <rPr>
            <sz val="10"/>
            <rFont val="Arial"/>
            <family val="2"/>
          </rPr>
          <t>reference:F18,E18
mrs:
Rotate:True</t>
        </r>
      </text>
    </comment>
    <comment ref="L18" authorId="0" shapeId="0" xr:uid="{00000000-0006-0000-0A00-000010000000}">
      <text>
        <r>
          <rPr>
            <sz val="10"/>
            <rFont val="Arial"/>
            <family val="2"/>
          </rPr>
          <t>reference:I17,I18
mrs:(I17,+,10.0000)  (I18,+,10.0000)  
Rotate:True</t>
        </r>
      </text>
    </comment>
    <comment ref="H20" authorId="0" shapeId="0" xr:uid="{00000000-0006-0000-0A00-000011000000}">
      <text>
        <r>
          <rPr>
            <sz val="10"/>
            <rFont val="Arial"/>
            <family val="2"/>
          </rPr>
          <t>reference:F20,E20
mrs:
Rotate:True</t>
        </r>
      </text>
    </comment>
    <comment ref="L20" authorId="0" shapeId="0" xr:uid="{00000000-0006-0000-0A00-000012000000}">
      <text>
        <r>
          <rPr>
            <sz val="10"/>
            <rFont val="Arial"/>
            <family val="2"/>
          </rPr>
          <t>reference:J20,J21
mrs:(J20,+,10.0000)  (J21,+,10.0000)  
Rotate:True</t>
        </r>
      </text>
    </comment>
    <comment ref="H21" authorId="0" shapeId="0" xr:uid="{00000000-0006-0000-0A00-000013000000}">
      <text>
        <r>
          <rPr>
            <sz val="10"/>
            <rFont val="Arial"/>
            <family val="2"/>
          </rPr>
          <t>reference:F21,E21
mrs:
Rotate:True</t>
        </r>
      </text>
    </comment>
    <comment ref="L21" authorId="0" shapeId="0" xr:uid="{00000000-0006-0000-0A00-000014000000}">
      <text>
        <r>
          <rPr>
            <sz val="10"/>
            <rFont val="Arial"/>
            <family val="2"/>
          </rPr>
          <t>reference:I20,I21
mrs:(I20,+,10.0000)  (I21,+,10.0000)  
Rotate:True</t>
        </r>
      </text>
    </comment>
    <comment ref="H23" authorId="0" shapeId="0" xr:uid="{00000000-0006-0000-0A00-000015000000}">
      <text>
        <r>
          <rPr>
            <sz val="10"/>
            <rFont val="Arial"/>
            <family val="2"/>
          </rPr>
          <t>reference:F23,E23
mrs:
Rotate:True</t>
        </r>
      </text>
    </comment>
    <comment ref="L23" authorId="0" shapeId="0" xr:uid="{00000000-0006-0000-0A00-000016000000}">
      <text>
        <r>
          <rPr>
            <sz val="10"/>
            <rFont val="Arial"/>
            <family val="2"/>
          </rPr>
          <t>reference:J23,J24
mrs:(J23,+,10.0000)  (J24,+,10.0000)  
Rotate:True</t>
        </r>
      </text>
    </comment>
    <comment ref="H24" authorId="0" shapeId="0" xr:uid="{00000000-0006-0000-0A00-000017000000}">
      <text>
        <r>
          <rPr>
            <sz val="10"/>
            <rFont val="Arial"/>
            <family val="2"/>
          </rPr>
          <t>reference:F24,E24
mrs:
Rotate:True</t>
        </r>
      </text>
    </comment>
    <comment ref="L24" authorId="0" shapeId="0" xr:uid="{00000000-0006-0000-0A00-000018000000}">
      <text>
        <r>
          <rPr>
            <sz val="10"/>
            <rFont val="Arial"/>
            <family val="2"/>
          </rPr>
          <t>reference:I23,I24
mrs:(I23,+,10.0000)  (I24,+,10.0000)  
Rotate:True</t>
        </r>
      </text>
    </comment>
    <comment ref="H26" authorId="0" shapeId="0" xr:uid="{00000000-0006-0000-0A00-000019000000}">
      <text>
        <r>
          <rPr>
            <sz val="10"/>
            <rFont val="Arial"/>
            <family val="2"/>
          </rPr>
          <t>reference:F26,E26
mrs:
Rotate:True</t>
        </r>
      </text>
    </comment>
    <comment ref="L26" authorId="0" shapeId="0" xr:uid="{00000000-0006-0000-0A00-00001A000000}">
      <text>
        <r>
          <rPr>
            <sz val="10"/>
            <rFont val="Arial"/>
            <family val="2"/>
          </rPr>
          <t>reference:J26,J27
mrs:(J26,+,10.0000)  (J27,+,10.0000)  
Rotate:True</t>
        </r>
      </text>
    </comment>
    <comment ref="H27" authorId="0" shapeId="0" xr:uid="{00000000-0006-0000-0A00-00001B000000}">
      <text>
        <r>
          <rPr>
            <sz val="10"/>
            <rFont val="Arial"/>
            <family val="2"/>
          </rPr>
          <t>reference:F27,E27
mrs:
Rotate:True</t>
        </r>
      </text>
    </comment>
    <comment ref="L27" authorId="0" shapeId="0" xr:uid="{00000000-0006-0000-0A00-00001C000000}">
      <text>
        <r>
          <rPr>
            <sz val="10"/>
            <rFont val="Arial"/>
            <family val="2"/>
          </rPr>
          <t>reference:I26,I27
mrs:(I26,+,10.0000)  (I27,+,10.0000)  
Rotate:True</t>
        </r>
      </text>
    </comment>
    <comment ref="H29" authorId="0" shapeId="0" xr:uid="{00000000-0006-0000-0A00-00001D000000}">
      <text>
        <r>
          <rPr>
            <sz val="10"/>
            <rFont val="Arial"/>
            <family val="2"/>
          </rPr>
          <t>reference:F29,E29
mrs:
Rotate:True</t>
        </r>
      </text>
    </comment>
    <comment ref="L29" authorId="0" shapeId="0" xr:uid="{00000000-0006-0000-0A00-00001E000000}">
      <text>
        <r>
          <rPr>
            <sz val="10"/>
            <rFont val="Arial"/>
            <family val="2"/>
          </rPr>
          <t>reference:J29
mrs:(J29,+,10.0000)  
Rotate:True</t>
        </r>
      </text>
    </comment>
    <comment ref="C30" authorId="0" shapeId="0" xr:uid="{00000000-0006-0000-0A00-00001F000000}">
      <text>
        <r>
          <rPr>
            <sz val="10"/>
            <rFont val="Arial"/>
            <family val="2"/>
          </rPr>
          <t>reference:C7,C8,C9,C10,C11,C12,C13,C14,C15,C16,C17,C18,C19,C20,C21,C22,C23,C24,C25,C26,C27,C28,C29
mrs:(C7,+,10.0000)  (C8,+,10.0000)  (C9,+,10.0000)  (C10,+,10.0000)  (C11,+,10.0000)  (C12,+,10.0000)  (C13,+,10.0000)  (C14,+,10.0000)  (C15,+,10.0000)  (C16,+,10.0000)  (C17,+,10.0000)  (C18,+,10.0000)  (C19,+,10.0000)  (C20,+,10.0000)  (C21,+,10.0000)  (C22,+,10.0000)  (C23,+,10.0000)  (C24,+,10.0000)  (C25,+,10.0000)  (C26,+,10.0000)  (C27,+,10.0000)  (C28,+,10.0000)  (C29,+,10.0000)  
Rotate:True</t>
        </r>
      </text>
    </comment>
    <comment ref="E30" authorId="0" shapeId="0" xr:uid="{00000000-0006-0000-0A00-000020000000}">
      <text>
        <r>
          <rPr>
            <sz val="10"/>
            <rFont val="Arial"/>
            <family val="2"/>
          </rPr>
          <t>reference:E7,E8,E9,E10,E11,E12,E13,E14,E15,E16,E17,E18,E19,E20,E21,E22,E23,E24,E25,E26,E27,E28,E29
mrs:(E7,+,10.0000)  (E8,+,10.0000)  (E9,+,10.0000)  (E10,+,10.0000)  (E11,+,10.0000)  (E12,+,10.0000)  (E13,+,10.0000)  (E14,+,10.0000)  (E15,+,10.0000)  (E16,+,10.0000)  (E17,+,10.0000)  (E18,+,10.0000)  (E19,+,10.0000)  (E20,+,10.0000)  (E21,+,10.0000)  (E22,+,10.0000)  (E23,+,10.0000)  (E24,+,10.0000)  (E25,+,10.0000)  (E26,+,10.0000)  (E27,+,10.0000)  (E28,+,10.0000)  (E29,+,10.0000)  
Rotate:True</t>
        </r>
      </text>
    </comment>
    <comment ref="F30" authorId="0" shapeId="0" xr:uid="{00000000-0006-0000-0A00-000021000000}">
      <text>
        <r>
          <rPr>
            <sz val="10"/>
            <rFont val="Arial"/>
            <family val="2"/>
          </rPr>
          <t>reference:F7,F8,F9,F10,F11,F12,F13,F14,F15,F16,F17,F18,F19,F20,F21,F22,F23,F24,F25,F26,F27,F28,F29
mrs:(F7,+,10.0000)  (F8,+,10.0000)  (F9,+,10.0000)  (F10,+,10.0000)  (F11,+,10.0000)  (F12,+,10.0000)  (F13,+,10.0000)  (F14,+,10.0000)  (F15,+,10.0000)  (F16,+,10.0000)  (F17,+,10.0000)  (F18,+,10.0000)  (F19,+,10.0000)  (F20,+,10.0000)  (F21,+,10.0000)  (F22,+,10.0000)  (F23,+,10.0000)  (F24,+,10.0000)  (F25,+,10.0000)  (F26,+,10.0000)  (F27,+,10.0000)  (F28,+,10.0000)  (F29,+,10.0000)  
Rotate:True</t>
        </r>
      </text>
    </comment>
    <comment ref="G30" authorId="0" shapeId="0" xr:uid="{00000000-0006-0000-0A00-000022000000}">
      <text>
        <r>
          <rPr>
            <sz val="10"/>
            <rFont val="Arial"/>
            <family val="2"/>
          </rPr>
          <t>reference:G7,G8,G9,G10,G11,G12,G13,G14,G15,G16,G17,G18,G19,G20,G21,G22,G23,G24,G25,G26,G27,G28,G29
mrs:(G7,+,10.0000)  (G8,+,10.0000)  (G9,+,10.0000)  (G10,+,10.0000)  (G11,+,10.0000)  (G12,+,10.0000)  (G13,+,10.0000)  (G14,+,10.0000)  (G15,+,10.0000)  (G16,+,10.0000)  (G17,+,10.0000)  (G18,+,10.0000)  (G19,+,10.0000)  (G20,+,10.0000)  (G21,+,10.0000)  (G22,+,10.0000)  (G23,+,10.0000)  (G24,+,10.0000)  (G25,+,10.0000)  (G26,+,10.0000)  (G27,+,10.0000)  (G28,+,10.0000)  (G29,+,10.0000)  
Rotate:True</t>
        </r>
      </text>
    </comment>
    <comment ref="H30" authorId="0" shapeId="0" xr:uid="{00000000-0006-0000-0A00-000023000000}">
      <text>
        <r>
          <rPr>
            <sz val="10"/>
            <rFont val="Arial"/>
            <family val="2"/>
          </rPr>
          <t>reference:F30,E30
mrs:
Rotate:True</t>
        </r>
      </text>
    </comment>
    <comment ref="I30" authorId="0" shapeId="0" xr:uid="{00000000-0006-0000-0A00-000024000000}">
      <text>
        <r>
          <rPr>
            <sz val="10"/>
            <rFont val="Arial"/>
            <family val="2"/>
          </rPr>
          <t>reference:I7,I8,I9,I10,I11,I12,I13,I14,I15,I16,I17,I18,I19,I20,I21,I22,I23,I24,I25,I26,I27,I28,I29
mrs:(I7,+,10.0000)  (I8,+,10.0000)  (I9,+,10.0000)  (I10,+,10.0000)  (I11,+,10.0000)  (I12,+,10.0000)  (I13,+,10.0000)  (I14,+,10.0000)  (I15,+,10.0000)  (I16,+,10.0000)  (I17,+,10.0000)  (I18,+,10.0000)  (I19,+,10.0000)  (I20,+,10.0000)  (I21,+,10.0000)  (I22,+,10.0000)  (I23,+,10.0000)  (I24,+,10.0000)  (I25,+,10.0000)  (I26,+,10.0000)  (I27,+,10.0000)  (I28,+,10.0000)  (I29,+,10.0000)  
Rotate:True</t>
        </r>
      </text>
    </comment>
    <comment ref="J30" authorId="0" shapeId="0" xr:uid="{00000000-0006-0000-0A00-000025000000}">
      <text>
        <r>
          <rPr>
            <sz val="10"/>
            <rFont val="Arial"/>
            <family val="2"/>
          </rPr>
          <t>reference:J7,J8,J9,J10,J11,J12,J13,J14,J15,J16,J17,J18,J19,J20,J21,J22,J23,J24,J25,J26,J27,J28,J29
mrs:(J7,+,10.0000)  (J8,+,10.0000)  (J9,+,10.0000)  (J10,+,10.0000)  (J11,+,10.0000)  (J12,+,10.0000)  (J13,+,10.0000)  (J14,+,10.0000)  (J15,+,10.0000)  (J16,+,10.0000)  (J17,+,10.0000)  (J18,+,10.0000)  (J19,+,10.0000)  (J20,+,10.0000)  (J21,+,10.0000)  (J22,+,10.0000)  (J23,+,10.0000)  (J24,+,10.0000)  (J25,+,10.0000)  (J26,+,10.0000)  (J27,+,10.0000)  (J28,+,10.0000)  (J29,+,10.0000)  
Rotate:True</t>
        </r>
      </text>
    </comment>
    <comment ref="L30" authorId="0" shapeId="0" xr:uid="{00000000-0006-0000-0A00-000026000000}">
      <text>
        <r>
          <rPr>
            <sz val="10"/>
            <rFont val="Arial"/>
            <family val="2"/>
          </rPr>
          <t>reference:L8,L9,L10,L11,L12,L13,L14,L15,L16,L17,L18,L19,L20,L21,L22,L23,L24,L25,L26,L27,L28,L29
mrs:
forward:True
2.0:(L8:L29,)
add:L8:L29:22.0
Rotate:True</t>
        </r>
      </text>
    </comment>
    <comment ref="H39" authorId="0" shapeId="0" xr:uid="{00000000-0006-0000-0A00-000027000000}">
      <text>
        <r>
          <rPr>
            <sz val="10"/>
            <rFont val="Arial"/>
            <family val="2"/>
          </rPr>
          <t>reference:F39,E39
mrs:
Rotate:True</t>
        </r>
      </text>
    </comment>
    <comment ref="H40" authorId="0" shapeId="0" xr:uid="{00000000-0006-0000-0A00-000028000000}">
      <text>
        <r>
          <rPr>
            <sz val="10"/>
            <rFont val="Arial"/>
            <family val="2"/>
          </rPr>
          <t>reference:F40,E40
mrs:
Rotate:True</t>
        </r>
      </text>
    </comment>
    <comment ref="H41" authorId="0" shapeId="0" xr:uid="{00000000-0006-0000-0A00-000029000000}">
      <text>
        <r>
          <rPr>
            <sz val="10"/>
            <rFont val="Arial"/>
            <family val="2"/>
          </rPr>
          <t>reference:F41,E41
mrs:
Rotate:True</t>
        </r>
      </text>
    </comment>
    <comment ref="H43" authorId="0" shapeId="0" xr:uid="{00000000-0006-0000-0A00-00002A000000}">
      <text>
        <r>
          <rPr>
            <sz val="10"/>
            <rFont val="Arial"/>
            <family val="2"/>
          </rPr>
          <t>reference:F43,E43
mrs:
Rotate:True</t>
        </r>
      </text>
    </comment>
    <comment ref="H44" authorId="0" shapeId="0" xr:uid="{00000000-0006-0000-0A00-00002B000000}">
      <text>
        <r>
          <rPr>
            <sz val="10"/>
            <rFont val="Arial"/>
            <family val="2"/>
          </rPr>
          <t>reference:F44,E44
mrs:
Rotate:True</t>
        </r>
      </text>
    </comment>
    <comment ref="C45" authorId="0" shapeId="0" xr:uid="{00000000-0006-0000-0A00-00002C000000}">
      <text>
        <r>
          <rPr>
            <sz val="10"/>
            <rFont val="Arial"/>
            <family val="2"/>
          </rPr>
          <t>reference:C38,C39,C40,C41,C42,C43,C44
mrs:(C38,+,10.0000)  (C39,+,10.0000)  (C40,+,10.0000)  (C41,+,10.0000)  (C42,+,10.0000)  (C43,+,10.0000)  (C44,+,10.0000)  
Rotate:True</t>
        </r>
      </text>
    </comment>
    <comment ref="E45" authorId="0" shapeId="0" xr:uid="{00000000-0006-0000-0A00-00002D000000}">
      <text>
        <r>
          <rPr>
            <sz val="10"/>
            <rFont val="Arial"/>
            <family val="2"/>
          </rPr>
          <t>reference:E38,E39,E40,E41,E42,E43,E44
mrs:(E38,+,10.0000)  (E39,+,10.0000)  (E40,+,10.0000)  (E41,+,10.0000)  (E42,+,10.0000)  (E43,+,10.0000)  (E44,+,10.0000)  
Rotate:True</t>
        </r>
      </text>
    </comment>
    <comment ref="F45" authorId="0" shapeId="0" xr:uid="{00000000-0006-0000-0A00-00002E000000}">
      <text>
        <r>
          <rPr>
            <sz val="10"/>
            <rFont val="Arial"/>
            <family val="2"/>
          </rPr>
          <t>reference:F38,F39,F40,F41,F42,F43,F44
mrs:(F38,+,10.0000)  (F39,+,10.0000)  (F40,+,10.0000)  (F41,+,10.0000)  (F42,+,10.0000)  (F43,+,10.0000)  (F44,+,10.0000)  
Rotate:True</t>
        </r>
      </text>
    </comment>
    <comment ref="G45" authorId="0" shapeId="0" xr:uid="{00000000-0006-0000-0A00-00002F000000}">
      <text>
        <r>
          <rPr>
            <sz val="10"/>
            <rFont val="Arial"/>
            <family val="2"/>
          </rPr>
          <t>reference:G38,G39,G40,G41,G42,G43,G44
mrs:(G38,+,10.0000)  (G39,+,10.0000)  (G40,+,10.0000)  (G41,+,10.0000)  (G42,+,10.0000)  (G43,+,10.0000)  (G44,+,10.0000)  
Rotate:True</t>
        </r>
      </text>
    </comment>
    <comment ref="H45" authorId="0" shapeId="0" xr:uid="{00000000-0006-0000-0A00-000030000000}">
      <text>
        <r>
          <rPr>
            <sz val="10"/>
            <rFont val="Arial"/>
            <family val="2"/>
          </rPr>
          <t>reference:F45,E45
mrs:
Rotate:True</t>
        </r>
      </text>
    </comment>
    <comment ref="I45" authorId="0" shapeId="0" xr:uid="{00000000-0006-0000-0A00-000031000000}">
      <text>
        <r>
          <rPr>
            <sz val="10"/>
            <rFont val="Arial"/>
            <family val="2"/>
          </rPr>
          <t>reference:I38,I39,I40,I41,I42,I43,I44
mrs:(I38,+,10.0000)  (I39,+,10.0000)  (I40,+,10.0000)  (I41,+,10.0000)  (I42,+,10.0000)  (I43,+,10.0000)  (I44,+,10.0000)  
Rotate:True</t>
        </r>
      </text>
    </comment>
    <comment ref="J45" authorId="0" shapeId="0" xr:uid="{00000000-0006-0000-0A00-000032000000}">
      <text>
        <r>
          <rPr>
            <sz val="10"/>
            <rFont val="Arial"/>
            <family val="2"/>
          </rPr>
          <t>reference:J38,J39,J40,J41,J42,J43,J44
mrs:(J38,+,10.0000)  (J39,+,10.0000)  (J40,+,10.0000)  (J41,+,10.0000)  (J42,+,10.0000)  (J43,+,10.0000)  (J44,+,10.0000)  
Rotate:True</t>
        </r>
      </text>
    </comment>
    <comment ref="H50" authorId="0" shapeId="0" xr:uid="{00000000-0006-0000-0A00-000033000000}">
      <text>
        <r>
          <rPr>
            <sz val="10"/>
            <rFont val="Arial"/>
            <family val="2"/>
          </rPr>
          <t>reference:F50,E50
mrs:
Rotate:True</t>
        </r>
      </text>
    </comment>
    <comment ref="H51" authorId="0" shapeId="0" xr:uid="{00000000-0006-0000-0A00-000034000000}">
      <text>
        <r>
          <rPr>
            <sz val="10"/>
            <rFont val="Arial"/>
            <family val="2"/>
          </rPr>
          <t>reference:F51,E51
mrs:
Rotate:True</t>
        </r>
      </text>
    </comment>
    <comment ref="H52" authorId="0" shapeId="0" xr:uid="{00000000-0006-0000-0A00-000035000000}">
      <text>
        <r>
          <rPr>
            <sz val="10"/>
            <rFont val="Arial"/>
            <family val="2"/>
          </rPr>
          <t>reference:F52,E52
mrs:
Rotate:True</t>
        </r>
      </text>
    </comment>
    <comment ref="H53" authorId="0" shapeId="0" xr:uid="{00000000-0006-0000-0A00-000036000000}">
      <text>
        <r>
          <rPr>
            <sz val="10"/>
            <rFont val="Arial"/>
            <family val="2"/>
          </rPr>
          <t>reference:F53,E53
mrs:
Rotate:True</t>
        </r>
      </text>
    </comment>
    <comment ref="H54" authorId="0" shapeId="0" xr:uid="{00000000-0006-0000-0A00-000037000000}">
      <text>
        <r>
          <rPr>
            <sz val="10"/>
            <rFont val="Arial"/>
            <family val="2"/>
          </rPr>
          <t>reference:F54,E54
mrs:
Rotate:True</t>
        </r>
      </text>
    </comment>
    <comment ref="H55" authorId="0" shapeId="0" xr:uid="{00000000-0006-0000-0A00-000038000000}">
      <text>
        <r>
          <rPr>
            <sz val="10"/>
            <rFont val="Arial"/>
            <family val="2"/>
          </rPr>
          <t>reference:F55,E55
mrs:
Rotate:True</t>
        </r>
      </text>
    </comment>
    <comment ref="H56" authorId="0" shapeId="0" xr:uid="{00000000-0006-0000-0A00-000039000000}">
      <text>
        <r>
          <rPr>
            <sz val="10"/>
            <rFont val="Arial"/>
            <family val="2"/>
          </rPr>
          <t>reference:F56,E56
mrs:
Rotate:True</t>
        </r>
      </text>
    </comment>
    <comment ref="H57" authorId="0" shapeId="0" xr:uid="{00000000-0006-0000-0A00-00003A000000}">
      <text>
        <r>
          <rPr>
            <sz val="10"/>
            <rFont val="Arial"/>
            <family val="2"/>
          </rPr>
          <t>reference:F57,E57
mrs:
Rotate:True</t>
        </r>
      </text>
    </comment>
    <comment ref="H58" authorId="0" shapeId="0" xr:uid="{00000000-0006-0000-0A00-00003B000000}">
      <text>
        <r>
          <rPr>
            <sz val="10"/>
            <rFont val="Arial"/>
            <family val="2"/>
          </rPr>
          <t>reference:F58,E58
mrs:
Rotate:True</t>
        </r>
      </text>
    </comment>
    <comment ref="C59" authorId="0" shapeId="0" xr:uid="{00000000-0006-0000-0A00-00003C000000}">
      <text>
        <r>
          <rPr>
            <sz val="10"/>
            <rFont val="Arial"/>
            <family val="2"/>
          </rPr>
          <t>reference:C50,C51,C52,C53,C54,C55,C56,C57,C58
mrs:(C50,+,10.0000)  (C51,+,10.0000)  (C52,+,10.0000)  (C53,+,10.0000)  (C54,+,10.0000)  (C55,+,10.0000)  (C56,+,10.0000)  (C57,+,10.0000)  (C58,+,10.0000)  
Rotate:True</t>
        </r>
      </text>
    </comment>
    <comment ref="E59" authorId="0" shapeId="0" xr:uid="{00000000-0006-0000-0A00-00003D000000}">
      <text>
        <r>
          <rPr>
            <sz val="10"/>
            <rFont val="Arial"/>
            <family val="2"/>
          </rPr>
          <t>reference:E50,E51,E52,E53,E54,E55,E56,E57,E58
mrs:(E50,+,10.0000)  (E51,+,10.0000)  (E52,+,10.0000)  (E53,+,10.0000)  (E54,+,10.0000)  (E55,+,10.0000)  (E56,+,10.0000)  (E57,+,10.0000)  (E58,+,10.0000)  
Rotate:True</t>
        </r>
      </text>
    </comment>
    <comment ref="F59" authorId="0" shapeId="0" xr:uid="{00000000-0006-0000-0A00-00003E000000}">
      <text>
        <r>
          <rPr>
            <sz val="10"/>
            <rFont val="Arial"/>
            <family val="2"/>
          </rPr>
          <t>reference:F50,F51,F52,F53,F54,F55,F56,F57,F58
mrs:(F50,+,10.0000)  (F51,+,10.0000)  (F52,+,10.0000)  (F53,+,10.0000)  (F54,+,10.0000)  (F55,+,10.0000)  (F56,+,10.0000)  (F57,+,10.0000)  (F58,+,10.0000)  
Rotate:True</t>
        </r>
      </text>
    </comment>
    <comment ref="G59" authorId="0" shapeId="0" xr:uid="{00000000-0006-0000-0A00-00003F000000}">
      <text>
        <r>
          <rPr>
            <sz val="10"/>
            <rFont val="Arial"/>
            <family val="2"/>
          </rPr>
          <t>reference:G50,G51,G52,G53,G54,G55,G56,G57,G58
mrs:(G50,+,10.0000)  (G51,+,10.0000)  (G52,+,10.0000)  (G53,+,10.0000)  (G54,+,10.0000)  (G55,+,10.0000)  (G56,+,10.0000)  (G57,+,10.0000)  (G58,+,10.0000)  
Rotate:True</t>
        </r>
      </text>
    </comment>
    <comment ref="H59" authorId="0" shapeId="0" xr:uid="{00000000-0006-0000-0A00-000040000000}">
      <text>
        <r>
          <rPr>
            <sz val="10"/>
            <rFont val="Arial"/>
            <family val="2"/>
          </rPr>
          <t>reference:F59,E59
mrs:
Rotate:True</t>
        </r>
      </text>
    </comment>
    <comment ref="I59" authorId="0" shapeId="0" xr:uid="{00000000-0006-0000-0A00-000041000000}">
      <text>
        <r>
          <rPr>
            <sz val="10"/>
            <rFont val="Arial"/>
            <family val="2"/>
          </rPr>
          <t>reference:I50,I51,I52,I53,I54,I55,I56,I57,I58
mrs:(I50,+,10.0000)  (I51,+,10.0000)  (I52,+,10.0000)  (I53,+,10.0000)  (I54,+,10.0000)  (I55,+,10.0000)  (I56,+,10.0000)  (I57,+,10.0000)  (I58,+,10.0000)  
Rotate:True</t>
        </r>
      </text>
    </comment>
    <comment ref="J59" authorId="0" shapeId="0" xr:uid="{00000000-0006-0000-0A00-000042000000}">
      <text>
        <r>
          <rPr>
            <sz val="10"/>
            <rFont val="Arial"/>
            <family val="2"/>
          </rPr>
          <t>reference:J50,J51,J52,J53,J54,J55,J56,J57,J58
mrs:(J50,+,10.0000)  (J51,+,10.0000)  (J52,+,10.0000)  (J53,+,10.0000)  (J54,+,10.0000)  (J55,+,10.0000)  (J56,+,10.0000)  (J57,+,10.0000)  (J58,+,10.0000)  
Rotate:True</t>
        </r>
      </text>
    </comment>
    <comment ref="E69" authorId="0" shapeId="0" xr:uid="{00000000-0006-0000-0A00-000043000000}">
      <text>
        <r>
          <rPr>
            <sz val="10"/>
            <rFont val="Arial"/>
            <family val="2"/>
          </rPr>
          <t>reference:D69,C69
mrs:(D69,+,10.0000)  (C69,+,10.0000)  
Rotate:True</t>
        </r>
      </text>
    </comment>
    <comment ref="H69" authorId="0" shapeId="0" xr:uid="{00000000-0006-0000-0A00-000044000000}">
      <text>
        <r>
          <rPr>
            <sz val="10"/>
            <rFont val="Arial"/>
            <family val="2"/>
          </rPr>
          <t>reference:F69,E69
mrs:
Rotate:True</t>
        </r>
      </text>
    </comment>
    <comment ref="E71" authorId="0" shapeId="0" xr:uid="{00000000-0006-0000-0A00-000045000000}">
      <text>
        <r>
          <rPr>
            <sz val="10"/>
            <rFont val="Arial"/>
            <family val="2"/>
          </rPr>
          <t>reference:D71,C71
mrs:(D71,+,10.0000)  (C71,+,10.0000)  
Rotate:True</t>
        </r>
      </text>
    </comment>
    <comment ref="H71" authorId="0" shapeId="0" xr:uid="{00000000-0006-0000-0A00-000046000000}">
      <text>
        <r>
          <rPr>
            <sz val="10"/>
            <rFont val="Arial"/>
            <family val="2"/>
          </rPr>
          <t>reference:F71,E71
mrs:
Rotate:True</t>
        </r>
      </text>
    </comment>
    <comment ref="E73" authorId="0" shapeId="0" xr:uid="{00000000-0006-0000-0A00-000047000000}">
      <text>
        <r>
          <rPr>
            <sz val="10"/>
            <rFont val="Arial"/>
            <family val="2"/>
          </rPr>
          <t>reference:D73,C73
mrs:(D73,+,10.0000)  (C73,+,10.0000)  
Rotate:True</t>
        </r>
      </text>
    </comment>
    <comment ref="H73" authorId="0" shapeId="0" xr:uid="{00000000-0006-0000-0A00-000048000000}">
      <text>
        <r>
          <rPr>
            <sz val="10"/>
            <rFont val="Arial"/>
            <family val="2"/>
          </rPr>
          <t>reference:F73,E73
mrs:
Rotate:True</t>
        </r>
      </text>
    </comment>
    <comment ref="E74" authorId="0" shapeId="0" xr:uid="{00000000-0006-0000-0A00-000049000000}">
      <text>
        <r>
          <rPr>
            <sz val="10"/>
            <rFont val="Arial"/>
            <family val="2"/>
          </rPr>
          <t>reference:D74,C74
mrs:(D74,+,10.0000)  (C74,+,10.0000)  
Rotate:True</t>
        </r>
      </text>
    </comment>
    <comment ref="H74" authorId="0" shapeId="0" xr:uid="{00000000-0006-0000-0A00-00004A000000}">
      <text>
        <r>
          <rPr>
            <sz val="10"/>
            <rFont val="Arial"/>
            <family val="2"/>
          </rPr>
          <t>reference:F74,E74
mrs:
Rotate:True</t>
        </r>
      </text>
    </comment>
    <comment ref="E76" authorId="0" shapeId="0" xr:uid="{00000000-0006-0000-0A00-00004B000000}">
      <text>
        <r>
          <rPr>
            <sz val="10"/>
            <rFont val="Arial"/>
            <family val="2"/>
          </rPr>
          <t>reference:D76,C76
mrs:(D76,+,10.0000)  (C76,+,10.0000)  
Rotate:True</t>
        </r>
      </text>
    </comment>
    <comment ref="H76" authorId="0" shapeId="0" xr:uid="{00000000-0006-0000-0A00-00004C000000}">
      <text>
        <r>
          <rPr>
            <sz val="10"/>
            <rFont val="Arial"/>
            <family val="2"/>
          </rPr>
          <t>reference:F76,E76
mrs:
Rotate:True</t>
        </r>
      </text>
    </comment>
    <comment ref="E77" authorId="0" shapeId="0" xr:uid="{00000000-0006-0000-0A00-00004D000000}">
      <text>
        <r>
          <rPr>
            <sz val="10"/>
            <rFont val="Arial"/>
            <family val="2"/>
          </rPr>
          <t>reference:D77,C77
mrs:(D77,+,10.0000)  (C77,+,10.0000)  
Rotate:True</t>
        </r>
      </text>
    </comment>
    <comment ref="H77" authorId="0" shapeId="0" xr:uid="{00000000-0006-0000-0A00-00004E000000}">
      <text>
        <r>
          <rPr>
            <sz val="10"/>
            <rFont val="Arial"/>
            <family val="2"/>
          </rPr>
          <t>reference:F77,E77
mrs:
Rotate:True</t>
        </r>
      </text>
    </comment>
    <comment ref="C78" authorId="0" shapeId="0" xr:uid="{00000000-0006-0000-0A00-00004F000000}">
      <text>
        <r>
          <rPr>
            <sz val="10"/>
            <rFont val="Arial"/>
            <family val="2"/>
          </rPr>
          <t>reference:C68,C69,C70,C71,C72,C73,C74,C75,C76,C77
mrs:(C68,+,10.0000)  (C69,+,10.0000)  (C70,+,10.0000)  (C71,+,10.0000)  (C72,+,10.0000)  (C73,+,10.0000)  (C74,+,10.0000)  (C75,+,10.0000)  (C76,+,10.0000)  (C77,+,10.0000)  
Rotate:True</t>
        </r>
      </text>
    </comment>
    <comment ref="D78" authorId="0" shapeId="0" xr:uid="{00000000-0006-0000-0A00-000050000000}">
      <text>
        <r>
          <rPr>
            <sz val="10"/>
            <rFont val="Arial"/>
            <family val="2"/>
          </rPr>
          <t>reference:D68,D69,D70,D71,D72,D73,D74,D75,D76,D77
mrs:(D68,+,10.0000)  (D69,+,10.0000)  (D70,+,10.0000)  (D71,+,10.0000)  (D72,+,10.0000)  (D73,+,10.0000)  (D74,+,10.0000)  (D75,+,10.0000)  (D76,+,10.0000)  (D77,+,10.0000)  
Rotate:True</t>
        </r>
      </text>
    </comment>
    <comment ref="E78" authorId="0" shapeId="0" xr:uid="{00000000-0006-0000-0A00-000051000000}">
      <text>
        <r>
          <rPr>
            <sz val="10"/>
            <rFont val="Arial"/>
            <family val="2"/>
          </rPr>
          <t>reference:E68,E69,E70,E71,E72,E73,E74,E75,E76,E77
mrs:(E68,+,10.0000)  (E69,+,10.0000)  (E70,+,10.0000)  (E71,+,10.0000)  (E72,+,10.0000)  (E73,+,10.0000)  (E74,+,10.0000)  (E75,+,10.0000)  (E76,+,10.0000)  (E77,+,10.0000)  
Rotate:True</t>
        </r>
      </text>
    </comment>
    <comment ref="F78" authorId="0" shapeId="0" xr:uid="{00000000-0006-0000-0A00-000052000000}">
      <text>
        <r>
          <rPr>
            <sz val="10"/>
            <rFont val="Arial"/>
            <family val="2"/>
          </rPr>
          <t>reference:F68,F69,F70,F71,F72,F73,F74,F75,F76,F77
mrs:(F68,+,10.0000)  (F69,+,10.0000)  (F70,+,10.0000)  (F71,+,10.0000)  (F72,+,10.0000)  (F73,+,10.0000)  (F74,+,10.0000)  (F75,+,10.0000)  (F76,+,10.0000)  (F77,+,10.0000)  
Rotate:True</t>
        </r>
      </text>
    </comment>
    <comment ref="H78" authorId="0" shapeId="0" xr:uid="{00000000-0006-0000-0A00-000053000000}">
      <text>
        <r>
          <rPr>
            <sz val="10"/>
            <rFont val="Arial"/>
            <family val="2"/>
          </rPr>
          <t>reference:F78,E78
mrs:
Rotate:True</t>
        </r>
      </text>
    </comment>
    <comment ref="I78" authorId="0" shapeId="0" xr:uid="{00000000-0006-0000-0A00-000054000000}">
      <text>
        <r>
          <rPr>
            <sz val="10"/>
            <rFont val="Arial"/>
            <family val="2"/>
          </rPr>
          <t>reference:I68,I69,I70,I71,I72,I73,I74,I75,I76,I77
mrs:(I68,+,10.0000)  (I69,+,10.0000)  (I70,+,10.0000)  (I71,+,10.0000)  (I72,+,10.0000)  (I73,+,10.0000)  (I74,+,10.0000)  (I75,+,10.0000)  (I76,+,10.0000)  (I77,+,10.0000)  
Rotate:True</t>
        </r>
      </text>
    </comment>
    <comment ref="J78" authorId="0" shapeId="0" xr:uid="{00000000-0006-0000-0A00-000055000000}">
      <text>
        <r>
          <rPr>
            <sz val="10"/>
            <rFont val="Arial"/>
            <family val="2"/>
          </rPr>
          <t>reference:J68,J69,J70,J71,J72,J73,J74,J75,J76,J77
mrs:(J68,+,10.0000)  (J69,+,10.0000)  (J70,+,10.0000)  (J71,+,10.0000)  (J72,+,10.0000)  (J73,+,10.0000)  (J74,+,10.0000)  (J75,+,10.0000)  (J76,+,10.0000)  (J77,+,10.0000)  
Rotate:True</t>
        </r>
      </text>
    </comment>
    <comment ref="E85" authorId="0" shapeId="0" xr:uid="{00000000-0006-0000-0A00-000056000000}">
      <text>
        <r>
          <rPr>
            <sz val="10"/>
            <rFont val="Arial"/>
            <family val="2"/>
          </rPr>
          <t>reference:D85,C85
mrs:(D85,+,10.0000)  (C85,+,10.0000)  
Rotate:True</t>
        </r>
      </text>
    </comment>
    <comment ref="H85" authorId="0" shapeId="0" xr:uid="{00000000-0006-0000-0A00-000057000000}">
      <text>
        <r>
          <rPr>
            <sz val="10"/>
            <rFont val="Arial"/>
            <family val="2"/>
          </rPr>
          <t>reference:F85,E85
mrs:
Rotate:True</t>
        </r>
      </text>
    </comment>
    <comment ref="E86" authorId="0" shapeId="0" xr:uid="{00000000-0006-0000-0A00-000058000000}">
      <text>
        <r>
          <rPr>
            <sz val="10"/>
            <rFont val="Arial"/>
            <family val="2"/>
          </rPr>
          <t>reference:D86,C86
mrs:(D86,+,10.0000)  (C86,+,10.0000)  
Rotate:True</t>
        </r>
      </text>
    </comment>
    <comment ref="H86" authorId="0" shapeId="0" xr:uid="{00000000-0006-0000-0A00-000059000000}">
      <text>
        <r>
          <rPr>
            <sz val="10"/>
            <rFont val="Arial"/>
            <family val="2"/>
          </rPr>
          <t>reference:F86,E86
mrs:
Rotate:True</t>
        </r>
      </text>
    </comment>
    <comment ref="E88" authorId="0" shapeId="0" xr:uid="{00000000-0006-0000-0A00-00005A000000}">
      <text>
        <r>
          <rPr>
            <sz val="10"/>
            <rFont val="Arial"/>
            <family val="2"/>
          </rPr>
          <t>reference:D88,C88
mrs:(D88,+,10.0000)  (C88,+,10.0000)  
Rotate:True</t>
        </r>
      </text>
    </comment>
    <comment ref="H88" authorId="0" shapeId="0" xr:uid="{00000000-0006-0000-0A00-00005B000000}">
      <text>
        <r>
          <rPr>
            <sz val="10"/>
            <rFont val="Arial"/>
            <family val="2"/>
          </rPr>
          <t>reference:F88,E88
mrs:
Rotate:True</t>
        </r>
      </text>
    </comment>
    <comment ref="C89" authorId="0" shapeId="0" xr:uid="{00000000-0006-0000-0A00-00005C000000}">
      <text>
        <r>
          <rPr>
            <sz val="10"/>
            <rFont val="Arial"/>
            <family val="2"/>
          </rPr>
          <t>reference:C84,C85,C86,C87,C88
mrs:(C84,+,10.0000)  (C85,+,10.0000)  (C86,+,10.0000)  (C87,+,10.0000)  (C88,+,10.0000)  
Rotate:True</t>
        </r>
      </text>
    </comment>
    <comment ref="D89" authorId="0" shapeId="0" xr:uid="{00000000-0006-0000-0A00-00005D000000}">
      <text>
        <r>
          <rPr>
            <sz val="10"/>
            <rFont val="Arial"/>
            <family val="2"/>
          </rPr>
          <t>reference:D84,D85,D86,D87,D88
mrs:(D84,+,10.0000)  (D85,+,10.0000)  (D86,+,10.0000)  (D87,+,10.0000)  (D88,+,10.0000)  
Rotate:True</t>
        </r>
      </text>
    </comment>
    <comment ref="E89" authorId="0" shapeId="0" xr:uid="{00000000-0006-0000-0A00-00005E000000}">
      <text>
        <r>
          <rPr>
            <sz val="10"/>
            <rFont val="Arial"/>
            <family val="2"/>
          </rPr>
          <t>reference:E84,E85,E86,E87,E88
mrs:(E84,+,10.0000)  (E85,+,10.0000)  (E86,+,10.0000)  (E87,+,10.0000)  (E88,+,10.0000)  
Rotate:True</t>
        </r>
      </text>
    </comment>
    <comment ref="F89" authorId="0" shapeId="0" xr:uid="{00000000-0006-0000-0A00-00005F000000}">
      <text>
        <r>
          <rPr>
            <sz val="10"/>
            <rFont val="Arial"/>
            <family val="2"/>
          </rPr>
          <t>reference:F84,F85,F86,F87,F88
mrs:(F84,+,10.0000)  (F85,+,10.0000)  (F86,+,10.0000)  (F87,+,10.0000)  (F88,+,10.0000)  
Rotate:True</t>
        </r>
      </text>
    </comment>
    <comment ref="H89" authorId="0" shapeId="0" xr:uid="{00000000-0006-0000-0A00-000060000000}">
      <text>
        <r>
          <rPr>
            <sz val="10"/>
            <rFont val="Arial"/>
            <family val="2"/>
          </rPr>
          <t>reference:F89,E89
mrs:
Rotate:True</t>
        </r>
      </text>
    </comment>
    <comment ref="I89" authorId="0" shapeId="0" xr:uid="{00000000-0006-0000-0A00-000061000000}">
      <text>
        <r>
          <rPr>
            <sz val="10"/>
            <rFont val="Arial"/>
            <family val="2"/>
          </rPr>
          <t>reference:I84,I85,I86,I87,I88
mrs:(I84,+,10.0000)  (I85,+,10.0000)  (I86,+,10.0000)  (I87,+,10.0000)  (I88,+,10.0000)  
Rotate:True</t>
        </r>
      </text>
    </comment>
    <comment ref="J89" authorId="0" shapeId="0" xr:uid="{00000000-0006-0000-0A00-000062000000}">
      <text>
        <r>
          <rPr>
            <sz val="10"/>
            <rFont val="Arial"/>
            <family val="2"/>
          </rPr>
          <t>reference:J84,J85,J86,J87,J88
mrs:(J84,+,10.0000)  (J85,+,10.0000)  (J86,+,10.0000)  (J87,+,10.0000)  (J88,+,10.0000)  
Rotate:True</t>
        </r>
      </text>
    </comment>
    <comment ref="E95" authorId="0" shapeId="0" xr:uid="{00000000-0006-0000-0A00-000063000000}">
      <text>
        <r>
          <rPr>
            <sz val="10"/>
            <rFont val="Arial"/>
            <family val="2"/>
          </rPr>
          <t>reference:D95,C95
mrs:(D95,+,10.0000)  (C95,+,10.0000)  
Rotate:True</t>
        </r>
      </text>
    </comment>
    <comment ref="H95" authorId="0" shapeId="0" xr:uid="{00000000-0006-0000-0A00-000064000000}">
      <text>
        <r>
          <rPr>
            <sz val="10"/>
            <rFont val="Arial"/>
            <family val="2"/>
          </rPr>
          <t>reference:F95,E95
mrs:
Rotate:True</t>
        </r>
      </text>
    </comment>
    <comment ref="E96" authorId="0" shapeId="0" xr:uid="{00000000-0006-0000-0A00-000065000000}">
      <text>
        <r>
          <rPr>
            <sz val="10"/>
            <rFont val="Arial"/>
            <family val="2"/>
          </rPr>
          <t>reference:D96,C96
mrs:(D96,+,10.0000)  (C96,+,10.0000)  
Rotate:True</t>
        </r>
      </text>
    </comment>
    <comment ref="H96" authorId="0" shapeId="0" xr:uid="{00000000-0006-0000-0A00-000066000000}">
      <text>
        <r>
          <rPr>
            <sz val="10"/>
            <rFont val="Arial"/>
            <family val="2"/>
          </rPr>
          <t>reference:F96,E96
mrs:
Rotate:True</t>
        </r>
      </text>
    </comment>
    <comment ref="E97" authorId="0" shapeId="0" xr:uid="{00000000-0006-0000-0A00-000067000000}">
      <text>
        <r>
          <rPr>
            <sz val="10"/>
            <rFont val="Arial"/>
            <family val="2"/>
          </rPr>
          <t>reference:C97,D97
mrs:(C97,+,10.0000)  (D97,+,10.0000)  
Rotate:True</t>
        </r>
      </text>
    </comment>
    <comment ref="H97" authorId="0" shapeId="0" xr:uid="{00000000-0006-0000-0A00-000068000000}">
      <text>
        <r>
          <rPr>
            <sz val="10"/>
            <rFont val="Arial"/>
            <family val="2"/>
          </rPr>
          <t>reference:F97,E97
mrs:
Rotate:True</t>
        </r>
      </text>
    </comment>
    <comment ref="E98" authorId="0" shapeId="0" xr:uid="{00000000-0006-0000-0A00-000069000000}">
      <text>
        <r>
          <rPr>
            <sz val="10"/>
            <rFont val="Arial"/>
            <family val="2"/>
          </rPr>
          <t>reference:D98,C98
mrs:(D98,+,10.0000)  (C98,+,10.0000)  
Rotate:True</t>
        </r>
      </text>
    </comment>
    <comment ref="H98" authorId="0" shapeId="0" xr:uid="{00000000-0006-0000-0A00-00006A000000}">
      <text>
        <r>
          <rPr>
            <sz val="10"/>
            <rFont val="Arial"/>
            <family val="2"/>
          </rPr>
          <t>reference:F98,E98
mrs:
Rotate:True</t>
        </r>
      </text>
    </comment>
    <comment ref="E99" authorId="0" shapeId="0" xr:uid="{00000000-0006-0000-0A00-00006B000000}">
      <text>
        <r>
          <rPr>
            <sz val="10"/>
            <rFont val="Arial"/>
            <family val="2"/>
          </rPr>
          <t>reference:D99,C99
mrs:(D99,+,10.0000)  (C99,+,10.0000)  
Rotate:True</t>
        </r>
      </text>
    </comment>
    <comment ref="H99" authorId="0" shapeId="0" xr:uid="{00000000-0006-0000-0A00-00006C000000}">
      <text>
        <r>
          <rPr>
            <sz val="10"/>
            <rFont val="Arial"/>
            <family val="2"/>
          </rPr>
          <t>reference:F99,E99
mrs:
Rotate:True</t>
        </r>
      </text>
    </comment>
    <comment ref="E100" authorId="0" shapeId="0" xr:uid="{00000000-0006-0000-0A00-00006D000000}">
      <text>
        <r>
          <rPr>
            <sz val="10"/>
            <rFont val="Arial"/>
            <family val="2"/>
          </rPr>
          <t>reference:D100
mrs:(D100,+,10.0000)  
Rotate:True</t>
        </r>
      </text>
    </comment>
    <comment ref="H100" authorId="0" shapeId="0" xr:uid="{00000000-0006-0000-0A00-00006E000000}">
      <text>
        <r>
          <rPr>
            <sz val="10"/>
            <rFont val="Arial"/>
            <family val="2"/>
          </rPr>
          <t>reference:F100,E100
mrs:
Rotate:True</t>
        </r>
      </text>
    </comment>
    <comment ref="C101" authorId="0" shapeId="0" xr:uid="{00000000-0006-0000-0A00-00006F000000}">
      <text>
        <r>
          <rPr>
            <sz val="10"/>
            <rFont val="Arial"/>
            <family val="2"/>
          </rPr>
          <t>reference:C95,C96,C97,C98,C99,C100
mrs:(C95,+,10.0000)  (C96,+,10.0000)  (C97,+,10.0000)  (C98,+,10.0000)  (C99,+,10.0000)  (C100,+,10.0000)  
Rotate:True</t>
        </r>
      </text>
    </comment>
    <comment ref="D101" authorId="0" shapeId="0" xr:uid="{00000000-0006-0000-0A00-000070000000}">
      <text>
        <r>
          <rPr>
            <sz val="10"/>
            <rFont val="Arial"/>
            <family val="2"/>
          </rPr>
          <t>reference:D95,D96,D97,D98,D99,D100
mrs:(D95,+,10.0000)  (D96,+,10.0000)  (D97,+,10.0000)  (D98,+,10.0000)  (D99,+,10.0000)  (D100,+,10.0000)  
Rotate:True</t>
        </r>
      </text>
    </comment>
    <comment ref="E101" authorId="0" shapeId="0" xr:uid="{00000000-0006-0000-0A00-000071000000}">
      <text>
        <r>
          <rPr>
            <sz val="10"/>
            <rFont val="Arial"/>
            <family val="2"/>
          </rPr>
          <t>reference:E95,E96,E97,E98,E99,E100
mrs:(E95,+,10.0000)  (E96,+,10.0000)  (E97,+,10.0000)  (E98,+,10.0000)  (E99,+,10.0000)  (E100,+,10.0000)  
Rotate:True</t>
        </r>
      </text>
    </comment>
    <comment ref="F101" authorId="0" shapeId="0" xr:uid="{00000000-0006-0000-0A00-000072000000}">
      <text>
        <r>
          <rPr>
            <sz val="10"/>
            <rFont val="Arial"/>
            <family val="2"/>
          </rPr>
          <t>reference:F95,F96,F97,F98,F99,F100
mrs:(F95,+,10.0000)  (F96,+,10.0000)  (F97,+,10.0000)  (F98,+,10.0000)  (F99,+,10.0000)  (F100,+,10.0000)  
Rotate:True</t>
        </r>
      </text>
    </comment>
    <comment ref="H101" authorId="0" shapeId="0" xr:uid="{00000000-0006-0000-0A00-000073000000}">
      <text>
        <r>
          <rPr>
            <sz val="10"/>
            <rFont val="Arial"/>
            <family val="2"/>
          </rPr>
          <t>reference:F101,E101
mrs:
Rotate:True</t>
        </r>
      </text>
    </comment>
    <comment ref="I101" authorId="0" shapeId="0" xr:uid="{00000000-0006-0000-0A00-000074000000}">
      <text>
        <r>
          <rPr>
            <sz val="10"/>
            <rFont val="Arial"/>
            <family val="2"/>
          </rPr>
          <t>reference:I95,I96,I97,I98,I99,I100
mrs:(I95,+,10.0000)  (I96,+,10.0000)  (I97,+,10.0000)  (I98,+,10.0000)  (I99,+,10.0000)  (I100,+,10.0000)  
Rotate:True</t>
        </r>
      </text>
    </comment>
    <comment ref="J101" authorId="0" shapeId="0" xr:uid="{00000000-0006-0000-0A00-000075000000}">
      <text>
        <r>
          <rPr>
            <sz val="10"/>
            <rFont val="Arial"/>
            <family val="2"/>
          </rPr>
          <t>reference:J95,J96,J97,J98,J99,J100
mrs:(J95,+,10.0000)  (J96,+,10.0000)  (J97,+,10.0000)  (J98,+,10.0000)  (J99,+,10.0000)  (J100,+,10.0000)  
Rotate:True</t>
        </r>
      </text>
    </comment>
    <comment ref="E111" authorId="0" shapeId="0" xr:uid="{00000000-0006-0000-0A00-000076000000}">
      <text>
        <r>
          <rPr>
            <sz val="10"/>
            <rFont val="Arial"/>
            <family val="2"/>
          </rPr>
          <t>reference:D111,C111
mrs:(D111,+,10.0000)  (C111,+,10.0000)  
Rotate:True</t>
        </r>
      </text>
    </comment>
    <comment ref="H111" authorId="0" shapeId="0" xr:uid="{00000000-0006-0000-0A00-000077000000}">
      <text>
        <r>
          <rPr>
            <sz val="10"/>
            <rFont val="Arial"/>
            <family val="2"/>
          </rPr>
          <t>reference:F111,E111
mrs:
Rotate:True</t>
        </r>
      </text>
    </comment>
    <comment ref="E112" authorId="0" shapeId="0" xr:uid="{00000000-0006-0000-0A00-000078000000}">
      <text>
        <r>
          <rPr>
            <sz val="10"/>
            <rFont val="Arial"/>
            <family val="2"/>
          </rPr>
          <t>reference:D112,C112
mrs:(D112,+,10.0000)  (C112,+,10.0000)  
Rotate:True</t>
        </r>
      </text>
    </comment>
    <comment ref="H112" authorId="0" shapeId="0" xr:uid="{00000000-0006-0000-0A00-000079000000}">
      <text>
        <r>
          <rPr>
            <sz val="10"/>
            <rFont val="Arial"/>
            <family val="2"/>
          </rPr>
          <t>reference:F112,E112
mrs:
Rotate:True</t>
        </r>
      </text>
    </comment>
    <comment ref="E114" authorId="0" shapeId="0" xr:uid="{00000000-0006-0000-0A00-00007A000000}">
      <text>
        <r>
          <rPr>
            <sz val="10"/>
            <rFont val="Arial"/>
            <family val="2"/>
          </rPr>
          <t>reference:D114,C114
mrs:(D114,+,10.0000)  (C114,+,10.0000)  
Rotate:True</t>
        </r>
      </text>
    </comment>
    <comment ref="H114" authorId="0" shapeId="0" xr:uid="{00000000-0006-0000-0A00-00007B000000}">
      <text>
        <r>
          <rPr>
            <sz val="10"/>
            <rFont val="Arial"/>
            <family val="2"/>
          </rPr>
          <t>reference:F114,E114
mrs:
Rotate:True</t>
        </r>
      </text>
    </comment>
    <comment ref="E115" authorId="0" shapeId="0" xr:uid="{00000000-0006-0000-0A00-00007C000000}">
      <text>
        <r>
          <rPr>
            <sz val="10"/>
            <rFont val="Arial"/>
            <family val="2"/>
          </rPr>
          <t>reference:D115,C115
mrs:(D115,+,10.0000)  (C115,+,10.0000)  
Rotate:True</t>
        </r>
      </text>
    </comment>
    <comment ref="H115" authorId="0" shapeId="0" xr:uid="{00000000-0006-0000-0A00-00007D000000}">
      <text>
        <r>
          <rPr>
            <sz val="10"/>
            <rFont val="Arial"/>
            <family val="2"/>
          </rPr>
          <t>reference:F115,E115
mrs:
Rotate:True</t>
        </r>
      </text>
    </comment>
    <comment ref="E117" authorId="0" shapeId="0" xr:uid="{00000000-0006-0000-0A00-00007E000000}">
      <text>
        <r>
          <rPr>
            <sz val="10"/>
            <rFont val="Arial"/>
            <family val="2"/>
          </rPr>
          <t>reference:D117,C117
mrs:(D117,+,10.0000)  (C117,+,10.0000)  
Rotate:True</t>
        </r>
      </text>
    </comment>
    <comment ref="H117" authorId="0" shapeId="0" xr:uid="{00000000-0006-0000-0A00-00007F000000}">
      <text>
        <r>
          <rPr>
            <sz val="10"/>
            <rFont val="Arial"/>
            <family val="2"/>
          </rPr>
          <t>reference:F117,E117
mrs:
Rotate:True</t>
        </r>
      </text>
    </comment>
    <comment ref="E118" authorId="0" shapeId="0" xr:uid="{00000000-0006-0000-0A00-000080000000}">
      <text>
        <r>
          <rPr>
            <sz val="10"/>
            <rFont val="Arial"/>
            <family val="2"/>
          </rPr>
          <t>reference:D118,C118
mrs:(D118,+,10.0000)  (C118,+,10.0000)  
Rotate:True</t>
        </r>
      </text>
    </comment>
    <comment ref="H118" authorId="0" shapeId="0" xr:uid="{00000000-0006-0000-0A00-000081000000}">
      <text>
        <r>
          <rPr>
            <sz val="10"/>
            <rFont val="Arial"/>
            <family val="2"/>
          </rPr>
          <t>reference:F118,E118
mrs:
Rotate:True</t>
        </r>
      </text>
    </comment>
    <comment ref="E120" authorId="0" shapeId="0" xr:uid="{00000000-0006-0000-0A00-000082000000}">
      <text>
        <r>
          <rPr>
            <sz val="10"/>
            <rFont val="Arial"/>
            <family val="2"/>
          </rPr>
          <t>reference:D120,C120
mrs:(D120,+,10.0000)  (C120,+,10.0000)  
Rotate:True</t>
        </r>
      </text>
    </comment>
    <comment ref="H120" authorId="0" shapeId="0" xr:uid="{00000000-0006-0000-0A00-000083000000}">
      <text>
        <r>
          <rPr>
            <sz val="10"/>
            <rFont val="Arial"/>
            <family val="2"/>
          </rPr>
          <t>reference:F120,E120
mrs:
Rotate:True</t>
        </r>
      </text>
    </comment>
    <comment ref="E121" authorId="0" shapeId="0" xr:uid="{00000000-0006-0000-0A00-000084000000}">
      <text>
        <r>
          <rPr>
            <sz val="10"/>
            <rFont val="Arial"/>
            <family val="2"/>
          </rPr>
          <t>reference:D121,C121
mrs:(D121,+,10.0000)  (C121,+,10.0000)  
Rotate:True</t>
        </r>
      </text>
    </comment>
    <comment ref="H121" authorId="0" shapeId="0" xr:uid="{00000000-0006-0000-0A00-000085000000}">
      <text>
        <r>
          <rPr>
            <sz val="10"/>
            <rFont val="Arial"/>
            <family val="2"/>
          </rPr>
          <t>reference:F121,E121
mrs:
Rotate:True</t>
        </r>
      </text>
    </comment>
    <comment ref="E123" authorId="0" shapeId="0" xr:uid="{00000000-0006-0000-0A00-000086000000}">
      <text>
        <r>
          <rPr>
            <sz val="10"/>
            <rFont val="Arial"/>
            <family val="2"/>
          </rPr>
          <t>reference:D123,C123
mrs:(D123,+,10.0000)  (C123,+,10.0000)  
Rotate:True</t>
        </r>
      </text>
    </comment>
    <comment ref="H123" authorId="0" shapeId="0" xr:uid="{00000000-0006-0000-0A00-000087000000}">
      <text>
        <r>
          <rPr>
            <sz val="10"/>
            <rFont val="Arial"/>
            <family val="2"/>
          </rPr>
          <t>reference:F123,E123
mrs:
Rotate:True</t>
        </r>
      </text>
    </comment>
    <comment ref="E124" authorId="0" shapeId="0" xr:uid="{00000000-0006-0000-0A00-000088000000}">
      <text>
        <r>
          <rPr>
            <sz val="10"/>
            <rFont val="Arial"/>
            <family val="2"/>
          </rPr>
          <t>reference:D124,C124
mrs:(D124,+,10.0000)  (C124,+,10.0000)  
Rotate:True</t>
        </r>
      </text>
    </comment>
    <comment ref="H124" authorId="0" shapeId="0" xr:uid="{00000000-0006-0000-0A00-000089000000}">
      <text>
        <r>
          <rPr>
            <sz val="10"/>
            <rFont val="Arial"/>
            <family val="2"/>
          </rPr>
          <t>reference:F124,E124
mrs:
Rotate:True</t>
        </r>
      </text>
    </comment>
    <comment ref="E126" authorId="0" shapeId="0" xr:uid="{00000000-0006-0000-0A00-00008A000000}">
      <text>
        <r>
          <rPr>
            <sz val="10"/>
            <rFont val="Arial"/>
            <family val="2"/>
          </rPr>
          <t>reference:C126
mrs:(C126,+,10.0000)  
Rotate:True</t>
        </r>
      </text>
    </comment>
    <comment ref="G126" authorId="0" shapeId="0" xr:uid="{00000000-0006-0000-0A00-00008B000000}">
      <text>
        <r>
          <rPr>
            <sz val="10"/>
            <rFont val="Arial"/>
            <family val="2"/>
          </rPr>
          <t>reference:E126,F126
mrs:(E126,+,10.0000)  (F126,+,-10.0000)  
Rotate:True</t>
        </r>
      </text>
    </comment>
    <comment ref="H126" authorId="0" shapeId="0" xr:uid="{00000000-0006-0000-0A00-00008C000000}">
      <text>
        <r>
          <rPr>
            <sz val="10"/>
            <rFont val="Arial"/>
            <family val="2"/>
          </rPr>
          <t>reference:F126,E126
mrs:
Rotate:True</t>
        </r>
      </text>
    </comment>
    <comment ref="C127" authorId="0" shapeId="0" xr:uid="{00000000-0006-0000-0A00-00008D000000}">
      <text>
        <r>
          <rPr>
            <sz val="10"/>
            <rFont val="Arial"/>
            <family val="2"/>
          </rPr>
          <t>reference:C110,C111,C112,C113,C114,C115,C116,C117,C118,C119,C120,C121,C122,C123,C124,C125,C126
mrs:(C110,+,10.0000)  (C111,+,10.0000)  (C112,+,10.0000)  (C113,+,10.0000)  (C114,+,10.0000)  (C115,+,10.0000)  (C116,+,10.0000)  (C117,+,10.0000)  (C118,+,10.0000)  (C119,+,10.0000)  (C120,+,10.0000)  (C121,+,10.0000)  (C122,+,10.0000)  (C123,+,10.0000)  (C124,+,10.0000)  (C125,+,10.0000)  (C126,+,10.0000)  
Rotate:True</t>
        </r>
      </text>
    </comment>
    <comment ref="D127" authorId="0" shapeId="0" xr:uid="{00000000-0006-0000-0A00-00008E000000}">
      <text>
        <r>
          <rPr>
            <sz val="10"/>
            <rFont val="Arial"/>
            <family val="2"/>
          </rPr>
          <t>reference:D110,D111,D112,D113,D114,D115,D116,D117,D118,D119,D120,D121,D122,D123,D124,D125,D126
mrs:(D110,+,10.0000)  (D111,+,10.0000)  (D112,+,10.0000)  (D113,+,10.0000)  (D114,+,10.0000)  (D115,+,10.0000)  (D116,+,10.0000)  (D117,+,10.0000)  (D118,+,10.0000)  (D119,+,10.0000)  (D120,+,10.0000)  (D121,+,10.0000)  (D122,+,10.0000)  (D123,+,10.0000)  (D124,+,10.0000)  (D125,+,10.0000)  (D126,+,10.0000)  
Rotate:True</t>
        </r>
      </text>
    </comment>
    <comment ref="E127" authorId="0" shapeId="0" xr:uid="{00000000-0006-0000-0A00-00008F000000}">
      <text>
        <r>
          <rPr>
            <sz val="10"/>
            <rFont val="Arial"/>
            <family val="2"/>
          </rPr>
          <t>reference:E110,E111,E112,E113,E114,E115,E116,E117,E118,E119,E120,E121,E122,E123,E124,E125,E126
mrs:(E110,+,10.0000)  (E111,+,10.0000)  (E112,+,10.0000)  (E113,+,10.0000)  (E114,+,10.0000)  (E115,+,10.0000)  (E116,+,10.0000)  (E117,+,10.0000)  (E118,+,10.0000)  (E119,+,10.0000)  (E120,+,10.0000)  (E121,+,10.0000)  (E122,+,10.0000)  (E123,+,10.0000)  (E124,+,10.0000)  (E125,+,10.0000)  (E126,+,10.0000)  
Rotate:True</t>
        </r>
      </text>
    </comment>
    <comment ref="F127" authorId="0" shapeId="0" xr:uid="{00000000-0006-0000-0A00-000090000000}">
      <text>
        <r>
          <rPr>
            <sz val="10"/>
            <rFont val="Arial"/>
            <family val="2"/>
          </rPr>
          <t>reference:F110,F111,F112,F113,F114,F115,F116,F117,F118,F119,F120,F121,F122,F123,F124,F125,F126
mrs:(F110,+,10.0000)  (F111,+,10.0000)  (F112,+,10.0000)  (F113,+,10.0000)  (F114,+,10.0000)  (F115,+,10.0000)  (F116,+,10.0000)  (F117,+,10.0000)  (F118,+,10.0000)  (F119,+,10.0000)  (F120,+,10.0000)  (F121,+,10.0000)  (F122,+,10.0000)  (F123,+,10.0000)  (F124,+,10.0000)  (F125,+,10.0000)  (F126,+,10.0000)  
Rotate:True</t>
        </r>
      </text>
    </comment>
    <comment ref="G127" authorId="0" shapeId="0" xr:uid="{00000000-0006-0000-0A00-000091000000}">
      <text>
        <r>
          <rPr>
            <sz val="10"/>
            <rFont val="Arial"/>
            <family val="2"/>
          </rPr>
          <t>reference:G110,G111,G112,G113,G114,G115,G116,G117,G118,G119,G120,G121,G122,G123,G124,G125,G126
mrs:(G110,+,10.0000)  (G111,+,10.0000)  (G112,+,10.0000)  (G113,+,10.0000)  (G114,+,10.0000)  (G115,+,10.0000)  (G116,+,10.0000)  (G117,+,10.0000)  (G118,+,10.0000)  (G119,+,10.0000)  (G120,+,10.0000)  (G121,+,10.0000)  (G122,+,10.0000)  (G123,+,10.0000)  (G124,+,10.0000)  (G125,+,10.0000)  (G126,+,10.0000)  
Rotate:True</t>
        </r>
      </text>
    </comment>
    <comment ref="H127" authorId="0" shapeId="0" xr:uid="{00000000-0006-0000-0A00-000092000000}">
      <text>
        <r>
          <rPr>
            <sz val="10"/>
            <rFont val="Arial"/>
            <family val="2"/>
          </rPr>
          <t>reference:F127,E127
mrs:
Rotate:True</t>
        </r>
      </text>
    </comment>
    <comment ref="I127" authorId="0" shapeId="0" xr:uid="{00000000-0006-0000-0A00-000093000000}">
      <text>
        <r>
          <rPr>
            <sz val="10"/>
            <rFont val="Arial"/>
            <family val="2"/>
          </rPr>
          <t>reference:I110,I111,I112,I113,I114,I115,I116,I117,I118,I119,I120,I121,I122,I123,I124,I125,I126
mrs:(I110,+,10.0000)  (I111,+,10.0000)  (I112,+,10.0000)  (I113,+,10.0000)  (I114,+,10.0000)  (I115,+,10.0000)  (I116,+,10.0000)  (I117,+,10.0000)  (I118,+,10.0000)  (I119,+,10.0000)  (I120,+,10.0000)  (I121,+,10.0000)  (I122,+,10.0000)  (I123,+,10.0000)  (I124,+,10.0000)  (I125,+,10.0000)  (I126,+,10.0000)  
Rotate:True</t>
        </r>
      </text>
    </comment>
    <comment ref="J127" authorId="0" shapeId="0" xr:uid="{00000000-0006-0000-0A00-000094000000}">
      <text>
        <r>
          <rPr>
            <sz val="10"/>
            <rFont val="Arial"/>
            <family val="2"/>
          </rPr>
          <t>reference:J110,J111,J112,J113,J114,J115,J116,J117,J118,J119,J120,J121,J122,J123,J124,J125,J126
mrs:(J110,+,10.0000)  (J111,+,10.0000)  (J112,+,10.0000)  (J113,+,10.0000)  (J114,+,10.0000)  (J115,+,10.0000)  (J116,+,10.0000)  (J117,+,10.0000)  (J118,+,10.0000)  (J119,+,10.0000)  (J120,+,10.0000)  (J121,+,10.0000)  (J122,+,10.0000)  (J123,+,10.0000)  (J124,+,10.0000)  (J125,+,10.0000)  (J126,+,10.0000)  
Rotate:True</t>
        </r>
      </text>
    </comment>
    <comment ref="E134" authorId="0" shapeId="0" xr:uid="{00000000-0006-0000-0A00-000095000000}">
      <text>
        <r>
          <rPr>
            <sz val="10"/>
            <rFont val="Arial"/>
            <family val="2"/>
          </rPr>
          <t>reference:D134,C134
mrs:(D134,+,10.0000)  (C134,+,10.0000)  
Rotate:True</t>
        </r>
      </text>
    </comment>
    <comment ref="H134" authorId="0" shapeId="0" xr:uid="{00000000-0006-0000-0A00-000096000000}">
      <text>
        <r>
          <rPr>
            <sz val="10"/>
            <rFont val="Arial"/>
            <family val="2"/>
          </rPr>
          <t>reference:F134,E134
mrs:
Rotate:True</t>
        </r>
      </text>
    </comment>
    <comment ref="E135" authorId="0" shapeId="0" xr:uid="{00000000-0006-0000-0A00-000097000000}">
      <text>
        <r>
          <rPr>
            <sz val="10"/>
            <rFont val="Arial"/>
            <family val="2"/>
          </rPr>
          <t>reference:C135
mrs:(C135,+,10.0000)  
Rotate:True</t>
        </r>
      </text>
    </comment>
    <comment ref="G135" authorId="0" shapeId="0" xr:uid="{00000000-0006-0000-0A00-000098000000}">
      <text>
        <r>
          <rPr>
            <sz val="10"/>
            <rFont val="Arial"/>
            <family val="2"/>
          </rPr>
          <t>reference:E135,F135
mrs:(E135,+,10.0000)  (F135,+,-10.0000)  
Rotate:True</t>
        </r>
      </text>
    </comment>
    <comment ref="H135" authorId="0" shapeId="0" xr:uid="{00000000-0006-0000-0A00-000099000000}">
      <text>
        <r>
          <rPr>
            <sz val="10"/>
            <rFont val="Arial"/>
            <family val="2"/>
          </rPr>
          <t>reference:F135,E135
mrs:
Rotate:True</t>
        </r>
      </text>
    </comment>
    <comment ref="E136" authorId="0" shapeId="0" xr:uid="{00000000-0006-0000-0A00-00009A000000}">
      <text>
        <r>
          <rPr>
            <sz val="10"/>
            <rFont val="Arial"/>
            <family val="2"/>
          </rPr>
          <t>reference:D136,C136
mrs:(D136,+,10.0000)  (C136,+,10.0000)  
Rotate:True</t>
        </r>
      </text>
    </comment>
    <comment ref="H136" authorId="0" shapeId="0" xr:uid="{00000000-0006-0000-0A00-00009B000000}">
      <text>
        <r>
          <rPr>
            <sz val="10"/>
            <rFont val="Arial"/>
            <family val="2"/>
          </rPr>
          <t>reference:F136,E136
mrs:
Rotate:True</t>
        </r>
      </text>
    </comment>
    <comment ref="E138" authorId="0" shapeId="0" xr:uid="{00000000-0006-0000-0A00-00009C000000}">
      <text>
        <r>
          <rPr>
            <sz val="10"/>
            <rFont val="Arial"/>
            <family val="2"/>
          </rPr>
          <t>reference:D138,C138
mrs:(D138,+,10.0000)  (C138,+,10.0000)  
Rotate:True</t>
        </r>
      </text>
    </comment>
    <comment ref="H138" authorId="0" shapeId="0" xr:uid="{00000000-0006-0000-0A00-00009D000000}">
      <text>
        <r>
          <rPr>
            <sz val="10"/>
            <rFont val="Arial"/>
            <family val="2"/>
          </rPr>
          <t>reference:F138,E138
mrs:
Rotate:True</t>
        </r>
      </text>
    </comment>
    <comment ref="C139" authorId="0" shapeId="0" xr:uid="{00000000-0006-0000-0A00-00009E000000}">
      <text>
        <r>
          <rPr>
            <sz val="10"/>
            <rFont val="Arial"/>
            <family val="2"/>
          </rPr>
          <t>reference:C133,C134,C135,C136,C137,C138
mrs:(C133,+,10.0000)  (C134,+,10.0000)  (C135,+,10.0000)  (C136,+,10.0000)  (C137,+,10.0000)  (C138,+,10.0000)  
Rotate:True</t>
        </r>
      </text>
    </comment>
    <comment ref="D139" authorId="0" shapeId="0" xr:uid="{00000000-0006-0000-0A00-00009F000000}">
      <text>
        <r>
          <rPr>
            <sz val="10"/>
            <rFont val="Arial"/>
            <family val="2"/>
          </rPr>
          <t>reference:D133,D134,D135,D136,D137,D138
mrs:(D133,+,10.0000)  (D134,+,10.0000)  (D135,+,10.0000)  (D136,+,10.0000)  (D137,+,10.0000)  (D138,+,10.0000)  
Rotate:True</t>
        </r>
      </text>
    </comment>
    <comment ref="E139" authorId="0" shapeId="0" xr:uid="{00000000-0006-0000-0A00-0000A0000000}">
      <text>
        <r>
          <rPr>
            <sz val="10"/>
            <rFont val="Arial"/>
            <family val="2"/>
          </rPr>
          <t>reference:E133,E134,E135,E136,E137,E138
mrs:(E133,+,10.0000)  (E134,+,10.0000)  (E135,+,10.0000)  (E136,+,10.0000)  (E137,+,10.0000)  (E138,+,10.0000)  
Rotate:True</t>
        </r>
      </text>
    </comment>
    <comment ref="F139" authorId="0" shapeId="0" xr:uid="{00000000-0006-0000-0A00-0000A1000000}">
      <text>
        <r>
          <rPr>
            <sz val="10"/>
            <rFont val="Arial"/>
            <family val="2"/>
          </rPr>
          <t>reference:F133,F134,F135,F136,F137,F138
mrs:(F133,+,10.0000)  (F134,+,10.0000)  (F135,+,10.0000)  (F136,+,10.0000)  (F137,+,10.0000)  (F138,+,10.0000)  
Rotate:True</t>
        </r>
      </text>
    </comment>
    <comment ref="G139" authorId="0" shapeId="0" xr:uid="{00000000-0006-0000-0A00-0000A2000000}">
      <text>
        <r>
          <rPr>
            <sz val="10"/>
            <rFont val="Arial"/>
            <family val="2"/>
          </rPr>
          <t>reference:G133,G134,G135,G136,G137,G138
mrs:(G133,+,10.0000)  (G134,+,10.0000)  (G135,+,10.0000)  (G136,+,10.0000)  (G137,+,10.0000)  (G138,+,10.0000)  
Rotate:True</t>
        </r>
      </text>
    </comment>
    <comment ref="H139" authorId="0" shapeId="0" xr:uid="{00000000-0006-0000-0A00-0000A3000000}">
      <text>
        <r>
          <rPr>
            <sz val="10"/>
            <rFont val="Arial"/>
            <family val="2"/>
          </rPr>
          <t>reference:F139,E139
mrs:
Rotate:True</t>
        </r>
      </text>
    </comment>
    <comment ref="I139" authorId="0" shapeId="0" xr:uid="{00000000-0006-0000-0A00-0000A4000000}">
      <text>
        <r>
          <rPr>
            <sz val="10"/>
            <rFont val="Arial"/>
            <family val="2"/>
          </rPr>
          <t>reference:I133,I134,I135,I136,I137,I138
mrs:(I133,+,10.0000)  (I134,+,10.0000)  (I135,+,10.0000)  (I136,+,10.0000)  (I137,+,10.0000)  (I138,+,10.0000)  
Rotate:True</t>
        </r>
      </text>
    </comment>
    <comment ref="J139" authorId="0" shapeId="0" xr:uid="{00000000-0006-0000-0A00-0000A5000000}">
      <text>
        <r>
          <rPr>
            <sz val="10"/>
            <rFont val="Arial"/>
            <family val="2"/>
          </rPr>
          <t>reference:J133,J134,J135,J136,J137,J138
mrs:(J133,+,10.0000)  (J134,+,10.0000)  (J135,+,10.0000)  (J136,+,10.0000)  (J137,+,10.0000)  (J138,+,10.0000)  
Rotate:True</t>
        </r>
      </text>
    </comment>
    <comment ref="E145" authorId="0" shapeId="0" xr:uid="{00000000-0006-0000-0A00-0000A6000000}">
      <text>
        <r>
          <rPr>
            <sz val="10"/>
            <rFont val="Arial"/>
            <family val="2"/>
          </rPr>
          <t>reference:D145,C145
mrs:(D145,+,10.0000)  (C145,+,10.0000)  
Rotate:True</t>
        </r>
      </text>
    </comment>
    <comment ref="H145" authorId="0" shapeId="0" xr:uid="{00000000-0006-0000-0A00-0000A7000000}">
      <text>
        <r>
          <rPr>
            <sz val="10"/>
            <rFont val="Arial"/>
            <family val="2"/>
          </rPr>
          <t>reference:F145,E145
mrs:
Rotate:True</t>
        </r>
      </text>
    </comment>
    <comment ref="E146" authorId="0" shapeId="0" xr:uid="{00000000-0006-0000-0A00-0000A8000000}">
      <text>
        <r>
          <rPr>
            <sz val="10"/>
            <rFont val="Arial"/>
            <family val="2"/>
          </rPr>
          <t>reference:D146,C146
mrs:(D146,+,10.0000)  (C146,+,10.0000)  
Rotate:True</t>
        </r>
      </text>
    </comment>
    <comment ref="H146" authorId="0" shapeId="0" xr:uid="{00000000-0006-0000-0A00-0000A9000000}">
      <text>
        <r>
          <rPr>
            <sz val="10"/>
            <rFont val="Arial"/>
            <family val="2"/>
          </rPr>
          <t>reference:F146,E146
mrs:
Rotate:True</t>
        </r>
      </text>
    </comment>
    <comment ref="E147" authorId="0" shapeId="0" xr:uid="{00000000-0006-0000-0A00-0000AA000000}">
      <text>
        <r>
          <rPr>
            <sz val="10"/>
            <rFont val="Arial"/>
            <family val="2"/>
          </rPr>
          <t>reference:D147,C147
mrs:(D147,+,10.0000)  (C147,+,10.0000)  
Rotate:True</t>
        </r>
      </text>
    </comment>
    <comment ref="H147" authorId="0" shapeId="0" xr:uid="{00000000-0006-0000-0A00-0000AB000000}">
      <text>
        <r>
          <rPr>
            <sz val="10"/>
            <rFont val="Arial"/>
            <family val="2"/>
          </rPr>
          <t>reference:F147,E147
mrs:
Rotate:True</t>
        </r>
      </text>
    </comment>
    <comment ref="E148" authorId="0" shapeId="0" xr:uid="{00000000-0006-0000-0A00-0000AC000000}">
      <text>
        <r>
          <rPr>
            <sz val="10"/>
            <rFont val="Arial"/>
            <family val="2"/>
          </rPr>
          <t>reference:D148,C148
mrs:(D148,+,10.0000)  (C148,+,10.0000)  
Rotate:True</t>
        </r>
      </text>
    </comment>
    <comment ref="H148" authorId="0" shapeId="0" xr:uid="{00000000-0006-0000-0A00-0000AD000000}">
      <text>
        <r>
          <rPr>
            <sz val="10"/>
            <rFont val="Arial"/>
            <family val="2"/>
          </rPr>
          <t>reference:F148,E148
mrs:
Rotate:True</t>
        </r>
      </text>
    </comment>
    <comment ref="E149" authorId="0" shapeId="0" xr:uid="{00000000-0006-0000-0A00-0000AE000000}">
      <text>
        <r>
          <rPr>
            <sz val="10"/>
            <rFont val="Arial"/>
            <family val="2"/>
          </rPr>
          <t>reference:D149,C149
mrs:(D149,+,10.0000)  (C149,+,10.0000)  
Rotate:True</t>
        </r>
      </text>
    </comment>
    <comment ref="H149" authorId="0" shapeId="0" xr:uid="{00000000-0006-0000-0A00-0000AF000000}">
      <text>
        <r>
          <rPr>
            <sz val="10"/>
            <rFont val="Arial"/>
            <family val="2"/>
          </rPr>
          <t>reference:F149,E149
mrs:
Rotate:True</t>
        </r>
      </text>
    </comment>
    <comment ref="E150" authorId="0" shapeId="0" xr:uid="{00000000-0006-0000-0A00-0000B0000000}">
      <text>
        <r>
          <rPr>
            <sz val="10"/>
            <rFont val="Arial"/>
            <family val="2"/>
          </rPr>
          <t>reference:C150
mrs:(C150,+,10.0000)  
Rotate:True</t>
        </r>
      </text>
    </comment>
    <comment ref="G150" authorId="0" shapeId="0" xr:uid="{00000000-0006-0000-0A00-0000B1000000}">
      <text>
        <r>
          <rPr>
            <sz val="10"/>
            <rFont val="Arial"/>
            <family val="2"/>
          </rPr>
          <t>reference:E150,F150
mrs:(E150,+,10.0000)  (F150,+,-10.0000)  
Rotate:True</t>
        </r>
      </text>
    </comment>
    <comment ref="H150" authorId="0" shapeId="0" xr:uid="{00000000-0006-0000-0A00-0000B2000000}">
      <text>
        <r>
          <rPr>
            <sz val="10"/>
            <rFont val="Arial"/>
            <family val="2"/>
          </rPr>
          <t>reference:F150,E150
mrs:
Rotate:True</t>
        </r>
      </text>
    </comment>
    <comment ref="E151" authorId="0" shapeId="0" xr:uid="{00000000-0006-0000-0A00-0000B3000000}">
      <text>
        <r>
          <rPr>
            <sz val="10"/>
            <rFont val="Arial"/>
            <family val="2"/>
          </rPr>
          <t>reference:D151
mrs:(D151,+,10.0000)  
Rotate:True</t>
        </r>
      </text>
    </comment>
    <comment ref="H151" authorId="0" shapeId="0" xr:uid="{00000000-0006-0000-0A00-0000B4000000}">
      <text>
        <r>
          <rPr>
            <sz val="10"/>
            <rFont val="Arial"/>
            <family val="2"/>
          </rPr>
          <t>reference:F151,E151
mrs:
Rotate:True</t>
        </r>
      </text>
    </comment>
    <comment ref="C152" authorId="0" shapeId="0" xr:uid="{00000000-0006-0000-0A00-0000B5000000}">
      <text>
        <r>
          <rPr>
            <sz val="10"/>
            <rFont val="Arial"/>
            <family val="2"/>
          </rPr>
          <t>reference:C145,C146,C147,C148,C149,C150,C151
mrs:(C145,+,10.0000)  (C146,+,10.0000)  (C147,+,10.0000)  (C148,+,10.0000)  (C149,+,10.0000)  (C150,+,10.0000)  (C151,+,10.0000)  
Rotate:True</t>
        </r>
      </text>
    </comment>
    <comment ref="D152" authorId="0" shapeId="0" xr:uid="{00000000-0006-0000-0A00-0000B6000000}">
      <text>
        <r>
          <rPr>
            <sz val="10"/>
            <rFont val="Arial"/>
            <family val="2"/>
          </rPr>
          <t>reference:D145,D146,D147,D148,D149,D150,D151
mrs:(D145,+,10.0000)  (D146,+,10.0000)  (D147,+,10.0000)  (D148,+,10.0000)  (D149,+,10.0000)  (D150,+,10.0000)  (D151,+,10.0000)  
Rotate:True</t>
        </r>
      </text>
    </comment>
    <comment ref="E152" authorId="0" shapeId="0" xr:uid="{00000000-0006-0000-0A00-0000B7000000}">
      <text>
        <r>
          <rPr>
            <sz val="10"/>
            <rFont val="Arial"/>
            <family val="2"/>
          </rPr>
          <t>reference:E145,E146,E147,E148,E149,E150,E151
mrs:(E145,+,10.0000)  (E146,+,10.0000)  (E147,+,10.0000)  (E148,+,10.0000)  (E149,+,10.0000)  (E150,+,10.0000)  (E151,+,10.0000)  
Rotate:True</t>
        </r>
      </text>
    </comment>
    <comment ref="F152" authorId="0" shapeId="0" xr:uid="{00000000-0006-0000-0A00-0000B8000000}">
      <text>
        <r>
          <rPr>
            <sz val="10"/>
            <rFont val="Arial"/>
            <family val="2"/>
          </rPr>
          <t>reference:F145,F146,F147,F148,F149,F150,F151
mrs:(F145,+,10.0000)  (F146,+,10.0000)  (F147,+,10.0000)  (F148,+,10.0000)  (F149,+,10.0000)  (F150,+,10.0000)  (F151,+,10.0000)  
Rotate:True</t>
        </r>
      </text>
    </comment>
    <comment ref="G152" authorId="0" shapeId="0" xr:uid="{00000000-0006-0000-0A00-0000B9000000}">
      <text>
        <r>
          <rPr>
            <sz val="10"/>
            <rFont val="Arial"/>
            <family val="2"/>
          </rPr>
          <t>reference:G145,G146,G147,G148,G149,G150,G151
mrs:(G145,+,10.0000)  (G146,+,10.0000)  (G147,+,10.0000)  (G148,+,10.0000)  (G149,+,10.0000)  (G150,+,10.0000)  (G151,+,10.0000)  
Rotate:True</t>
        </r>
      </text>
    </comment>
    <comment ref="H152" authorId="0" shapeId="0" xr:uid="{00000000-0006-0000-0A00-0000BA000000}">
      <text>
        <r>
          <rPr>
            <sz val="10"/>
            <rFont val="Arial"/>
            <family val="2"/>
          </rPr>
          <t>reference:F152,E152
mrs:
Rotate:True</t>
        </r>
      </text>
    </comment>
    <comment ref="I152" authorId="0" shapeId="0" xr:uid="{00000000-0006-0000-0A00-0000BB000000}">
      <text>
        <r>
          <rPr>
            <sz val="10"/>
            <rFont val="Arial"/>
            <family val="2"/>
          </rPr>
          <t>reference:I145,I146,I147,I148,I149,I150,I151
mrs:(I145,+,10.0000)  (I146,+,10.0000)  (I147,+,10.0000)  (I148,+,10.0000)  (I149,+,10.0000)  (I150,+,10.0000)  (I151,+,10.0000)  
Rotate:True</t>
        </r>
      </text>
    </comment>
    <comment ref="J152" authorId="0" shapeId="0" xr:uid="{00000000-0006-0000-0A00-0000BC000000}">
      <text>
        <r>
          <rPr>
            <sz val="10"/>
            <rFont val="Arial"/>
            <family val="2"/>
          </rPr>
          <t>reference:J145,J146,J147,J148,J149,J150,J151
mrs:(J145,+,10.0000)  (J146,+,10.0000)  (J147,+,10.0000)  (J148,+,10.0000)  (J149,+,10.0000)  (J150,+,10.0000)  (J151,+,10.0000)  
Rotate:True</t>
        </r>
      </text>
    </comment>
    <comment ref="E162" authorId="0" shapeId="0" xr:uid="{00000000-0006-0000-0A00-0000BD000000}">
      <text>
        <r>
          <rPr>
            <sz val="10"/>
            <rFont val="Arial"/>
            <family val="2"/>
          </rPr>
          <t>reference:D162,C162
mrs:(D162,+,10.0000)  (C162,+,10.0000)  
Rotate:True</t>
        </r>
      </text>
    </comment>
    <comment ref="H162" authorId="0" shapeId="0" xr:uid="{00000000-0006-0000-0A00-0000BE000000}">
      <text>
        <r>
          <rPr>
            <sz val="10"/>
            <rFont val="Arial"/>
            <family val="2"/>
          </rPr>
          <t>reference:F162,E162
mrs:
Rotate:True</t>
        </r>
      </text>
    </comment>
    <comment ref="E164" authorId="0" shapeId="0" xr:uid="{00000000-0006-0000-0A00-0000BF000000}">
      <text>
        <r>
          <rPr>
            <sz val="10"/>
            <rFont val="Arial"/>
            <family val="2"/>
          </rPr>
          <t>reference:D164,C164
mrs:(D164,+,10.0000)  (C164,+,10.0000)  
Rotate:True</t>
        </r>
      </text>
    </comment>
    <comment ref="H164" authorId="0" shapeId="0" xr:uid="{00000000-0006-0000-0A00-0000C0000000}">
      <text>
        <r>
          <rPr>
            <sz val="10"/>
            <rFont val="Arial"/>
            <family val="2"/>
          </rPr>
          <t>reference:F164,E164
mrs:
Rotate:True</t>
        </r>
      </text>
    </comment>
    <comment ref="E166" authorId="0" shapeId="0" xr:uid="{00000000-0006-0000-0A00-0000C1000000}">
      <text>
        <r>
          <rPr>
            <sz val="10"/>
            <rFont val="Arial"/>
            <family val="2"/>
          </rPr>
          <t>reference:D166,C166
mrs:(D166,+,10.0000)  (C166,+,10.0000)  
Rotate:True</t>
        </r>
      </text>
    </comment>
    <comment ref="H166" authorId="0" shapeId="0" xr:uid="{00000000-0006-0000-0A00-0000C2000000}">
      <text>
        <r>
          <rPr>
            <sz val="10"/>
            <rFont val="Arial"/>
            <family val="2"/>
          </rPr>
          <t>reference:F166,E166
mrs:
Rotate:True</t>
        </r>
      </text>
    </comment>
    <comment ref="E168" authorId="0" shapeId="0" xr:uid="{00000000-0006-0000-0A00-0000C3000000}">
      <text>
        <r>
          <rPr>
            <sz val="10"/>
            <rFont val="Arial"/>
            <family val="2"/>
          </rPr>
          <t>reference:C168
mrs:(C168,+,10.0000)  
Rotate:True</t>
        </r>
      </text>
    </comment>
    <comment ref="H168" authorId="0" shapeId="0" xr:uid="{00000000-0006-0000-0A00-0000C4000000}">
      <text>
        <r>
          <rPr>
            <sz val="10"/>
            <rFont val="Arial"/>
            <family val="2"/>
          </rPr>
          <t>reference:F168,E168
mrs:
Rotate:True</t>
        </r>
      </text>
    </comment>
    <comment ref="E169" authorId="0" shapeId="0" xr:uid="{00000000-0006-0000-0A00-0000C5000000}">
      <text>
        <r>
          <rPr>
            <sz val="10"/>
            <rFont val="Arial"/>
            <family val="2"/>
          </rPr>
          <t>reference:C169
mrs:(C169,+,10.0000)  
Rotate:True</t>
        </r>
      </text>
    </comment>
    <comment ref="H169" authorId="0" shapeId="0" xr:uid="{00000000-0006-0000-0A00-0000C6000000}">
      <text>
        <r>
          <rPr>
            <sz val="10"/>
            <rFont val="Arial"/>
            <family val="2"/>
          </rPr>
          <t>reference:F169,E169
mrs:
Rotate:True</t>
        </r>
      </text>
    </comment>
    <comment ref="E171" authorId="0" shapeId="0" xr:uid="{00000000-0006-0000-0A00-0000C7000000}">
      <text>
        <r>
          <rPr>
            <sz val="10"/>
            <rFont val="Arial"/>
            <family val="2"/>
          </rPr>
          <t>reference:D171,C171
mrs:(D171,+,10.0000)  (C171,+,10.0000)  
Rotate:True</t>
        </r>
      </text>
    </comment>
    <comment ref="H171" authorId="0" shapeId="0" xr:uid="{00000000-0006-0000-0A00-0000C8000000}">
      <text>
        <r>
          <rPr>
            <sz val="10"/>
            <rFont val="Arial"/>
            <family val="2"/>
          </rPr>
          <t>reference:F171,E171
mrs:
Rotate:True</t>
        </r>
      </text>
    </comment>
    <comment ref="C173" authorId="0" shapeId="0" xr:uid="{00000000-0006-0000-0A00-0000C9000000}">
      <text>
        <r>
          <rPr>
            <sz val="10"/>
            <rFont val="Arial"/>
            <family val="2"/>
          </rPr>
          <t>reference:C161,C162,C163,C164,C165,C166,C167,C168,C169,C170,C171,C172
mrs:(C161,+,10.0000)  (C162,+,10.0000)  (C163,+,10.0000)  (C164,+,10.0000)  (C165,+,10.0000)  (C166,+,10.0000)  (C167,+,10.0000)  (C168,+,10.0000)  (C169,+,10.0000)  (C170,+,10.0000)  (C171,+,10.0000)  (C172,+,10.0000)  
Rotate:True</t>
        </r>
      </text>
    </comment>
    <comment ref="D173" authorId="0" shapeId="0" xr:uid="{00000000-0006-0000-0A00-0000CA000000}">
      <text>
        <r>
          <rPr>
            <sz val="10"/>
            <rFont val="Arial"/>
            <family val="2"/>
          </rPr>
          <t>reference:D161,D162,D163,D164,D165,D166,D167,D168,D169,D170,D171,D172
mrs:(D161,+,10.0000)  (D162,+,10.0000)  (D163,+,10.0000)  (D164,+,10.0000)  (D165,+,10.0000)  (D166,+,10.0000)  (D167,+,10.0000)  (D168,+,10.0000)  (D169,+,10.0000)  (D170,+,10.0000)  (D171,+,10.0000)  (D172,+,10.0000)  
Rotate:True</t>
        </r>
      </text>
    </comment>
    <comment ref="E173" authorId="0" shapeId="0" xr:uid="{00000000-0006-0000-0A00-0000CB000000}">
      <text>
        <r>
          <rPr>
            <sz val="10"/>
            <rFont val="Arial"/>
            <family val="2"/>
          </rPr>
          <t>reference:E161,E162,E163,E164,E165,E166,E167,E168,E169,E170,E171,E172
mrs:(E161,+,10.0000)  (E162,+,10.0000)  (E163,+,10.0000)  (E164,+,10.0000)  (E165,+,10.0000)  (E166,+,10.0000)  (E167,+,10.0000)  (E168,+,10.0000)  (E169,+,10.0000)  (E170,+,10.0000)  (E171,+,10.0000)  (E172,+,10.0000)  
Rotate:True</t>
        </r>
      </text>
    </comment>
    <comment ref="F173" authorId="0" shapeId="0" xr:uid="{00000000-0006-0000-0A00-0000CC000000}">
      <text>
        <r>
          <rPr>
            <sz val="10"/>
            <rFont val="Arial"/>
            <family val="2"/>
          </rPr>
          <t>reference:F161,F162,F163,F164,F165,F166,F167,F168,F169,F170,F171,F172
mrs:(F161,+,10.0000)  (F162,+,10.0000)  (F163,+,10.0000)  (F164,+,10.0000)  (F165,+,10.0000)  (F166,+,10.0000)  (F167,+,10.0000)  (F168,+,10.0000)  (F169,+,10.0000)  (F170,+,10.0000)  (F171,+,10.0000)  (F172,+,10.0000)  
Rotate:True</t>
        </r>
      </text>
    </comment>
    <comment ref="H173" authorId="0" shapeId="0" xr:uid="{00000000-0006-0000-0A00-0000CD000000}">
      <text>
        <r>
          <rPr>
            <sz val="10"/>
            <rFont val="Arial"/>
            <family val="2"/>
          </rPr>
          <t>reference:F173,E173
mrs:
Rotate:True</t>
        </r>
      </text>
    </comment>
    <comment ref="I173" authorId="0" shapeId="0" xr:uid="{00000000-0006-0000-0A00-0000CE000000}">
      <text>
        <r>
          <rPr>
            <sz val="10"/>
            <rFont val="Arial"/>
            <family val="2"/>
          </rPr>
          <t>reference:I161,I162,I163,I164,I165,I166,I167,I168,I169,I170,I171,I172
mrs:(I161,+,10.0000)  (I162,+,10.0000)  (I163,+,10.0000)  (I164,+,10.0000)  (I165,+,10.0000)  (I166,+,10.0000)  (I167,+,10.0000)  (I168,+,10.0000)  (I169,+,10.0000)  (I170,+,10.0000)  (I171,+,10.0000)  (I172,+,10.0000)  
Rotate:True</t>
        </r>
      </text>
    </comment>
    <comment ref="J173" authorId="0" shapeId="0" xr:uid="{00000000-0006-0000-0A00-0000CF000000}">
      <text>
        <r>
          <rPr>
            <sz val="10"/>
            <rFont val="Arial"/>
            <family val="2"/>
          </rPr>
          <t>reference:J161,J162,J163,J164,J165,J166,J167,J168,J169,J170,J171,J172
mrs:(J161,+,10.0000)  (J162,+,10.0000)  (J163,+,10.0000)  (J164,+,10.0000)  (J165,+,10.0000)  (J166,+,10.0000)  (J167,+,10.0000)  (J168,+,10.0000)  (J169,+,10.0000)  (J170,+,10.0000)  (J171,+,10.0000)  (J172,+,10.0000)  
Rotate:True</t>
        </r>
      </text>
    </comment>
    <comment ref="E180" authorId="0" shapeId="0" xr:uid="{00000000-0006-0000-0A00-0000D0000000}">
      <text>
        <r>
          <rPr>
            <sz val="10"/>
            <rFont val="Arial"/>
            <family val="2"/>
          </rPr>
          <t>reference:D180,C180
mrs:(D180,+,10.0000)  (C180,+,10.0000)  
Rotate:True</t>
        </r>
      </text>
    </comment>
    <comment ref="H180" authorId="0" shapeId="0" xr:uid="{00000000-0006-0000-0A00-0000D1000000}">
      <text>
        <r>
          <rPr>
            <sz val="10"/>
            <rFont val="Arial"/>
            <family val="2"/>
          </rPr>
          <t>reference:F180,E180
mrs:
Rotate:True</t>
        </r>
      </text>
    </comment>
    <comment ref="E181" authorId="0" shapeId="0" xr:uid="{00000000-0006-0000-0A00-0000D2000000}">
      <text>
        <r>
          <rPr>
            <sz val="10"/>
            <rFont val="Arial"/>
            <family val="2"/>
          </rPr>
          <t>reference:D181,C181
mrs:(D181,+,10.0000)  (C181,+,10.0000)  
Rotate:True</t>
        </r>
      </text>
    </comment>
    <comment ref="H181" authorId="0" shapeId="0" xr:uid="{00000000-0006-0000-0A00-0000D3000000}">
      <text>
        <r>
          <rPr>
            <sz val="10"/>
            <rFont val="Arial"/>
            <family val="2"/>
          </rPr>
          <t>reference:F181,E181
mrs:
Rotate:True</t>
        </r>
      </text>
    </comment>
    <comment ref="E182" authorId="0" shapeId="0" xr:uid="{00000000-0006-0000-0A00-0000D4000000}">
      <text>
        <r>
          <rPr>
            <sz val="10"/>
            <rFont val="Arial"/>
            <family val="2"/>
          </rPr>
          <t>reference:D182,C182
mrs:(D182,+,10.0000)  (C182,+,10.0000)  
Rotate:True</t>
        </r>
      </text>
    </comment>
    <comment ref="H182" authorId="0" shapeId="0" xr:uid="{00000000-0006-0000-0A00-0000D5000000}">
      <text>
        <r>
          <rPr>
            <sz val="10"/>
            <rFont val="Arial"/>
            <family val="2"/>
          </rPr>
          <t>reference:F182,E182
mrs:
Rotate:True</t>
        </r>
      </text>
    </comment>
    <comment ref="E184" authorId="0" shapeId="0" xr:uid="{00000000-0006-0000-0A00-0000D6000000}">
      <text>
        <r>
          <rPr>
            <sz val="10"/>
            <rFont val="Arial"/>
            <family val="2"/>
          </rPr>
          <t>reference:C184
mrs:(C184,+,10.0000)  
Rotate:True</t>
        </r>
      </text>
    </comment>
    <comment ref="H184" authorId="0" shapeId="0" xr:uid="{00000000-0006-0000-0A00-0000D7000000}">
      <text>
        <r>
          <rPr>
            <sz val="10"/>
            <rFont val="Arial"/>
            <family val="2"/>
          </rPr>
          <t>reference:F184,E184
mrs:
Rotate:True</t>
        </r>
      </text>
    </comment>
    <comment ref="C185" authorId="0" shapeId="0" xr:uid="{00000000-0006-0000-0A00-0000D8000000}">
      <text>
        <r>
          <rPr>
            <sz val="10"/>
            <rFont val="Arial"/>
            <family val="2"/>
          </rPr>
          <t>reference:C179,C180,C181,C182,C183,C184
mrs:(C179,+,10.0000)  (C180,+,10.0000)  (C181,+,10.0000)  (C182,+,10.0000)  (C183,+,10.0000)  (C184,+,10.0000)  
Rotate:True</t>
        </r>
      </text>
    </comment>
    <comment ref="D185" authorId="0" shapeId="0" xr:uid="{00000000-0006-0000-0A00-0000D9000000}">
      <text>
        <r>
          <rPr>
            <sz val="10"/>
            <rFont val="Arial"/>
            <family val="2"/>
          </rPr>
          <t>reference:D179,D180,D181,D182,D183,D184
mrs:(D179,+,10.0000)  (D180,+,10.0000)  (D181,+,10.0000)  (D182,+,10.0000)  (D183,+,10.0000)  (D184,+,10.0000)  
Rotate:True</t>
        </r>
      </text>
    </comment>
    <comment ref="E185" authorId="0" shapeId="0" xr:uid="{00000000-0006-0000-0A00-0000DA000000}">
      <text>
        <r>
          <rPr>
            <sz val="10"/>
            <rFont val="Arial"/>
            <family val="2"/>
          </rPr>
          <t>reference:E179,E180,E181,E182,E183,E184
mrs:(E179,+,10.0000)  (E180,+,10.0000)  (E181,+,10.0000)  (E182,+,10.0000)  (E183,+,10.0000)  (E184,+,10.0000)  
Rotate:True</t>
        </r>
      </text>
    </comment>
    <comment ref="F185" authorId="0" shapeId="0" xr:uid="{00000000-0006-0000-0A00-0000DB000000}">
      <text>
        <r>
          <rPr>
            <sz val="10"/>
            <rFont val="Arial"/>
            <family val="2"/>
          </rPr>
          <t>reference:F179,F180,F181,F182,F183,F184
mrs:(F179,+,10.0000)  (F180,+,10.0000)  (F181,+,10.0000)  (F182,+,10.0000)  (F183,+,10.0000)  (F184,+,10.0000)  
Rotate:True</t>
        </r>
      </text>
    </comment>
    <comment ref="H185" authorId="0" shapeId="0" xr:uid="{00000000-0006-0000-0A00-0000DC000000}">
      <text>
        <r>
          <rPr>
            <sz val="10"/>
            <rFont val="Arial"/>
            <family val="2"/>
          </rPr>
          <t>reference:F185,E185
mrs:
Rotate:True</t>
        </r>
      </text>
    </comment>
    <comment ref="I185" authorId="0" shapeId="0" xr:uid="{00000000-0006-0000-0A00-0000DD000000}">
      <text>
        <r>
          <rPr>
            <sz val="10"/>
            <rFont val="Arial"/>
            <family val="2"/>
          </rPr>
          <t>reference:I179,I180,I181,I182,I183,I184
mrs:(I179,+,10.0000)  (I180,+,10.0000)  (I181,+,10.0000)  (I182,+,10.0000)  (I183,+,10.0000)  (I184,+,10.0000)  
Rotate:True</t>
        </r>
      </text>
    </comment>
    <comment ref="J185" authorId="0" shapeId="0" xr:uid="{00000000-0006-0000-0A00-0000DE000000}">
      <text>
        <r>
          <rPr>
            <sz val="10"/>
            <rFont val="Arial"/>
            <family val="2"/>
          </rPr>
          <t>reference:J179,J180,J181,J182,J183,J184
mrs:(J179,+,10.0000)  (J180,+,10.0000)  (J181,+,10.0000)  (J182,+,10.0000)  (J183,+,10.0000)  (J184,+,10.0000)  
Rotate:True</t>
        </r>
      </text>
    </comment>
    <comment ref="E191" authorId="0" shapeId="0" xr:uid="{00000000-0006-0000-0A00-0000DF000000}">
      <text>
        <r>
          <rPr>
            <sz val="10"/>
            <rFont val="Arial"/>
            <family val="2"/>
          </rPr>
          <t>reference:D191,C191
mrs:(D191,+,10.0000)  (C191,+,10.0000)  
Rotate:True</t>
        </r>
      </text>
    </comment>
    <comment ref="H191" authorId="0" shapeId="0" xr:uid="{00000000-0006-0000-0A00-0000E0000000}">
      <text>
        <r>
          <rPr>
            <sz val="10"/>
            <rFont val="Arial"/>
            <family val="2"/>
          </rPr>
          <t>reference:F191,E191
mrs:
Rotate:True</t>
        </r>
      </text>
    </comment>
    <comment ref="E192" authorId="0" shapeId="0" xr:uid="{00000000-0006-0000-0A00-0000E1000000}">
      <text>
        <r>
          <rPr>
            <sz val="10"/>
            <rFont val="Arial"/>
            <family val="2"/>
          </rPr>
          <t>reference:D192,C192
mrs:(D192,+,10.0000)  (C192,+,10.0000)  
Rotate:True</t>
        </r>
      </text>
    </comment>
    <comment ref="H192" authorId="0" shapeId="0" xr:uid="{00000000-0006-0000-0A00-0000E2000000}">
      <text>
        <r>
          <rPr>
            <sz val="10"/>
            <rFont val="Arial"/>
            <family val="2"/>
          </rPr>
          <t>reference:F192,E192
mrs:
Rotate:True</t>
        </r>
      </text>
    </comment>
    <comment ref="E193" authorId="0" shapeId="0" xr:uid="{00000000-0006-0000-0A00-0000E3000000}">
      <text>
        <r>
          <rPr>
            <sz val="10"/>
            <rFont val="Arial"/>
            <family val="2"/>
          </rPr>
          <t>reference:D193
mrs:(D193,+,10.0000)  
Rotate:True</t>
        </r>
      </text>
    </comment>
    <comment ref="H193" authorId="0" shapeId="0" xr:uid="{00000000-0006-0000-0A00-0000E4000000}">
      <text>
        <r>
          <rPr>
            <sz val="10"/>
            <rFont val="Arial"/>
            <family val="2"/>
          </rPr>
          <t>reference:F193,E193
mrs:
Rotate:True</t>
        </r>
      </text>
    </comment>
    <comment ref="E194" authorId="0" shapeId="0" xr:uid="{00000000-0006-0000-0A00-0000E5000000}">
      <text>
        <r>
          <rPr>
            <sz val="10"/>
            <rFont val="Arial"/>
            <family val="2"/>
          </rPr>
          <t>reference:D194
mrs:(D194,+,10.0000)  
Rotate:True</t>
        </r>
      </text>
    </comment>
    <comment ref="H194" authorId="0" shapeId="0" xr:uid="{00000000-0006-0000-0A00-0000E6000000}">
      <text>
        <r>
          <rPr>
            <sz val="10"/>
            <rFont val="Arial"/>
            <family val="2"/>
          </rPr>
          <t>reference:F194,E194
mrs:
Rotate:True</t>
        </r>
      </text>
    </comment>
    <comment ref="E195" authorId="0" shapeId="0" xr:uid="{00000000-0006-0000-0A00-0000E7000000}">
      <text>
        <r>
          <rPr>
            <sz val="10"/>
            <rFont val="Arial"/>
            <family val="2"/>
          </rPr>
          <t>reference:D195,C195
mrs:(D195,+,10.0000)  (C195,+,10.0000)  
Rotate:True</t>
        </r>
      </text>
    </comment>
    <comment ref="H195" authorId="0" shapeId="0" xr:uid="{00000000-0006-0000-0A00-0000E8000000}">
      <text>
        <r>
          <rPr>
            <sz val="10"/>
            <rFont val="Arial"/>
            <family val="2"/>
          </rPr>
          <t>reference:F195,E195
mrs:
Rotate:True</t>
        </r>
      </text>
    </comment>
    <comment ref="E196" authorId="0" shapeId="0" xr:uid="{00000000-0006-0000-0A00-0000E9000000}">
      <text>
        <r>
          <rPr>
            <sz val="10"/>
            <rFont val="Arial"/>
            <family val="2"/>
          </rPr>
          <t>reference:D196,C196
mrs:(D196,+,10.0000)  (C196,+,10.0000)  
Rotate:True</t>
        </r>
      </text>
    </comment>
    <comment ref="H196" authorId="0" shapeId="0" xr:uid="{00000000-0006-0000-0A00-0000EA000000}">
      <text>
        <r>
          <rPr>
            <sz val="10"/>
            <rFont val="Arial"/>
            <family val="2"/>
          </rPr>
          <t>reference:F196,E196
mrs:
Rotate:True</t>
        </r>
      </text>
    </comment>
    <comment ref="C197" authorId="0" shapeId="0" xr:uid="{00000000-0006-0000-0A00-0000EB000000}">
      <text>
        <r>
          <rPr>
            <sz val="10"/>
            <rFont val="Arial"/>
            <family val="2"/>
          </rPr>
          <t>reference:C191,C192,C193,C194,C195,C196
mrs:(C191,+,10.0000)  (C192,+,10.0000)  (C193,+,10.0000)  (C194,+,10.0000)  (C195,+,10.0000)  (C196,+,10.0000)  
Rotate:True</t>
        </r>
      </text>
    </comment>
    <comment ref="D197" authorId="0" shapeId="0" xr:uid="{00000000-0006-0000-0A00-0000EC000000}">
      <text>
        <r>
          <rPr>
            <sz val="10"/>
            <rFont val="Arial"/>
            <family val="2"/>
          </rPr>
          <t>reference:D191,D192,D193,D194,D195,D196
mrs:(D191,+,10.0000)  (D192,+,10.0000)  (D193,+,10.0000)  (D194,+,10.0000)  (D195,+,10.0000)  (D196,+,10.0000)  
Rotate:True</t>
        </r>
      </text>
    </comment>
    <comment ref="E197" authorId="0" shapeId="0" xr:uid="{00000000-0006-0000-0A00-0000ED000000}">
      <text>
        <r>
          <rPr>
            <sz val="10"/>
            <rFont val="Arial"/>
            <family val="2"/>
          </rPr>
          <t>reference:E191,E192,E193,E194,E195,E196
mrs:(E191,+,10.0000)  (E192,+,10.0000)  (E193,+,10.0000)  (E194,+,10.0000)  (E195,+,10.0000)  (E196,+,10.0000)  
Rotate:True</t>
        </r>
      </text>
    </comment>
    <comment ref="F197" authorId="0" shapeId="0" xr:uid="{00000000-0006-0000-0A00-0000EE000000}">
      <text>
        <r>
          <rPr>
            <sz val="10"/>
            <rFont val="Arial"/>
            <family val="2"/>
          </rPr>
          <t>reference:F191,F192,F193,F194,F195,F196
mrs:(F191,+,10.0000)  (F192,+,10.0000)  (F193,+,10.0000)  (F194,+,10.0000)  (F195,+,10.0000)  (F196,+,10.0000)  
Rotate:True</t>
        </r>
      </text>
    </comment>
    <comment ref="H197" authorId="0" shapeId="0" xr:uid="{00000000-0006-0000-0A00-0000EF000000}">
      <text>
        <r>
          <rPr>
            <sz val="10"/>
            <rFont val="Arial"/>
            <family val="2"/>
          </rPr>
          <t>reference:F197,E197
mrs:
Rotate:True</t>
        </r>
      </text>
    </comment>
    <comment ref="I197" authorId="0" shapeId="0" xr:uid="{00000000-0006-0000-0A00-0000F0000000}">
      <text>
        <r>
          <rPr>
            <sz val="10"/>
            <rFont val="Arial"/>
            <family val="2"/>
          </rPr>
          <t>reference:I191,I192,I193,I194,I195,I196
mrs:(I191,+,10.0000)  (I192,+,10.0000)  (I193,+,10.0000)  (I194,+,10.0000)  (I195,+,10.0000)  (I196,+,10.0000)  
Rotate:True</t>
        </r>
      </text>
    </comment>
    <comment ref="J197" authorId="0" shapeId="0" xr:uid="{00000000-0006-0000-0A00-0000F1000000}">
      <text>
        <r>
          <rPr>
            <sz val="10"/>
            <rFont val="Arial"/>
            <family val="2"/>
          </rPr>
          <t>reference:J191,J192,J193,J194,J195,J196
mrs:(J191,+,10.0000)  (J192,+,10.0000)  (J193,+,10.0000)  (J194,+,10.0000)  (J195,+,10.0000)  (J196,+,10.0000)  
Rotate:True</t>
        </r>
      </text>
    </comment>
    <comment ref="E207" authorId="0" shapeId="0" xr:uid="{00000000-0006-0000-0A00-0000F2000000}">
      <text>
        <r>
          <rPr>
            <sz val="10"/>
            <rFont val="Arial"/>
            <family val="2"/>
          </rPr>
          <t>reference:D207,C207
mrs:(D207,+,10.0000)  (C207,+,10.0000)  
Rotate:True</t>
        </r>
      </text>
    </comment>
    <comment ref="H207" authorId="0" shapeId="0" xr:uid="{00000000-0006-0000-0A00-0000F3000000}">
      <text>
        <r>
          <rPr>
            <sz val="10"/>
            <rFont val="Arial"/>
            <family val="2"/>
          </rPr>
          <t>reference:F207,E207
mrs:
Rotate:True</t>
        </r>
      </text>
    </comment>
    <comment ref="E208" authorId="0" shapeId="0" xr:uid="{00000000-0006-0000-0A00-0000F4000000}">
      <text>
        <r>
          <rPr>
            <sz val="10"/>
            <rFont val="Arial"/>
            <family val="2"/>
          </rPr>
          <t>reference:D208,C208
mrs:(D208,+,10.0000)  (C208,+,10.0000)  
Rotate:True</t>
        </r>
      </text>
    </comment>
    <comment ref="H208" authorId="0" shapeId="0" xr:uid="{00000000-0006-0000-0A00-0000F5000000}">
      <text>
        <r>
          <rPr>
            <sz val="10"/>
            <rFont val="Arial"/>
            <family val="2"/>
          </rPr>
          <t>reference:F208,E208
mrs:
Rotate:True</t>
        </r>
      </text>
    </comment>
    <comment ref="E210" authorId="0" shapeId="0" xr:uid="{00000000-0006-0000-0A00-0000F6000000}">
      <text>
        <r>
          <rPr>
            <sz val="10"/>
            <rFont val="Arial"/>
            <family val="2"/>
          </rPr>
          <t>reference:D210,C210
mrs:(D210,+,10.0000)  (C210,+,10.0000)  
Rotate:True</t>
        </r>
      </text>
    </comment>
    <comment ref="H210" authorId="0" shapeId="0" xr:uid="{00000000-0006-0000-0A00-0000F7000000}">
      <text>
        <r>
          <rPr>
            <sz val="10"/>
            <rFont val="Arial"/>
            <family val="2"/>
          </rPr>
          <t>reference:F210,E210
mrs:
Rotate:True</t>
        </r>
      </text>
    </comment>
    <comment ref="E211" authorId="0" shapeId="0" xr:uid="{00000000-0006-0000-0A00-0000F8000000}">
      <text>
        <r>
          <rPr>
            <sz val="10"/>
            <rFont val="Arial"/>
            <family val="2"/>
          </rPr>
          <t>reference:D211,C211
mrs:(D211,+,10.0000)  (C211,+,10.0000)  
Rotate:True</t>
        </r>
      </text>
    </comment>
    <comment ref="H211" authorId="0" shapeId="0" xr:uid="{00000000-0006-0000-0A00-0000F9000000}">
      <text>
        <r>
          <rPr>
            <sz val="10"/>
            <rFont val="Arial"/>
            <family val="2"/>
          </rPr>
          <t>reference:F211,E211
mrs:
Rotate:True</t>
        </r>
      </text>
    </comment>
    <comment ref="E213" authorId="0" shapeId="0" xr:uid="{00000000-0006-0000-0A00-0000FA000000}">
      <text>
        <r>
          <rPr>
            <sz val="10"/>
            <rFont val="Arial"/>
            <family val="2"/>
          </rPr>
          <t>reference:D213,C213
mrs:(D213,+,10.0000)  (C213,+,10.0000)  
Rotate:True</t>
        </r>
      </text>
    </comment>
    <comment ref="H213" authorId="0" shapeId="0" xr:uid="{00000000-0006-0000-0A00-0000FB000000}">
      <text>
        <r>
          <rPr>
            <sz val="10"/>
            <rFont val="Arial"/>
            <family val="2"/>
          </rPr>
          <t>reference:F213,E213
mrs:
Rotate:True</t>
        </r>
      </text>
    </comment>
    <comment ref="E214" authorId="0" shapeId="0" xr:uid="{00000000-0006-0000-0A00-0000FC000000}">
      <text>
        <r>
          <rPr>
            <sz val="10"/>
            <rFont val="Arial"/>
            <family val="2"/>
          </rPr>
          <t>reference:D214,C214
mrs:(D214,+,10.0000)  (C214,+,10.0000)  
Rotate:True</t>
        </r>
      </text>
    </comment>
    <comment ref="H214" authorId="0" shapeId="0" xr:uid="{00000000-0006-0000-0A00-0000FD000000}">
      <text>
        <r>
          <rPr>
            <sz val="10"/>
            <rFont val="Arial"/>
            <family val="2"/>
          </rPr>
          <t>reference:F214,E214
mrs:
Rotate:True</t>
        </r>
      </text>
    </comment>
    <comment ref="E216" authorId="0" shapeId="0" xr:uid="{00000000-0006-0000-0A00-0000FE000000}">
      <text>
        <r>
          <rPr>
            <sz val="10"/>
            <rFont val="Arial"/>
            <family val="2"/>
          </rPr>
          <t>reference:D216,C216
mrs:(D216,+,10.0000)  (C216,+,10.0000)  
Rotate:True</t>
        </r>
      </text>
    </comment>
    <comment ref="H216" authorId="0" shapeId="0" xr:uid="{00000000-0006-0000-0A00-0000FF000000}">
      <text>
        <r>
          <rPr>
            <sz val="10"/>
            <rFont val="Arial"/>
            <family val="2"/>
          </rPr>
          <t>reference:F216,E216
mrs:
Rotate:True</t>
        </r>
      </text>
    </comment>
    <comment ref="E217" authorId="0" shapeId="0" xr:uid="{00000000-0006-0000-0A00-000000010000}">
      <text>
        <r>
          <rPr>
            <sz val="10"/>
            <rFont val="Arial"/>
            <family val="2"/>
          </rPr>
          <t>reference:D217,C217
mrs:(D217,+,10.0000)  (C217,+,10.0000)  
Rotate:True</t>
        </r>
      </text>
    </comment>
    <comment ref="H217" authorId="0" shapeId="0" xr:uid="{00000000-0006-0000-0A00-000001010000}">
      <text>
        <r>
          <rPr>
            <sz val="10"/>
            <rFont val="Arial"/>
            <family val="2"/>
          </rPr>
          <t>reference:F217,E217
mrs:
Rotate:True</t>
        </r>
      </text>
    </comment>
    <comment ref="E219" authorId="0" shapeId="0" xr:uid="{00000000-0006-0000-0A00-000002010000}">
      <text>
        <r>
          <rPr>
            <sz val="10"/>
            <rFont val="Arial"/>
            <family val="2"/>
          </rPr>
          <t>reference:D219,C219
mrs:(D219,+,10.0000)  (C219,+,10.0000)  
Rotate:True</t>
        </r>
      </text>
    </comment>
    <comment ref="H219" authorId="0" shapeId="0" xr:uid="{00000000-0006-0000-0A00-000003010000}">
      <text>
        <r>
          <rPr>
            <sz val="10"/>
            <rFont val="Arial"/>
            <family val="2"/>
          </rPr>
          <t>reference:F219,E219
mrs:
Rotate:True</t>
        </r>
      </text>
    </comment>
    <comment ref="E220" authorId="0" shapeId="0" xr:uid="{00000000-0006-0000-0A00-000004010000}">
      <text>
        <r>
          <rPr>
            <sz val="10"/>
            <rFont val="Arial"/>
            <family val="2"/>
          </rPr>
          <t>reference:D220,C220
mrs:(D220,+,10.0000)  (C220,+,10.0000)  
Rotate:True</t>
        </r>
      </text>
    </comment>
    <comment ref="H220" authorId="0" shapeId="0" xr:uid="{00000000-0006-0000-0A00-000005010000}">
      <text>
        <r>
          <rPr>
            <sz val="10"/>
            <rFont val="Arial"/>
            <family val="2"/>
          </rPr>
          <t>reference:F220,E220
mrs:
Rotate:True</t>
        </r>
      </text>
    </comment>
    <comment ref="E222" authorId="0" shapeId="0" xr:uid="{00000000-0006-0000-0A00-000006010000}">
      <text>
        <r>
          <rPr>
            <sz val="10"/>
            <rFont val="Arial"/>
            <family val="2"/>
          </rPr>
          <t>reference:D222,C222
mrs:(D222,+,10.0000)  (C222,+,10.0000)  
Rotate:True</t>
        </r>
      </text>
    </comment>
    <comment ref="H222" authorId="0" shapeId="0" xr:uid="{00000000-0006-0000-0A00-000007010000}">
      <text>
        <r>
          <rPr>
            <sz val="10"/>
            <rFont val="Arial"/>
            <family val="2"/>
          </rPr>
          <t>reference:F222,E222
mrs:
Rotate:True</t>
        </r>
      </text>
    </comment>
    <comment ref="E224" authorId="0" shapeId="0" xr:uid="{00000000-0006-0000-0A00-000008010000}">
      <text>
        <r>
          <rPr>
            <sz val="10"/>
            <rFont val="Arial"/>
            <family val="2"/>
          </rPr>
          <t>reference:D224,C224
mrs:(D224,+,10.0000)  (C224,+,10.0000)  
Rotate:True</t>
        </r>
      </text>
    </comment>
    <comment ref="H224" authorId="0" shapeId="0" xr:uid="{00000000-0006-0000-0A00-000009010000}">
      <text>
        <r>
          <rPr>
            <sz val="10"/>
            <rFont val="Arial"/>
            <family val="2"/>
          </rPr>
          <t>reference:F224,E224
mrs:
Rotate:True</t>
        </r>
      </text>
    </comment>
    <comment ref="E226" authorId="0" shapeId="0" xr:uid="{00000000-0006-0000-0A00-00000A010000}">
      <text>
        <r>
          <rPr>
            <sz val="10"/>
            <rFont val="Arial"/>
            <family val="2"/>
          </rPr>
          <t>reference:D226,C226
mrs:(D226,+,10.0000)  (C226,+,10.0000)  
Rotate:True</t>
        </r>
      </text>
    </comment>
    <comment ref="H226" authorId="0" shapeId="0" xr:uid="{00000000-0006-0000-0A00-00000B010000}">
      <text>
        <r>
          <rPr>
            <sz val="10"/>
            <rFont val="Arial"/>
            <family val="2"/>
          </rPr>
          <t>reference:F226,E226
mrs:
Rotate:True</t>
        </r>
      </text>
    </comment>
    <comment ref="C227" authorId="0" shapeId="0" xr:uid="{00000000-0006-0000-0A00-00000C010000}">
      <text>
        <r>
          <rPr>
            <sz val="10"/>
            <rFont val="Arial"/>
            <family val="2"/>
          </rPr>
          <t>reference:C206,C207,C208,C209,C210,C211,C212,C213,C214,C215,C216,C217,C218,C219,C220,C221,C222,C223,C224,C225,C226
mrs:(C206,+,10.0000)  (C207,+,10.0000)  (C208,+,10.0000)  (C209,+,10.0000)  (C210,+,10.0000)  (C211,+,10.0000)  (C212,+,10.0000)  (C213,+,10.0000)  (C214,+,10.0000)  (C215,+,10.0000)  (C216,+,10.0000)  (C217,+,10.0000)  (C218,+,10.0000)  (C219,+,10.0000)  (C220,+,10.0000)  (C221,+,10.0000)  (C222,+,10.0000)  (C223,+,10.0000)  (C224,+,10.0000)  (C225,+,10.0000)  (C226,+,10.0000)  
Rotate:True</t>
        </r>
      </text>
    </comment>
    <comment ref="D227" authorId="0" shapeId="0" xr:uid="{00000000-0006-0000-0A00-00000D010000}">
      <text>
        <r>
          <rPr>
            <sz val="10"/>
            <rFont val="Arial"/>
            <family val="2"/>
          </rPr>
          <t>reference:D206,D207,D208,D209,D210,D211,D212,D213,D214,D215,D216,D217,D218,D219,D220,D221,D222,D223,D224,D225,D226
mrs:(D206,+,10.0000)  (D207,+,10.0000)  (D208,+,10.0000)  (D209,+,10.0000)  (D210,+,10.0000)  (D211,+,10.0000)  (D212,+,10.0000)  (D213,+,10.0000)  (D214,+,10.0000)  (D215,+,10.0000)  (D216,+,10.0000)  (D217,+,10.0000)  (D218,+,10.0000)  (D219,+,10.0000)  (D220,+,10.0000)  (D221,+,10.0000)  (D222,+,10.0000)  (D223,+,10.0000)  (D224,+,10.0000)  (D225,+,10.0000)  (D226,+,10.0000)  
Rotate:True</t>
        </r>
      </text>
    </comment>
    <comment ref="E227" authorId="0" shapeId="0" xr:uid="{00000000-0006-0000-0A00-00000E010000}">
      <text>
        <r>
          <rPr>
            <sz val="10"/>
            <rFont val="Arial"/>
            <family val="2"/>
          </rPr>
          <t>reference:E206,E207,E208,E209,E210,E211,E212,E213,E214,E215,E216,E217,E218,E219,E220,E221,E222,E223,E224,E225,E226
mrs:(E206,+,10.0000)  (E207,+,10.0000)  (E208,+,10.0000)  (E209,+,10.0000)  (E210,+,10.0000)  (E211,+,10.0000)  (E212,+,10.0000)  (E213,+,10.0000)  (E214,+,10.0000)  (E215,+,10.0000)  (E216,+,10.0000)  (E217,+,10.0000)  (E218,+,10.0000)  (E219,+,10.0000)  (E220,+,10.0000)  (E221,+,10.0000)  (E222,+,10.0000)  (E223,+,10.0000)  (E224,+,10.0000)  (E225,+,10.0000)  (E226,+,10.0000)  
Rotate:True</t>
        </r>
      </text>
    </comment>
    <comment ref="F227" authorId="0" shapeId="0" xr:uid="{00000000-0006-0000-0A00-00000F010000}">
      <text>
        <r>
          <rPr>
            <sz val="10"/>
            <rFont val="Arial"/>
            <family val="2"/>
          </rPr>
          <t>reference:F206,F207,F208,F209,F210,F211,F212,F213,F214,F215,F216,F217,F218,F219,F220,F221,F222,F223,F224,F225,F226
mrs:(F206,+,10.0000)  (F207,+,10.0000)  (F208,+,10.0000)  (F209,+,10.0000)  (F210,+,10.0000)  (F211,+,10.0000)  (F212,+,10.0000)  (F213,+,10.0000)  (F214,+,10.0000)  (F215,+,10.0000)  (F216,+,10.0000)  (F217,+,10.0000)  (F218,+,10.0000)  (F219,+,10.0000)  (F220,+,10.0000)  (F221,+,10.0000)  (F222,+,10.0000)  (F223,+,10.0000)  (F224,+,10.0000)  (F225,+,10.0000)  (F226,+,10.0000)  
Rotate:True</t>
        </r>
      </text>
    </comment>
    <comment ref="H227" authorId="0" shapeId="0" xr:uid="{00000000-0006-0000-0A00-000010010000}">
      <text>
        <r>
          <rPr>
            <sz val="10"/>
            <rFont val="Arial"/>
            <family val="2"/>
          </rPr>
          <t>reference:F227,E227
mrs:
Rotate:True</t>
        </r>
      </text>
    </comment>
    <comment ref="I227" authorId="0" shapeId="0" xr:uid="{00000000-0006-0000-0A00-000011010000}">
      <text>
        <r>
          <rPr>
            <sz val="10"/>
            <rFont val="Arial"/>
            <family val="2"/>
          </rPr>
          <t>reference:I206,I207,I208,I209,I210,I211,I212,I213,I214,I215,I216,I217,I218,I219,I220,I221,I222,I223,I224,I225,I226
mrs:(I206,+,10.0000)  (I207,+,10.0000)  (I208,+,10.0000)  (I209,+,10.0000)  (I210,+,10.0000)  (I211,+,10.0000)  (I212,+,10.0000)  (I213,+,10.0000)  (I214,+,10.0000)  (I215,+,10.0000)  (I216,+,10.0000)  (I217,+,10.0000)  (I218,+,10.0000)  (I219,+,10.0000)  (I220,+,10.0000)  (I221,+,10.0000)  (I222,+,10.0000)  (I223,+,10.0000)  (I224,+,10.0000)  (I225,+,10.0000)  (I226,+,10.0000)  
Rotate:True</t>
        </r>
      </text>
    </comment>
    <comment ref="J227" authorId="0" shapeId="0" xr:uid="{00000000-0006-0000-0A00-000012010000}">
      <text>
        <r>
          <rPr>
            <sz val="10"/>
            <rFont val="Arial"/>
            <family val="2"/>
          </rPr>
          <t>reference:J206,J207,J208,J209,J210,J211,J212,J213,J214,J215,J216,J217,J218,J219,J220,J221,J222,J223,J224,J225,J226
mrs:(J206,+,10.0000)  (J207,+,10.0000)  (J208,+,10.0000)  (J209,+,10.0000)  (J210,+,10.0000)  (J211,+,10.0000)  (J212,+,10.0000)  (J213,+,10.0000)  (J214,+,10.0000)  (J215,+,10.0000)  (J216,+,10.0000)  (J217,+,10.0000)  (J218,+,10.0000)  (J219,+,10.0000)  (J220,+,10.0000)  (J221,+,10.0000)  (J222,+,10.0000)  (J223,+,10.0000)  (J224,+,10.0000)  (J225,+,10.0000)  (J226,+,10.0000)  
Rotate:True</t>
        </r>
      </text>
    </comment>
    <comment ref="E234" authorId="0" shapeId="0" xr:uid="{00000000-0006-0000-0A00-000013010000}">
      <text>
        <r>
          <rPr>
            <sz val="10"/>
            <rFont val="Arial"/>
            <family val="2"/>
          </rPr>
          <t>reference:D234,C234
mrs:(D234,+,10.0000)  (C234,+,10.0000)  
Rotate:True</t>
        </r>
      </text>
    </comment>
    <comment ref="H234" authorId="0" shapeId="0" xr:uid="{00000000-0006-0000-0A00-000014010000}">
      <text>
        <r>
          <rPr>
            <sz val="10"/>
            <rFont val="Arial"/>
            <family val="2"/>
          </rPr>
          <t>reference:F234,E234
mrs:
Rotate:True</t>
        </r>
      </text>
    </comment>
    <comment ref="E235" authorId="0" shapeId="0" xr:uid="{00000000-0006-0000-0A00-000015010000}">
      <text>
        <r>
          <rPr>
            <sz val="10"/>
            <rFont val="Arial"/>
            <family val="2"/>
          </rPr>
          <t>reference:D235,C235
mrs:(D235,+,10.0000)  (C235,+,10.0000)  
Rotate:True</t>
        </r>
      </text>
    </comment>
    <comment ref="H235" authorId="0" shapeId="0" xr:uid="{00000000-0006-0000-0A00-000016010000}">
      <text>
        <r>
          <rPr>
            <sz val="10"/>
            <rFont val="Arial"/>
            <family val="2"/>
          </rPr>
          <t>reference:F235,E235
mrs:
Rotate:True</t>
        </r>
      </text>
    </comment>
    <comment ref="E236" authorId="0" shapeId="0" xr:uid="{00000000-0006-0000-0A00-000017010000}">
      <text>
        <r>
          <rPr>
            <sz val="10"/>
            <rFont val="Arial"/>
            <family val="2"/>
          </rPr>
          <t>reference:D236,C236
mrs:(D236,+,10.0000)  (C236,+,10.0000)  
Rotate:True</t>
        </r>
      </text>
    </comment>
    <comment ref="H236" authorId="0" shapeId="0" xr:uid="{00000000-0006-0000-0A00-000018010000}">
      <text>
        <r>
          <rPr>
            <sz val="10"/>
            <rFont val="Arial"/>
            <family val="2"/>
          </rPr>
          <t>reference:F236,E236
mrs:
Rotate:True</t>
        </r>
      </text>
    </comment>
    <comment ref="E238" authorId="0" shapeId="0" xr:uid="{00000000-0006-0000-0A00-000019010000}">
      <text>
        <r>
          <rPr>
            <sz val="10"/>
            <rFont val="Arial"/>
            <family val="2"/>
          </rPr>
          <t>reference:D238,C238
mrs:(D238,+,10.0000)  (C238,+,10.0000)  
Rotate:True</t>
        </r>
      </text>
    </comment>
    <comment ref="H238" authorId="0" shapeId="0" xr:uid="{00000000-0006-0000-0A00-00001A010000}">
      <text>
        <r>
          <rPr>
            <sz val="10"/>
            <rFont val="Arial"/>
            <family val="2"/>
          </rPr>
          <t>reference:F238,E238
mrs:
Rotate:True</t>
        </r>
      </text>
    </comment>
    <comment ref="C239" authorId="0" shapeId="0" xr:uid="{00000000-0006-0000-0A00-00001B010000}">
      <text>
        <r>
          <rPr>
            <sz val="10"/>
            <rFont val="Arial"/>
            <family val="2"/>
          </rPr>
          <t>reference:C233,C234,C235,C236,C237,C238
mrs:(C233,+,10.0000)  (C234,+,10.0000)  (C235,+,10.0000)  (C236,+,10.0000)  (C237,+,10.0000)  (C238,+,10.0000)  
Rotate:True</t>
        </r>
      </text>
    </comment>
    <comment ref="D239" authorId="0" shapeId="0" xr:uid="{00000000-0006-0000-0A00-00001C010000}">
      <text>
        <r>
          <rPr>
            <sz val="10"/>
            <rFont val="Arial"/>
            <family val="2"/>
          </rPr>
          <t>reference:D233,D234,D235,D236,D237,D238
mrs:(D233,+,10.0000)  (D234,+,10.0000)  (D235,+,10.0000)  (D236,+,10.0000)  (D237,+,10.0000)  (D238,+,10.0000)  
Rotate:True</t>
        </r>
      </text>
    </comment>
    <comment ref="E239" authorId="0" shapeId="0" xr:uid="{00000000-0006-0000-0A00-00001D010000}">
      <text>
        <r>
          <rPr>
            <sz val="10"/>
            <rFont val="Arial"/>
            <family val="2"/>
          </rPr>
          <t>reference:E233,E234,E235,E236,E237,E238
mrs:(E233,+,10.0000)  (E234,+,10.0000)  (E235,+,10.0000)  (E236,+,10.0000)  (E237,+,10.0000)  (E238,+,10.0000)  
Rotate:True</t>
        </r>
      </text>
    </comment>
    <comment ref="F239" authorId="0" shapeId="0" xr:uid="{00000000-0006-0000-0A00-00001E010000}">
      <text>
        <r>
          <rPr>
            <sz val="10"/>
            <rFont val="Arial"/>
            <family val="2"/>
          </rPr>
          <t>reference:F233,F234,F235,F236,F237,F238
mrs:(F233,+,10.0000)  (F234,+,10.0000)  (F235,+,10.0000)  (F236,+,10.0000)  (F237,+,10.0000)  (F238,+,10.0000)  
Rotate:True</t>
        </r>
      </text>
    </comment>
    <comment ref="H239" authorId="0" shapeId="0" xr:uid="{00000000-0006-0000-0A00-00001F010000}">
      <text>
        <r>
          <rPr>
            <sz val="10"/>
            <rFont val="Arial"/>
            <family val="2"/>
          </rPr>
          <t>reference:F239,E239
mrs:
Rotate:True</t>
        </r>
      </text>
    </comment>
    <comment ref="I239" authorId="0" shapeId="0" xr:uid="{00000000-0006-0000-0A00-000020010000}">
      <text>
        <r>
          <rPr>
            <sz val="10"/>
            <rFont val="Arial"/>
            <family val="2"/>
          </rPr>
          <t>reference:I233,I234,I235,I236,I237,I238
mrs:(I233,+,10.0000)  (I234,+,10.0000)  (I235,+,10.0000)  (I236,+,10.0000)  (I237,+,10.0000)  (I238,+,10.0000)  
Rotate:True</t>
        </r>
      </text>
    </comment>
    <comment ref="J239" authorId="0" shapeId="0" xr:uid="{00000000-0006-0000-0A00-000021010000}">
      <text>
        <r>
          <rPr>
            <sz val="10"/>
            <rFont val="Arial"/>
            <family val="2"/>
          </rPr>
          <t>reference:J233,J234,J235,J236,J237,J238
mrs:(J233,+,10.0000)  (J234,+,10.0000)  (J235,+,10.0000)  (J236,+,10.0000)  (J237,+,10.0000)  (J238,+,10.0000)  
Rotate:True</t>
        </r>
      </text>
    </comment>
    <comment ref="E245" authorId="0" shapeId="0" xr:uid="{00000000-0006-0000-0A00-000022010000}">
      <text>
        <r>
          <rPr>
            <sz val="10"/>
            <rFont val="Arial"/>
            <family val="2"/>
          </rPr>
          <t>reference:D245,C245
mrs:(D245,+,10.0000)  (C245,+,10.0000)  
Rotate:True</t>
        </r>
      </text>
    </comment>
    <comment ref="H245" authorId="0" shapeId="0" xr:uid="{00000000-0006-0000-0A00-000023010000}">
      <text>
        <r>
          <rPr>
            <sz val="10"/>
            <rFont val="Arial"/>
            <family val="2"/>
          </rPr>
          <t>reference:F245,E245
mrs:
Rotate:True</t>
        </r>
      </text>
    </comment>
    <comment ref="E246" authorId="0" shapeId="0" xr:uid="{00000000-0006-0000-0A00-000024010000}">
      <text>
        <r>
          <rPr>
            <sz val="10"/>
            <rFont val="Arial"/>
            <family val="2"/>
          </rPr>
          <t>reference:D246,C246
mrs:(D246,+,10.0000)  (C246,+,10.0000)  
Rotate:True</t>
        </r>
      </text>
    </comment>
    <comment ref="H246" authorId="0" shapeId="0" xr:uid="{00000000-0006-0000-0A00-000025010000}">
      <text>
        <r>
          <rPr>
            <sz val="10"/>
            <rFont val="Arial"/>
            <family val="2"/>
          </rPr>
          <t>reference:F246,E246
mrs:
Rotate:True</t>
        </r>
      </text>
    </comment>
    <comment ref="E247" authorId="0" shapeId="0" xr:uid="{00000000-0006-0000-0A00-000026010000}">
      <text>
        <r>
          <rPr>
            <sz val="10"/>
            <rFont val="Arial"/>
            <family val="2"/>
          </rPr>
          <t>reference:D247,C247
mrs:(D247,+,10.0000)  (C247,+,10.0000)  
Rotate:True</t>
        </r>
      </text>
    </comment>
    <comment ref="H247" authorId="0" shapeId="0" xr:uid="{00000000-0006-0000-0A00-000027010000}">
      <text>
        <r>
          <rPr>
            <sz val="10"/>
            <rFont val="Arial"/>
            <family val="2"/>
          </rPr>
          <t>reference:F247,E247
mrs:
Rotate:True</t>
        </r>
      </text>
    </comment>
    <comment ref="E248" authorId="0" shapeId="0" xr:uid="{00000000-0006-0000-0A00-000028010000}">
      <text>
        <r>
          <rPr>
            <sz val="10"/>
            <rFont val="Arial"/>
            <family val="2"/>
          </rPr>
          <t>reference:D248,C248
mrs:(D248,+,10.0000)  (C248,+,10.0000)  
Rotate:True</t>
        </r>
      </text>
    </comment>
    <comment ref="H248" authorId="0" shapeId="0" xr:uid="{00000000-0006-0000-0A00-000029010000}">
      <text>
        <r>
          <rPr>
            <sz val="10"/>
            <rFont val="Arial"/>
            <family val="2"/>
          </rPr>
          <t>reference:F248,E248
mrs:
Rotate:True</t>
        </r>
      </text>
    </comment>
    <comment ref="E249" authorId="0" shapeId="0" xr:uid="{00000000-0006-0000-0A00-00002A010000}">
      <text>
        <r>
          <rPr>
            <sz val="10"/>
            <rFont val="Arial"/>
            <family val="2"/>
          </rPr>
          <t>reference:D249,C249
mrs:(D249,+,10.0000)  (C249,+,10.0000)  
Rotate:True</t>
        </r>
      </text>
    </comment>
    <comment ref="H249" authorId="0" shapeId="0" xr:uid="{00000000-0006-0000-0A00-00002B010000}">
      <text>
        <r>
          <rPr>
            <sz val="10"/>
            <rFont val="Arial"/>
            <family val="2"/>
          </rPr>
          <t>reference:F249,E249
mrs:
Rotate:True</t>
        </r>
      </text>
    </comment>
    <comment ref="E250" authorId="0" shapeId="0" xr:uid="{00000000-0006-0000-0A00-00002C010000}">
      <text>
        <r>
          <rPr>
            <sz val="10"/>
            <rFont val="Arial"/>
            <family val="2"/>
          </rPr>
          <t>reference:D250,C250
mrs:(D250,+,10.0000)  (C250,+,10.0000)  
Rotate:True</t>
        </r>
      </text>
    </comment>
    <comment ref="H250" authorId="0" shapeId="0" xr:uid="{00000000-0006-0000-0A00-00002D010000}">
      <text>
        <r>
          <rPr>
            <sz val="10"/>
            <rFont val="Arial"/>
            <family val="2"/>
          </rPr>
          <t>reference:F250,E250
mrs:
Rotate:True</t>
        </r>
      </text>
    </comment>
    <comment ref="E251" authorId="0" shapeId="0" xr:uid="{00000000-0006-0000-0A00-00002E010000}">
      <text>
        <r>
          <rPr>
            <sz val="10"/>
            <rFont val="Arial"/>
            <family val="2"/>
          </rPr>
          <t>reference:D251
mrs:(D251,+,10.0000)  
Rotate:True</t>
        </r>
      </text>
    </comment>
    <comment ref="H251" authorId="0" shapeId="0" xr:uid="{00000000-0006-0000-0A00-00002F010000}">
      <text>
        <r>
          <rPr>
            <sz val="10"/>
            <rFont val="Arial"/>
            <family val="2"/>
          </rPr>
          <t>reference:F251,E251
mrs:
Rotate:True</t>
        </r>
      </text>
    </comment>
    <comment ref="C252" authorId="0" shapeId="0" xr:uid="{00000000-0006-0000-0A00-000030010000}">
      <text>
        <r>
          <rPr>
            <sz val="10"/>
            <rFont val="Arial"/>
            <family val="2"/>
          </rPr>
          <t>reference:C245,C246,C247,C248,C249,C250,C251
mrs:(C245,+,10.0000)  (C246,+,10.0000)  (C247,+,10.0000)  (C248,+,10.0000)  (C249,+,10.0000)  (C250,+,10.0000)  (C251,+,10.0000)  
Rotate:True</t>
        </r>
      </text>
    </comment>
    <comment ref="D252" authorId="0" shapeId="0" xr:uid="{00000000-0006-0000-0A00-000031010000}">
      <text>
        <r>
          <rPr>
            <sz val="10"/>
            <rFont val="Arial"/>
            <family val="2"/>
          </rPr>
          <t>reference:D245,D246,D247,D248,D249,D250,D251
mrs:(D245,+,10.0000)  (D246,+,10.0000)  (D247,+,10.0000)  (D248,+,10.0000)  (D249,+,10.0000)  (D250,+,10.0000)  (D251,+,10.0000)  
Rotate:True</t>
        </r>
      </text>
    </comment>
    <comment ref="E252" authorId="0" shapeId="0" xr:uid="{00000000-0006-0000-0A00-000032010000}">
      <text>
        <r>
          <rPr>
            <sz val="10"/>
            <rFont val="Arial"/>
            <family val="2"/>
          </rPr>
          <t>reference:E245,E246,E247,E248,E249,E250,E251
mrs:(E245,+,10.0000)  (E246,+,10.0000)  (E247,+,10.0000)  (E248,+,10.0000)  (E249,+,10.0000)  (E250,+,10.0000)  (E251,+,10.0000)  
Rotate:True</t>
        </r>
      </text>
    </comment>
    <comment ref="F252" authorId="0" shapeId="0" xr:uid="{00000000-0006-0000-0A00-000033010000}">
      <text>
        <r>
          <rPr>
            <sz val="10"/>
            <rFont val="Arial"/>
            <family val="2"/>
          </rPr>
          <t>reference:F245,F246,F247,F248,F249,F250,F251
mrs:(F245,+,10.0000)  (F246,+,10.0000)  (F247,+,10.0000)  (F248,+,10.0000)  (F249,+,10.0000)  (F250,+,10.0000)  (F251,+,10.0000)  
Rotate:True</t>
        </r>
      </text>
    </comment>
    <comment ref="H252" authorId="0" shapeId="0" xr:uid="{00000000-0006-0000-0A00-000034010000}">
      <text>
        <r>
          <rPr>
            <sz val="10"/>
            <rFont val="Arial"/>
            <family val="2"/>
          </rPr>
          <t>reference:F252,E252
mrs:
Rotate:True</t>
        </r>
      </text>
    </comment>
    <comment ref="I252" authorId="0" shapeId="0" xr:uid="{00000000-0006-0000-0A00-000035010000}">
      <text>
        <r>
          <rPr>
            <sz val="10"/>
            <rFont val="Arial"/>
            <family val="2"/>
          </rPr>
          <t>reference:I245,I246,I247,I248,I249,I250,I251
mrs:(I245,+,10.0000)  (I246,+,10.0000)  (I247,+,10.0000)  (I248,+,10.0000)  (I249,+,10.0000)  (I250,+,10.0000)  (I251,+,10.0000)  
Rotate:True</t>
        </r>
      </text>
    </comment>
    <comment ref="J252" authorId="0" shapeId="0" xr:uid="{00000000-0006-0000-0A00-000036010000}">
      <text>
        <r>
          <rPr>
            <sz val="10"/>
            <rFont val="Arial"/>
            <family val="2"/>
          </rPr>
          <t>reference:J245,J246,J247,J248,J249,J250,J251
mrs:(J245,+,10.0000)  (J246,+,10.0000)  (J247,+,10.0000)  (J248,+,10.0000)  (J249,+,10.0000)  (J250,+,10.0000)  (J251,+,10.0000)  
Rotate:True</t>
        </r>
      </text>
    </comment>
    <comment ref="E262" authorId="0" shapeId="0" xr:uid="{00000000-0006-0000-0A00-000037010000}">
      <text>
        <r>
          <rPr>
            <sz val="10"/>
            <rFont val="Arial"/>
            <family val="2"/>
          </rPr>
          <t>reference:D262,C262
mrs:(D262,+,10.0000)  (C262,+,10.0000)  
Rotate:True</t>
        </r>
      </text>
    </comment>
    <comment ref="H262" authorId="0" shapeId="0" xr:uid="{00000000-0006-0000-0A00-000038010000}">
      <text>
        <r>
          <rPr>
            <sz val="10"/>
            <rFont val="Arial"/>
            <family val="2"/>
          </rPr>
          <t>reference:F262,E262
mrs:
Rotate:True</t>
        </r>
      </text>
    </comment>
    <comment ref="E263" authorId="0" shapeId="0" xr:uid="{00000000-0006-0000-0A00-000039010000}">
      <text>
        <r>
          <rPr>
            <sz val="10"/>
            <rFont val="Arial"/>
            <family val="2"/>
          </rPr>
          <t>reference:D263,C263
mrs:(D263,+,10.0000)  (C263,+,10.0000)  
Rotate:True</t>
        </r>
      </text>
    </comment>
    <comment ref="H263" authorId="0" shapeId="0" xr:uid="{00000000-0006-0000-0A00-00003A010000}">
      <text>
        <r>
          <rPr>
            <sz val="10"/>
            <rFont val="Arial"/>
            <family val="2"/>
          </rPr>
          <t>reference:F263,E263
mrs:
Rotate:True</t>
        </r>
      </text>
    </comment>
    <comment ref="E265" authorId="0" shapeId="0" xr:uid="{00000000-0006-0000-0A00-00003B010000}">
      <text>
        <r>
          <rPr>
            <sz val="10"/>
            <rFont val="Arial"/>
            <family val="2"/>
          </rPr>
          <t>reference:D265,C265
mrs:(D265,+,10.0000)  (C265,+,10.0000)  
Rotate:True</t>
        </r>
      </text>
    </comment>
    <comment ref="H265" authorId="0" shapeId="0" xr:uid="{00000000-0006-0000-0A00-00003C010000}">
      <text>
        <r>
          <rPr>
            <sz val="10"/>
            <rFont val="Arial"/>
            <family val="2"/>
          </rPr>
          <t>reference:F265,E265
mrs:
Rotate:True</t>
        </r>
      </text>
    </comment>
    <comment ref="E266" authorId="0" shapeId="0" xr:uid="{00000000-0006-0000-0A00-00003D010000}">
      <text>
        <r>
          <rPr>
            <sz val="10"/>
            <rFont val="Arial"/>
            <family val="2"/>
          </rPr>
          <t>reference:D266,C266
mrs:(D266,+,10.0000)  (C266,+,10.0000)  
Rotate:True</t>
        </r>
      </text>
    </comment>
    <comment ref="H266" authorId="0" shapeId="0" xr:uid="{00000000-0006-0000-0A00-00003E010000}">
      <text>
        <r>
          <rPr>
            <sz val="10"/>
            <rFont val="Arial"/>
            <family val="2"/>
          </rPr>
          <t>reference:F266,E266
mrs:
Rotate:True</t>
        </r>
      </text>
    </comment>
    <comment ref="E268" authorId="0" shapeId="0" xr:uid="{00000000-0006-0000-0A00-00003F010000}">
      <text>
        <r>
          <rPr>
            <sz val="10"/>
            <rFont val="Arial"/>
            <family val="2"/>
          </rPr>
          <t>reference:D268,C268
mrs:(D268,+,10.0000)  (C268,+,10.0000)  
Rotate:True</t>
        </r>
      </text>
    </comment>
    <comment ref="G268" authorId="0" shapeId="0" xr:uid="{00000000-0006-0000-0A00-000040010000}">
      <text>
        <r>
          <rPr>
            <sz val="10"/>
            <rFont val="Arial"/>
            <family val="2"/>
          </rPr>
          <t>reference:E268,F268
mrs:(E268,+,10.0000)  (F268,+,-10.0000)  
Rotate:True</t>
        </r>
      </text>
    </comment>
    <comment ref="H268" authorId="0" shapeId="0" xr:uid="{00000000-0006-0000-0A00-000041010000}">
      <text>
        <r>
          <rPr>
            <sz val="10"/>
            <rFont val="Arial"/>
            <family val="2"/>
          </rPr>
          <t>reference:F268,E268
mrs:
Rotate:True</t>
        </r>
      </text>
    </comment>
    <comment ref="E269" authorId="0" shapeId="0" xr:uid="{00000000-0006-0000-0A00-000042010000}">
      <text>
        <r>
          <rPr>
            <sz val="10"/>
            <rFont val="Arial"/>
            <family val="2"/>
          </rPr>
          <t>reference:D269,C269
mrs:(D269,+,10.0000)  (C269,+,10.0000)  
Rotate:True</t>
        </r>
      </text>
    </comment>
    <comment ref="H269" authorId="0" shapeId="0" xr:uid="{00000000-0006-0000-0A00-000043010000}">
      <text>
        <r>
          <rPr>
            <sz val="10"/>
            <rFont val="Arial"/>
            <family val="2"/>
          </rPr>
          <t>reference:F269,E269
mrs:
Rotate:True</t>
        </r>
      </text>
    </comment>
    <comment ref="E271" authorId="0" shapeId="0" xr:uid="{00000000-0006-0000-0A00-000044010000}">
      <text>
        <r>
          <rPr>
            <sz val="10"/>
            <rFont val="Arial"/>
            <family val="2"/>
          </rPr>
          <t>reference:D271,C271
mrs:(D271,+,10.0000)  (C271,+,10.0000)  
Rotate:True</t>
        </r>
      </text>
    </comment>
    <comment ref="H271" authorId="0" shapeId="0" xr:uid="{00000000-0006-0000-0A00-000045010000}">
      <text>
        <r>
          <rPr>
            <sz val="10"/>
            <rFont val="Arial"/>
            <family val="2"/>
          </rPr>
          <t>reference:F271,E271
mrs:
Rotate:True</t>
        </r>
      </text>
    </comment>
    <comment ref="E272" authorId="0" shapeId="0" xr:uid="{00000000-0006-0000-0A00-000046010000}">
      <text>
        <r>
          <rPr>
            <sz val="10"/>
            <rFont val="Arial"/>
            <family val="2"/>
          </rPr>
          <t>reference:D272,C272
mrs:(D272,+,10.0000)  (C272,+,10.0000)  
Rotate:True</t>
        </r>
      </text>
    </comment>
    <comment ref="H272" authorId="0" shapeId="0" xr:uid="{00000000-0006-0000-0A00-000047010000}">
      <text>
        <r>
          <rPr>
            <sz val="10"/>
            <rFont val="Arial"/>
            <family val="2"/>
          </rPr>
          <t>reference:F272,E272
mrs:
Rotate:True</t>
        </r>
      </text>
    </comment>
    <comment ref="E274" authorId="0" shapeId="0" xr:uid="{00000000-0006-0000-0A00-000048010000}">
      <text>
        <r>
          <rPr>
            <sz val="10"/>
            <rFont val="Arial"/>
            <family val="2"/>
          </rPr>
          <t>reference:D274,C274
mrs:(D274,+,10.0000)  (C274,+,10.0000)  
Rotate:True</t>
        </r>
      </text>
    </comment>
    <comment ref="H274" authorId="0" shapeId="0" xr:uid="{00000000-0006-0000-0A00-000049010000}">
      <text>
        <r>
          <rPr>
            <sz val="10"/>
            <rFont val="Arial"/>
            <family val="2"/>
          </rPr>
          <t>reference:F274,E274
mrs:
Rotate:True</t>
        </r>
      </text>
    </comment>
    <comment ref="E275" authorId="0" shapeId="0" xr:uid="{00000000-0006-0000-0A00-00004A010000}">
      <text>
        <r>
          <rPr>
            <sz val="10"/>
            <rFont val="Arial"/>
            <family val="2"/>
          </rPr>
          <t>reference:D275,C275
mrs:(D275,+,10.0000)  (C275,+,10.0000)  
Rotate:True</t>
        </r>
      </text>
    </comment>
    <comment ref="H275" authorId="0" shapeId="0" xr:uid="{00000000-0006-0000-0A00-00004B010000}">
      <text>
        <r>
          <rPr>
            <sz val="10"/>
            <rFont val="Arial"/>
            <family val="2"/>
          </rPr>
          <t>reference:F275,E275
mrs:
Rotate:True</t>
        </r>
      </text>
    </comment>
    <comment ref="E277" authorId="0" shapeId="0" xr:uid="{00000000-0006-0000-0A00-00004C010000}">
      <text>
        <r>
          <rPr>
            <sz val="10"/>
            <rFont val="Arial"/>
            <family val="2"/>
          </rPr>
          <t>reference:D277,C277
mrs:(D277,+,10.0000)  (C277,+,10.0000)  
Rotate:True</t>
        </r>
      </text>
    </comment>
    <comment ref="H277" authorId="0" shapeId="0" xr:uid="{00000000-0006-0000-0A00-00004D010000}">
      <text>
        <r>
          <rPr>
            <sz val="10"/>
            <rFont val="Arial"/>
            <family val="2"/>
          </rPr>
          <t>reference:F277,E277
mrs:
Rotate:True</t>
        </r>
      </text>
    </comment>
    <comment ref="E278" authorId="0" shapeId="0" xr:uid="{00000000-0006-0000-0A00-00004E010000}">
      <text>
        <r>
          <rPr>
            <sz val="10"/>
            <rFont val="Arial"/>
            <family val="2"/>
          </rPr>
          <t>reference:D278,C278
mrs:(D278,+,10.0000)  (C278,+,10.0000)  
Rotate:True</t>
        </r>
      </text>
    </comment>
    <comment ref="G278" authorId="0" shapeId="0" xr:uid="{00000000-0006-0000-0A00-00004F010000}">
      <text>
        <r>
          <rPr>
            <sz val="10"/>
            <rFont val="Arial"/>
            <family val="2"/>
          </rPr>
          <t>reference:E278,F278
mrs:(E278,+,10.0000)  (F278,+,-10.0000)  
Rotate:True</t>
        </r>
      </text>
    </comment>
    <comment ref="E280" authorId="0" shapeId="0" xr:uid="{00000000-0006-0000-0A00-000050010000}">
      <text>
        <r>
          <rPr>
            <sz val="10"/>
            <rFont val="Arial"/>
            <family val="2"/>
          </rPr>
          <t>reference:D280,C280
mrs:(D280,+,10.0000)  (C280,+,10.0000)  
Rotate:True</t>
        </r>
      </text>
    </comment>
    <comment ref="H280" authorId="0" shapeId="0" xr:uid="{00000000-0006-0000-0A00-000051010000}">
      <text>
        <r>
          <rPr>
            <sz val="10"/>
            <rFont val="Arial"/>
            <family val="2"/>
          </rPr>
          <t>reference:F280,E280
mrs:
Rotate:True</t>
        </r>
      </text>
    </comment>
    <comment ref="E282" authorId="0" shapeId="0" xr:uid="{00000000-0006-0000-0A00-000052010000}">
      <text>
        <r>
          <rPr>
            <sz val="10"/>
            <rFont val="Arial"/>
            <family val="2"/>
          </rPr>
          <t>reference:D282,C282
mrs:(D282,+,10.0000)  (C282,+,10.0000)  
Rotate:True</t>
        </r>
      </text>
    </comment>
    <comment ref="H282" authorId="0" shapeId="0" xr:uid="{00000000-0006-0000-0A00-000053010000}">
      <text>
        <r>
          <rPr>
            <sz val="10"/>
            <rFont val="Arial"/>
            <family val="2"/>
          </rPr>
          <t>reference:F282,E282
mrs:
Rotate:True</t>
        </r>
      </text>
    </comment>
    <comment ref="C284" authorId="0" shapeId="0" xr:uid="{00000000-0006-0000-0A00-000054010000}">
      <text>
        <r>
          <rPr>
            <sz val="10"/>
            <rFont val="Arial"/>
            <family val="2"/>
          </rPr>
          <t>reference:C261,C262,C263,C264,C265,C266,C267,C268,C269,C270,C271,C272,C273,C274,C275,C276,C277,C278,C279,C280,C281,C282,C283
mrs:(C261,+,10.0000)  (C262,+,10.0000)  (C263,+,10.0000)  (C264,+,10.0000)  (C265,+,10.0000)  (C266,+,10.0000)  (C267,+,10.0000)  (C268,+,10.0000)  (C269,+,10.0000)  (C270,+,10.0000)  (C271,+,10.0000)  (C272,+,10.0000)  (C273,+,10.0000)  (C274,+,10.0000)  (C275,+,10.0000)  (C276,+,10.0000)  (C277,+,10.0000)  (C278,+,10.0000)  (C279,+,10.0000)  (C280,+,10.0000)  (C281,+,10.0000)  (C282,+,10.0000)  (C283,+,10.0000)  
Rotate:True</t>
        </r>
      </text>
    </comment>
    <comment ref="D284" authorId="0" shapeId="0" xr:uid="{00000000-0006-0000-0A00-000055010000}">
      <text>
        <r>
          <rPr>
            <sz val="10"/>
            <rFont val="Arial"/>
            <family val="2"/>
          </rPr>
          <t>reference:D261,D262,D263,D264,D265,D266,D267,D268,D269,D270,D271,D272,D273,D274,D275,D276,D277,D278,D279,D280,D281,D282
mrs:(D261,+,10.0000)  (D262,+,10.0000)  (D263,+,10.0000)  (D264,+,10.0000)  (D265,+,10.0000)  (D266,+,10.0000)  (D267,+,10.0000)  (D268,+,10.0000)  (D269,+,10.0000)  (D270,+,10.0000)  (D271,+,10.0000)  (D272,+,10.0000)  (D273,+,10.0000)  (D274,+,10.0000)  (D275,+,10.0000)  (D276,+,10.0000)  (D277,+,10.0000)  (D278,+,10.0000)  (D279,+,10.0000)  (D280,+,10.0000)  (D281,+,10.0000)  (D282,+,10.0000)  
Rotate:True</t>
        </r>
      </text>
    </comment>
    <comment ref="E284" authorId="0" shapeId="0" xr:uid="{00000000-0006-0000-0A00-000056010000}">
      <text>
        <r>
          <rPr>
            <sz val="10"/>
            <rFont val="Arial"/>
            <family val="2"/>
          </rPr>
          <t>reference:E261,E262,E263,E264,E265,E266,E267,E268,E269,E270,E271,E272,E273,E274,E275,E276,E277,E278,E279,E280,E281,E282
mrs:(E261,+,10.0000)  (E262,+,10.0000)  (E263,+,10.0000)  (E264,+,10.0000)  (E265,+,10.0000)  (E266,+,10.0000)  (E267,+,10.0000)  (E268,+,10.0000)  (E269,+,10.0000)  (E270,+,10.0000)  (E271,+,10.0000)  (E272,+,10.0000)  (E273,+,10.0000)  (E274,+,10.0000)  (E275,+,10.0000)  (E276,+,10.0000)  (E277,+,10.0000)  (E278,+,10.0000)  (E279,+,10.0000)  (E280,+,10.0000)  (E281,+,10.0000)  (E282,+,10.0000)  
Rotate:True</t>
        </r>
      </text>
    </comment>
    <comment ref="F284" authorId="0" shapeId="0" xr:uid="{00000000-0006-0000-0A00-000057010000}">
      <text>
        <r>
          <rPr>
            <sz val="10"/>
            <rFont val="Arial"/>
            <family val="2"/>
          </rPr>
          <t>reference:F261,F262,F263,F264,F265,F266,F267,F268,F269,F270,F271,F272,F273,F274,F275,F276,F277,F278,F279,F280,F281,F282
mrs:(F261,+,10.0000)  (F262,+,10.0000)  (F263,+,10.0000)  (F264,+,10.0000)  (F265,+,10.0000)  (F266,+,10.0000)  (F267,+,10.0000)  (F268,+,10.0000)  (F269,+,10.0000)  (F270,+,10.0000)  (F271,+,10.0000)  (F272,+,10.0000)  (F273,+,10.0000)  (F274,+,10.0000)  (F275,+,10.0000)  (F276,+,10.0000)  (F277,+,10.0000)  (F278,+,10.0000)  (F279,+,10.0000)  (F280,+,10.0000)  (F281,+,10.0000)  (F282,+,10.0000)  
Rotate:True</t>
        </r>
      </text>
    </comment>
    <comment ref="G284" authorId="0" shapeId="0" xr:uid="{00000000-0006-0000-0A00-000058010000}">
      <text>
        <r>
          <rPr>
            <sz val="10"/>
            <rFont val="Arial"/>
            <family val="2"/>
          </rPr>
          <t>reference:G261,G262,G263,G264,G265,G266,G267,G268,G269,G270,G271,G272,G273,G274,G275,G276,G277,G278,G279,G280,G281,G282
mrs:(G261,+,10.0000)  (G262,+,10.0000)  (G263,+,10.0000)  (G264,+,10.0000)  (G265,+,10.0000)  (G266,+,10.0000)  (G267,+,10.0000)  (G268,+,10.0000)  (G269,+,10.0000)  (G270,+,10.0000)  (G271,+,10.0000)  (G272,+,10.0000)  (G273,+,10.0000)  (G274,+,10.0000)  (G275,+,10.0000)  (G276,+,10.0000)  (G277,+,10.0000)  (G278,+,10.0000)  (G279,+,10.0000)  (G280,+,10.0000)  (G281,+,10.0000)  (G282,+,10.0000)  
Rotate:True</t>
        </r>
      </text>
    </comment>
    <comment ref="H284" authorId="0" shapeId="0" xr:uid="{00000000-0006-0000-0A00-000059010000}">
      <text>
        <r>
          <rPr>
            <sz val="10"/>
            <rFont val="Arial"/>
            <family val="2"/>
          </rPr>
          <t>reference:F284,E284
mrs:
Rotate:True</t>
        </r>
      </text>
    </comment>
    <comment ref="I284" authorId="0" shapeId="0" xr:uid="{00000000-0006-0000-0A00-00005A010000}">
      <text>
        <r>
          <rPr>
            <sz val="10"/>
            <rFont val="Arial"/>
            <family val="2"/>
          </rPr>
          <t>reference:I261,I262,I263,I264,I265,I266,I267,I268,I269,I270,I271,I272,I273,I274,I275,I276,I277,I278,I279,I280,I281,I282,I283
mrs:(I261,+,10.0000)  (I262,+,10.0000)  (I263,+,10.0000)  (I264,+,10.0000)  (I265,+,10.0000)  (I266,+,10.0000)  (I267,+,10.0000)  (I268,+,10.0000)  (I269,+,10.0000)  (I270,+,10.0000)  (I271,+,10.0000)  (I272,+,10.0000)  (I273,+,10.0000)  (I274,+,10.0000)  (I275,+,10.0000)  (I276,+,10.0000)  (I277,+,10.0000)  (I278,+,10.0000)  (I279,+,10.0000)  (I280,+,10.0000)  (I281,+,10.0000)  (I282,+,10.0000)  (I283,+,10.0000)  
Rotate:True</t>
        </r>
      </text>
    </comment>
    <comment ref="J284" authorId="0" shapeId="0" xr:uid="{00000000-0006-0000-0A00-00005B010000}">
      <text>
        <r>
          <rPr>
            <sz val="10"/>
            <rFont val="Arial"/>
            <family val="2"/>
          </rPr>
          <t>reference:J261,J262,J263,J264,J265,J266,J267,J268,J269,J270,J271,J272,J273,J274,J275,J276,J277,J278,J279,J280,J281,J282,J283
mrs:(J261,+,10.0000)  (J262,+,10.0000)  (J263,+,10.0000)  (J264,+,10.0000)  (J265,+,10.0000)  (J266,+,10.0000)  (J267,+,10.0000)  (J268,+,10.0000)  (J269,+,10.0000)  (J270,+,10.0000)  (J271,+,10.0000)  (J272,+,10.0000)  (J273,+,10.0000)  (J274,+,10.0000)  (J275,+,10.0000)  (J276,+,10.0000)  (J277,+,10.0000)  (J278,+,10.0000)  (J279,+,10.0000)  (J280,+,10.0000)  (J281,+,10.0000)  (J282,+,10.0000)  (J283,+,10.0000)  
Rotate:True</t>
        </r>
      </text>
    </comment>
    <comment ref="E291" authorId="0" shapeId="0" xr:uid="{00000000-0006-0000-0A00-00005C010000}">
      <text>
        <r>
          <rPr>
            <sz val="10"/>
            <rFont val="Arial"/>
            <family val="2"/>
          </rPr>
          <t>reference:D291,C291
mrs:(D291,+,10.0000)  (C291,+,10.0000)  
Rotate:True</t>
        </r>
      </text>
    </comment>
    <comment ref="H291" authorId="0" shapeId="0" xr:uid="{00000000-0006-0000-0A00-00005D010000}">
      <text>
        <r>
          <rPr>
            <sz val="10"/>
            <rFont val="Arial"/>
            <family val="2"/>
          </rPr>
          <t>reference:F291,E291
mrs:
Rotate:True</t>
        </r>
      </text>
    </comment>
    <comment ref="E292" authorId="0" shapeId="0" xr:uid="{00000000-0006-0000-0A00-00005E010000}">
      <text>
        <r>
          <rPr>
            <sz val="10"/>
            <rFont val="Arial"/>
            <family val="2"/>
          </rPr>
          <t>reference:D292,C292
mrs:(D292,+,10.0000)  (C292,+,10.0000)  
Rotate:True</t>
        </r>
      </text>
    </comment>
    <comment ref="H292" authorId="0" shapeId="0" xr:uid="{00000000-0006-0000-0A00-00005F010000}">
      <text>
        <r>
          <rPr>
            <sz val="10"/>
            <rFont val="Arial"/>
            <family val="2"/>
          </rPr>
          <t>reference:F292,E292
mrs:
Rotate:True</t>
        </r>
      </text>
    </comment>
    <comment ref="E293" authorId="0" shapeId="0" xr:uid="{00000000-0006-0000-0A00-000060010000}">
      <text>
        <r>
          <rPr>
            <sz val="10"/>
            <rFont val="Arial"/>
            <family val="2"/>
          </rPr>
          <t>reference:D293,C293
mrs:(D293,+,10.0000)  (C293,+,10.0000)  
Rotate:True</t>
        </r>
      </text>
    </comment>
    <comment ref="G293" authorId="0" shapeId="0" xr:uid="{00000000-0006-0000-0A00-000061010000}">
      <text>
        <r>
          <rPr>
            <sz val="10"/>
            <rFont val="Arial"/>
            <family val="2"/>
          </rPr>
          <t>reference:E293,F293
mrs:(E293,+,10.0000)  (F293,+,-10.0000)  
Rotate:True</t>
        </r>
      </text>
    </comment>
    <comment ref="H293" authorId="0" shapeId="0" xr:uid="{00000000-0006-0000-0A00-000062010000}">
      <text>
        <r>
          <rPr>
            <sz val="10"/>
            <rFont val="Arial"/>
            <family val="2"/>
          </rPr>
          <t>reference:F293,E293
mrs:
Rotate:True</t>
        </r>
      </text>
    </comment>
    <comment ref="E295" authorId="0" shapeId="0" xr:uid="{00000000-0006-0000-0A00-000063010000}">
      <text>
        <r>
          <rPr>
            <sz val="10"/>
            <rFont val="Arial"/>
            <family val="2"/>
          </rPr>
          <t>reference:D295,C295
mrs:(D295,+,10.0000)  (C295,+,10.0000)  
Rotate:True</t>
        </r>
      </text>
    </comment>
    <comment ref="G295" authorId="0" shapeId="0" xr:uid="{00000000-0006-0000-0A00-000064010000}">
      <text>
        <r>
          <rPr>
            <sz val="10"/>
            <rFont val="Arial"/>
            <family val="2"/>
          </rPr>
          <t>reference:E295,F295
mrs:(E295,+,10.0000)  (F295,+,-10.0000)  
Rotate:True</t>
        </r>
      </text>
    </comment>
    <comment ref="H295" authorId="0" shapeId="0" xr:uid="{00000000-0006-0000-0A00-000065010000}">
      <text>
        <r>
          <rPr>
            <sz val="10"/>
            <rFont val="Arial"/>
            <family val="2"/>
          </rPr>
          <t>reference:F295,E295
mrs:
Rotate:True</t>
        </r>
      </text>
    </comment>
    <comment ref="C296" authorId="0" shapeId="0" xr:uid="{00000000-0006-0000-0A00-000066010000}">
      <text>
        <r>
          <rPr>
            <sz val="10"/>
            <rFont val="Arial"/>
            <family val="2"/>
          </rPr>
          <t>reference:C290,C291,C292,C293,C294,C295
mrs:(C290,+,10.0000)  (C291,+,10.0000)  (C292,+,10.0000)  (C293,+,10.0000)  (C294,+,10.0000)  (C295,+,10.0000)  
Rotate:True</t>
        </r>
      </text>
    </comment>
    <comment ref="D296" authorId="0" shapeId="0" xr:uid="{00000000-0006-0000-0A00-000067010000}">
      <text>
        <r>
          <rPr>
            <sz val="10"/>
            <rFont val="Arial"/>
            <family val="2"/>
          </rPr>
          <t>reference:D290,D291,D292,D293,D294,D295
mrs:(D290,+,10.0000)  (D291,+,10.0000)  (D292,+,10.0000)  (D293,+,10.0000)  (D294,+,10.0000)  (D295,+,10.0000)  
Rotate:True</t>
        </r>
      </text>
    </comment>
    <comment ref="E296" authorId="0" shapeId="0" xr:uid="{00000000-0006-0000-0A00-000068010000}">
      <text>
        <r>
          <rPr>
            <sz val="10"/>
            <rFont val="Arial"/>
            <family val="2"/>
          </rPr>
          <t>reference:E290,E291,E292,E293,E294,E295
mrs:(E290,+,10.0000)  (E291,+,10.0000)  (E292,+,10.0000)  (E293,+,10.0000)  (E294,+,10.0000)  (E295,+,10.0000)  
Rotate:True</t>
        </r>
      </text>
    </comment>
    <comment ref="F296" authorId="0" shapeId="0" xr:uid="{00000000-0006-0000-0A00-000069010000}">
      <text>
        <r>
          <rPr>
            <sz val="10"/>
            <rFont val="Arial"/>
            <family val="2"/>
          </rPr>
          <t>reference:F290,F291,F292,F293,F294,F295
mrs:(F290,+,10.0000)  (F291,+,10.0000)  (F292,+,10.0000)  (F293,+,10.0000)  (F294,+,10.0000)  (F295,+,10.0000)  
Rotate:True</t>
        </r>
      </text>
    </comment>
    <comment ref="G296" authorId="0" shapeId="0" xr:uid="{00000000-0006-0000-0A00-00006A010000}">
      <text>
        <r>
          <rPr>
            <sz val="10"/>
            <rFont val="Arial"/>
            <family val="2"/>
          </rPr>
          <t>reference:G290,G291,G292,G293,G294,G295
mrs:(G290,+,10.0000)  (G291,+,10.0000)  (G292,+,10.0000)  (G293,+,10.0000)  (G294,+,10.0000)  (G295,+,10.0000)  
Rotate:True</t>
        </r>
      </text>
    </comment>
    <comment ref="H296" authorId="0" shapeId="0" xr:uid="{00000000-0006-0000-0A00-00006B010000}">
      <text>
        <r>
          <rPr>
            <sz val="10"/>
            <rFont val="Arial"/>
            <family val="2"/>
          </rPr>
          <t>reference:F296,E296
mrs:
Rotate:True</t>
        </r>
      </text>
    </comment>
    <comment ref="I296" authorId="0" shapeId="0" xr:uid="{00000000-0006-0000-0A00-00006C010000}">
      <text>
        <r>
          <rPr>
            <sz val="10"/>
            <rFont val="Arial"/>
            <family val="2"/>
          </rPr>
          <t>reference:I290,I291,I292,I293,I294,I295
mrs:(I290,+,10.0000)  (I291,+,10.0000)  (I292,+,10.0000)  (I293,+,10.0000)  (I294,+,10.0000)  (I295,+,10.0000)  
Rotate:True</t>
        </r>
      </text>
    </comment>
    <comment ref="J296" authorId="0" shapeId="0" xr:uid="{00000000-0006-0000-0A00-00006D010000}">
      <text>
        <r>
          <rPr>
            <sz val="10"/>
            <rFont val="Arial"/>
            <family val="2"/>
          </rPr>
          <t>reference:J290,J291,J292,J293,J294,J295
mrs:(J290,+,10.0000)  (J291,+,10.0000)  (J292,+,10.0000)  (J293,+,10.0000)  (J294,+,10.0000)  (J295,+,10.0000)  
Rotate:True</t>
        </r>
      </text>
    </comment>
    <comment ref="E302" authorId="0" shapeId="0" xr:uid="{00000000-0006-0000-0A00-00006E010000}">
      <text>
        <r>
          <rPr>
            <sz val="10"/>
            <rFont val="Arial"/>
            <family val="2"/>
          </rPr>
          <t>reference:D302,C302
mrs:(D302,+,10.0000)  (C302,+,10.0000)  
Rotate:True</t>
        </r>
      </text>
    </comment>
    <comment ref="H302" authorId="0" shapeId="0" xr:uid="{00000000-0006-0000-0A00-00006F010000}">
      <text>
        <r>
          <rPr>
            <sz val="10"/>
            <rFont val="Arial"/>
            <family val="2"/>
          </rPr>
          <t>reference:F302,E302
mrs:
Rotate:True</t>
        </r>
      </text>
    </comment>
    <comment ref="E303" authorId="0" shapeId="0" xr:uid="{00000000-0006-0000-0A00-000070010000}">
      <text>
        <r>
          <rPr>
            <sz val="10"/>
            <rFont val="Arial"/>
            <family val="2"/>
          </rPr>
          <t>reference:D303,C303
mrs:(D303,+,10.0000)  (C303,+,10.0000)  
Rotate:True</t>
        </r>
      </text>
    </comment>
    <comment ref="H303" authorId="0" shapeId="0" xr:uid="{00000000-0006-0000-0A00-000071010000}">
      <text>
        <r>
          <rPr>
            <sz val="10"/>
            <rFont val="Arial"/>
            <family val="2"/>
          </rPr>
          <t>reference:F303,E303
mrs:
Rotate:True</t>
        </r>
      </text>
    </comment>
    <comment ref="E304" authorId="0" shapeId="0" xr:uid="{00000000-0006-0000-0A00-000072010000}">
      <text>
        <r>
          <rPr>
            <sz val="10"/>
            <rFont val="Arial"/>
            <family val="2"/>
          </rPr>
          <t>reference:D304,C304
mrs:(D304,+,10.0000)  (C304,+,10.0000)  
Rotate:True</t>
        </r>
      </text>
    </comment>
    <comment ref="H304" authorId="0" shapeId="0" xr:uid="{00000000-0006-0000-0A00-000073010000}">
      <text>
        <r>
          <rPr>
            <sz val="10"/>
            <rFont val="Arial"/>
            <family val="2"/>
          </rPr>
          <t>reference:F304,E304
mrs:
Rotate:True</t>
        </r>
      </text>
    </comment>
    <comment ref="E305" authorId="0" shapeId="0" xr:uid="{00000000-0006-0000-0A00-000074010000}">
      <text>
        <r>
          <rPr>
            <sz val="10"/>
            <rFont val="Arial"/>
            <family val="2"/>
          </rPr>
          <t>reference:D305,C305
mrs:(D305,+,10.0000)  (C305,+,10.0000)  
Rotate:True</t>
        </r>
      </text>
    </comment>
    <comment ref="H305" authorId="0" shapeId="0" xr:uid="{00000000-0006-0000-0A00-000075010000}">
      <text>
        <r>
          <rPr>
            <sz val="10"/>
            <rFont val="Arial"/>
            <family val="2"/>
          </rPr>
          <t>reference:F305,E305
mrs:
Rotate:True</t>
        </r>
      </text>
    </comment>
    <comment ref="E306" authorId="0" shapeId="0" xr:uid="{00000000-0006-0000-0A00-000076010000}">
      <text>
        <r>
          <rPr>
            <sz val="10"/>
            <rFont val="Arial"/>
            <family val="2"/>
          </rPr>
          <t>reference:D306
mrs:(D306,+,10.0000)  
Rotate:True</t>
        </r>
      </text>
    </comment>
    <comment ref="G306" authorId="0" shapeId="0" xr:uid="{00000000-0006-0000-0A00-000077010000}">
      <text>
        <r>
          <rPr>
            <sz val="10"/>
            <rFont val="Arial"/>
            <family val="2"/>
          </rPr>
          <t>reference:E306
mrs:(E306,+,10.0000)  
Rotate:True</t>
        </r>
      </text>
    </comment>
    <comment ref="E307" authorId="0" shapeId="0" xr:uid="{00000000-0006-0000-0A00-000078010000}">
      <text>
        <r>
          <rPr>
            <sz val="10"/>
            <rFont val="Arial"/>
            <family val="2"/>
          </rPr>
          <t>reference:D307,C307
mrs:(D307,+,10.0000)  (C307,+,10.0000)  
Rotate:True</t>
        </r>
      </text>
    </comment>
    <comment ref="G307" authorId="0" shapeId="0" xr:uid="{00000000-0006-0000-0A00-000079010000}">
      <text>
        <r>
          <rPr>
            <sz val="10"/>
            <rFont val="Arial"/>
            <family val="2"/>
          </rPr>
          <t>reference:E307,F307
mrs:(E307,+,10.0000)  (F307,+,-10.0000)  
Rotate:True</t>
        </r>
      </text>
    </comment>
    <comment ref="H307" authorId="0" shapeId="0" xr:uid="{00000000-0006-0000-0A00-00007A010000}">
      <text>
        <r>
          <rPr>
            <sz val="10"/>
            <rFont val="Arial"/>
            <family val="2"/>
          </rPr>
          <t>reference:F307,E307
mrs:
Rotate:True</t>
        </r>
      </text>
    </comment>
    <comment ref="E308" authorId="0" shapeId="0" xr:uid="{00000000-0006-0000-0A00-00007B010000}">
      <text>
        <r>
          <rPr>
            <sz val="10"/>
            <rFont val="Arial"/>
            <family val="2"/>
          </rPr>
          <t>reference:D308,C308
mrs:(D308,+,10.0000)  (C308,+,10.0000)  
Rotate:True</t>
        </r>
      </text>
    </comment>
    <comment ref="H308" authorId="0" shapeId="0" xr:uid="{00000000-0006-0000-0A00-00007C010000}">
      <text>
        <r>
          <rPr>
            <sz val="10"/>
            <rFont val="Arial"/>
            <family val="2"/>
          </rPr>
          <t>reference:F308,E308
mrs:
Rotate:True</t>
        </r>
      </text>
    </comment>
    <comment ref="C310" authorId="0" shapeId="0" xr:uid="{00000000-0006-0000-0A00-00007D010000}">
      <text>
        <r>
          <rPr>
            <sz val="10"/>
            <rFont val="Arial"/>
            <family val="2"/>
          </rPr>
          <t>reference:C302,C303,C304,C305,C306,C307,C308,C309
mrs:(C302,+,10.0000)  (C303,+,10.0000)  (C304,+,10.0000)  (C305,+,10.0000)  (C306,+,10.0000)  (C307,+,10.0000)  (C308,+,10.0000)  (C309,+,10.0000)  
Rotate:True</t>
        </r>
      </text>
    </comment>
    <comment ref="D310" authorId="0" shapeId="0" xr:uid="{00000000-0006-0000-0A00-00007E010000}">
      <text>
        <r>
          <rPr>
            <sz val="10"/>
            <rFont val="Arial"/>
            <family val="2"/>
          </rPr>
          <t>reference:D302,D303,D304,D305,D306,D307,D308,D309
mrs:(D302,+,10.0000)  (D303,+,10.0000)  (D304,+,10.0000)  (D305,+,10.0000)  (D306,+,10.0000)  (D307,+,10.0000)  (D308,+,10.0000)  (D309,+,10.0000)  
Rotate:True</t>
        </r>
      </text>
    </comment>
    <comment ref="E310" authorId="0" shapeId="0" xr:uid="{00000000-0006-0000-0A00-00007F010000}">
      <text>
        <r>
          <rPr>
            <sz val="10"/>
            <rFont val="Arial"/>
            <family val="2"/>
          </rPr>
          <t>reference:E302,E303,E304,E305,E306,E307,E308,E309
mrs:(E302,+,10.0000)  (E303,+,10.0000)  (E304,+,10.0000)  (E305,+,10.0000)  (E306,+,10.0000)  (E307,+,10.0000)  (E308,+,10.0000)  (E309,+,10.0000)  
Rotate:True</t>
        </r>
      </text>
    </comment>
    <comment ref="F310" authorId="0" shapeId="0" xr:uid="{00000000-0006-0000-0A00-000080010000}">
      <text>
        <r>
          <rPr>
            <sz val="10"/>
            <rFont val="Arial"/>
            <family val="2"/>
          </rPr>
          <t>reference:F302,F303,F304,F305,F306,F307,F308,F309
mrs:(F302,+,10.0000)  (F303,+,10.0000)  (F304,+,10.0000)  (F305,+,10.0000)  (F306,+,10.0000)  (F307,+,10.0000)  (F308,+,10.0000)  (F309,+,10.0000)  
Rotate:True</t>
        </r>
      </text>
    </comment>
    <comment ref="G310" authorId="0" shapeId="0" xr:uid="{00000000-0006-0000-0A00-000081010000}">
      <text>
        <r>
          <rPr>
            <sz val="10"/>
            <rFont val="Arial"/>
            <family val="2"/>
          </rPr>
          <t>reference:G302,G303,G304,G305,G306,G307,G308,G309
mrs:(G302,+,10.0000)  (G303,+,10.0000)  (G304,+,10.0000)  (G305,+,10.0000)  (G306,+,10.0000)  (G307,+,10.0000)  (G308,+,10.0000)  (G309,+,10.0000)  
Rotate:True</t>
        </r>
      </text>
    </comment>
    <comment ref="H310" authorId="0" shapeId="0" xr:uid="{00000000-0006-0000-0A00-000082010000}">
      <text>
        <r>
          <rPr>
            <sz val="10"/>
            <rFont val="Arial"/>
            <family val="2"/>
          </rPr>
          <t>reference:F310,E310
mrs:
Rotate:True</t>
        </r>
      </text>
    </comment>
    <comment ref="I310" authorId="0" shapeId="0" xr:uid="{00000000-0006-0000-0A00-000083010000}">
      <text>
        <r>
          <rPr>
            <sz val="10"/>
            <rFont val="Arial"/>
            <family val="2"/>
          </rPr>
          <t>reference:I302,I303,I304,I305,I306,I307,I308,I309
mrs:(I302,+,10.0000)  (I303,+,10.0000)  (I304,+,10.0000)  (I305,+,10.0000)  (I306,+,10.0000)  (I307,+,10.0000)  (I308,+,10.0000)  (I309,+,10.0000)  
Rotate:True</t>
        </r>
      </text>
    </comment>
    <comment ref="J310" authorId="0" shapeId="0" xr:uid="{00000000-0006-0000-0A00-000084010000}">
      <text>
        <r>
          <rPr>
            <sz val="10"/>
            <rFont val="Arial"/>
            <family val="2"/>
          </rPr>
          <t>reference:J302,J303,J304,J305,J306,J307,J308,J309
mrs:(J302,+,10.0000)  (J303,+,10.0000)  (J304,+,10.0000)  (J305,+,10.0000)  (J306,+,10.0000)  (J307,+,10.0000)  (J308,+,10.0000)  (J309,+,10.0000)  
Rotate:True</t>
        </r>
      </text>
    </comment>
    <comment ref="E325" authorId="0" shapeId="0" xr:uid="{00000000-0006-0000-0A00-000085010000}">
      <text>
        <r>
          <rPr>
            <sz val="10"/>
            <rFont val="Arial"/>
            <family val="2"/>
          </rPr>
          <t>reference:D325,C325
mrs:(D325,+,10.0000)  (C325,+,10.0000)  
Rotate:True</t>
        </r>
      </text>
    </comment>
    <comment ref="H325" authorId="0" shapeId="0" xr:uid="{00000000-0006-0000-0A00-000086010000}">
      <text>
        <r>
          <rPr>
            <sz val="10"/>
            <rFont val="Arial"/>
            <family val="2"/>
          </rPr>
          <t>reference:F325,E325
mrs:
Rotate:True</t>
        </r>
      </text>
    </comment>
    <comment ref="E326" authorId="0" shapeId="0" xr:uid="{00000000-0006-0000-0A00-000087010000}">
      <text>
        <r>
          <rPr>
            <sz val="10"/>
            <rFont val="Arial"/>
            <family val="2"/>
          </rPr>
          <t>reference:D326,C326
mrs:(D326,+,10.0000)  (C326,+,10.0000)  
Rotate:True</t>
        </r>
      </text>
    </comment>
    <comment ref="H326" authorId="0" shapeId="0" xr:uid="{00000000-0006-0000-0A00-000088010000}">
      <text>
        <r>
          <rPr>
            <sz val="10"/>
            <rFont val="Arial"/>
            <family val="2"/>
          </rPr>
          <t>reference:F326,E326
mrs:
Rotate:True</t>
        </r>
      </text>
    </comment>
    <comment ref="E328" authorId="0" shapeId="0" xr:uid="{00000000-0006-0000-0A00-000089010000}">
      <text>
        <r>
          <rPr>
            <sz val="10"/>
            <rFont val="Arial"/>
            <family val="2"/>
          </rPr>
          <t>reference:D328,C328
mrs:(D328,+,10.0000)  (C328,+,10.0000)  
Rotate:True</t>
        </r>
      </text>
    </comment>
    <comment ref="H328" authorId="0" shapeId="0" xr:uid="{00000000-0006-0000-0A00-00008A010000}">
      <text>
        <r>
          <rPr>
            <sz val="10"/>
            <rFont val="Arial"/>
            <family val="2"/>
          </rPr>
          <t>reference:F328,E328
mrs:
Rotate:True</t>
        </r>
      </text>
    </comment>
    <comment ref="E329" authorId="0" shapeId="0" xr:uid="{00000000-0006-0000-0A00-00008B010000}">
      <text>
        <r>
          <rPr>
            <sz val="10"/>
            <rFont val="Arial"/>
            <family val="2"/>
          </rPr>
          <t>reference:D329,C329
mrs:(D329,+,10.0000)  (C329,+,10.0000)  
Rotate:True</t>
        </r>
      </text>
    </comment>
    <comment ref="H329" authorId="0" shapeId="0" xr:uid="{00000000-0006-0000-0A00-00008C010000}">
      <text>
        <r>
          <rPr>
            <sz val="10"/>
            <rFont val="Arial"/>
            <family val="2"/>
          </rPr>
          <t>reference:F329,E329
mrs:
Rotate:True</t>
        </r>
      </text>
    </comment>
    <comment ref="E331" authorId="0" shapeId="0" xr:uid="{00000000-0006-0000-0A00-00008D010000}">
      <text>
        <r>
          <rPr>
            <sz val="10"/>
            <rFont val="Arial"/>
            <family val="2"/>
          </rPr>
          <t>reference:D331,C331
mrs:(D331,+,10.0000)  (C331,+,10.0000)  
Rotate:True</t>
        </r>
      </text>
    </comment>
    <comment ref="H331" authorId="0" shapeId="0" xr:uid="{00000000-0006-0000-0A00-00008E010000}">
      <text>
        <r>
          <rPr>
            <sz val="10"/>
            <rFont val="Arial"/>
            <family val="2"/>
          </rPr>
          <t>reference:F331,E331
mrs:
Rotate:True</t>
        </r>
      </text>
    </comment>
    <comment ref="E332" authorId="0" shapeId="0" xr:uid="{00000000-0006-0000-0A00-00008F010000}">
      <text>
        <r>
          <rPr>
            <sz val="10"/>
            <rFont val="Arial"/>
            <family val="2"/>
          </rPr>
          <t>reference:D332,C332
mrs:(D332,+,10.0000)  (C332,+,10.0000)  
Rotate:True</t>
        </r>
      </text>
    </comment>
    <comment ref="H332" authorId="0" shapeId="0" xr:uid="{00000000-0006-0000-0A00-000090010000}">
      <text>
        <r>
          <rPr>
            <sz val="10"/>
            <rFont val="Arial"/>
            <family val="2"/>
          </rPr>
          <t>reference:F332,E332
mrs:
Rotate:True</t>
        </r>
      </text>
    </comment>
    <comment ref="E334" authorId="0" shapeId="0" xr:uid="{00000000-0006-0000-0A00-000091010000}">
      <text>
        <r>
          <rPr>
            <sz val="10"/>
            <rFont val="Arial"/>
            <family val="2"/>
          </rPr>
          <t>reference:D334,C334
mrs:(D334,+,10.0000)  (C334,+,10.0000)  
Rotate:True</t>
        </r>
      </text>
    </comment>
    <comment ref="H334" authorId="0" shapeId="0" xr:uid="{00000000-0006-0000-0A00-000092010000}">
      <text>
        <r>
          <rPr>
            <sz val="10"/>
            <rFont val="Arial"/>
            <family val="2"/>
          </rPr>
          <t>reference:F334,E334
mrs:
Rotate:True</t>
        </r>
      </text>
    </comment>
    <comment ref="E335" authorId="0" shapeId="0" xr:uid="{00000000-0006-0000-0A00-000093010000}">
      <text>
        <r>
          <rPr>
            <sz val="10"/>
            <rFont val="Arial"/>
            <family val="2"/>
          </rPr>
          <t>reference:D335,C335
mrs:(D335,+,10.0000)  (C335,+,10.0000)  
Rotate:True</t>
        </r>
      </text>
    </comment>
    <comment ref="H335" authorId="0" shapeId="0" xr:uid="{00000000-0006-0000-0A00-000094010000}">
      <text>
        <r>
          <rPr>
            <sz val="10"/>
            <rFont val="Arial"/>
            <family val="2"/>
          </rPr>
          <t>reference:F335,E335
mrs:
Rotate:True</t>
        </r>
      </text>
    </comment>
    <comment ref="E337" authorId="0" shapeId="0" xr:uid="{00000000-0006-0000-0A00-000095010000}">
      <text>
        <r>
          <rPr>
            <sz val="10"/>
            <rFont val="Arial"/>
            <family val="2"/>
          </rPr>
          <t>reference:D337,C337
mrs:(D337,+,10.0000)  (C337,+,10.0000)  
Rotate:True</t>
        </r>
      </text>
    </comment>
    <comment ref="H337" authorId="0" shapeId="0" xr:uid="{00000000-0006-0000-0A00-000096010000}">
      <text>
        <r>
          <rPr>
            <sz val="10"/>
            <rFont val="Arial"/>
            <family val="2"/>
          </rPr>
          <t>reference:F337,E337
mrs:
Rotate:True</t>
        </r>
      </text>
    </comment>
    <comment ref="E338" authorId="0" shapeId="0" xr:uid="{00000000-0006-0000-0A00-000097010000}">
      <text>
        <r>
          <rPr>
            <sz val="10"/>
            <rFont val="Arial"/>
            <family val="2"/>
          </rPr>
          <t>reference:D338,C338
mrs:(D338,+,10.0000)  (C338,+,10.0000)  
Rotate:True</t>
        </r>
      </text>
    </comment>
    <comment ref="H338" authorId="0" shapeId="0" xr:uid="{00000000-0006-0000-0A00-000098010000}">
      <text>
        <r>
          <rPr>
            <sz val="10"/>
            <rFont val="Arial"/>
            <family val="2"/>
          </rPr>
          <t>reference:F338,E338
mrs:
Rotate:True</t>
        </r>
      </text>
    </comment>
    <comment ref="E340" authorId="0" shapeId="0" xr:uid="{00000000-0006-0000-0A00-000099010000}">
      <text>
        <r>
          <rPr>
            <sz val="10"/>
            <rFont val="Arial"/>
            <family val="2"/>
          </rPr>
          <t>reference:C340
mrs:(C340,+,10.0000)  
Rotate:True</t>
        </r>
      </text>
    </comment>
    <comment ref="G340" authorId="0" shapeId="0" xr:uid="{00000000-0006-0000-0A00-00009A010000}">
      <text>
        <r>
          <rPr>
            <sz val="10"/>
            <rFont val="Arial"/>
            <family val="2"/>
          </rPr>
          <t>reference:E340,F340
mrs:(E340,+,10.0000)  (F340,+,-10.0000)  
Rotate:True</t>
        </r>
      </text>
    </comment>
    <comment ref="H340" authorId="0" shapeId="0" xr:uid="{00000000-0006-0000-0A00-00009B010000}">
      <text>
        <r>
          <rPr>
            <sz val="10"/>
            <rFont val="Arial"/>
            <family val="2"/>
          </rPr>
          <t>reference:F340,E340
mrs:
Rotate:True</t>
        </r>
      </text>
    </comment>
    <comment ref="E341" authorId="0" shapeId="0" xr:uid="{00000000-0006-0000-0A00-00009C010000}">
      <text>
        <r>
          <rPr>
            <sz val="10"/>
            <rFont val="Arial"/>
            <family val="2"/>
          </rPr>
          <t>reference:C341
mrs:(C341,+,10.0000)  
Rotate:True</t>
        </r>
      </text>
    </comment>
    <comment ref="H341" authorId="0" shapeId="0" xr:uid="{00000000-0006-0000-0A00-00009D010000}">
      <text>
        <r>
          <rPr>
            <sz val="10"/>
            <rFont val="Arial"/>
            <family val="2"/>
          </rPr>
          <t>reference:F341,E341
mrs:
Rotate:True</t>
        </r>
      </text>
    </comment>
    <comment ref="E343" authorId="0" shapeId="0" xr:uid="{00000000-0006-0000-0A00-00009E010000}">
      <text>
        <r>
          <rPr>
            <sz val="10"/>
            <rFont val="Arial"/>
            <family val="2"/>
          </rPr>
          <t>reference:D343,C343
mrs:(D343,+,10.0000)  (C343,+,10.0000)  
Rotate:True</t>
        </r>
      </text>
    </comment>
    <comment ref="H343" authorId="0" shapeId="0" xr:uid="{00000000-0006-0000-0A00-00009F010000}">
      <text>
        <r>
          <rPr>
            <sz val="10"/>
            <rFont val="Arial"/>
            <family val="2"/>
          </rPr>
          <t>reference:F343,E343
mrs:
Rotate:True</t>
        </r>
      </text>
    </comment>
    <comment ref="C344" authorId="0" shapeId="0" xr:uid="{00000000-0006-0000-0A00-0000A0010000}">
      <text>
        <r>
          <rPr>
            <sz val="10"/>
            <rFont val="Arial"/>
            <family val="2"/>
          </rPr>
          <t>reference:C324,C325,C326,C327,C328,C329,C330,C331,C332,C333,C334,C335,C336,C337,C338,C339,C340,C341,C342,C343
mrs:(C324,+,10.0000)  (C325,+,10.0000)  (C326,+,10.0000)  (C327,+,10.0000)  (C328,+,10.0000)  (C329,+,10.0000)  (C330,+,10.0000)  (C331,+,10.0000)  (C332,+,10.0000)  (C333,+,10.0000)  (C334,+,10.0000)  (C335,+,10.0000)  (C336,+,10.0000)  (C337,+,10.0000)  (C338,+,10.0000)  (C339,+,10.0000)  (C340,+,10.0000)  (C341,+,10.0000)  (C342,+,10.0000)  (C343,+,10.0000)  
Rotate:True</t>
        </r>
      </text>
    </comment>
    <comment ref="D344" authorId="0" shapeId="0" xr:uid="{00000000-0006-0000-0A00-0000A1010000}">
      <text>
        <r>
          <rPr>
            <sz val="10"/>
            <rFont val="Arial"/>
            <family val="2"/>
          </rPr>
          <t>reference:D324,D325,D326,D327,D328,D329,D330,D331,D332,D333,D334,D335,D336,D337,D338,D339,D340,D341,D342,D343
mrs:(D324,+,10.0000)  (D325,+,10.0000)  (D326,+,10.0000)  (D327,+,10.0000)  (D328,+,10.0000)  (D329,+,10.0000)  (D330,+,10.0000)  (D331,+,10.0000)  (D332,+,10.0000)  (D333,+,10.0000)  (D334,+,10.0000)  (D335,+,10.0000)  (D336,+,10.0000)  (D337,+,10.0000)  (D338,+,10.0000)  (D339,+,10.0000)  (D340,+,10.0000)  (D341,+,10.0000)  (D342,+,10.0000)  (D343,+,10.0000)  
Rotate:True</t>
        </r>
      </text>
    </comment>
    <comment ref="E344" authorId="0" shapeId="0" xr:uid="{00000000-0006-0000-0A00-0000A2010000}">
      <text>
        <r>
          <rPr>
            <sz val="10"/>
            <rFont val="Arial"/>
            <family val="2"/>
          </rPr>
          <t>reference:E324,E325,E326,E327,E328,E329,E330,E331,E332,E333,E334,E335,E336,E337,E338,E339,E340,E341,E342,E343
mrs:(E324,+,10.0000)  (E325,+,10.0000)  (E326,+,10.0000)  (E327,+,10.0000)  (E328,+,10.0000)  (E329,+,10.0000)  (E330,+,10.0000)  (E331,+,10.0000)  (E332,+,10.0000)  (E333,+,10.0000)  (E334,+,10.0000)  (E335,+,10.0000)  (E336,+,10.0000)  (E337,+,10.0000)  (E338,+,10.0000)  (E339,+,10.0000)  (E340,+,10.0000)  (E341,+,10.0000)  (E342,+,10.0000)  (E343,+,10.0000)  
Rotate:True</t>
        </r>
      </text>
    </comment>
    <comment ref="F344" authorId="0" shapeId="0" xr:uid="{00000000-0006-0000-0A00-0000A3010000}">
      <text>
        <r>
          <rPr>
            <sz val="10"/>
            <rFont val="Arial"/>
            <family val="2"/>
          </rPr>
          <t>reference:F324,F325,F326,F327,F328,F329,F330,F331,F332,F333,F334,F335,F336,F337,F338,F339,F340,F341,F342,F343
mrs:(F324,+,10.0000)  (F325,+,10.0000)  (F326,+,10.0000)  (F327,+,10.0000)  (F328,+,10.0000)  (F329,+,10.0000)  (F330,+,10.0000)  (F331,+,10.0000)  (F332,+,10.0000)  (F333,+,10.0000)  (F334,+,10.0000)  (F335,+,10.0000)  (F336,+,10.0000)  (F337,+,10.0000)  (F338,+,10.0000)  (F339,+,10.0000)  (F340,+,10.0000)  (F341,+,10.0000)  (F342,+,10.0000)  (F343,+,10.0000)  
Rotate:True</t>
        </r>
      </text>
    </comment>
    <comment ref="G344" authorId="0" shapeId="0" xr:uid="{00000000-0006-0000-0A00-0000A4010000}">
      <text>
        <r>
          <rPr>
            <sz val="10"/>
            <rFont val="Arial"/>
            <family val="2"/>
          </rPr>
          <t>reference:G324,G325,G326,G327,G328,G329,G330,G331,G332,G333,G334,G335,G336,G337,G338,G339,G340,G341,G342,G343
mrs:(G324,+,10.0000)  (G325,+,10.0000)  (G326,+,10.0000)  (G327,+,10.0000)  (G328,+,10.0000)  (G329,+,10.0000)  (G330,+,10.0000)  (G331,+,10.0000)  (G332,+,10.0000)  (G333,+,10.0000)  (G334,+,10.0000)  (G335,+,10.0000)  (G336,+,10.0000)  (G337,+,10.0000)  (G338,+,10.0000)  (G339,+,10.0000)  (G340,+,10.0000)  (G341,+,10.0000)  (G342,+,10.0000)  (G343,+,10.0000)  
Rotate:True</t>
        </r>
      </text>
    </comment>
    <comment ref="H344" authorId="0" shapeId="0" xr:uid="{00000000-0006-0000-0A00-0000A5010000}">
      <text>
        <r>
          <rPr>
            <sz val="10"/>
            <rFont val="Arial"/>
            <family val="2"/>
          </rPr>
          <t>reference:F344,E344
mrs:
Rotate:True</t>
        </r>
      </text>
    </comment>
    <comment ref="I344" authorId="0" shapeId="0" xr:uid="{00000000-0006-0000-0A00-0000A6010000}">
      <text>
        <r>
          <rPr>
            <sz val="10"/>
            <rFont val="Arial"/>
            <family val="2"/>
          </rPr>
          <t>reference:I324,I325,I326,I327,I328,I329,I330,I331,I332,I333,I334,I335,I336,I337,I338,I339,I340,I341,I342,I343
mrs:(I324,+,10.0000)  (I325,+,10.0000)  (I326,+,10.0000)  (I327,+,10.0000)  (I328,+,10.0000)  (I329,+,10.0000)  (I330,+,10.0000)  (I331,+,10.0000)  (I332,+,10.0000)  (I333,+,10.0000)  (I334,+,10.0000)  (I335,+,10.0000)  (I336,+,10.0000)  (I337,+,10.0000)  (I338,+,10.0000)  (I339,+,10.0000)  (I340,+,10.0000)  (I341,+,10.0000)  (I342,+,10.0000)  (I343,+,10.0000)  
Rotate:True</t>
        </r>
      </text>
    </comment>
    <comment ref="J344" authorId="0" shapeId="0" xr:uid="{00000000-0006-0000-0A00-0000A7010000}">
      <text>
        <r>
          <rPr>
            <sz val="10"/>
            <rFont val="Arial"/>
            <family val="2"/>
          </rPr>
          <t>reference:J324,J325,J326,J327,J328,J329,J330,J331,J332,J333,J334,J335,J336,J337,J338,J339,J340,J341,J342,J343
mrs:(J324,+,10.0000)  (J325,+,10.0000)  (J326,+,10.0000)  (J327,+,10.0000)  (J328,+,10.0000)  (J329,+,10.0000)  (J330,+,10.0000)  (J331,+,10.0000)  (J332,+,10.0000)  (J333,+,10.0000)  (J334,+,10.0000)  (J335,+,10.0000)  (J336,+,10.0000)  (J337,+,10.0000)  (J338,+,10.0000)  (J339,+,10.0000)  (J340,+,10.0000)  (J341,+,10.0000)  (J342,+,10.0000)  (J343,+,10.0000)  
Rotate:True</t>
        </r>
      </text>
    </comment>
    <comment ref="E351" authorId="0" shapeId="0" xr:uid="{00000000-0006-0000-0A00-0000A8010000}">
      <text>
        <r>
          <rPr>
            <sz val="10"/>
            <rFont val="Arial"/>
            <family val="2"/>
          </rPr>
          <t>reference:D351,C351
mrs:(D351,+,10.0000)  (C351,+,10.0000)  
Rotate:True</t>
        </r>
      </text>
    </comment>
    <comment ref="H351" authorId="0" shapeId="0" xr:uid="{00000000-0006-0000-0A00-0000A9010000}">
      <text>
        <r>
          <rPr>
            <sz val="10"/>
            <rFont val="Arial"/>
            <family val="2"/>
          </rPr>
          <t>reference:F351,E351
mrs:
Rotate:True</t>
        </r>
      </text>
    </comment>
    <comment ref="E352" authorId="0" shapeId="0" xr:uid="{00000000-0006-0000-0A00-0000AA010000}">
      <text>
        <r>
          <rPr>
            <sz val="10"/>
            <rFont val="Arial"/>
            <family val="2"/>
          </rPr>
          <t>reference:D352,C352
mrs:(D352,+,10.0000)  (C352,+,10.0000)  
Rotate:True</t>
        </r>
      </text>
    </comment>
    <comment ref="G352" authorId="0" shapeId="0" xr:uid="{00000000-0006-0000-0A00-0000AB010000}">
      <text>
        <r>
          <rPr>
            <sz val="10"/>
            <rFont val="Arial"/>
            <family val="2"/>
          </rPr>
          <t>reference:E352,F352
mrs:(E352,+,10.0000)  (F352,+,-10.0000)  
Rotate:True</t>
        </r>
      </text>
    </comment>
    <comment ref="H352" authorId="0" shapeId="0" xr:uid="{00000000-0006-0000-0A00-0000AC010000}">
      <text>
        <r>
          <rPr>
            <sz val="10"/>
            <rFont val="Arial"/>
            <family val="2"/>
          </rPr>
          <t>reference:F352,E352
mrs:
Rotate:True</t>
        </r>
      </text>
    </comment>
    <comment ref="E353" authorId="0" shapeId="0" xr:uid="{00000000-0006-0000-0A00-0000AD010000}">
      <text>
        <r>
          <rPr>
            <sz val="10"/>
            <rFont val="Arial"/>
            <family val="2"/>
          </rPr>
          <t>reference:D353,C353
mrs:(D353,+,10.0000)  (C353,+,10.0000)  
Rotate:True</t>
        </r>
      </text>
    </comment>
    <comment ref="H353" authorId="0" shapeId="0" xr:uid="{00000000-0006-0000-0A00-0000AE010000}">
      <text>
        <r>
          <rPr>
            <sz val="10"/>
            <rFont val="Arial"/>
            <family val="2"/>
          </rPr>
          <t>reference:F353,E353
mrs:
Rotate:True</t>
        </r>
      </text>
    </comment>
    <comment ref="E355" authorId="0" shapeId="0" xr:uid="{00000000-0006-0000-0A00-0000AF010000}">
      <text>
        <r>
          <rPr>
            <sz val="10"/>
            <rFont val="Arial"/>
            <family val="2"/>
          </rPr>
          <t>reference:C355
mrs:(C355,+,10.0000)  
Rotate:True</t>
        </r>
      </text>
    </comment>
    <comment ref="H355" authorId="0" shapeId="0" xr:uid="{00000000-0006-0000-0A00-0000B0010000}">
      <text>
        <r>
          <rPr>
            <sz val="10"/>
            <rFont val="Arial"/>
            <family val="2"/>
          </rPr>
          <t>reference:F355,E355
mrs:
Rotate:True</t>
        </r>
      </text>
    </comment>
    <comment ref="E356" authorId="0" shapeId="0" xr:uid="{00000000-0006-0000-0A00-0000B1010000}">
      <text>
        <r>
          <rPr>
            <sz val="10"/>
            <rFont val="Arial"/>
            <family val="2"/>
          </rPr>
          <t>reference:D356,C356
mrs:(D356,+,10.0000)  (C356,+,10.0000)  
Rotate:True</t>
        </r>
      </text>
    </comment>
    <comment ref="H356" authorId="0" shapeId="0" xr:uid="{00000000-0006-0000-0A00-0000B2010000}">
      <text>
        <r>
          <rPr>
            <sz val="10"/>
            <rFont val="Arial"/>
            <family val="2"/>
          </rPr>
          <t>reference:F356,E356
mrs:
Rotate:True</t>
        </r>
      </text>
    </comment>
    <comment ref="C357" authorId="0" shapeId="0" xr:uid="{00000000-0006-0000-0A00-0000B3010000}">
      <text>
        <r>
          <rPr>
            <sz val="10"/>
            <rFont val="Arial"/>
            <family val="2"/>
          </rPr>
          <t>reference:C350,C351,C352,C353,C354,C355,C356
mrs:(C350,+,10.0000)  (C351,+,10.0000)  (C352,+,10.0000)  (C353,+,10.0000)  (C354,+,10.0000)  (C355,+,10.0000)  (C356,+,10.0000)  
Rotate:True</t>
        </r>
      </text>
    </comment>
    <comment ref="D357" authorId="0" shapeId="0" xr:uid="{00000000-0006-0000-0A00-0000B4010000}">
      <text>
        <r>
          <rPr>
            <sz val="10"/>
            <rFont val="Arial"/>
            <family val="2"/>
          </rPr>
          <t>reference:D350,D351,D352,D353,D354,D355,D356
mrs:(D350,+,10.0000)  (D351,+,10.0000)  (D352,+,10.0000)  (D353,+,10.0000)  (D354,+,10.0000)  (D355,+,10.0000)  (D356,+,10.0000)  
Rotate:True</t>
        </r>
      </text>
    </comment>
    <comment ref="E357" authorId="0" shapeId="0" xr:uid="{00000000-0006-0000-0A00-0000B5010000}">
      <text>
        <r>
          <rPr>
            <sz val="10"/>
            <rFont val="Arial"/>
            <family val="2"/>
          </rPr>
          <t>reference:E350,E351,E352,E353,E354,E355,E356
mrs:(E350,+,10.0000)  (E351,+,10.0000)  (E352,+,10.0000)  (E353,+,10.0000)  (E354,+,10.0000)  (E355,+,10.0000)  (E356,+,10.0000)  
Rotate:True</t>
        </r>
      </text>
    </comment>
    <comment ref="F357" authorId="0" shapeId="0" xr:uid="{00000000-0006-0000-0A00-0000B6010000}">
      <text>
        <r>
          <rPr>
            <sz val="10"/>
            <rFont val="Arial"/>
            <family val="2"/>
          </rPr>
          <t>reference:F350,F351,F352,F353,F354,F355,F356
mrs:(F350,+,10.0000)  (F351,+,10.0000)  (F352,+,10.0000)  (F353,+,10.0000)  (F354,+,10.0000)  (F355,+,10.0000)  (F356,+,10.0000)  
Rotate:True</t>
        </r>
      </text>
    </comment>
    <comment ref="G357" authorId="0" shapeId="0" xr:uid="{00000000-0006-0000-0A00-0000B7010000}">
      <text>
        <r>
          <rPr>
            <sz val="10"/>
            <rFont val="Arial"/>
            <family val="2"/>
          </rPr>
          <t>reference:G350,G351,G352,G353,G354,G355,G356
mrs:(G350,+,10.0000)  (G351,+,10.0000)  (G352,+,10.0000)  (G353,+,10.0000)  (G354,+,10.0000)  (G355,+,10.0000)  (G356,+,10.0000)  
Rotate:True</t>
        </r>
      </text>
    </comment>
    <comment ref="H357" authorId="0" shapeId="0" xr:uid="{00000000-0006-0000-0A00-0000B8010000}">
      <text>
        <r>
          <rPr>
            <sz val="10"/>
            <rFont val="Arial"/>
            <family val="2"/>
          </rPr>
          <t>reference:F357,E357
mrs:
Rotate:True</t>
        </r>
      </text>
    </comment>
    <comment ref="I357" authorId="0" shapeId="0" xr:uid="{00000000-0006-0000-0A00-0000B9010000}">
      <text>
        <r>
          <rPr>
            <sz val="10"/>
            <rFont val="Arial"/>
            <family val="2"/>
          </rPr>
          <t>reference:I350,I351,I352,I353,I354,I355,I356
mrs:(I350,+,10.0000)  (I351,+,10.0000)  (I352,+,10.0000)  (I353,+,10.0000)  (I354,+,10.0000)  (I355,+,10.0000)  (I356,+,10.0000)  
Rotate:True</t>
        </r>
      </text>
    </comment>
    <comment ref="J357" authorId="0" shapeId="0" xr:uid="{00000000-0006-0000-0A00-0000BA010000}">
      <text>
        <r>
          <rPr>
            <sz val="10"/>
            <rFont val="Arial"/>
            <family val="2"/>
          </rPr>
          <t>reference:J350,J351,J352,J353,J354,J355,J356
mrs:(J350,+,10.0000)  (J351,+,10.0000)  (J352,+,10.0000)  (J353,+,10.0000)  (J354,+,10.0000)  (J355,+,10.0000)  (J356,+,10.0000)  
Rotate:True</t>
        </r>
      </text>
    </comment>
    <comment ref="E363" authorId="0" shapeId="0" xr:uid="{00000000-0006-0000-0A00-0000BB010000}">
      <text>
        <r>
          <rPr>
            <sz val="10"/>
            <rFont val="Arial"/>
            <family val="2"/>
          </rPr>
          <t>reference:D363,C363
mrs:(D363,+,10.0000)  (C363,+,10.0000)  
Rotate:True</t>
        </r>
      </text>
    </comment>
    <comment ref="H363" authorId="0" shapeId="0" xr:uid="{00000000-0006-0000-0A00-0000BC010000}">
      <text>
        <r>
          <rPr>
            <sz val="10"/>
            <rFont val="Arial"/>
            <family val="2"/>
          </rPr>
          <t>reference:F363,E363
mrs:
Rotate:True</t>
        </r>
      </text>
    </comment>
    <comment ref="E364" authorId="0" shapeId="0" xr:uid="{00000000-0006-0000-0A00-0000BD010000}">
      <text>
        <r>
          <rPr>
            <sz val="10"/>
            <rFont val="Arial"/>
            <family val="2"/>
          </rPr>
          <t>reference:D364,C364
mrs:(D364,+,10.0000)  (C364,+,10.0000)  
Rotate:True</t>
        </r>
      </text>
    </comment>
    <comment ref="H364" authorId="0" shapeId="0" xr:uid="{00000000-0006-0000-0A00-0000BE010000}">
      <text>
        <r>
          <rPr>
            <sz val="10"/>
            <rFont val="Arial"/>
            <family val="2"/>
          </rPr>
          <t>reference:F364,E364
mrs:
Rotate:True</t>
        </r>
      </text>
    </comment>
    <comment ref="E365" authorId="0" shapeId="0" xr:uid="{00000000-0006-0000-0A00-0000BF010000}">
      <text>
        <r>
          <rPr>
            <sz val="10"/>
            <rFont val="Arial"/>
            <family val="2"/>
          </rPr>
          <t>reference:D365,C365
mrs:(D365,+,10.0000)  (C365,+,10.0000)  
Rotate:True</t>
        </r>
      </text>
    </comment>
    <comment ref="H365" authorId="0" shapeId="0" xr:uid="{00000000-0006-0000-0A00-0000C0010000}">
      <text>
        <r>
          <rPr>
            <sz val="10"/>
            <rFont val="Arial"/>
            <family val="2"/>
          </rPr>
          <t>reference:F365,E365
mrs:
Rotate:True</t>
        </r>
      </text>
    </comment>
    <comment ref="E366" authorId="0" shapeId="0" xr:uid="{00000000-0006-0000-0A00-0000C1010000}">
      <text>
        <r>
          <rPr>
            <sz val="10"/>
            <rFont val="Arial"/>
            <family val="2"/>
          </rPr>
          <t>reference:D366,C366
mrs:(D366,+,10.0000)  (C366,+,10.0000)  
Rotate:True</t>
        </r>
      </text>
    </comment>
    <comment ref="H366" authorId="0" shapeId="0" xr:uid="{00000000-0006-0000-0A00-0000C2010000}">
      <text>
        <r>
          <rPr>
            <sz val="10"/>
            <rFont val="Arial"/>
            <family val="2"/>
          </rPr>
          <t>reference:F366,E366
mrs:
Rotate:True</t>
        </r>
      </text>
    </comment>
    <comment ref="E367" authorId="0" shapeId="0" xr:uid="{00000000-0006-0000-0A00-0000C3010000}">
      <text>
        <r>
          <rPr>
            <sz val="10"/>
            <rFont val="Arial"/>
            <family val="2"/>
          </rPr>
          <t>reference:D367,C367
mrs:(D367,+,10.0000)  (C367,+,10.0000)  
Rotate:True</t>
        </r>
      </text>
    </comment>
    <comment ref="H367" authorId="0" shapeId="0" xr:uid="{00000000-0006-0000-0A00-0000C4010000}">
      <text>
        <r>
          <rPr>
            <sz val="10"/>
            <rFont val="Arial"/>
            <family val="2"/>
          </rPr>
          <t>reference:F367,E367
mrs:
Rotate:True</t>
        </r>
      </text>
    </comment>
    <comment ref="E368" authorId="0" shapeId="0" xr:uid="{00000000-0006-0000-0A00-0000C5010000}">
      <text>
        <r>
          <rPr>
            <sz val="10"/>
            <rFont val="Arial"/>
            <family val="2"/>
          </rPr>
          <t>reference:D368,C368
mrs:(D368,+,10.0000)  (C368,+,10.0000)  
Rotate:True</t>
        </r>
      </text>
    </comment>
    <comment ref="G368" authorId="0" shapeId="0" xr:uid="{00000000-0006-0000-0A00-0000C6010000}">
      <text>
        <r>
          <rPr>
            <sz val="10"/>
            <rFont val="Arial"/>
            <family val="2"/>
          </rPr>
          <t>reference:E368,F368
mrs:(E368,+,10.0000)  (F368,+,-10.0000)  
Rotate:True</t>
        </r>
      </text>
    </comment>
    <comment ref="H368" authorId="0" shapeId="0" xr:uid="{00000000-0006-0000-0A00-0000C7010000}">
      <text>
        <r>
          <rPr>
            <sz val="10"/>
            <rFont val="Arial"/>
            <family val="2"/>
          </rPr>
          <t>reference:F368,E368
mrs:
Rotate:True</t>
        </r>
      </text>
    </comment>
    <comment ref="C370" authorId="0" shapeId="0" xr:uid="{00000000-0006-0000-0A00-0000C8010000}">
      <text>
        <r>
          <rPr>
            <sz val="10"/>
            <rFont val="Arial"/>
            <family val="2"/>
          </rPr>
          <t>reference:C363,C364,C365,C366,C367,C368,C369
mrs:(C363,+,10.0000)  (C364,+,10.0000)  (C365,+,10.0000)  (C366,+,10.0000)  (C367,+,10.0000)  (C368,+,10.0000)  (C369,+,10.0000)  
Rotate:True</t>
        </r>
      </text>
    </comment>
    <comment ref="D370" authorId="0" shapeId="0" xr:uid="{00000000-0006-0000-0A00-0000C9010000}">
      <text>
        <r>
          <rPr>
            <sz val="10"/>
            <rFont val="Arial"/>
            <family val="2"/>
          </rPr>
          <t>reference:D363,D364,D365,D366,D367,D368,D369
mrs:(D363,+,10.0000)  (D364,+,10.0000)  (D365,+,10.0000)  (D366,+,10.0000)  (D367,+,10.0000)  (D368,+,10.0000)  (D369,+,10.0000)  
Rotate:True</t>
        </r>
      </text>
    </comment>
    <comment ref="E370" authorId="0" shapeId="0" xr:uid="{00000000-0006-0000-0A00-0000CA010000}">
      <text>
        <r>
          <rPr>
            <sz val="10"/>
            <rFont val="Arial"/>
            <family val="2"/>
          </rPr>
          <t>reference:E363,E364,E365,E366,E367,E368,E369
mrs:(E363,+,10.0000)  (E364,+,10.0000)  (E365,+,10.0000)  (E366,+,10.0000)  (E367,+,10.0000)  (E368,+,10.0000)  (E369,+,10.0000)  
Rotate:True</t>
        </r>
      </text>
    </comment>
    <comment ref="F370" authorId="0" shapeId="0" xr:uid="{00000000-0006-0000-0A00-0000CB010000}">
      <text>
        <r>
          <rPr>
            <sz val="10"/>
            <rFont val="Arial"/>
            <family val="2"/>
          </rPr>
          <t>reference:F363,F364,F365,F366,F367,F368,F369
mrs:(F363,+,10.0000)  (F364,+,10.0000)  (F365,+,10.0000)  (F366,+,10.0000)  (F367,+,10.0000)  (F368,+,10.0000)  (F369,+,10.0000)  
Rotate:True</t>
        </r>
      </text>
    </comment>
    <comment ref="G370" authorId="0" shapeId="0" xr:uid="{00000000-0006-0000-0A00-0000CC010000}">
      <text>
        <r>
          <rPr>
            <sz val="10"/>
            <rFont val="Arial"/>
            <family val="2"/>
          </rPr>
          <t>reference:G363,G364,G365,G366,G367,G368,G369
mrs:(G363,+,10.0000)  (G364,+,10.0000)  (G365,+,10.0000)  (G366,+,10.0000)  (G367,+,10.0000)  (G368,+,10.0000)  (G369,+,10.0000)  
Rotate:True</t>
        </r>
      </text>
    </comment>
    <comment ref="H370" authorId="0" shapeId="0" xr:uid="{00000000-0006-0000-0A00-0000CD010000}">
      <text>
        <r>
          <rPr>
            <sz val="10"/>
            <rFont val="Arial"/>
            <family val="2"/>
          </rPr>
          <t>reference:F370,E370
mrs:
Rotate:True</t>
        </r>
      </text>
    </comment>
    <comment ref="I370" authorId="0" shapeId="0" xr:uid="{00000000-0006-0000-0A00-0000CE010000}">
      <text>
        <r>
          <rPr>
            <sz val="10"/>
            <rFont val="Arial"/>
            <family val="2"/>
          </rPr>
          <t>reference:I363,I364,I365,I366,I367,I368,I369
mrs:(I363,+,10.0000)  (I364,+,10.0000)  (I365,+,10.0000)  (I366,+,10.0000)  (I367,+,10.0000)  (I368,+,10.0000)  (I369,+,10.0000)  
Rotate:True</t>
        </r>
      </text>
    </comment>
    <comment ref="J370" authorId="0" shapeId="0" xr:uid="{00000000-0006-0000-0A00-0000CF010000}">
      <text>
        <r>
          <rPr>
            <sz val="10"/>
            <rFont val="Arial"/>
            <family val="2"/>
          </rPr>
          <t>reference:J363,J364,J365,J366,J367,J368,J369
mrs:(J363,+,10.0000)  (J364,+,10.0000)  (J365,+,10.0000)  (J366,+,10.0000)  (J367,+,10.0000)  (J368,+,10.0000)  (J369,+,10.0000)  
Rotate:True</t>
        </r>
      </text>
    </comment>
    <comment ref="E380" authorId="0" shapeId="0" xr:uid="{00000000-0006-0000-0A00-0000D0010000}">
      <text>
        <r>
          <rPr>
            <sz val="10"/>
            <rFont val="Arial"/>
            <family val="2"/>
          </rPr>
          <t>reference:D380,C380
mrs:(D380,+,10.0000)  (C380,+,10.0000)  
Rotate:True</t>
        </r>
      </text>
    </comment>
    <comment ref="H380" authorId="0" shapeId="0" xr:uid="{00000000-0006-0000-0A00-0000D1010000}">
      <text>
        <r>
          <rPr>
            <sz val="10"/>
            <rFont val="Arial"/>
            <family val="2"/>
          </rPr>
          <t>reference:F380,E380
mrs:
Rotate:True</t>
        </r>
      </text>
    </comment>
    <comment ref="E381" authorId="0" shapeId="0" xr:uid="{00000000-0006-0000-0A00-0000D2010000}">
      <text>
        <r>
          <rPr>
            <sz val="10"/>
            <rFont val="Arial"/>
            <family val="2"/>
          </rPr>
          <t>reference:D381,C381
mrs:(D381,+,10.0000)  (C381,+,10.0000)  
Rotate:True</t>
        </r>
      </text>
    </comment>
    <comment ref="G381" authorId="0" shapeId="0" xr:uid="{00000000-0006-0000-0A00-0000D3010000}">
      <text>
        <r>
          <rPr>
            <sz val="10"/>
            <rFont val="Arial"/>
            <family val="2"/>
          </rPr>
          <t>reference:E381,F381
mrs:(E381,+,10.0000)  (F381,+,-10.0000)  
Rotate:True</t>
        </r>
      </text>
    </comment>
    <comment ref="E383" authorId="0" shapeId="0" xr:uid="{00000000-0006-0000-0A00-0000D4010000}">
      <text>
        <r>
          <rPr>
            <sz val="10"/>
            <rFont val="Arial"/>
            <family val="2"/>
          </rPr>
          <t>reference:D383,C383
mrs:(D383,+,10.0000)  (C383,+,10.0000)  
Rotate:True</t>
        </r>
      </text>
    </comment>
    <comment ref="G383" authorId="0" shapeId="0" xr:uid="{00000000-0006-0000-0A00-0000D5010000}">
      <text>
        <r>
          <rPr>
            <sz val="10"/>
            <rFont val="Arial"/>
            <family val="2"/>
          </rPr>
          <t>reference:E383
mrs:(E383,+,10.0000)  
Rotate:True</t>
        </r>
      </text>
    </comment>
    <comment ref="E385" authorId="0" shapeId="0" xr:uid="{00000000-0006-0000-0A00-0000D6010000}">
      <text>
        <r>
          <rPr>
            <sz val="10"/>
            <rFont val="Arial"/>
            <family val="2"/>
          </rPr>
          <t>reference:D385,C385
mrs:(D385,+,10.0000)  (C385,+,10.0000)  
Rotate:True</t>
        </r>
      </text>
    </comment>
    <comment ref="G385" authorId="0" shapeId="0" xr:uid="{00000000-0006-0000-0A00-0000D7010000}">
      <text>
        <r>
          <rPr>
            <sz val="10"/>
            <rFont val="Arial"/>
            <family val="2"/>
          </rPr>
          <t>reference:E385,F385
mrs:(E385,+,10.0000)  (F385,+,-10.0000)  
Rotate:True</t>
        </r>
      </text>
    </comment>
    <comment ref="H385" authorId="0" shapeId="0" xr:uid="{00000000-0006-0000-0A00-0000D8010000}">
      <text>
        <r>
          <rPr>
            <sz val="10"/>
            <rFont val="Arial"/>
            <family val="2"/>
          </rPr>
          <t>reference:F385,E385
mrs:
Rotate:True</t>
        </r>
      </text>
    </comment>
    <comment ref="C386" authorId="0" shapeId="0" xr:uid="{00000000-0006-0000-0A00-0000D9010000}">
      <text>
        <r>
          <rPr>
            <sz val="10"/>
            <rFont val="Arial"/>
            <family val="2"/>
          </rPr>
          <t>reference:C379,C380,C381,C382,C383,C384,C385
mrs:(C379,+,10.0000)  (C380,+,10.0000)  (C381,+,10.0000)  (C382,+,10.0000)  (C383,+,10.0000)  (C384,+,10.0000)  (C385,+,10.0000)  
Rotate:True</t>
        </r>
      </text>
    </comment>
    <comment ref="D386" authorId="0" shapeId="0" xr:uid="{00000000-0006-0000-0A00-0000DA010000}">
      <text>
        <r>
          <rPr>
            <sz val="10"/>
            <rFont val="Arial"/>
            <family val="2"/>
          </rPr>
          <t>reference:D379,D380,D381,D382,D383,D384,D385
mrs:(D379,+,10.0000)  (D380,+,10.0000)  (D381,+,10.0000)  (D382,+,10.0000)  (D383,+,10.0000)  (D384,+,10.0000)  (D385,+,10.0000)  
Rotate:True</t>
        </r>
      </text>
    </comment>
    <comment ref="E386" authorId="0" shapeId="0" xr:uid="{00000000-0006-0000-0A00-0000DB010000}">
      <text>
        <r>
          <rPr>
            <sz val="10"/>
            <rFont val="Arial"/>
            <family val="2"/>
          </rPr>
          <t>reference:E379,E380,E381,E382,E383,E384,E385
mrs:(E379,+,10.0000)  (E380,+,10.0000)  (E381,+,10.0000)  (E382,+,10.0000)  (E383,+,10.0000)  (E384,+,10.0000)  (E385,+,10.0000)  
Rotate:True</t>
        </r>
      </text>
    </comment>
    <comment ref="F386" authorId="0" shapeId="0" xr:uid="{00000000-0006-0000-0A00-0000DC010000}">
      <text>
        <r>
          <rPr>
            <sz val="10"/>
            <rFont val="Arial"/>
            <family val="2"/>
          </rPr>
          <t>reference:F379,F380,F381,F382,F383,F384,F385
mrs:(F379,+,10.0000)  (F380,+,10.0000)  (F381,+,10.0000)  (F382,+,10.0000)  (F383,+,10.0000)  (F384,+,10.0000)  (F385,+,10.0000)  
Rotate:True</t>
        </r>
      </text>
    </comment>
    <comment ref="G386" authorId="0" shapeId="0" xr:uid="{00000000-0006-0000-0A00-0000DD010000}">
      <text>
        <r>
          <rPr>
            <sz val="10"/>
            <rFont val="Arial"/>
            <family val="2"/>
          </rPr>
          <t>reference:G379,G380,G381,G382,G383,G384,G385
mrs:(G379,+,10.0000)  (G380,+,10.0000)  (G381,+,10.0000)  (G382,+,10.0000)  (G383,+,10.0000)  (G384,+,10.0000)  (G385,+,10.0000)  
Rotate:True</t>
        </r>
      </text>
    </comment>
    <comment ref="H386" authorId="0" shapeId="0" xr:uid="{00000000-0006-0000-0A00-0000DE010000}">
      <text>
        <r>
          <rPr>
            <sz val="10"/>
            <rFont val="Arial"/>
            <family val="2"/>
          </rPr>
          <t>reference:F386,E386
mrs:
Rotate:True</t>
        </r>
      </text>
    </comment>
    <comment ref="I386" authorId="0" shapeId="0" xr:uid="{00000000-0006-0000-0A00-0000DF010000}">
      <text>
        <r>
          <rPr>
            <sz val="10"/>
            <rFont val="Arial"/>
            <family val="2"/>
          </rPr>
          <t>reference:I379,I380,I381,I382,I383,I384,I385
mrs:(I379,+,10.0000)  (I380,+,10.0000)  (I381,+,10.0000)  (I382,+,10.0000)  (I383,+,10.0000)  (I384,+,10.0000)  (I385,+,10.0000)  
Rotate:True</t>
        </r>
      </text>
    </comment>
    <comment ref="J386" authorId="0" shapeId="0" xr:uid="{00000000-0006-0000-0A00-0000E0010000}">
      <text>
        <r>
          <rPr>
            <sz val="10"/>
            <rFont val="Arial"/>
            <family val="2"/>
          </rPr>
          <t>reference:J379,J380,J381,J382,J383,J384,J385
mrs:(J379,+,10.0000)  (J380,+,10.0000)  (J381,+,10.0000)  (J382,+,10.0000)  (J383,+,10.0000)  (J384,+,10.0000)  (J385,+,10.0000)  
Rotate:True</t>
        </r>
      </text>
    </comment>
    <comment ref="E393" authorId="0" shapeId="0" xr:uid="{00000000-0006-0000-0A00-0000E1010000}">
      <text>
        <r>
          <rPr>
            <sz val="10"/>
            <rFont val="Arial"/>
            <family val="2"/>
          </rPr>
          <t>reference:D393,C393
mrs:(D393,+,10.0000)  (C393,+,10.0000)  
Rotate:True</t>
        </r>
      </text>
    </comment>
    <comment ref="H393" authorId="0" shapeId="0" xr:uid="{00000000-0006-0000-0A00-0000E2010000}">
      <text>
        <r>
          <rPr>
            <sz val="10"/>
            <rFont val="Arial"/>
            <family val="2"/>
          </rPr>
          <t>reference:F393,E393
mrs:
Rotate:True</t>
        </r>
      </text>
    </comment>
    <comment ref="E394" authorId="0" shapeId="0" xr:uid="{00000000-0006-0000-0A00-0000E3010000}">
      <text>
        <r>
          <rPr>
            <sz val="10"/>
            <rFont val="Arial"/>
            <family val="2"/>
          </rPr>
          <t>reference:D394,C394
mrs:(D394,+,10.0000)  (C394,+,10.0000)  
Rotate:True</t>
        </r>
      </text>
    </comment>
    <comment ref="H394" authorId="0" shapeId="0" xr:uid="{00000000-0006-0000-0A00-0000E4010000}">
      <text>
        <r>
          <rPr>
            <sz val="10"/>
            <rFont val="Arial"/>
            <family val="2"/>
          </rPr>
          <t>reference:F394,E394
mrs:
Rotate:True</t>
        </r>
      </text>
    </comment>
    <comment ref="E396" authorId="0" shapeId="0" xr:uid="{00000000-0006-0000-0A00-0000E5010000}">
      <text>
        <r>
          <rPr>
            <sz val="10"/>
            <rFont val="Arial"/>
            <family val="2"/>
          </rPr>
          <t>reference:C396
mrs:(C396,+,10.0000)  
Rotate:True</t>
        </r>
      </text>
    </comment>
    <comment ref="G396" authorId="0" shapeId="0" xr:uid="{00000000-0006-0000-0A00-0000E6010000}">
      <text>
        <r>
          <rPr>
            <sz val="10"/>
            <rFont val="Arial"/>
            <family val="2"/>
          </rPr>
          <t>reference:E396
mrs:(E396,+,10.0000)  
Rotate:True</t>
        </r>
      </text>
    </comment>
    <comment ref="E397" authorId="0" shapeId="0" xr:uid="{00000000-0006-0000-0A00-0000E7010000}">
      <text>
        <r>
          <rPr>
            <sz val="10"/>
            <rFont val="Arial"/>
            <family val="2"/>
          </rPr>
          <t>reference:D397,C397
mrs:(D397,+,10.0000)  (C397,+,10.0000)  
Rotate:True</t>
        </r>
      </text>
    </comment>
    <comment ref="G397" authorId="0" shapeId="0" xr:uid="{00000000-0006-0000-0A00-0000E8010000}">
      <text>
        <r>
          <rPr>
            <sz val="10"/>
            <rFont val="Arial"/>
            <family val="2"/>
          </rPr>
          <t>reference:E397,F397
mrs:(E397,+,10.0000)  (F397,+,-10.0000)  
Rotate:True</t>
        </r>
      </text>
    </comment>
    <comment ref="H397" authorId="0" shapeId="0" xr:uid="{00000000-0006-0000-0A00-0000E9010000}">
      <text>
        <r>
          <rPr>
            <sz val="10"/>
            <rFont val="Arial"/>
            <family val="2"/>
          </rPr>
          <t>reference:F397,E397
mrs:
Rotate:True</t>
        </r>
      </text>
    </comment>
    <comment ref="C398" authorId="0" shapeId="0" xr:uid="{00000000-0006-0000-0A00-0000EA010000}">
      <text>
        <r>
          <rPr>
            <sz val="10"/>
            <rFont val="Arial"/>
            <family val="2"/>
          </rPr>
          <t>reference:C392,C393,C394,C395,C396,C397
mrs:(C392,+,10.0000)  (C393,+,10.0000)  (C394,+,10.0000)  (C395,+,10.0000)  (C396,+,10.0000)  (C397,+,10.0000)  
Rotate:True</t>
        </r>
      </text>
    </comment>
    <comment ref="D398" authorId="0" shapeId="0" xr:uid="{00000000-0006-0000-0A00-0000EB010000}">
      <text>
        <r>
          <rPr>
            <sz val="10"/>
            <rFont val="Arial"/>
            <family val="2"/>
          </rPr>
          <t>reference:D392,D393,D394,D395,D396,D397
mrs:(D392,+,10.0000)  (D393,+,10.0000)  (D394,+,10.0000)  (D395,+,10.0000)  (D396,+,10.0000)  (D397,+,10.0000)  
Rotate:True</t>
        </r>
      </text>
    </comment>
    <comment ref="E398" authorId="0" shapeId="0" xr:uid="{00000000-0006-0000-0A00-0000EC010000}">
      <text>
        <r>
          <rPr>
            <sz val="10"/>
            <rFont val="Arial"/>
            <family val="2"/>
          </rPr>
          <t>reference:E392,E393,E394,E395,E396,E397
mrs:(E392,+,10.0000)  (E393,+,10.0000)  (E394,+,10.0000)  (E395,+,10.0000)  (E396,+,10.0000)  (E397,+,10.0000)  
Rotate:True</t>
        </r>
      </text>
    </comment>
    <comment ref="F398" authorId="0" shapeId="0" xr:uid="{00000000-0006-0000-0A00-0000ED010000}">
      <text>
        <r>
          <rPr>
            <sz val="10"/>
            <rFont val="Arial"/>
            <family val="2"/>
          </rPr>
          <t>reference:F392,F393,F394,F395,F396,F397
mrs:(F392,+,10.0000)  (F393,+,10.0000)  (F394,+,10.0000)  (F395,+,10.0000)  (F396,+,10.0000)  (F397,+,10.0000)  
Rotate:True</t>
        </r>
      </text>
    </comment>
    <comment ref="G398" authorId="0" shapeId="0" xr:uid="{00000000-0006-0000-0A00-0000EE010000}">
      <text>
        <r>
          <rPr>
            <sz val="10"/>
            <rFont val="Arial"/>
            <family val="2"/>
          </rPr>
          <t>reference:G392,G393,G394,G395,G396,G397
mrs:(G392,+,10.0000)  (G393,+,10.0000)  (G394,+,10.0000)  (G395,+,10.0000)  (G396,+,10.0000)  (G397,+,10.0000)  
Rotate:True</t>
        </r>
      </text>
    </comment>
    <comment ref="H398" authorId="0" shapeId="0" xr:uid="{00000000-0006-0000-0A00-0000EF010000}">
      <text>
        <r>
          <rPr>
            <sz val="10"/>
            <rFont val="Arial"/>
            <family val="2"/>
          </rPr>
          <t>reference:F398,E398
mrs:
Rotate:True</t>
        </r>
      </text>
    </comment>
    <comment ref="I398" authorId="0" shapeId="0" xr:uid="{00000000-0006-0000-0A00-0000F0010000}">
      <text>
        <r>
          <rPr>
            <sz val="10"/>
            <rFont val="Arial"/>
            <family val="2"/>
          </rPr>
          <t>reference:I392,I393,I394,I395,I396,I397
mrs:(I392,+,10.0000)  (I393,+,10.0000)  (I394,+,10.0000)  (I395,+,10.0000)  (I396,+,10.0000)  (I397,+,10.0000)  
Rotate:True</t>
        </r>
      </text>
    </comment>
    <comment ref="J398" authorId="0" shapeId="0" xr:uid="{00000000-0006-0000-0A00-0000F1010000}">
      <text>
        <r>
          <rPr>
            <sz val="10"/>
            <rFont val="Arial"/>
            <family val="2"/>
          </rPr>
          <t>reference:J392,J393,J394,J395,J396,J397
mrs:(J392,+,10.0000)  (J393,+,10.0000)  (J394,+,10.0000)  (J395,+,10.0000)  (J396,+,10.0000)  (J397,+,10.0000)  
Rotate:True</t>
        </r>
      </text>
    </comment>
    <comment ref="E404" authorId="0" shapeId="0" xr:uid="{00000000-0006-0000-0A00-0000F2010000}">
      <text>
        <r>
          <rPr>
            <sz val="10"/>
            <rFont val="Arial"/>
            <family val="2"/>
          </rPr>
          <t>reference:D404,C404
mrs:(D404,+,10.0000)  (C404,+,10.0000)  
Rotate:True</t>
        </r>
      </text>
    </comment>
    <comment ref="H404" authorId="0" shapeId="0" xr:uid="{00000000-0006-0000-0A00-0000F3010000}">
      <text>
        <r>
          <rPr>
            <sz val="10"/>
            <rFont val="Arial"/>
            <family val="2"/>
          </rPr>
          <t>reference:F404,E404
mrs:
Rotate:True</t>
        </r>
      </text>
    </comment>
    <comment ref="E405" authorId="0" shapeId="0" xr:uid="{00000000-0006-0000-0A00-0000F4010000}">
      <text>
        <r>
          <rPr>
            <sz val="10"/>
            <rFont val="Arial"/>
            <family val="2"/>
          </rPr>
          <t>reference:D405,C405
mrs:(D405,+,10.0000)  (C405,+,10.0000)  
Rotate:True</t>
        </r>
      </text>
    </comment>
    <comment ref="H405" authorId="0" shapeId="0" xr:uid="{00000000-0006-0000-0A00-0000F5010000}">
      <text>
        <r>
          <rPr>
            <sz val="10"/>
            <rFont val="Arial"/>
            <family val="2"/>
          </rPr>
          <t>reference:F405,E405
mrs:
Rotate:True</t>
        </r>
      </text>
    </comment>
    <comment ref="E406" authorId="0" shapeId="0" xr:uid="{00000000-0006-0000-0A00-0000F6010000}">
      <text>
        <r>
          <rPr>
            <sz val="10"/>
            <rFont val="Arial"/>
            <family val="2"/>
          </rPr>
          <t>reference:D406,C406
mrs:(D406,+,10.0000)  (C406,+,10.0000)  
Rotate:True</t>
        </r>
      </text>
    </comment>
    <comment ref="H406" authorId="0" shapeId="0" xr:uid="{00000000-0006-0000-0A00-0000F7010000}">
      <text>
        <r>
          <rPr>
            <sz val="10"/>
            <rFont val="Arial"/>
            <family val="2"/>
          </rPr>
          <t>reference:F406,E406
mrs:
Rotate:True</t>
        </r>
      </text>
    </comment>
    <comment ref="E407" authorId="0" shapeId="0" xr:uid="{00000000-0006-0000-0A00-0000F8010000}">
      <text>
        <r>
          <rPr>
            <sz val="10"/>
            <rFont val="Arial"/>
            <family val="2"/>
          </rPr>
          <t>reference:D407,C407
mrs:(D407,+,10.0000)  (C407,+,10.0000)  
Rotate:True</t>
        </r>
      </text>
    </comment>
    <comment ref="H407" authorId="0" shapeId="0" xr:uid="{00000000-0006-0000-0A00-0000F9010000}">
      <text>
        <r>
          <rPr>
            <sz val="10"/>
            <rFont val="Arial"/>
            <family val="2"/>
          </rPr>
          <t>reference:F407,E407
mrs:
Rotate:True</t>
        </r>
      </text>
    </comment>
    <comment ref="E408" authorId="0" shapeId="0" xr:uid="{00000000-0006-0000-0A00-0000FA010000}">
      <text>
        <r>
          <rPr>
            <sz val="10"/>
            <rFont val="Arial"/>
            <family val="2"/>
          </rPr>
          <t>reference:D408,C408
mrs:(D408,+,10.0000)  (C408,+,10.0000)  
Rotate:True</t>
        </r>
      </text>
    </comment>
    <comment ref="G408" authorId="0" shapeId="0" xr:uid="{00000000-0006-0000-0A00-0000FB010000}">
      <text>
        <r>
          <rPr>
            <sz val="10"/>
            <rFont val="Arial"/>
            <family val="2"/>
          </rPr>
          <t>reference:E408,F408
mrs:(E408,+,10.0000)  (F408,+,-10.0000)  
Rotate:True</t>
        </r>
      </text>
    </comment>
    <comment ref="H408" authorId="0" shapeId="0" xr:uid="{00000000-0006-0000-0A00-0000FC010000}">
      <text>
        <r>
          <rPr>
            <sz val="10"/>
            <rFont val="Arial"/>
            <family val="2"/>
          </rPr>
          <t>reference:F408,E408
mrs:
Rotate:True</t>
        </r>
      </text>
    </comment>
    <comment ref="E409" authorId="0" shapeId="0" xr:uid="{00000000-0006-0000-0A00-0000FD010000}">
      <text>
        <r>
          <rPr>
            <sz val="10"/>
            <rFont val="Arial"/>
            <family val="2"/>
          </rPr>
          <t>reference:D409,C409
mrs:(D409,+,10.0000)  (C409,+,10.0000)  
Rotate:True</t>
        </r>
      </text>
    </comment>
    <comment ref="G409" authorId="0" shapeId="0" xr:uid="{00000000-0006-0000-0A00-0000FE010000}">
      <text>
        <r>
          <rPr>
            <sz val="10"/>
            <rFont val="Arial"/>
            <family val="2"/>
          </rPr>
          <t>reference:E409,F409
mrs:(E409,+,10.0000)  (F409,+,-10.0000)  
Rotate:True</t>
        </r>
      </text>
    </comment>
    <comment ref="H409" authorId="0" shapeId="0" xr:uid="{00000000-0006-0000-0A00-0000FF010000}">
      <text>
        <r>
          <rPr>
            <sz val="10"/>
            <rFont val="Arial"/>
            <family val="2"/>
          </rPr>
          <t>reference:F409,E409
mrs:
Rotate:True</t>
        </r>
      </text>
    </comment>
    <comment ref="E410" authorId="0" shapeId="0" xr:uid="{00000000-0006-0000-0A00-000000020000}">
      <text>
        <r>
          <rPr>
            <sz val="10"/>
            <rFont val="Arial"/>
            <family val="2"/>
          </rPr>
          <t>reference:C410
mrs:(C410,+,10.0000)  
Rotate:True</t>
        </r>
      </text>
    </comment>
    <comment ref="G410" authorId="0" shapeId="0" xr:uid="{00000000-0006-0000-0A00-000001020000}">
      <text>
        <r>
          <rPr>
            <sz val="10"/>
            <rFont val="Arial"/>
            <family val="2"/>
          </rPr>
          <t>reference:E410
mrs:(E410,+,10.0000)  
Rotate:True</t>
        </r>
      </text>
    </comment>
    <comment ref="C411" authorId="0" shapeId="0" xr:uid="{00000000-0006-0000-0A00-000002020000}">
      <text>
        <r>
          <rPr>
            <sz val="10"/>
            <rFont val="Arial"/>
            <family val="2"/>
          </rPr>
          <t>reference:C404,C405,C406,C407,C408,C409,C410
mrs:(C404,+,10.0000)  (C405,+,10.0000)  (C406,+,10.0000)  (C407,+,10.0000)  (C408,+,10.0000)  (C409,+,10.0000)  (C410,+,10.0000)  
Rotate:True</t>
        </r>
      </text>
    </comment>
    <comment ref="D411" authorId="0" shapeId="0" xr:uid="{00000000-0006-0000-0A00-000003020000}">
      <text>
        <r>
          <rPr>
            <sz val="10"/>
            <rFont val="Arial"/>
            <family val="2"/>
          </rPr>
          <t>reference:D404,D405,D406,D407,D408,D409,D410
mrs:(D404,+,10.0000)  (D405,+,10.0000)  (D406,+,10.0000)  (D407,+,10.0000)  (D408,+,10.0000)  (D409,+,10.0000)  (D410,+,10.0000)  
Rotate:True</t>
        </r>
      </text>
    </comment>
    <comment ref="E411" authorId="0" shapeId="0" xr:uid="{00000000-0006-0000-0A00-000004020000}">
      <text>
        <r>
          <rPr>
            <sz val="10"/>
            <rFont val="Arial"/>
            <family val="2"/>
          </rPr>
          <t>reference:E404,E405,E406,E407,E408,E409,E410
mrs:(E404,+,10.0000)  (E405,+,10.0000)  (E406,+,10.0000)  (E407,+,10.0000)  (E408,+,10.0000)  (E409,+,10.0000)  (E410,+,10.0000)  
Rotate:True</t>
        </r>
      </text>
    </comment>
    <comment ref="F411" authorId="0" shapeId="0" xr:uid="{00000000-0006-0000-0A00-000005020000}">
      <text>
        <r>
          <rPr>
            <sz val="10"/>
            <rFont val="Arial"/>
            <family val="2"/>
          </rPr>
          <t>reference:F404,F405,F406,F407,F408,F409,F410
mrs:(F404,+,10.0000)  (F405,+,10.0000)  (F406,+,10.0000)  (F407,+,10.0000)  (F408,+,10.0000)  (F409,+,10.0000)  (F410,+,10.0000)  
Rotate:True</t>
        </r>
      </text>
    </comment>
    <comment ref="G411" authorId="0" shapeId="0" xr:uid="{00000000-0006-0000-0A00-000006020000}">
      <text>
        <r>
          <rPr>
            <sz val="10"/>
            <rFont val="Arial"/>
            <family val="2"/>
          </rPr>
          <t>reference:G404,G405,G406,G407,G408,G409,G410
mrs:(G404,+,10.0000)  (G405,+,10.0000)  (G406,+,10.0000)  (G407,+,10.0000)  (G408,+,10.0000)  (G409,+,10.0000)  (G410,+,10.0000)  
Rotate:True</t>
        </r>
      </text>
    </comment>
    <comment ref="H411" authorId="0" shapeId="0" xr:uid="{00000000-0006-0000-0A00-000007020000}">
      <text>
        <r>
          <rPr>
            <sz val="10"/>
            <rFont val="Arial"/>
            <family val="2"/>
          </rPr>
          <t>reference:F411,E411
mrs:
Rotate:True</t>
        </r>
      </text>
    </comment>
    <comment ref="I411" authorId="0" shapeId="0" xr:uid="{00000000-0006-0000-0A00-000008020000}">
      <text>
        <r>
          <rPr>
            <sz val="10"/>
            <rFont val="Arial"/>
            <family val="2"/>
          </rPr>
          <t>reference:I404,I405,I406,I407,I408,I409,I410
mrs:(I404,+,10.0000)  (I405,+,10.0000)  (I406,+,10.0000)  (I407,+,10.0000)  (I408,+,10.0000)  (I409,+,10.0000)  (I410,+,10.0000)  
Rotate:True</t>
        </r>
      </text>
    </comment>
    <comment ref="J411" authorId="0" shapeId="0" xr:uid="{00000000-0006-0000-0A00-000009020000}">
      <text>
        <r>
          <rPr>
            <sz val="10"/>
            <rFont val="Arial"/>
            <family val="2"/>
          </rPr>
          <t>reference:J404,J405,J406,J407,J408,J409,J410
mrs:(J404,+,10.0000)  (J405,+,10.0000)  (J406,+,10.0000)  (J407,+,10.0000)  (J408,+,10.0000)  (J409,+,10.0000)  (J410,+,10.0000)  
Rotate:True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G36" authorId="0" shapeId="0" xr:uid="{00000000-0006-0000-0B00-000001000000}">
      <text>
        <r>
          <rPr>
            <sz val="10"/>
            <rFont val="Arial"/>
            <family val="2"/>
          </rPr>
          <t>reference:G34,G35
mrs:(G34,+,10.0000)  (G35,+,10.0000)  
Rotate:True</t>
        </r>
      </text>
    </comment>
    <comment ref="H36" authorId="0" shapeId="0" xr:uid="{00000000-0006-0000-0B00-000002000000}">
      <text>
        <r>
          <rPr>
            <sz val="10"/>
            <rFont val="Arial"/>
            <family val="2"/>
          </rPr>
          <t>reference:H34,H35
mrs:(H34,+,10.0000)  (H35,+,10.0000)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8" authorId="0" shapeId="0" xr:uid="{00000000-0006-0000-0100-000001000000}">
      <text>
        <r>
          <rPr>
            <sz val="10"/>
            <rFont val="Arial"/>
            <family val="2"/>
          </rPr>
          <t>reference:C9,C10,C11,C12
mrs:(C9,+,10.0000)  (C10,+,10.0000)  (C11,+,10.0000)  (C12,+,10.0000)  
Rotate:True</t>
        </r>
      </text>
    </comment>
    <comment ref="D8" authorId="0" shapeId="0" xr:uid="{00000000-0006-0000-0100-000002000000}">
      <text>
        <r>
          <rPr>
            <sz val="10"/>
            <rFont val="Arial"/>
            <family val="2"/>
          </rPr>
          <t>reference:D9,D10,D11,D12
mrs:(D9,+,10.0000)  (D10,+,10.0000)  (D11,+,10.0000)  (D12,+,10.0000)  
Rotate:True</t>
        </r>
      </text>
    </comment>
    <comment ref="C14" authorId="0" shapeId="0" xr:uid="{00000000-0006-0000-0100-000003000000}">
      <text>
        <r>
          <rPr>
            <sz val="10"/>
            <rFont val="Arial"/>
            <family val="2"/>
          </rPr>
          <t>reference:C8
mrs:(C8,+,10.0000)  
Rotate:True</t>
        </r>
      </text>
    </comment>
    <comment ref="D14" authorId="0" shapeId="0" xr:uid="{00000000-0006-0000-0100-000004000000}">
      <text>
        <r>
          <rPr>
            <sz val="10"/>
            <rFont val="Arial"/>
            <family val="2"/>
          </rPr>
          <t>reference:D8
mrs:(D8,+,10.0000)  
Rotate:True</t>
        </r>
      </text>
    </comment>
    <comment ref="C18" authorId="0" shapeId="0" xr:uid="{00000000-0006-0000-0100-000005000000}">
      <text>
        <r>
          <rPr>
            <sz val="10"/>
            <rFont val="Arial"/>
            <family val="2"/>
          </rPr>
          <t>reference:C19,C20,C21,C22
mrs:(C19,+,10.0000)  (C20,+,10.0000)  (C21,+,10.0000)  (C22,+,10.0000)  
Rotate:True</t>
        </r>
      </text>
    </comment>
    <comment ref="D18" authorId="0" shapeId="0" xr:uid="{00000000-0006-0000-0100-000006000000}">
      <text>
        <r>
          <rPr>
            <sz val="10"/>
            <rFont val="Arial"/>
            <family val="2"/>
          </rPr>
          <t>reference:D19,D20,D21,D22
mrs:(D19,+,10.0000)  (D20,+,10.0000)  (D21,+,10.0000)  (D22,+,10.0000)  
Rotate:True</t>
        </r>
      </text>
    </comment>
    <comment ref="C24" authorId="0" shapeId="0" xr:uid="{00000000-0006-0000-0100-000007000000}">
      <text>
        <r>
          <rPr>
            <sz val="10"/>
            <rFont val="Arial"/>
            <family val="2"/>
          </rPr>
          <t>reference:C18
mrs:(C18,+,10.0000)  
Rotate:True</t>
        </r>
      </text>
    </comment>
    <comment ref="D24" authorId="0" shapeId="0" xr:uid="{00000000-0006-0000-0100-000008000000}">
      <text>
        <r>
          <rPr>
            <sz val="10"/>
            <rFont val="Arial"/>
            <family val="2"/>
          </rPr>
          <t>reference:D18
mrs:(D18,+,10.0000)  
Rotate:True</t>
        </r>
      </text>
    </comment>
    <comment ref="C26" authorId="0" shapeId="0" xr:uid="{00000000-0006-0000-0100-000009000000}">
      <text>
        <r>
          <rPr>
            <sz val="10"/>
            <rFont val="Arial"/>
            <family val="2"/>
          </rPr>
          <t>reference:C14,C24
mrs:(C14,+,10.0000)  (C24,+,-10.0000)  
Rotate:True</t>
        </r>
      </text>
    </comment>
    <comment ref="D26" authorId="0" shapeId="0" xr:uid="{00000000-0006-0000-0100-00000A000000}">
      <text>
        <r>
          <rPr>
            <sz val="10"/>
            <rFont val="Arial"/>
            <family val="2"/>
          </rPr>
          <t>reference:D14,D24
mrs:(D14,+,10.0000)  (D24,+,-10.0000)  
Rotate:True</t>
        </r>
      </text>
    </comment>
    <comment ref="C28" authorId="0" shapeId="0" xr:uid="{00000000-0006-0000-0100-00000B000000}">
      <text>
        <r>
          <rPr>
            <sz val="10"/>
            <rFont val="Arial"/>
            <family val="2"/>
          </rPr>
          <t>reference:C29,C30
mrs:(C29,+,10.0000)  (C30,+,10.0000)  
Rotate:True</t>
        </r>
      </text>
    </comment>
    <comment ref="D28" authorId="0" shapeId="0" xr:uid="{00000000-0006-0000-0100-00000C000000}">
      <text>
        <r>
          <rPr>
            <sz val="10"/>
            <rFont val="Arial"/>
            <family val="2"/>
          </rPr>
          <t>reference:D29,D30
mrs:(D29,+,10.0000)  (D30,+,10.0000)  
Rotate:True</t>
        </r>
      </text>
    </comment>
    <comment ref="C32" authorId="0" shapeId="0" xr:uid="{00000000-0006-0000-0100-00000D000000}">
      <text>
        <r>
          <rPr>
            <sz val="10"/>
            <rFont val="Arial"/>
            <family val="2"/>
          </rPr>
          <t>reference:C28
mrs:(C28,+,10.0000)  
Rotate:True</t>
        </r>
      </text>
    </comment>
    <comment ref="D32" authorId="0" shapeId="0" xr:uid="{00000000-0006-0000-0100-00000E000000}">
      <text>
        <r>
          <rPr>
            <sz val="10"/>
            <rFont val="Arial"/>
            <family val="2"/>
          </rPr>
          <t>reference:D29,D30
mrs:(D29,+,10.0000)  (D30,+,10.0000)  
Rotate:True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12" authorId="0" shapeId="0" xr:uid="{00000000-0006-0000-0200-000001000000}">
      <text>
        <r>
          <rPr>
            <sz val="10"/>
            <rFont val="Arial"/>
            <family val="2"/>
          </rPr>
          <t>reference:C9,C10,C11
mrs:(C9,+,10.0000)  (C10,+,-10.0000)  (C11,+,10.0000)  
Rotate:True</t>
        </r>
      </text>
    </comment>
    <comment ref="D12" authorId="0" shapeId="0" xr:uid="{00000000-0006-0000-0200-000002000000}">
      <text>
        <r>
          <rPr>
            <sz val="10"/>
            <rFont val="Arial"/>
            <family val="2"/>
          </rPr>
          <t>reference:D9,D10,D11
mrs:(D9,+,10.0000)  (D10,+,-10.0000)  (D11,+,10.0000)  
Rotate:True</t>
        </r>
      </text>
    </comment>
    <comment ref="D18" authorId="0" shapeId="0" xr:uid="{00000000-0006-0000-0200-000003000000}">
      <text>
        <r>
          <rPr>
            <sz val="10"/>
            <rFont val="Arial"/>
            <family val="2"/>
          </rPr>
          <t>reference:D15,D16,D17
mrs:(D15,+,10.0000)  (D16,+,10.0000)  (D17,+,10.0000)  
Rotate:True</t>
        </r>
      </text>
    </comment>
    <comment ref="C20" authorId="0" shapeId="0" xr:uid="{00000000-0006-0000-0200-000004000000}">
      <text>
        <r>
          <rPr>
            <sz val="10"/>
            <rFont val="Arial"/>
            <family val="2"/>
          </rPr>
          <t>reference:C12,C18
mrs:(C12,+,10.0000)  (C18,+,10.0000)  
Rotate:True</t>
        </r>
      </text>
    </comment>
    <comment ref="D20" authorId="0" shapeId="0" xr:uid="{00000000-0006-0000-0200-000005000000}">
      <text>
        <r>
          <rPr>
            <sz val="10"/>
            <rFont val="Arial"/>
            <family val="2"/>
          </rPr>
          <t>reference:D12,D18
mrs:(D12,+,10.0000)  (D18,+,10.0000)  
Rotate:True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mr</author>
    <author>DEAT User</author>
  </authors>
  <commentList>
    <comment ref="C11" authorId="0" shapeId="0" xr:uid="{00000000-0006-0000-0300-000001000000}">
      <text>
        <r>
          <rPr>
            <sz val="10"/>
            <rFont val="Arial"/>
            <family val="2"/>
          </rPr>
          <t>reference:C8,C9,C10
mrs:(C8,+,10.0000)  (C9,+,10.0000)  (C10,+,10.0000)  
Rotate:True</t>
        </r>
      </text>
    </comment>
    <comment ref="D11" authorId="0" shapeId="0" xr:uid="{00000000-0006-0000-0300-000002000000}">
      <text>
        <r>
          <rPr>
            <sz val="10"/>
            <rFont val="Arial"/>
            <family val="2"/>
          </rPr>
          <t>reference:D8,D9,D10
mrs:(D8,+,10.0000)  (D9,+,10.0000)  (D10,+,10.0000)  
Rotate:True</t>
        </r>
      </text>
    </comment>
    <comment ref="F11" authorId="1" shapeId="0" xr:uid="{00000000-0006-0000-0300-000003000000}">
      <text>
        <r>
          <rPr>
            <sz val="10"/>
            <rFont val="Arial"/>
            <family val="2"/>
          </rPr>
          <t>DEAT User:
Ek het hier 'n lyn ingesit, haal maar uit as dit nie reg lyk nie.</t>
        </r>
      </text>
    </comment>
    <comment ref="C13" authorId="0" shapeId="0" xr:uid="{00000000-0006-0000-0300-000004000000}">
      <text>
        <r>
          <rPr>
            <sz val="10"/>
            <rFont val="Arial"/>
            <family val="2"/>
          </rPr>
          <t>reference:C14,C15,C16,C17
mrs:(C14,+,10.0000)  (C15,+,10.0000)  (C16,+,10.0000)  (C17,+,10.0000)  
Rotate:True</t>
        </r>
      </text>
    </comment>
    <comment ref="D13" authorId="0" shapeId="0" xr:uid="{00000000-0006-0000-0300-000005000000}">
      <text>
        <r>
          <rPr>
            <sz val="10"/>
            <rFont val="Arial"/>
            <family val="2"/>
          </rPr>
          <t>reference:D14,D15,D16,D17
mrs:(D14,+,10.0000)  (D15,+,10.0000)  (D16,+,10.0000)  (D17,+,10.0000)  
Rotate:True</t>
        </r>
      </text>
    </comment>
    <comment ref="C18" authorId="0" shapeId="0" xr:uid="{00000000-0006-0000-0300-000006000000}">
      <text>
        <r>
          <rPr>
            <sz val="10"/>
            <rFont val="Arial"/>
            <family val="2"/>
          </rPr>
          <t>reference:C11,C13
mrs:(C11,+,10.0000)  (C13,+,10.0000)  
Rotate:True</t>
        </r>
      </text>
    </comment>
    <comment ref="D18" authorId="0" shapeId="0" xr:uid="{00000000-0006-0000-0300-000007000000}">
      <text>
        <r>
          <rPr>
            <sz val="10"/>
            <rFont val="Arial"/>
            <family val="2"/>
          </rPr>
          <t>reference:D11,D13
mrs:(D11,+,10.0000)  (D13,+,10.0000)  
Rotate:True</t>
        </r>
      </text>
    </comment>
    <comment ref="C20" authorId="0" shapeId="0" xr:uid="{00000000-0006-0000-0300-000008000000}">
      <text>
        <r>
          <rPr>
            <sz val="10"/>
            <rFont val="Arial"/>
            <family val="2"/>
          </rPr>
          <t>reference:C18
mrs:(C18,+,10.0000)  
Rotate:True</t>
        </r>
      </text>
    </comment>
    <comment ref="D20" authorId="0" shapeId="0" xr:uid="{00000000-0006-0000-0300-000009000000}">
      <text>
        <r>
          <rPr>
            <sz val="10"/>
            <rFont val="Arial"/>
            <family val="2"/>
          </rPr>
          <t>reference:D18
mrs:(D18,+,10.0000)  
Rotate:True</t>
        </r>
      </text>
    </comment>
    <comment ref="C22" authorId="0" shapeId="0" xr:uid="{00000000-0006-0000-0300-00000A000000}">
      <text>
        <r>
          <rPr>
            <sz val="10"/>
            <rFont val="Arial"/>
            <family val="2"/>
          </rPr>
          <t>reference:C20,C21
mrs:(C20,+,10.0000)  (C21,+,10.0000)  
Rotate:True</t>
        </r>
      </text>
    </comment>
    <comment ref="D22" authorId="0" shapeId="0" xr:uid="{00000000-0006-0000-0300-00000B000000}">
      <text>
        <r>
          <rPr>
            <sz val="10"/>
            <rFont val="Arial"/>
            <family val="2"/>
          </rPr>
          <t>reference:D20,D21
mrs:(D20,+,10.0000)  (D21,+,10.0000)  
Rotate:True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mr</author>
    <author>DEAT User</author>
  </authors>
  <commentList>
    <comment ref="F7" authorId="0" shapeId="0" xr:uid="{00000000-0006-0000-0400-000001000000}">
      <text>
        <r>
          <rPr>
            <sz val="10"/>
            <rFont val="Arial"/>
            <family val="2"/>
          </rPr>
          <t>reference:E7,C7
mrs:(E7,+,10.0000)  (C7,+,-10.0000)  
Rotate:True</t>
        </r>
      </text>
    </comment>
    <comment ref="F10" authorId="0" shapeId="0" xr:uid="{00000000-0006-0000-0400-000002000000}">
      <text>
        <r>
          <rPr>
            <sz val="10"/>
            <rFont val="Arial"/>
            <family val="2"/>
          </rPr>
          <t>reference:E10,C10
mrs:(E10,+,10.0000)  (C10,+,-10.0000)  
Rotate:True</t>
        </r>
      </text>
    </comment>
    <comment ref="F11" authorId="0" shapeId="0" xr:uid="{00000000-0006-0000-0400-000003000000}">
      <text>
        <r>
          <rPr>
            <sz val="10"/>
            <rFont val="Arial"/>
            <family val="2"/>
          </rPr>
          <t>reference:E11,C11
mrs:(E11,+,10.0000)  (C11,+,-10.0000)  
Rotate:True</t>
        </r>
      </text>
    </comment>
    <comment ref="F12" authorId="0" shapeId="0" xr:uid="{00000000-0006-0000-0400-000004000000}">
      <text>
        <r>
          <rPr>
            <sz val="10"/>
            <rFont val="Arial"/>
            <family val="2"/>
          </rPr>
          <t>reference:E12,C12
mrs:(E12,+,10.0000)  (C12,+,-10.0000)  
Rotate:True</t>
        </r>
      </text>
    </comment>
    <comment ref="C14" authorId="0" shapeId="0" xr:uid="{00000000-0006-0000-0400-000005000000}">
      <text>
        <r>
          <rPr>
            <sz val="10"/>
            <rFont val="Arial"/>
            <family val="2"/>
          </rPr>
          <t>reference:C6,C7,C8,C9,C10,C11,C12,C13,D6,D7,D8,D9,D10,D11,D12,D13
mrs:
forward:True
2.0:(C6:C13,)
(C6:C13,D6:D13,)
1.0:(D6:D13,)
add:C6:C13:8.0
D6:D13:8.0
Rotate:True</t>
        </r>
      </text>
    </comment>
    <comment ref="E14" authorId="0" shapeId="0" xr:uid="{00000000-0006-0000-0400-000006000000}">
      <text>
        <r>
          <rPr>
            <sz val="10"/>
            <rFont val="Arial"/>
            <family val="2"/>
          </rPr>
          <t>reference:E6,E7,E8,E9,E10,E11,E12,E13
mrs:(E6,+,10.0000)  (E7,+,10.0000)  (E8,+,10.0000)  (E9,+,10.0000)  (E10,+,10.0000)  (E11,+,10.0000)  (E12,+,10.0000)  (E13,+,10.0000)  
Rotate:True</t>
        </r>
      </text>
    </comment>
    <comment ref="F14" authorId="0" shapeId="0" xr:uid="{00000000-0006-0000-0400-000007000000}">
      <text>
        <r>
          <rPr>
            <sz val="10"/>
            <rFont val="Arial"/>
            <family val="2"/>
          </rPr>
          <t>reference:F6,F7,F8,F9,F10,F11,F12,F13
mrs:(F6,+,10.0000)  (F7,+,10.0000)  (F8,+,10.0000)  (F9,+,10.0000)  (F10,+,10.0000)  (F11,+,10.0000)  (F12,+,10.0000)  (F13,+,10.0000)  
Rotate:True</t>
        </r>
      </text>
    </comment>
    <comment ref="G14" authorId="0" shapeId="0" xr:uid="{00000000-0006-0000-0400-000008000000}">
      <text>
        <r>
          <rPr>
            <sz val="10"/>
            <rFont val="Arial"/>
            <family val="2"/>
          </rPr>
          <t>reference:G6,G7,G8,G9,G10,G11,G12,G13
mrs:(G6,+,10.0000)  (G7,+,10.0000)  (G8,+,10.0000)  (G9,+,10.0000)  (G10,+,10.0000)  (G11,+,10.0000)  (G12,+,10.0000)  (G13,+,10.0000)  
Rotate:True</t>
        </r>
      </text>
    </comment>
    <comment ref="F30" authorId="0" shapeId="0" xr:uid="{00000000-0006-0000-0400-000009000000}">
      <text>
        <r>
          <rPr>
            <sz val="10"/>
            <rFont val="Arial"/>
            <family val="2"/>
          </rPr>
          <t>reference:F19,F20,F21,F22,F23,F24,F25,F26,F27,F28,F29
mrs:
forward:True
2.0:(F19:F29,)
add:F19:F29:11.0
Rotate:True</t>
        </r>
      </text>
    </comment>
    <comment ref="F40" authorId="0" shapeId="0" xr:uid="{00000000-0006-0000-0400-00000A000000}">
      <text>
        <r>
          <rPr>
            <sz val="10"/>
            <rFont val="Arial"/>
            <family val="2"/>
          </rPr>
          <t>reference:F36,F37,F38,F39
mrs:(F36,+,10.0000)  (F37,+,10.0000)  (F38,+,10.0000)  (F39,+,10.0000)  
Rotate:True</t>
        </r>
      </text>
    </comment>
    <comment ref="G40" authorId="0" shapeId="0" xr:uid="{00000000-0006-0000-0400-00000B000000}">
      <text>
        <r>
          <rPr>
            <sz val="10"/>
            <rFont val="Arial"/>
            <family val="2"/>
          </rPr>
          <t>reference:G36,G37,G38,G39
mrs:(G36,+,10.0000)  (G37,+,10.0000)  (G38,+,10.0000)  (G39,+,10.0000)  
Rotate:True</t>
        </r>
      </text>
    </comment>
    <comment ref="G51" authorId="0" shapeId="0" xr:uid="{00000000-0006-0000-0400-00000C000000}">
      <text>
        <r>
          <rPr>
            <sz val="10"/>
            <rFont val="Arial"/>
            <family val="2"/>
          </rPr>
          <t>reference:C51,D51,E51
mrs:(C51,+,10.0000)  (D51,+,10.0000)  (E51,+,-10.0000)  
Rotate:True</t>
        </r>
      </text>
    </comment>
    <comment ref="G52" authorId="0" shapeId="0" xr:uid="{00000000-0006-0000-0400-00000D000000}">
      <text>
        <r>
          <rPr>
            <sz val="10"/>
            <rFont val="Arial"/>
            <family val="2"/>
          </rPr>
          <t>reference:C52,D52,E52
mrs:(C52,+,10.0000)  (D52,+,10.0000)  (E52,+,-10.0000)  
Rotate:True</t>
        </r>
      </text>
    </comment>
    <comment ref="G53" authorId="0" shapeId="0" xr:uid="{00000000-0006-0000-0400-00000E000000}">
      <text>
        <r>
          <rPr>
            <sz val="10"/>
            <rFont val="Arial"/>
            <family val="2"/>
          </rPr>
          <t>reference:C53,D53,E53,F53
mrs:(C53,+,10.0000)  (D53,+,10.0000)  (E53,+,-10.0000)  (F53,+,-10.0000)  
Rotate:True</t>
        </r>
      </text>
    </comment>
    <comment ref="G56" authorId="0" shapeId="0" xr:uid="{00000000-0006-0000-0400-00000F000000}">
      <text>
        <r>
          <rPr>
            <sz val="10"/>
            <rFont val="Arial"/>
            <family val="2"/>
          </rPr>
          <t>reference:C56,E56
mrs:(C56,+,10.0000)  (E56,+,-10.0000)  
Rotate:True</t>
        </r>
      </text>
    </comment>
    <comment ref="G58" authorId="0" shapeId="0" xr:uid="{00000000-0006-0000-0400-000010000000}">
      <text>
        <r>
          <rPr>
            <sz val="10"/>
            <rFont val="Arial"/>
            <family val="2"/>
          </rPr>
          <t>reference:C58,D58,E58
mrs:(C58,+,10.0000)  (D58,+,10.0000)  (E58,+,-10.0000)  
Rotate:True</t>
        </r>
      </text>
    </comment>
    <comment ref="C60" authorId="0" shapeId="0" xr:uid="{00000000-0006-0000-0400-000011000000}">
      <text>
        <r>
          <rPr>
            <sz val="10"/>
            <rFont val="Arial"/>
            <family val="2"/>
          </rPr>
          <t>reference:C47,C48,C49,C50,C51,C52,C53,C54,C55,C56,C57,C58,C59
mrs:(C47,+,10.0000)  (C48,+,10.0000)  (C49,+,10.0000)  (C50,+,10.0000)  (C51,+,10.0000)  (C52,+,10.0000)  (C53,+,10.0000)  (C54,+,10.0000)  (C55,+,10.0000)  (C56,+,10.0000)  (C57,+,10.0000)  (C58,+,10.0000)  (C59,+,10.0000)  
Rotate:True</t>
        </r>
      </text>
    </comment>
    <comment ref="D60" authorId="0" shapeId="0" xr:uid="{00000000-0006-0000-0400-000012000000}">
      <text>
        <r>
          <rPr>
            <sz val="10"/>
            <rFont val="Arial"/>
            <family val="2"/>
          </rPr>
          <t>reference:D47,D48,D49,D50,D51,D52,D53,D54,D55,D56,D57,D58,D59
mrs:(D47,+,10.0000)  (D48,+,10.0000)  (D49,+,10.0000)  (D50,+,10.0000)  (D51,+,10.0000)  (D52,+,10.0000)  (D53,+,10.0000)  (D54,+,10.0000)  (D55,+,10.0000)  (D56,+,10.0000)  (D57,+,10.0000)  (D58,+,10.0000)  (D59,+,10.0000)  
Rotate:True</t>
        </r>
      </text>
    </comment>
    <comment ref="E60" authorId="0" shapeId="0" xr:uid="{00000000-0006-0000-0400-000013000000}">
      <text>
        <r>
          <rPr>
            <sz val="10"/>
            <rFont val="Arial"/>
            <family val="2"/>
          </rPr>
          <t>reference:E47,E48,E49,E50,E51,E52,E53,E54,E55,E56,E57,E58,E59
mrs:(E47,+,10.0000)  (E48,+,10.0000)  (E49,+,10.0000)  (E50,+,10.0000)  (E51,+,10.0000)  (E52,+,10.0000)  (E53,+,10.0000)  (E54,+,10.0000)  (E55,+,10.0000)  (E56,+,10.0000)  (E57,+,10.0000)  (E58,+,10.0000)  (E59,+,10.0000)  
Rotate:False</t>
        </r>
      </text>
    </comment>
    <comment ref="F60" authorId="0" shapeId="0" xr:uid="{00000000-0006-0000-0400-000014000000}">
      <text>
        <r>
          <rPr>
            <sz val="10"/>
            <rFont val="Arial"/>
            <family val="2"/>
          </rPr>
          <t>reference:F47,F48,F49,F50,F51,F52,F53,F54,F55,F56,F57,F58,F59
mrs:(F47,+,10.0000)  (F48,+,10.0000)  (F49,+,10.0000)  (F50,+,10.0000)  (F51,+,10.0000)  (F52,+,10.0000)  (F53,+,10.0000)  (F54,+,10.0000)  (F55,+,10.0000)  (F56,+,10.0000)  (F57,+,10.0000)  (F58,+,10.0000)  (F59,+,10.0000)  
Rotate:True</t>
        </r>
      </text>
    </comment>
    <comment ref="G60" authorId="0" shapeId="0" xr:uid="{00000000-0006-0000-0400-000015000000}">
      <text>
        <r>
          <rPr>
            <sz val="10"/>
            <rFont val="Arial"/>
            <family val="2"/>
          </rPr>
          <t>reference:C60,D60,E60,F60
mrs:(C60,+,10.0000)  (D60,+,10.0000)  (E60,+,-10.0000)  (F60,+,-10.0000)  
Rotate:True</t>
        </r>
      </text>
    </comment>
    <comment ref="F63" authorId="0" shapeId="0" xr:uid="{00000000-0006-0000-0400-000016000000}">
      <text>
        <r>
          <rPr>
            <sz val="10"/>
            <rFont val="Arial"/>
            <family val="2"/>
          </rPr>
          <t>reference:G60
mrs:(G60,+,10.0000)  
Rotate:True</t>
        </r>
      </text>
    </comment>
    <comment ref="F65" authorId="0" shapeId="0" xr:uid="{00000000-0006-0000-0400-000017000000}">
      <text>
        <r>
          <rPr>
            <sz val="10"/>
            <rFont val="Arial"/>
            <family val="2"/>
          </rPr>
          <t>reference:F63,F64
mrs:(F63,+,10.0000)  (F64,+,10.0000)  
Rotate:True</t>
        </r>
      </text>
    </comment>
    <comment ref="G65" authorId="0" shapeId="0" xr:uid="{00000000-0006-0000-0400-000018000000}">
      <text>
        <r>
          <rPr>
            <sz val="10"/>
            <rFont val="Arial"/>
            <family val="2"/>
          </rPr>
          <t>reference:G63,G64
mrs:(G63,+,10.0000)  (G64,+,10.0000)  
Rotate:True</t>
        </r>
      </text>
    </comment>
    <comment ref="I72" authorId="1" shapeId="0" xr:uid="{00000000-0006-0000-0400-000019000000}">
      <text>
        <r>
          <rPr>
            <sz val="10"/>
            <rFont val="Arial"/>
            <family val="2"/>
          </rPr>
          <t xml:space="preserve">DEAT User:
Total before Audit amend. 20/06/2003 (without W/S)
</t>
        </r>
      </text>
    </comment>
    <comment ref="F76" authorId="0" shapeId="0" xr:uid="{00000000-0006-0000-0400-00001A000000}">
      <text>
        <r>
          <rPr>
            <sz val="10"/>
            <rFont val="Arial"/>
            <family val="2"/>
          </rPr>
          <t>reference:F72,F73,F74,F75
mrs:(F72,+,10.0000)  (F73,+,10.0000)  (F74,+,10.0000)  (F75,+,10.0000)  
Rotate:True</t>
        </r>
      </text>
    </comment>
    <comment ref="G76" authorId="0" shapeId="0" xr:uid="{00000000-0006-0000-0400-00001B000000}">
      <text>
        <r>
          <rPr>
            <sz val="10"/>
            <rFont val="Arial"/>
            <family val="2"/>
          </rPr>
          <t>reference:G72,G73,G74,G75
mrs:(G72,+,10.0000)  (G73,+,10.0000)  (G74,+,10.0000)  (G75,+,10.0000)  
Rotate:True</t>
        </r>
      </text>
    </comment>
    <comment ref="I76" authorId="0" shapeId="0" xr:uid="{00000000-0006-0000-0400-00001C000000}">
      <text>
        <r>
          <rPr>
            <sz val="10"/>
            <rFont val="Arial"/>
            <family val="2"/>
          </rPr>
          <t>reference:I72,I73,I74,I75
mrs:(I72,+,10.0000)  (I73,+,10.0000)  (I74,+,10.0000)  (I75,+,10.0000)  
Rotate:True</t>
        </r>
      </text>
    </comment>
    <comment ref="F80" authorId="0" shapeId="0" xr:uid="{00000000-0006-0000-0400-00001D000000}">
      <text>
        <r>
          <rPr>
            <sz val="10"/>
            <rFont val="Arial"/>
            <family val="2"/>
          </rPr>
          <t>reference:F76
mrs:(F76,+,10.0000)  
Rotate:True</t>
        </r>
      </text>
    </comment>
    <comment ref="G80" authorId="0" shapeId="0" xr:uid="{00000000-0006-0000-0400-00001E000000}">
      <text>
        <r>
          <rPr>
            <sz val="10"/>
            <rFont val="Arial"/>
            <family val="2"/>
          </rPr>
          <t>reference:G76
mrs:(G76,+,10.0000)  
Rotate:True</t>
        </r>
      </text>
    </comment>
    <comment ref="I87" authorId="1" shapeId="0" xr:uid="{00000000-0006-0000-0400-00001F000000}">
      <text>
        <r>
          <rPr>
            <sz val="10"/>
            <rFont val="Arial"/>
            <family val="2"/>
          </rPr>
          <t xml:space="preserve">DEAT User:
Total before Audit amend. 20/06/2003 (without W/S)
</t>
        </r>
      </text>
    </comment>
    <comment ref="F94" authorId="0" shapeId="0" xr:uid="{00000000-0006-0000-0400-000020000000}">
      <text>
        <r>
          <rPr>
            <sz val="10"/>
            <rFont val="Arial"/>
            <family val="2"/>
          </rPr>
          <t>reference:F87,F88,F89,F90,F91,F92,F93
mrs:(F87,+,10.0000)  (F88,+,10.0000)  (F89,+,10.0000)  (F90,+,10.0000)  (F91,+,10.0000)  (F92,+,10.0000)  (F93,+,10.0000)  
Rotate:True</t>
        </r>
      </text>
    </comment>
    <comment ref="G94" authorId="0" shapeId="0" xr:uid="{00000000-0006-0000-0400-000021000000}">
      <text>
        <r>
          <rPr>
            <sz val="10"/>
            <rFont val="Arial"/>
            <family val="2"/>
          </rPr>
          <t>reference:G87,G88,G89,G90,G91,G92,G93
mrs:(G87,+,10.0000)  (G88,+,10.0000)  (G89,+,10.0000)  (G90,+,10.0000)  (G91,+,10.0000)  (G92,+,10.0000)  (G93,+,10.0000)  
Rotate:True</t>
        </r>
      </text>
    </comment>
    <comment ref="I94" authorId="0" shapeId="0" xr:uid="{00000000-0006-0000-0400-000022000000}">
      <text>
        <r>
          <rPr>
            <sz val="10"/>
            <rFont val="Arial"/>
            <family val="2"/>
          </rPr>
          <t>reference:I87,I88,I89,I90,I91,I92,I93
mrs:(I87,+,10.0000)  (I88,+,10.0000)  (I89,+,10.0000)  (I90,+,10.0000)  (I91,+,10.0000)  (I92,+,10.0000)  (I93,+,10.0000)  
Rotate:True</t>
        </r>
      </text>
    </comment>
    <comment ref="F102" authorId="0" shapeId="0" xr:uid="{00000000-0006-0000-0400-000023000000}">
      <text>
        <r>
          <rPr>
            <sz val="10"/>
            <rFont val="Arial"/>
            <family val="2"/>
          </rPr>
          <t>reference:F98,F99,F100,F101
mrs:(F98,+,10.0000)  (F99,+,10.0000)  (F100,+,10.0000)  (F101,+,10.0000)  
Rotate:True</t>
        </r>
      </text>
    </comment>
    <comment ref="F104" authorId="0" shapeId="0" xr:uid="{00000000-0006-0000-0400-000024000000}">
      <text>
        <r>
          <rPr>
            <sz val="10"/>
            <rFont val="Arial"/>
            <family val="2"/>
          </rPr>
          <t>reference:F94,F102
mrs:(F94,+,10.0000)  (F102,+,10.0000)  
Rotate:True</t>
        </r>
      </text>
    </comment>
    <comment ref="G104" authorId="0" shapeId="0" xr:uid="{00000000-0006-0000-0400-000025000000}">
      <text>
        <r>
          <rPr>
            <sz val="10"/>
            <rFont val="Arial"/>
            <family val="2"/>
          </rPr>
          <t>reference:G94,G102
mrs:(G94,+,10.0000)  (G102,+,10.0000)  
Rotate:True</t>
        </r>
      </text>
    </comment>
    <comment ref="I110" authorId="1" shapeId="0" xr:uid="{00000000-0006-0000-0400-000026000000}">
      <text>
        <r>
          <rPr>
            <sz val="10"/>
            <rFont val="Arial"/>
            <family val="2"/>
          </rPr>
          <t xml:space="preserve">DEAT User:
Total before Audit amend. 20/06/2003 (W/S)
</t>
        </r>
      </text>
    </comment>
    <comment ref="F111" authorId="0" shapeId="0" xr:uid="{00000000-0006-0000-0400-000027000000}">
      <text>
        <r>
          <rPr>
            <sz val="10"/>
            <rFont val="Arial"/>
            <family val="2"/>
          </rPr>
          <t>reference:F118
mrs:(F118,+,10.0000)  
Rotate:True</t>
        </r>
      </text>
    </comment>
    <comment ref="G111" authorId="0" shapeId="0" xr:uid="{00000000-0006-0000-0400-000028000000}">
      <text>
        <r>
          <rPr>
            <sz val="10"/>
            <rFont val="Arial"/>
            <family val="2"/>
          </rPr>
          <t>reference:G118
mrs:(G118,+,10.0000)  
Rotate:True</t>
        </r>
      </text>
    </comment>
    <comment ref="F112" authorId="0" shapeId="0" xr:uid="{00000000-0006-0000-0400-000029000000}">
      <text>
        <r>
          <rPr>
            <sz val="10"/>
            <rFont val="Arial"/>
            <family val="2"/>
          </rPr>
          <t>reference:F110,F111
mrs:(F110,+,10.0000)  (F111,+,10.0000)  
Rotate:True</t>
        </r>
      </text>
    </comment>
    <comment ref="G112" authorId="0" shapeId="0" xr:uid="{00000000-0006-0000-0400-00002A000000}">
      <text>
        <r>
          <rPr>
            <sz val="10"/>
            <rFont val="Arial"/>
            <family val="2"/>
          </rPr>
          <t>reference:G110,G111
mrs:(G110,+,10.0000)  (G111,+,10.0000)  
Rotate:True</t>
        </r>
      </text>
    </comment>
    <comment ref="I115" authorId="1" shapeId="0" xr:uid="{00000000-0006-0000-0400-00002B000000}">
      <text>
        <r>
          <rPr>
            <sz val="10"/>
            <rFont val="Arial"/>
            <family val="2"/>
          </rPr>
          <t xml:space="preserve">DEAT User:
Total before Audit Amend. 20/6/2003 (with out W/S)
</t>
        </r>
      </text>
    </comment>
    <comment ref="F118" authorId="0" shapeId="0" xr:uid="{00000000-0006-0000-0400-00002C000000}">
      <text>
        <r>
          <rPr>
            <sz val="10"/>
            <rFont val="Arial"/>
            <family val="2"/>
          </rPr>
          <t>reference:F115,F116,F117
mrs:(F115,+,10.0000)  (F116,+,10.0000)  (F117,+,10.0000)  
Rotate:True</t>
        </r>
      </text>
    </comment>
    <comment ref="G118" authorId="0" shapeId="0" xr:uid="{00000000-0006-0000-0400-00002D000000}">
      <text>
        <r>
          <rPr>
            <sz val="10"/>
            <rFont val="Arial"/>
            <family val="2"/>
          </rPr>
          <t>reference:G115,G116,G117
mrs:(G115,+,10.0000)  (G116,+,10.0000)  (G117,+,10.0000)  
Rotate:True</t>
        </r>
      </text>
    </comment>
    <comment ref="I118" authorId="0" shapeId="0" xr:uid="{00000000-0006-0000-0400-00002E000000}">
      <text>
        <r>
          <rPr>
            <sz val="10"/>
            <rFont val="Arial"/>
            <family val="2"/>
          </rPr>
          <t>reference:I115,I116,I117
mrs:(I115,+,10.0000)  (I116,+,10.0000)  (I117,+,10.0000)  
Rotate:True</t>
        </r>
      </text>
    </comment>
    <comment ref="F124" authorId="0" shapeId="0" xr:uid="{00000000-0006-0000-0400-00002F000000}">
      <text>
        <r>
          <rPr>
            <sz val="10"/>
            <rFont val="Arial"/>
            <family val="2"/>
          </rPr>
          <t>reference:F129
mrs:(F129,+,10.0000)  
Rotate:True</t>
        </r>
      </text>
    </comment>
    <comment ref="G124" authorId="0" shapeId="0" xr:uid="{00000000-0006-0000-0400-000030000000}">
      <text>
        <r>
          <rPr>
            <sz val="10"/>
            <rFont val="Arial"/>
            <family val="2"/>
          </rPr>
          <t>reference:G129
mrs:(G129,+,10.0000)  
Rotate:True</t>
        </r>
      </text>
    </comment>
    <comment ref="F125" authorId="0" shapeId="0" xr:uid="{00000000-0006-0000-0400-000031000000}">
      <text>
        <r>
          <rPr>
            <sz val="10"/>
            <rFont val="Arial"/>
            <family val="2"/>
          </rPr>
          <t>reference:F124
mrs:(F124,+,10.0000)  
Rotate:True</t>
        </r>
      </text>
    </comment>
    <comment ref="G125" authorId="0" shapeId="0" xr:uid="{00000000-0006-0000-0400-000032000000}">
      <text>
        <r>
          <rPr>
            <sz val="10"/>
            <rFont val="Arial"/>
            <family val="2"/>
          </rPr>
          <t>reference:G124
mrs:(G124,+,10.0000)  
Rotate:True</t>
        </r>
      </text>
    </comment>
    <comment ref="F129" authorId="0" shapeId="0" xr:uid="{00000000-0006-0000-0400-000033000000}">
      <text>
        <r>
          <rPr>
            <sz val="10"/>
            <rFont val="Arial"/>
            <family val="2"/>
          </rPr>
          <t>reference:F128
mrs:(F128,+,10.0000)  
Rotate:True</t>
        </r>
      </text>
    </comment>
    <comment ref="G129" authorId="0" shapeId="0" xr:uid="{00000000-0006-0000-0400-000034000000}">
      <text>
        <r>
          <rPr>
            <sz val="10"/>
            <rFont val="Arial"/>
            <family val="2"/>
          </rPr>
          <t>reference:G128
mrs:(G128,+,10.0000)  
Rotate:True</t>
        </r>
      </text>
    </comment>
    <comment ref="I136" authorId="1" shapeId="0" xr:uid="{00000000-0006-0000-0400-000035000000}">
      <text>
        <r>
          <rPr>
            <sz val="10"/>
            <rFont val="Arial"/>
            <family val="2"/>
          </rPr>
          <t xml:space="preserve">DEAT User:
Total before Audit amend. 20/06/2003 (without W/S)
</t>
        </r>
      </text>
    </comment>
    <comment ref="F141" authorId="0" shapeId="0" xr:uid="{00000000-0006-0000-0400-000036000000}">
      <text>
        <r>
          <rPr>
            <sz val="10"/>
            <rFont val="Arial"/>
            <family val="2"/>
          </rPr>
          <t>reference:F136,F137,F138,F139,F140
mrs:(F136,+,10.0000)  (F137,+,10.0000)  (F138,+,10.0000)  (F139,+,10.0000)  (F140,+,10.0000)  
Rotate:True</t>
        </r>
      </text>
    </comment>
    <comment ref="G141" authorId="0" shapeId="0" xr:uid="{00000000-0006-0000-0400-000037000000}">
      <text>
        <r>
          <rPr>
            <sz val="10"/>
            <rFont val="Arial"/>
            <family val="2"/>
          </rPr>
          <t>reference:G136,G137,G138,G139,G140
mrs:(G136,+,10.0000)  (G137,+,10.0000)  (G138,+,10.0000)  (G139,+,10.0000)  (G140,+,10.0000)  
Rotate:True</t>
        </r>
      </text>
    </comment>
    <comment ref="I141" authorId="0" shapeId="0" xr:uid="{00000000-0006-0000-0400-000038000000}">
      <text>
        <r>
          <rPr>
            <sz val="10"/>
            <rFont val="Arial"/>
            <family val="2"/>
          </rPr>
          <t>reference:I136,I137,I138,I139,I140
mrs:(I136,+,10.0000)  (I137,+,10.0000)  (I138,+,10.0000)  (I139,+,10.0000)  (I140,+,10.0000)  
Rotate:True</t>
        </r>
      </text>
    </comment>
    <comment ref="F145" authorId="0" shapeId="0" xr:uid="{00000000-0006-0000-0400-000039000000}">
      <text>
        <r>
          <rPr>
            <sz val="10"/>
            <rFont val="Arial"/>
            <family val="2"/>
          </rPr>
          <t>reference:F143,F144
mrs:(F143,+,10.0000)  (F144,+,10.0000)  
Rotate:True</t>
        </r>
      </text>
    </comment>
    <comment ref="G145" authorId="0" shapeId="0" xr:uid="{00000000-0006-0000-0400-00003A000000}">
      <text>
        <r>
          <rPr>
            <sz val="10"/>
            <rFont val="Arial"/>
            <family val="2"/>
          </rPr>
          <t>reference:G143,G144
mrs:(G143,+,10.0000)  (G144,+,10.0000)  
Rotate:True</t>
        </r>
      </text>
    </comment>
    <comment ref="F147" authorId="0" shapeId="0" xr:uid="{00000000-0006-0000-0400-00003B000000}">
      <text>
        <r>
          <rPr>
            <sz val="10"/>
            <rFont val="Arial"/>
            <family val="2"/>
          </rPr>
          <t>reference:F141,F145
mrs:(F141,+,10.0000)  (F145,+,10.0000)  
Rotate:True</t>
        </r>
      </text>
    </comment>
    <comment ref="G147" authorId="0" shapeId="0" xr:uid="{00000000-0006-0000-0400-00003C000000}">
      <text>
        <r>
          <rPr>
            <sz val="10"/>
            <rFont val="Arial"/>
            <family val="2"/>
          </rPr>
          <t>reference:G141,G145
mrs:(G141,+,10.0000)  (G145,+,10.0000)  
Rotate:True</t>
        </r>
      </text>
    </comment>
    <comment ref="F153" authorId="0" shapeId="0" xr:uid="{00000000-0006-0000-0400-00003D000000}">
      <text>
        <r>
          <rPr>
            <sz val="10"/>
            <rFont val="Arial"/>
            <family val="2"/>
          </rPr>
          <t>reference:F159
mrs:(F159,+,10.0000)  
Rotate:True</t>
        </r>
      </text>
    </comment>
    <comment ref="G153" authorId="0" shapeId="0" xr:uid="{00000000-0006-0000-0400-00003E000000}">
      <text>
        <r>
          <rPr>
            <sz val="10"/>
            <rFont val="Arial"/>
            <family val="2"/>
          </rPr>
          <t>reference:G159
mrs:(G159,+,10.0000)  
Rotate:True</t>
        </r>
      </text>
    </comment>
    <comment ref="I153" authorId="1" shapeId="0" xr:uid="{00000000-0006-0000-0400-00003F000000}">
      <text>
        <r>
          <rPr>
            <sz val="10"/>
            <rFont val="Arial"/>
            <family val="2"/>
          </rPr>
          <t>DEAT User:
As die  analysis of note 9 moet terug kan jy net die lines unhide, want die totale gaan nog steeds na Income Statement. Kyk line no. 156+162</t>
        </r>
      </text>
    </comment>
    <comment ref="F154" authorId="0" shapeId="0" xr:uid="{00000000-0006-0000-0400-000040000000}">
      <text>
        <r>
          <rPr>
            <sz val="10"/>
            <rFont val="Arial"/>
            <family val="2"/>
          </rPr>
          <t>reference:F153
mrs:(F153,+,10.0000)  
Rotate:True</t>
        </r>
      </text>
    </comment>
    <comment ref="G154" authorId="0" shapeId="0" xr:uid="{00000000-0006-0000-0400-000041000000}">
      <text>
        <r>
          <rPr>
            <sz val="10"/>
            <rFont val="Arial"/>
            <family val="2"/>
          </rPr>
          <t>reference:G153
mrs:(G153,+,10.0000)  
Rotate:True</t>
        </r>
      </text>
    </comment>
    <comment ref="F159" authorId="0" shapeId="0" xr:uid="{00000000-0006-0000-0400-000042000000}">
      <text>
        <r>
          <rPr>
            <sz val="10"/>
            <rFont val="Arial"/>
            <family val="2"/>
          </rPr>
          <t>reference:F157,F158
mrs:(F157,+,10.0000)  (F158,+,10.0000)  
Rotate:True</t>
        </r>
      </text>
    </comment>
    <comment ref="G159" authorId="0" shapeId="0" xr:uid="{00000000-0006-0000-0400-000043000000}">
      <text>
        <r>
          <rPr>
            <sz val="10"/>
            <rFont val="Arial"/>
            <family val="2"/>
          </rPr>
          <t>reference:G157,G158
mrs:(G157,+,10.0000)  (G158,+,10.0000)  
Rotate:True</t>
        </r>
      </text>
    </comment>
    <comment ref="F164" authorId="0" shapeId="0" xr:uid="{00000000-0006-0000-0400-000044000000}">
      <text>
        <r>
          <rPr>
            <sz val="10"/>
            <rFont val="Arial"/>
            <family val="2"/>
          </rPr>
          <t>reference:F176
mrs:(F176,+,10.0000)  
Rotate:True</t>
        </r>
      </text>
    </comment>
    <comment ref="G164" authorId="0" shapeId="0" xr:uid="{00000000-0006-0000-0400-000045000000}">
      <text>
        <r>
          <rPr>
            <sz val="10"/>
            <rFont val="Arial"/>
            <family val="2"/>
          </rPr>
          <t>reference:G176
mrs:(G176,+,10.0000)  
Rotate:True</t>
        </r>
      </text>
    </comment>
    <comment ref="F165" authorId="0" shapeId="0" xr:uid="{00000000-0006-0000-0400-000046000000}">
      <text>
        <r>
          <rPr>
            <sz val="10"/>
            <rFont val="Arial"/>
            <family val="2"/>
          </rPr>
          <t>reference:F185
mrs:(F185,+,10.0000)  
Rotate:True</t>
        </r>
      </text>
    </comment>
    <comment ref="G165" authorId="0" shapeId="0" xr:uid="{00000000-0006-0000-0400-000047000000}">
      <text>
        <r>
          <rPr>
            <sz val="10"/>
            <rFont val="Arial"/>
            <family val="2"/>
          </rPr>
          <t>reference:G185
mrs:(G185,+,10.0000)  
Rotate:True</t>
        </r>
      </text>
    </comment>
    <comment ref="F167" authorId="0" shapeId="0" xr:uid="{00000000-0006-0000-0400-000048000000}">
      <text>
        <r>
          <rPr>
            <sz val="10"/>
            <rFont val="Arial"/>
            <family val="2"/>
          </rPr>
          <t>reference:F164,F165,F166
mrs:(F164,+,10.0000)  (F165,+,10.0000)  (F166,+,10.0000)  
Rotate:True</t>
        </r>
      </text>
    </comment>
    <comment ref="G167" authorId="0" shapeId="0" xr:uid="{00000000-0006-0000-0400-000049000000}">
      <text>
        <r>
          <rPr>
            <sz val="10"/>
            <rFont val="Arial"/>
            <family val="2"/>
          </rPr>
          <t>reference:G164,G165,G166
mrs:(G164,+,10.0000)  (G165,+,10.0000)  (G166,+,10.0000)  
Rotate:True</t>
        </r>
      </text>
    </comment>
    <comment ref="F169" authorId="0" shapeId="0" xr:uid="{00000000-0006-0000-0400-00004A000000}">
      <text>
        <r>
          <rPr>
            <sz val="10"/>
            <rFont val="Arial"/>
            <family val="2"/>
          </rPr>
          <t>reference:F167
mrs:(F167,+,10.0000)  
Rotate:True</t>
        </r>
      </text>
    </comment>
    <comment ref="G169" authorId="0" shapeId="0" xr:uid="{00000000-0006-0000-0400-00004B000000}">
      <text>
        <r>
          <rPr>
            <sz val="10"/>
            <rFont val="Arial"/>
            <family val="2"/>
          </rPr>
          <t>reference:G167
mrs:(G167,+,10.0000)  
Rotate:True</t>
        </r>
      </text>
    </comment>
    <comment ref="F176" authorId="0" shapeId="0" xr:uid="{00000000-0006-0000-0400-00004C000000}">
      <text>
        <r>
          <rPr>
            <sz val="10"/>
            <rFont val="Arial"/>
            <family val="2"/>
          </rPr>
          <t>reference:F173,F174,F175
mrs:(F173,+,10.0000)  (F174,+,10.0000)  (F175,+,10.0000)  
Rotate:True</t>
        </r>
      </text>
    </comment>
    <comment ref="G176" authorId="0" shapeId="0" xr:uid="{00000000-0006-0000-0400-00004D000000}">
      <text>
        <r>
          <rPr>
            <sz val="10"/>
            <rFont val="Arial"/>
            <family val="2"/>
          </rPr>
          <t>reference:G173,G174,G175
mrs:(G173,+,10.0000)  (G174,+,10.0000)  (G175,+,10.0000)  
Rotate:True</t>
        </r>
      </text>
    </comment>
    <comment ref="F185" authorId="0" shapeId="0" xr:uid="{00000000-0006-0000-0400-00004E000000}">
      <text>
        <r>
          <rPr>
            <sz val="10"/>
            <rFont val="Arial"/>
            <family val="2"/>
          </rPr>
          <t>reference:F180,F181,F182,F183,F184
mrs:(F180,+,10.0000)  (F181,+,10.0000)  (F182,+,10.0000)  (F183,+,10.0000)  (F184,+,10.0000)  
Rotate:True</t>
        </r>
      </text>
    </comment>
    <comment ref="G185" authorId="0" shapeId="0" xr:uid="{00000000-0006-0000-0400-00004F000000}">
      <text>
        <r>
          <rPr>
            <sz val="10"/>
            <rFont val="Arial"/>
            <family val="2"/>
          </rPr>
          <t>reference:G180,G181,G182,G183,G184
mrs:(G180,+,10.0000)  (G181,+,10.0000)  (G182,+,10.0000)  (G183,+,10.0000)  (G184,+,10.0000)  
Rotate:True</t>
        </r>
      </text>
    </comment>
    <comment ref="F191" authorId="0" shapeId="0" xr:uid="{00000000-0006-0000-0400-000050000000}">
      <text>
        <r>
          <rPr>
            <sz val="10"/>
            <rFont val="Arial"/>
            <family val="2"/>
          </rPr>
          <t>reference:F199
mrs:(F199,+,10.0000)  
Rotate:True</t>
        </r>
      </text>
    </comment>
    <comment ref="G191" authorId="0" shapeId="0" xr:uid="{00000000-0006-0000-0400-000051000000}">
      <text>
        <r>
          <rPr>
            <sz val="10"/>
            <rFont val="Arial"/>
            <family val="2"/>
          </rPr>
          <t>reference:G199
mrs:(G199,+,10.0000)  
Rotate:True</t>
        </r>
      </text>
    </comment>
    <comment ref="F192" authorId="0" shapeId="0" xr:uid="{00000000-0006-0000-0400-000052000000}">
      <text>
        <r>
          <rPr>
            <sz val="10"/>
            <rFont val="Arial"/>
            <family val="2"/>
          </rPr>
          <t>reference:F204
mrs:(F204,+,10.0000)  
Rotate:True</t>
        </r>
      </text>
    </comment>
    <comment ref="G192" authorId="0" shapeId="0" xr:uid="{00000000-0006-0000-0400-000053000000}">
      <text>
        <r>
          <rPr>
            <sz val="10"/>
            <rFont val="Arial"/>
            <family val="2"/>
          </rPr>
          <t>reference:G204
mrs:(G204,+,10.0000)  
Rotate:True</t>
        </r>
      </text>
    </comment>
    <comment ref="F193" authorId="0" shapeId="0" xr:uid="{00000000-0006-0000-0400-000054000000}">
      <text>
        <r>
          <rPr>
            <sz val="10"/>
            <rFont val="Arial"/>
            <family val="2"/>
          </rPr>
          <t>reference:F218
mrs:(F218,+,10.0000)  
Rotate:True</t>
        </r>
      </text>
    </comment>
    <comment ref="G193" authorId="0" shapeId="0" xr:uid="{00000000-0006-0000-0400-000055000000}">
      <text>
        <r>
          <rPr>
            <sz val="10"/>
            <rFont val="Arial"/>
            <family val="2"/>
          </rPr>
          <t>reference:G218
mrs:(G218,+,10.0000)  
Rotate:True</t>
        </r>
      </text>
    </comment>
    <comment ref="F194" authorId="0" shapeId="0" xr:uid="{00000000-0006-0000-0400-000056000000}">
      <text>
        <r>
          <rPr>
            <sz val="10"/>
            <rFont val="Arial"/>
            <family val="2"/>
          </rPr>
          <t>reference:F191,F192,F193
mrs:(F191,+,10.0000)  (F192,+,10.0000)  (F193,+,10.0000)  
Rotate:True</t>
        </r>
      </text>
    </comment>
    <comment ref="G194" authorId="0" shapeId="0" xr:uid="{00000000-0006-0000-0400-000057000000}">
      <text>
        <r>
          <rPr>
            <sz val="10"/>
            <rFont val="Arial"/>
            <family val="2"/>
          </rPr>
          <t>reference:G191,G192,G193
mrs:(G191,+,10.0000)  (G192,+,10.0000)  (G193,+,10.0000)  
Rotate:True</t>
        </r>
      </text>
    </comment>
    <comment ref="F199" authorId="0" shapeId="0" xr:uid="{00000000-0006-0000-0400-000058000000}">
      <text>
        <r>
          <rPr>
            <sz val="10"/>
            <rFont val="Arial"/>
            <family val="2"/>
          </rPr>
          <t>reference:F198
mrs:(F198,+,10.0000)  
Rotate:True</t>
        </r>
      </text>
    </comment>
    <comment ref="G199" authorId="0" shapeId="0" xr:uid="{00000000-0006-0000-0400-000059000000}">
      <text>
        <r>
          <rPr>
            <sz val="10"/>
            <rFont val="Arial"/>
            <family val="2"/>
          </rPr>
          <t>reference:G198
mrs:(G198,+,10.0000)  
Rotate:True</t>
        </r>
      </text>
    </comment>
    <comment ref="F204" authorId="0" shapeId="0" xr:uid="{00000000-0006-0000-0400-00005A000000}">
      <text>
        <r>
          <rPr>
            <sz val="10"/>
            <rFont val="Arial"/>
            <family val="2"/>
          </rPr>
          <t>reference:F203
mrs:(F203,+,10.0000)  
Rotate:True</t>
        </r>
      </text>
    </comment>
    <comment ref="G204" authorId="0" shapeId="0" xr:uid="{00000000-0006-0000-0400-00005B000000}">
      <text>
        <r>
          <rPr>
            <sz val="10"/>
            <rFont val="Arial"/>
            <family val="2"/>
          </rPr>
          <t>reference:G203
mrs:(G203,+,10.0000)  
Rotate:True</t>
        </r>
      </text>
    </comment>
    <comment ref="F209" authorId="0" shapeId="0" xr:uid="{00000000-0006-0000-0400-00005C000000}">
      <text>
        <r>
          <rPr>
            <sz val="10"/>
            <rFont val="Arial"/>
            <family val="2"/>
          </rPr>
          <t>reference:C209,D209,E209
mrs:(C209,+,10.0000)  (D209,+,10.0000)  (E209,+,10.0000)  
Rotate:True</t>
        </r>
      </text>
    </comment>
    <comment ref="F210" authorId="0" shapeId="0" xr:uid="{00000000-0006-0000-0400-00005D000000}">
      <text>
        <r>
          <rPr>
            <sz val="10"/>
            <rFont val="Arial"/>
            <family val="2"/>
          </rPr>
          <t>reference:C210,D210,E210
mrs:(C210,+,10.0000)  (D210,+,10.0000)  (E210,+,10.0000)  
Rotate:True</t>
        </r>
      </text>
    </comment>
    <comment ref="F211" authorId="0" shapeId="0" xr:uid="{00000000-0006-0000-0400-00005E000000}">
      <text>
        <r>
          <rPr>
            <sz val="10"/>
            <rFont val="Arial"/>
            <family val="2"/>
          </rPr>
          <t>reference:C211,D211,E211
mrs:(C211,+,10.0000)  (D211,+,10.0000)  (E211,+,10.0000)  
Rotate:True</t>
        </r>
      </text>
    </comment>
    <comment ref="F212" authorId="0" shapeId="0" xr:uid="{00000000-0006-0000-0400-00005F000000}">
      <text>
        <r>
          <rPr>
            <sz val="10"/>
            <rFont val="Arial"/>
            <family val="2"/>
          </rPr>
          <t>reference:C212,D212,E212
mrs:(C212,+,10.0000)  (D212,+,10.0000)  (E212,+,10.0000)  
Rotate:True</t>
        </r>
      </text>
    </comment>
    <comment ref="C213" authorId="0" shapeId="0" xr:uid="{00000000-0006-0000-0400-000060000000}">
      <text>
        <r>
          <rPr>
            <sz val="10"/>
            <rFont val="Arial"/>
            <family val="2"/>
          </rPr>
          <t>reference:C208,C209,C210,C211,C212,D208,D209,D210,D211,D212
mrs:
forward:True
2.0:(C208:C212,)
(C208:C212,D208:D212,)
1.0:(D208:D212,)
add:C208:C212:5.0
D208:D212:5.0
Rotate:True</t>
        </r>
      </text>
    </comment>
    <comment ref="F213" authorId="0" shapeId="0" xr:uid="{00000000-0006-0000-0400-000061000000}">
      <text>
        <r>
          <rPr>
            <sz val="10"/>
            <rFont val="Arial"/>
            <family val="2"/>
          </rPr>
          <t>reference:F208,F209,F210,F211,F212
mrs:(F208,+,10.0000)  (F209,+,10.0000)  (F210,+,10.0000)  (F211,+,10.0000)  (F212,+,10.0000)  
Rotate:True</t>
        </r>
      </text>
    </comment>
    <comment ref="G213" authorId="0" shapeId="0" xr:uid="{00000000-0006-0000-0400-000062000000}">
      <text>
        <r>
          <rPr>
            <sz val="10"/>
            <rFont val="Arial"/>
            <family val="2"/>
          </rPr>
          <t>reference:G208,G209,G210,G211,G212
mrs:(G208,+,10.0000)  (G209,+,10.0000)  (G210,+,10.0000)  (G211,+,10.0000)  (G212,+,10.0000)  
Rotate:True</t>
        </r>
      </text>
    </comment>
    <comment ref="F218" authorId="0" shapeId="0" xr:uid="{00000000-0006-0000-0400-000063000000}">
      <text>
        <r>
          <rPr>
            <sz val="10"/>
            <rFont val="Arial"/>
            <family val="2"/>
          </rPr>
          <t>reference:F217
mrs:(F217,+,10.0000)  
Rotate:True</t>
        </r>
      </text>
    </comment>
    <comment ref="G218" authorId="0" shapeId="0" xr:uid="{00000000-0006-0000-0400-000064000000}">
      <text>
        <r>
          <rPr>
            <sz val="10"/>
            <rFont val="Arial"/>
            <family val="2"/>
          </rPr>
          <t>reference:G217
mrs:(G217,+,10.0000)  
Rotate:True</t>
        </r>
      </text>
    </comment>
    <comment ref="F223" authorId="0" shapeId="0" xr:uid="{00000000-0006-0000-0400-000065000000}">
      <text>
        <r>
          <rPr>
            <sz val="10"/>
            <rFont val="Arial"/>
            <family val="2"/>
          </rPr>
          <t>reference:F222
mrs:(F222,+,10.0000)  
Rotate:True</t>
        </r>
      </text>
    </comment>
    <comment ref="G223" authorId="0" shapeId="0" xr:uid="{00000000-0006-0000-0400-000066000000}">
      <text>
        <r>
          <rPr>
            <sz val="10"/>
            <rFont val="Arial"/>
            <family val="2"/>
          </rPr>
          <t>reference:G222
mrs:(G222,+,10.0000)  
Rotate:True</t>
        </r>
      </text>
    </comment>
    <comment ref="F229" authorId="0" shapeId="0" xr:uid="{00000000-0006-0000-0400-000067000000}">
      <text>
        <r>
          <rPr>
            <sz val="10"/>
            <rFont val="Arial"/>
            <family val="2"/>
          </rPr>
          <t>reference:F243
mrs:(F243,+,10.0000)  
Rotate:True</t>
        </r>
      </text>
    </comment>
    <comment ref="G229" authorId="0" shapeId="0" xr:uid="{00000000-0006-0000-0400-000068000000}">
      <text>
        <r>
          <rPr>
            <sz val="10"/>
            <rFont val="Arial"/>
            <family val="2"/>
          </rPr>
          <t>reference:G243
mrs:(G243,+,10.0000)  
Rotate:True</t>
        </r>
      </text>
    </comment>
    <comment ref="F230" authorId="0" shapeId="0" xr:uid="{00000000-0006-0000-0400-000069000000}">
      <text>
        <r>
          <rPr>
            <sz val="10"/>
            <rFont val="Arial"/>
            <family val="2"/>
          </rPr>
          <t>reference:F229
mrs:(F229,+,10.0000)  
Rotate:True</t>
        </r>
      </text>
    </comment>
    <comment ref="G230" authorId="0" shapeId="0" xr:uid="{00000000-0006-0000-0400-00006A000000}">
      <text>
        <r>
          <rPr>
            <sz val="10"/>
            <rFont val="Arial"/>
            <family val="2"/>
          </rPr>
          <t>reference:G229
mrs:(G229,+,10.0000)  
Rotate:True</t>
        </r>
      </text>
    </comment>
    <comment ref="F235" authorId="0" shapeId="0" xr:uid="{00000000-0006-0000-0400-00006B000000}">
      <text>
        <r>
          <rPr>
            <sz val="10"/>
            <rFont val="Arial"/>
            <family val="2"/>
          </rPr>
          <t>reference:F233,F234
mrs:(F233,+,10.0000)  (F234,+,10.0000)  
Rotate:True</t>
        </r>
      </text>
    </comment>
    <comment ref="G235" authorId="0" shapeId="0" xr:uid="{00000000-0006-0000-0400-00006C000000}">
      <text>
        <r>
          <rPr>
            <sz val="10"/>
            <rFont val="Arial"/>
            <family val="2"/>
          </rPr>
          <t>reference:G233,G234
mrs:(G233,+,10.0000)  (G234,+,10.0000)  
Rotate:True</t>
        </r>
      </text>
    </comment>
    <comment ref="F243" authorId="0" shapeId="0" xr:uid="{00000000-0006-0000-0400-00006D000000}">
      <text>
        <r>
          <rPr>
            <sz val="10"/>
            <rFont val="Arial"/>
            <family val="2"/>
          </rPr>
          <t>reference:F239,F240,F241,F242
mrs:(F239,+,10.0000)  (F240,+,10.0000)  (F241,+,10.0000)  (F242,+,10.0000)  
Rotate:True</t>
        </r>
      </text>
    </comment>
    <comment ref="G243" authorId="0" shapeId="0" xr:uid="{00000000-0006-0000-0400-00006E000000}">
      <text>
        <r>
          <rPr>
            <sz val="10"/>
            <rFont val="Arial"/>
            <family val="2"/>
          </rPr>
          <t>reference:G239,G240,G241,G242
mrs:(G239,+,10.0000)  (G240,+,10.0000)  (G241,+,10.0000)  (G242,+,10.0000)  
Rotate:True</t>
        </r>
      </text>
    </comment>
    <comment ref="F251" authorId="0" shapeId="0" xr:uid="{00000000-0006-0000-0400-00006F000000}">
      <text>
        <r>
          <rPr>
            <sz val="10"/>
            <rFont val="Arial"/>
            <family val="2"/>
          </rPr>
          <t>reference:F252,F253
mrs:(F252,+,10.0000)  (F253,+,10.0000)  
Rotate:True</t>
        </r>
      </text>
    </comment>
    <comment ref="G251" authorId="0" shapeId="0" xr:uid="{00000000-0006-0000-0400-000070000000}">
      <text>
        <r>
          <rPr>
            <sz val="10"/>
            <rFont val="Arial"/>
            <family val="2"/>
          </rPr>
          <t>reference:G252,G253
mrs:(G252,+,10.0000)  (G253,+,10.0000)  
Rotate:True</t>
        </r>
      </text>
    </comment>
    <comment ref="F253" authorId="0" shapeId="0" xr:uid="{00000000-0006-0000-0400-000071000000}">
      <text>
        <r>
          <rPr>
            <sz val="10"/>
            <rFont val="Arial"/>
            <family val="2"/>
          </rPr>
          <t>reference:D60,E60,F60
mrs:(D60,+,10.0000)  (E60,+,-10.0000)  (F60,+,-10.0000)  
Rotate:True</t>
        </r>
      </text>
    </comment>
    <comment ref="F255" authorId="0" shapeId="0" xr:uid="{00000000-0006-0000-0400-000072000000}">
      <text>
        <r>
          <rPr>
            <sz val="10"/>
            <rFont val="Arial"/>
            <family val="2"/>
          </rPr>
          <t>reference:F250,F251
mrs:(F250,+,10.0000)  (F251,+,10.0000)  
Rotate:True</t>
        </r>
      </text>
    </comment>
    <comment ref="G255" authorId="0" shapeId="0" xr:uid="{00000000-0006-0000-0400-000073000000}">
      <text>
        <r>
          <rPr>
            <sz val="10"/>
            <rFont val="Arial"/>
            <family val="2"/>
          </rPr>
          <t>reference:G250,G251
mrs:(G250,+,10.0000)  (G251,+,10.0000)  
Rotate:True</t>
        </r>
      </text>
    </comment>
    <comment ref="F263" authorId="0" shapeId="0" xr:uid="{00000000-0006-0000-0400-000074000000}">
      <text>
        <r>
          <rPr>
            <sz val="10"/>
            <rFont val="Arial"/>
            <family val="2"/>
          </rPr>
          <t>reference:F261,F262
mrs:(F261,+,10.0000)  (F262,+,10.0000)  
Rotate:True</t>
        </r>
      </text>
    </comment>
    <comment ref="G263" authorId="0" shapeId="0" xr:uid="{00000000-0006-0000-0400-000075000000}">
      <text>
        <r>
          <rPr>
            <sz val="10"/>
            <rFont val="Arial"/>
            <family val="2"/>
          </rPr>
          <t>reference:G261,G262
mrs:(G261,+,10.0000)  (G262,+,10.0000)  
Rotate:True</t>
        </r>
      </text>
    </comment>
    <comment ref="F271" authorId="0" shapeId="0" xr:uid="{00000000-0006-0000-0400-000076000000}">
      <text>
        <r>
          <rPr>
            <sz val="10"/>
            <rFont val="Arial"/>
            <family val="2"/>
          </rPr>
          <t>reference:F291
mrs:(F291,+,10.0000)  
Rotate:True</t>
        </r>
      </text>
    </comment>
    <comment ref="G271" authorId="0" shapeId="0" xr:uid="{00000000-0006-0000-0400-000077000000}">
      <text>
        <r>
          <rPr>
            <sz val="10"/>
            <rFont val="Arial"/>
            <family val="2"/>
          </rPr>
          <t>reference:G291
mrs:(G291,+,10.0000)  
Rotate:True</t>
        </r>
      </text>
    </comment>
    <comment ref="F272" authorId="0" shapeId="0" xr:uid="{00000000-0006-0000-0400-000078000000}">
      <text>
        <r>
          <rPr>
            <sz val="10"/>
            <rFont val="Arial"/>
            <family val="2"/>
          </rPr>
          <t>reference:F302
mrs:(F302,+,10.0000)  
Rotate:True</t>
        </r>
      </text>
    </comment>
    <comment ref="G272" authorId="0" shapeId="0" xr:uid="{00000000-0006-0000-0400-000079000000}">
      <text>
        <r>
          <rPr>
            <sz val="10"/>
            <rFont val="Arial"/>
            <family val="2"/>
          </rPr>
          <t>reference:G302
mrs:(G302,+,10.0000)  
Rotate:True</t>
        </r>
      </text>
    </comment>
    <comment ref="F273" authorId="0" shapeId="0" xr:uid="{00000000-0006-0000-0400-00007A000000}">
      <text>
        <r>
          <rPr>
            <sz val="10"/>
            <rFont val="Arial"/>
            <family val="2"/>
          </rPr>
          <t>reference:F311
mrs:(F311,+,10.0000)  
Rotate:True</t>
        </r>
      </text>
    </comment>
    <comment ref="G273" authorId="0" shapeId="0" xr:uid="{00000000-0006-0000-0400-00007B000000}">
      <text>
        <r>
          <rPr>
            <sz val="10"/>
            <rFont val="Arial"/>
            <family val="2"/>
          </rPr>
          <t>reference:G311
mrs:(G311,+,10.0000)  
Rotate:True</t>
        </r>
      </text>
    </comment>
    <comment ref="F274" authorId="0" shapeId="0" xr:uid="{00000000-0006-0000-0400-00007C000000}">
      <text>
        <r>
          <rPr>
            <sz val="10"/>
            <rFont val="Arial"/>
            <family val="2"/>
          </rPr>
          <t>reference:F270,F271,F272,F273
mrs:(F270,+,10.0000)  (F271,+,10.0000)  (F272,+,10.0000)  (F273,+,10.0000)  
Rotate:True</t>
        </r>
      </text>
    </comment>
    <comment ref="G274" authorId="0" shapeId="0" xr:uid="{00000000-0006-0000-0400-00007D000000}">
      <text>
        <r>
          <rPr>
            <sz val="10"/>
            <rFont val="Arial"/>
            <family val="2"/>
          </rPr>
          <t>reference:G270,G271,G272,G273
mrs:(G270,+,10.0000)  (G271,+,10.0000)  (G272,+,10.0000)  (G273,+,10.0000)  
Rotate:True</t>
        </r>
      </text>
    </comment>
    <comment ref="F284" authorId="0" shapeId="0" xr:uid="{00000000-0006-0000-0400-00007E000000}">
      <text>
        <r>
          <rPr>
            <sz val="10"/>
            <rFont val="Arial"/>
            <family val="2"/>
          </rPr>
          <t>reference:F281,F282,F283
mrs:(F281,+,10.0000)  (F282,+,10.0000)  (F283,+,10.0000)  
Rotate:True</t>
        </r>
      </text>
    </comment>
    <comment ref="G284" authorId="0" shapeId="0" xr:uid="{00000000-0006-0000-0400-00007F000000}">
      <text>
        <r>
          <rPr>
            <sz val="10"/>
            <rFont val="Arial"/>
            <family val="2"/>
          </rPr>
          <t>reference:G281,G282,G283
mrs:(G281,+,10.0000)  (G282,+,10.0000)  (G283,+,10.0000)  
Rotate:True</t>
        </r>
      </text>
    </comment>
    <comment ref="F291" authorId="0" shapeId="0" xr:uid="{00000000-0006-0000-0400-000080000000}">
      <text>
        <r>
          <rPr>
            <sz val="10"/>
            <rFont val="Arial"/>
            <family val="2"/>
          </rPr>
          <t>reference:F289,F290
mrs:(F289,+,10.0000)  (F290,+,10.0000)  
Rotate:True</t>
        </r>
      </text>
    </comment>
    <comment ref="G291" authorId="0" shapeId="0" xr:uid="{00000000-0006-0000-0400-000081000000}">
      <text>
        <r>
          <rPr>
            <sz val="10"/>
            <rFont val="Arial"/>
            <family val="2"/>
          </rPr>
          <t>reference:G289,G290
mrs:(G289,+,10.0000)  (G290,+,10.0000)  
Rotate:True</t>
        </r>
      </text>
    </comment>
    <comment ref="F302" authorId="0" shapeId="0" xr:uid="{00000000-0006-0000-0400-000082000000}">
      <text>
        <r>
          <rPr>
            <sz val="10"/>
            <rFont val="Arial"/>
            <family val="2"/>
          </rPr>
          <t>reference:F297,F298,F299,F300,F301
mrs:(F297,+,10.0000)  (F298,+,10.0000)  (F299,+,10.0000)  (F300,+,10.0000)  (F301,+,10.0000)  
Rotate:True</t>
        </r>
      </text>
    </comment>
    <comment ref="G302" authorId="0" shapeId="0" xr:uid="{00000000-0006-0000-0400-000083000000}">
      <text>
        <r>
          <rPr>
            <sz val="10"/>
            <rFont val="Arial"/>
            <family val="2"/>
          </rPr>
          <t>reference:G296,G297,G298,G299,G300,G301
mrs:(G296,+,10.0000)  (G297,+,10.0000)  (G298,+,10.0000)  (G299,+,10.0000)  (G300,+,10.0000)  (G301,+,10.0000)  
Rotate:True</t>
        </r>
      </text>
    </comment>
    <comment ref="F311" authorId="0" shapeId="0" xr:uid="{00000000-0006-0000-0400-000084000000}">
      <text>
        <r>
          <rPr>
            <sz val="10"/>
            <rFont val="Arial"/>
            <family val="2"/>
          </rPr>
          <t>reference:F310
mrs:(F310,+,10.0000)  
Rotate:True</t>
        </r>
      </text>
    </comment>
    <comment ref="G311" authorId="0" shapeId="0" xr:uid="{00000000-0006-0000-0400-000085000000}">
      <text>
        <r>
          <rPr>
            <sz val="10"/>
            <rFont val="Arial"/>
            <family val="2"/>
          </rPr>
          <t>reference:G310
mrs:(G310,+,10.0000)  
Rotate:True</t>
        </r>
      </text>
    </comment>
    <comment ref="F319" authorId="0" shapeId="0" xr:uid="{00000000-0006-0000-0400-000086000000}">
      <text>
        <r>
          <rPr>
            <sz val="10"/>
            <rFont val="Arial"/>
            <family val="2"/>
          </rPr>
          <t>reference:F250
mrs:(F250,+,10.0000)  
Rotate:True</t>
        </r>
      </text>
    </comment>
    <comment ref="F321" authorId="0" shapeId="0" xr:uid="{00000000-0006-0000-0400-000087000000}">
      <text>
        <r>
          <rPr>
            <sz val="10"/>
            <rFont val="Arial"/>
            <family val="2"/>
          </rPr>
          <t>reference:F318,F319,F320
mrs:(F318,+,10.0000)  (F319,+,10.0000)  (F320,+,-10.0000)  
Rotate:True</t>
        </r>
      </text>
    </comment>
    <comment ref="G321" authorId="0" shapeId="0" xr:uid="{00000000-0006-0000-0400-000088000000}">
      <text>
        <r>
          <rPr>
            <sz val="10"/>
            <rFont val="Arial"/>
            <family val="2"/>
          </rPr>
          <t>reference:G318,G319,G320
mrs:(G318,+,10.0000)  (G319,+,10.0000)  (G320,+,-10.0000)  
Rotate:True</t>
        </r>
      </text>
    </comment>
    <comment ref="F331" authorId="0" shapeId="0" xr:uid="{00000000-0006-0000-0400-000089000000}">
      <text>
        <r>
          <rPr>
            <sz val="10"/>
            <rFont val="Arial"/>
            <family val="2"/>
          </rPr>
          <t>reference:F328,F329,F330
mrs:(F328,+,10.0000)  (F329,+,10.0000)  (F330,+,-10.0000)  
Rotate:True</t>
        </r>
      </text>
    </comment>
    <comment ref="G331" authorId="0" shapeId="0" xr:uid="{00000000-0006-0000-0400-00008A000000}">
      <text>
        <r>
          <rPr>
            <sz val="10"/>
            <rFont val="Arial"/>
            <family val="2"/>
          </rPr>
          <t>reference:G328,G329,G330
mrs:(G328,+,10.0000)  (G329,+,10.0000)  (G330,+,-10.0000)  
Rotate:True</t>
        </r>
      </text>
    </comment>
    <comment ref="F338" authorId="0" shapeId="0" xr:uid="{00000000-0006-0000-0400-00008B000000}">
      <text>
        <r>
          <rPr>
            <sz val="10"/>
            <rFont val="Arial"/>
            <family val="2"/>
          </rPr>
          <t>reference:F346
mrs:(F346,+,10.0000)  
Rotate:True</t>
        </r>
      </text>
    </comment>
    <comment ref="G338" authorId="0" shapeId="0" xr:uid="{00000000-0006-0000-0400-00008C000000}">
      <text>
        <r>
          <rPr>
            <sz val="10"/>
            <rFont val="Arial"/>
            <family val="2"/>
          </rPr>
          <t>reference:G346
mrs:(G346,+,10.0000)  
Rotate:True</t>
        </r>
      </text>
    </comment>
    <comment ref="F339" authorId="0" shapeId="0" xr:uid="{00000000-0006-0000-0400-00008D000000}">
      <text>
        <r>
          <rPr>
            <sz val="10"/>
            <rFont val="Arial"/>
            <family val="2"/>
          </rPr>
          <t>reference:F337,F338
mrs:(F337,+,10.0000)  (F338,+,10.0000)  
Rotate:True</t>
        </r>
      </text>
    </comment>
    <comment ref="G339" authorId="0" shapeId="0" xr:uid="{00000000-0006-0000-0400-00008E000000}">
      <text>
        <r>
          <rPr>
            <sz val="10"/>
            <rFont val="Arial"/>
            <family val="2"/>
          </rPr>
          <t>reference:G337,G338
mrs:(G337,+,10.0000)  (G338,+,10.0000)  
Rotate:True</t>
        </r>
      </text>
    </comment>
    <comment ref="F346" authorId="0" shapeId="0" xr:uid="{00000000-0006-0000-0400-00008F000000}">
      <text>
        <r>
          <rPr>
            <sz val="10"/>
            <rFont val="Arial"/>
            <family val="2"/>
          </rPr>
          <t>reference:F343,F344,F345
mrs:(F343,+,10.0000)  (F344,+,10.0000)  (F345,+,10.0000)  
Rotate:True</t>
        </r>
      </text>
    </comment>
    <comment ref="G346" authorId="0" shapeId="0" xr:uid="{00000000-0006-0000-0400-000090000000}">
      <text>
        <r>
          <rPr>
            <sz val="10"/>
            <rFont val="Arial"/>
            <family val="2"/>
          </rPr>
          <t>reference:G343,G344
mrs:(G343,+,10.0000)  (G344,+,10.0000)  
Rotate:True</t>
        </r>
      </text>
    </comment>
    <comment ref="I353" authorId="0" shapeId="0" xr:uid="{00000000-0006-0000-0400-000091000000}">
      <text>
        <r>
          <rPr>
            <sz val="10"/>
            <rFont val="Arial"/>
            <family val="2"/>
          </rPr>
          <t>reference:I352
mrs:(I352,+,10.0000)  
Rotate:True</t>
        </r>
      </text>
    </comment>
    <comment ref="F354" authorId="0" shapeId="0" xr:uid="{00000000-0006-0000-0400-000092000000}">
      <text>
        <r>
          <rPr>
            <sz val="10"/>
            <rFont val="Arial"/>
            <family val="2"/>
          </rPr>
          <t>reference:F355,F356,F357
mrs:(F355,+,10.0000)  (F356,+,10.0000)  (F357,+,10.0000)  
Rotate:True</t>
        </r>
      </text>
    </comment>
    <comment ref="G354" authorId="0" shapeId="0" xr:uid="{00000000-0006-0000-0400-000093000000}">
      <text>
        <r>
          <rPr>
            <sz val="10"/>
            <rFont val="Arial"/>
            <family val="2"/>
          </rPr>
          <t>reference:G355,G356,G357
mrs:(G355,+,10.0000)  (G356,+,10.0000)  (G357,+,10.0000)  
Rotate:True</t>
        </r>
      </text>
    </comment>
    <comment ref="F355" authorId="0" shapeId="0" xr:uid="{00000000-0006-0000-0400-000094000000}">
      <text>
        <r>
          <rPr>
            <sz val="10"/>
            <rFont val="Arial"/>
            <family val="2"/>
          </rPr>
          <t>reference:F36
mrs:
Rotate:True</t>
        </r>
      </text>
    </comment>
    <comment ref="G355" authorId="0" shapeId="0" xr:uid="{00000000-0006-0000-0400-000095000000}">
      <text>
        <r>
          <rPr>
            <sz val="10"/>
            <rFont val="Arial"/>
            <family val="2"/>
          </rPr>
          <t>reference:G36
mrs:
Rotate:False</t>
        </r>
      </text>
    </comment>
    <comment ref="I355" authorId="0" shapeId="0" xr:uid="{00000000-0006-0000-0400-000096000000}">
      <text>
        <r>
          <rPr>
            <sz val="10"/>
            <rFont val="Arial"/>
            <family val="2"/>
          </rPr>
          <t>reference:I353,I354
mrs:(I353,+,10.0000)  (I354,+,10.0000)  
Rotate:True</t>
        </r>
      </text>
    </comment>
    <comment ref="H357" authorId="0" shapeId="0" xr:uid="{00000000-0006-0000-0400-000097000000}">
      <text>
        <r>
          <rPr>
            <sz val="10"/>
            <rFont val="Arial"/>
            <family val="2"/>
          </rPr>
          <t>reference:G357
mrs:(G357,+,10.0000)  
Rotate:True</t>
        </r>
      </text>
    </comment>
    <comment ref="F359" authorId="0" shapeId="0" xr:uid="{00000000-0006-0000-0400-000098000000}">
      <text>
        <r>
          <rPr>
            <sz val="10"/>
            <rFont val="Arial"/>
            <family val="2"/>
          </rPr>
          <t>reference:F352,F354
mrs:(F352,+,10.0000)  (F354,+,10.0000)  
Rotate:True</t>
        </r>
      </text>
    </comment>
    <comment ref="G359" authorId="0" shapeId="0" xr:uid="{00000000-0006-0000-0400-000099000000}">
      <text>
        <r>
          <rPr>
            <sz val="10"/>
            <rFont val="Arial"/>
            <family val="2"/>
          </rPr>
          <t>reference:G352,G354
mrs:(G352,+,10.0000)  (G354,+,10.0000)  
Rotate:True</t>
        </r>
      </text>
    </comment>
    <comment ref="H364" authorId="0" shapeId="0" xr:uid="{00000000-0006-0000-0400-00009A000000}">
      <text>
        <r>
          <rPr>
            <sz val="10"/>
            <rFont val="Arial"/>
            <family val="2"/>
          </rPr>
          <t>reference:H362,H363
mrs:(H362,+,10.0000)  (H363,+,10.0000)  
Rotate:True</t>
        </r>
      </text>
    </comment>
    <comment ref="I364" authorId="0" shapeId="0" xr:uid="{00000000-0006-0000-0400-00009B000000}">
      <text>
        <r>
          <rPr>
            <sz val="10"/>
            <rFont val="Arial"/>
            <family val="2"/>
          </rPr>
          <t>reference:I362,I363
mrs:(I362,+,10.0000)  (I363,+,10.0000)  
Rotate:True</t>
        </r>
      </text>
    </comment>
    <comment ref="F365" authorId="0" shapeId="0" xr:uid="{00000000-0006-0000-0400-00009C000000}">
      <text>
        <r>
          <rPr>
            <sz val="10"/>
            <rFont val="Arial"/>
            <family val="2"/>
          </rPr>
          <t>reference:F362,F363,F364
mrs:(F362,+,10.0000)  (F363,+,10.0000)  (F364,+,10.0000)  
Rotate:True</t>
        </r>
      </text>
    </comment>
    <comment ref="G365" authorId="0" shapeId="0" xr:uid="{00000000-0006-0000-0400-00009D000000}">
      <text>
        <r>
          <rPr>
            <sz val="10"/>
            <rFont val="Arial"/>
            <family val="2"/>
          </rPr>
          <t>reference:G362,G363,G364
mrs:(G362,+,10.0000)  (G363,+,10.0000)  (G364,+,10.0000)  
Rotate:True</t>
        </r>
      </text>
    </comment>
    <comment ref="H365" authorId="0" shapeId="0" xr:uid="{00000000-0006-0000-0400-00009E000000}">
      <text>
        <r>
          <rPr>
            <sz val="10"/>
            <rFont val="Arial"/>
            <family val="2"/>
          </rPr>
          <t>reference:I364
mrs:(I364,+,-10.0000)  
Rotate:True</t>
        </r>
      </text>
    </comment>
    <comment ref="H366" authorId="0" shapeId="0" xr:uid="{00000000-0006-0000-0400-00009F000000}">
      <text>
        <r>
          <rPr>
            <sz val="10"/>
            <rFont val="Arial"/>
            <family val="2"/>
          </rPr>
          <t>reference:H364,H365
mrs:(H364,+,10.0000)  (H365,+,10.0000)  
Rotate:True</t>
        </r>
      </text>
    </comment>
    <comment ref="I369" authorId="0" shapeId="0" xr:uid="{00000000-0006-0000-0400-0000A0000000}">
      <text>
        <r>
          <rPr>
            <sz val="10"/>
            <rFont val="Arial"/>
            <family val="2"/>
          </rPr>
          <t>reference:I368
mrs:(I368,+,10.0000)  
Rotate:True</t>
        </r>
      </text>
    </comment>
    <comment ref="F371" authorId="0" shapeId="0" xr:uid="{00000000-0006-0000-0400-0000A1000000}">
      <text>
        <r>
          <rPr>
            <sz val="10"/>
            <rFont val="Arial"/>
            <family val="2"/>
          </rPr>
          <t>reference:F320
mrs:(F320,+,10.0000)  
Rotate:True</t>
        </r>
      </text>
    </comment>
    <comment ref="G371" authorId="0" shapeId="0" xr:uid="{00000000-0006-0000-0400-0000A2000000}">
      <text>
        <r>
          <rPr>
            <sz val="10"/>
            <rFont val="Arial"/>
            <family val="2"/>
          </rPr>
          <t>reference:G320
mrs:(G320,+,10.0000)  
Rotate:True</t>
        </r>
      </text>
    </comment>
    <comment ref="F372" authorId="0" shapeId="0" xr:uid="{00000000-0006-0000-0400-0000A3000000}">
      <text>
        <r>
          <rPr>
            <sz val="10"/>
            <rFont val="Arial"/>
            <family val="2"/>
          </rPr>
          <t>reference:F330
mrs:(F330,+,10.0000)  
Rotate:True</t>
        </r>
      </text>
    </comment>
    <comment ref="F373" authorId="0" shapeId="0" xr:uid="{00000000-0006-0000-0400-0000A4000000}">
      <text>
        <r>
          <rPr>
            <sz val="10"/>
            <rFont val="Arial"/>
            <family val="2"/>
          </rPr>
          <t>reference:F371,F372
mrs:(F371,+,10.0000)  (F372,+,10.0000)  
Rotate:True</t>
        </r>
      </text>
    </comment>
    <comment ref="G373" authorId="0" shapeId="0" xr:uid="{00000000-0006-0000-0400-0000A5000000}">
      <text>
        <r>
          <rPr>
            <sz val="10"/>
            <rFont val="Arial"/>
            <family val="2"/>
          </rPr>
          <t>reference:G371,G372
mrs:(G371,+,10.0000)  (G372,+,10.0000)  
Rotate:True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F8" authorId="0" shapeId="0" xr:uid="{00000000-0006-0000-0500-000001000000}">
      <text>
        <r>
          <rPr>
            <sz val="10"/>
            <rFont val="Arial"/>
            <family val="2"/>
          </rPr>
          <t>reference:F6,F7
mrs:(F6,+,10.0000)  (F7,+,10.0000)  
Rotate:True</t>
        </r>
      </text>
    </comment>
    <comment ref="G8" authorId="0" shapeId="0" xr:uid="{00000000-0006-0000-0500-000002000000}">
      <text>
        <r>
          <rPr>
            <sz val="10"/>
            <rFont val="Arial"/>
            <family val="2"/>
          </rPr>
          <t>reference:G6,G7
mrs:(G6,+,10.0000)  (G7,+,10.0000)  
Rotate:True</t>
        </r>
      </text>
    </comment>
    <comment ref="F15" authorId="0" shapeId="0" xr:uid="{00000000-0006-0000-0500-000003000000}">
      <text>
        <r>
          <rPr>
            <sz val="10"/>
            <rFont val="Arial"/>
            <family val="2"/>
          </rPr>
          <t>reference:F14
mrs:(F14,+,10.0000)  
Rotate:True</t>
        </r>
      </text>
    </comment>
    <comment ref="G15" authorId="0" shapeId="0" xr:uid="{00000000-0006-0000-0500-000004000000}">
      <text>
        <r>
          <rPr>
            <sz val="10"/>
            <rFont val="Arial"/>
            <family val="2"/>
          </rPr>
          <t>reference:G14
mrs:(G14,+,10.0000)  
Rotate:True</t>
        </r>
      </text>
    </comment>
    <comment ref="F19" authorId="0" shapeId="0" xr:uid="{00000000-0006-0000-0500-000005000000}">
      <text>
        <r>
          <rPr>
            <sz val="10"/>
            <rFont val="Arial"/>
            <family val="2"/>
          </rPr>
          <t>reference:F18
mrs:(F18,+,10.0000)  
Rotate:True</t>
        </r>
      </text>
    </comment>
    <comment ref="G19" authorId="0" shapeId="0" xr:uid="{00000000-0006-0000-0500-000006000000}">
      <text>
        <r>
          <rPr>
            <sz val="10"/>
            <rFont val="Arial"/>
            <family val="2"/>
          </rPr>
          <t>reference:G18
mrs:(G18,+,10.0000)  
Rotate:True</t>
        </r>
      </text>
    </comment>
    <comment ref="F21" authorId="0" shapeId="0" xr:uid="{00000000-0006-0000-0500-000007000000}">
      <text>
        <r>
          <rPr>
            <sz val="10"/>
            <rFont val="Arial"/>
            <family val="2"/>
          </rPr>
          <t>reference:F15,F19
mrs:(F15,+,10.0000)  (F19,+,10.0000)  
Rotate:True</t>
        </r>
      </text>
    </comment>
    <comment ref="G21" authorId="0" shapeId="0" xr:uid="{00000000-0006-0000-0500-000008000000}">
      <text>
        <r>
          <rPr>
            <sz val="10"/>
            <rFont val="Arial"/>
            <family val="2"/>
          </rPr>
          <t>reference:G15,G19
mrs:(G15,+,10.0000)  (G19,+,10.0000)  
Rotate:True</t>
        </r>
      </text>
    </comment>
    <comment ref="F31" authorId="0" shapeId="0" xr:uid="{00000000-0006-0000-0500-000009000000}">
      <text>
        <r>
          <rPr>
            <sz val="10"/>
            <rFont val="Arial"/>
            <family val="2"/>
          </rPr>
          <t>reference:F27,F28,F29,F30
mrs:(F27,+,10.0000)  (F28,+,10.0000)  (F29,+,10.0000)  (F30,+,10.0000)  
Rotate:True</t>
        </r>
      </text>
    </comment>
    <comment ref="G31" authorId="0" shapeId="0" xr:uid="{00000000-0006-0000-0500-00000A000000}">
      <text>
        <r>
          <rPr>
            <sz val="10"/>
            <rFont val="Arial"/>
            <family val="2"/>
          </rPr>
          <t>reference:G27,G28,G29,G30
mrs:(G27,+,10.0000)  (G28,+,10.0000)  (G29,+,10.0000)  (G30,+,10.0000)  
Rotate:True</t>
        </r>
      </text>
    </comment>
    <comment ref="F39" authorId="0" shapeId="0" xr:uid="{00000000-0006-0000-0500-00000B000000}">
      <text>
        <r>
          <rPr>
            <sz val="10"/>
            <rFont val="Arial"/>
            <family val="2"/>
          </rPr>
          <t>reference:F34,F35,F36,F37,F38
mrs:(F34,+,10.0000)  (F35,+,10.0000)  (F36,+,10.0000)  (F37,+,10.0000)  (F38,+,10.0000)  
Rotate:True</t>
        </r>
      </text>
    </comment>
    <comment ref="G39" authorId="0" shapeId="0" xr:uid="{00000000-0006-0000-0500-00000C000000}">
      <text>
        <r>
          <rPr>
            <sz val="10"/>
            <rFont val="Arial"/>
            <family val="2"/>
          </rPr>
          <t>reference:G34,G35,G36,G37,G38
mrs:(G34,+,10.0000)  (G35,+,10.0000)  (G36,+,10.0000)  (G37,+,10.0000)  (G38,+,10.0000)  
Rotate:True</t>
        </r>
      </text>
    </comment>
    <comment ref="F48" authorId="0" shapeId="0" xr:uid="{00000000-0006-0000-0500-00000D000000}">
      <text>
        <r>
          <rPr>
            <sz val="10"/>
            <rFont val="Arial"/>
            <family val="2"/>
          </rPr>
          <t>reference:F45,F46,F47
mrs:(F45,+,10.0000)  (F46,+,10.0000)  (F47,+,10.0000)  
Rotate:True</t>
        </r>
      </text>
    </comment>
    <comment ref="G48" authorId="0" shapeId="0" xr:uid="{00000000-0006-0000-0500-00000E000000}">
      <text>
        <r>
          <rPr>
            <sz val="10"/>
            <rFont val="Arial"/>
            <family val="2"/>
          </rPr>
          <t>reference:G45,G46,G47
mrs:(G45,+,10.0000)  (G46,+,10.0000)  (G47,+,10.0000)  
Rotate:True</t>
        </r>
      </text>
    </comment>
    <comment ref="E57" authorId="0" shapeId="0" xr:uid="{00000000-0006-0000-0500-00000F000000}">
      <text>
        <r>
          <rPr>
            <sz val="10"/>
            <rFont val="Arial"/>
            <family val="2"/>
          </rPr>
          <t>reference:F57
mrs:(F57,+,10.0000)  
Rotate:True</t>
        </r>
      </text>
    </comment>
    <comment ref="E58" authorId="0" shapeId="0" xr:uid="{00000000-0006-0000-0500-000010000000}">
      <text>
        <r>
          <rPr>
            <sz val="10"/>
            <rFont val="Arial"/>
            <family val="2"/>
          </rPr>
          <t>reference:F58
mrs:(F58,+,10.0000)  
Rotate:True</t>
        </r>
      </text>
    </comment>
    <comment ref="E59" authorId="0" shapeId="0" xr:uid="{00000000-0006-0000-0500-000011000000}">
      <text>
        <r>
          <rPr>
            <sz val="10"/>
            <rFont val="Arial"/>
            <family val="2"/>
          </rPr>
          <t>reference:F59
mrs:(F59,+,10.0000)  
Rotate:True</t>
        </r>
      </text>
    </comment>
    <comment ref="E60" authorId="0" shapeId="0" xr:uid="{00000000-0006-0000-0500-000012000000}">
      <text>
        <r>
          <rPr>
            <sz val="10"/>
            <rFont val="Arial"/>
            <family val="2"/>
          </rPr>
          <t>reference:E57,E58,E59
mrs:(E57,+,10.0000)  (E58,+,10.0000)  (E59,+,10.0000)  
Rotate:True</t>
        </r>
      </text>
    </comment>
    <comment ref="F60" authorId="0" shapeId="0" xr:uid="{00000000-0006-0000-0500-000013000000}">
      <text>
        <r>
          <rPr>
            <sz val="10"/>
            <rFont val="Arial"/>
            <family val="2"/>
          </rPr>
          <t>reference:F57,F58,F59
mrs:(F57,+,10.0000)  (F58,+,10.0000)  (F59,+,10.0000)  
Rotate:True</t>
        </r>
      </text>
    </comment>
    <comment ref="G60" authorId="0" shapeId="0" xr:uid="{00000000-0006-0000-0500-000014000000}">
      <text>
        <r>
          <rPr>
            <sz val="10"/>
            <rFont val="Arial"/>
            <family val="2"/>
          </rPr>
          <t>reference:G57,G58,G59
mrs:(G57,+,10.0000)  (G58,+,10.0000)  (G59,+,10.0000)  
Rotate:True</t>
        </r>
      </text>
    </comment>
    <comment ref="E62" authorId="0" shapeId="0" xr:uid="{00000000-0006-0000-0500-000015000000}">
      <text>
        <r>
          <rPr>
            <sz val="10"/>
            <rFont val="Arial"/>
            <family val="2"/>
          </rPr>
          <t>reference:E60
mrs:(E60,+,10.0000)  
Rotate:True</t>
        </r>
      </text>
    </comment>
    <comment ref="F62" authorId="0" shapeId="0" xr:uid="{00000000-0006-0000-0500-000016000000}">
      <text>
        <r>
          <rPr>
            <sz val="10"/>
            <rFont val="Arial"/>
            <family val="2"/>
          </rPr>
          <t>reference:F60
mrs:(F60,+,10.0000)  
Rotate:True</t>
        </r>
      </text>
    </comment>
    <comment ref="G62" authorId="0" shapeId="0" xr:uid="{00000000-0006-0000-0500-000017000000}">
      <text>
        <r>
          <rPr>
            <sz val="10"/>
            <rFont val="Arial"/>
            <family val="2"/>
          </rPr>
          <t>reference:G60
mrs:(G60,+,10.0000)  
Rotate:True</t>
        </r>
      </text>
    </comment>
    <comment ref="E65" authorId="0" shapeId="0" xr:uid="{00000000-0006-0000-0500-000018000000}">
      <text>
        <r>
          <rPr>
            <sz val="10"/>
            <rFont val="Arial"/>
            <family val="2"/>
          </rPr>
          <t>reference:F65
mrs:(F65,+,10.0000)  
Rotate:True</t>
        </r>
      </text>
    </comment>
    <comment ref="E66" authorId="0" shapeId="0" xr:uid="{00000000-0006-0000-0500-000019000000}">
      <text>
        <r>
          <rPr>
            <sz val="10"/>
            <rFont val="Arial"/>
            <family val="2"/>
          </rPr>
          <t>reference:F66
mrs:(F66,+,10.0000)  
Rotate:True</t>
        </r>
      </text>
    </comment>
    <comment ref="E67" authorId="0" shapeId="0" xr:uid="{00000000-0006-0000-0500-00001A000000}">
      <text>
        <r>
          <rPr>
            <sz val="10"/>
            <rFont val="Arial"/>
            <family val="2"/>
          </rPr>
          <t>reference:F67
mrs:(F67,+,10.0000)  
Rotate:True</t>
        </r>
      </text>
    </comment>
    <comment ref="E68" authorId="0" shapeId="0" xr:uid="{00000000-0006-0000-0500-00001B000000}">
      <text>
        <r>
          <rPr>
            <sz val="10"/>
            <rFont val="Arial"/>
            <family val="2"/>
          </rPr>
          <t>reference:E65,E66,E67
mrs:(E65,+,10.0000)  (E66,+,10.0000)  (E67,+,10.0000)  
Rotate:True</t>
        </r>
      </text>
    </comment>
    <comment ref="F68" authorId="0" shapeId="0" xr:uid="{00000000-0006-0000-0500-00001C000000}">
      <text>
        <r>
          <rPr>
            <sz val="10"/>
            <rFont val="Arial"/>
            <family val="2"/>
          </rPr>
          <t>reference:F65,F66,F67
mrs:(F65,+,10.0000)  (F66,+,10.0000)  (F67,+,10.0000)  
Rotate:True</t>
        </r>
      </text>
    </comment>
    <comment ref="G68" authorId="0" shapeId="0" xr:uid="{00000000-0006-0000-0500-00001D000000}">
      <text>
        <r>
          <rPr>
            <sz val="10"/>
            <rFont val="Arial"/>
            <family val="2"/>
          </rPr>
          <t>reference:G65,G66,G67
mrs:(G65,+,10.0000)  (G66,+,10.0000)  (G67,+,10.0000)  
Rotate:False</t>
        </r>
      </text>
    </comment>
    <comment ref="E70" authorId="0" shapeId="0" xr:uid="{00000000-0006-0000-0500-00001E000000}">
      <text>
        <r>
          <rPr>
            <sz val="10"/>
            <rFont val="Arial"/>
            <family val="2"/>
          </rPr>
          <t>reference:E68
mrs:(E68,+,10.0000)  
Rotate:True</t>
        </r>
      </text>
    </comment>
    <comment ref="F70" authorId="0" shapeId="0" xr:uid="{00000000-0006-0000-0500-00001F000000}">
      <text>
        <r>
          <rPr>
            <sz val="10"/>
            <rFont val="Arial"/>
            <family val="2"/>
          </rPr>
          <t>reference:F68
mrs:(F68,+,10.0000)  
Rotate:True</t>
        </r>
      </text>
    </comment>
    <comment ref="G70" authorId="0" shapeId="0" xr:uid="{00000000-0006-0000-0500-000020000000}">
      <text>
        <r>
          <rPr>
            <sz val="10"/>
            <rFont val="Arial"/>
            <family val="2"/>
          </rPr>
          <t>reference:G68
mrs:(G68,+,10.0000)  
Rotate:True</t>
        </r>
      </text>
    </comment>
    <comment ref="E73" authorId="0" shapeId="0" xr:uid="{00000000-0006-0000-0500-000021000000}">
      <text>
        <r>
          <rPr>
            <sz val="10"/>
            <rFont val="Arial"/>
            <family val="2"/>
          </rPr>
          <t>reference:F73
mrs:(F73,+,10.0000)  
Rotate:True</t>
        </r>
      </text>
    </comment>
    <comment ref="E74" authorId="0" shapeId="0" xr:uid="{00000000-0006-0000-0500-000022000000}">
      <text>
        <r>
          <rPr>
            <sz val="10"/>
            <rFont val="Arial"/>
            <family val="2"/>
          </rPr>
          <t>reference:F74
mrs:(F74,+,10.0000)  
Rotate:True</t>
        </r>
      </text>
    </comment>
    <comment ref="E75" authorId="0" shapeId="0" xr:uid="{00000000-0006-0000-0500-000023000000}">
      <text>
        <r>
          <rPr>
            <sz val="10"/>
            <rFont val="Arial"/>
            <family val="2"/>
          </rPr>
          <t>reference:F75
mrs:(F75,+,10.0000)  
Rotate:True</t>
        </r>
      </text>
    </comment>
    <comment ref="E76" authorId="0" shapeId="0" xr:uid="{00000000-0006-0000-0500-000024000000}">
      <text>
        <r>
          <rPr>
            <sz val="10"/>
            <rFont val="Arial"/>
            <family val="2"/>
          </rPr>
          <t>reference:E73,E74,E75
mrs:(E73,+,10.0000)  (E74,+,10.0000)  (E75,+,10.0000)  
Rotate:True</t>
        </r>
      </text>
    </comment>
    <comment ref="F76" authorId="0" shapeId="0" xr:uid="{00000000-0006-0000-0500-000025000000}">
      <text>
        <r>
          <rPr>
            <sz val="10"/>
            <rFont val="Arial"/>
            <family val="2"/>
          </rPr>
          <t>reference:F73,F74,F75
mrs:(F73,+,10.0000)  (F74,+,10.0000)  (F75,+,10.0000)  
Rotate:True</t>
        </r>
      </text>
    </comment>
    <comment ref="G76" authorId="0" shapeId="0" xr:uid="{00000000-0006-0000-0500-000026000000}">
      <text>
        <r>
          <rPr>
            <sz val="10"/>
            <rFont val="Arial"/>
            <family val="2"/>
          </rPr>
          <t>reference:G73,G74,G75
mrs:(G73,+,10.0000)  (G74,+,10.0000)  (G75,+,10.0000)  
Rotate:False</t>
        </r>
      </text>
    </comment>
    <comment ref="E78" authorId="0" shapeId="0" xr:uid="{00000000-0006-0000-0500-000027000000}">
      <text>
        <r>
          <rPr>
            <sz val="10"/>
            <rFont val="Arial"/>
            <family val="2"/>
          </rPr>
          <t>reference:E76
mrs:(E76,+,10.0000)  
Rotate:True</t>
        </r>
      </text>
    </comment>
    <comment ref="F78" authorId="0" shapeId="0" xr:uid="{00000000-0006-0000-0500-000028000000}">
      <text>
        <r>
          <rPr>
            <sz val="10"/>
            <rFont val="Arial"/>
            <family val="2"/>
          </rPr>
          <t>reference:F76
mrs:(F76,+,10.0000)  
Rotate:True</t>
        </r>
      </text>
    </comment>
    <comment ref="G78" authorId="0" shapeId="0" xr:uid="{00000000-0006-0000-0500-000029000000}">
      <text>
        <r>
          <rPr>
            <sz val="10"/>
            <rFont val="Arial"/>
            <family val="2"/>
          </rPr>
          <t>reference:G76
mrs:(G76,+,10.0000)  
Rotate:True</t>
        </r>
      </text>
    </comment>
    <comment ref="E80" authorId="0" shapeId="0" xr:uid="{00000000-0006-0000-0500-00002A000000}">
      <text>
        <r>
          <rPr>
            <sz val="10"/>
            <rFont val="Arial"/>
            <family val="2"/>
          </rPr>
          <t>reference:E62,E70,E78
mrs:(E62,+,10.0000)  (E70,+,10.0000)  (E78,+,10.0000)  
Rotate:True</t>
        </r>
      </text>
    </comment>
    <comment ref="F80" authorId="0" shapeId="0" xr:uid="{00000000-0006-0000-0500-00002B000000}">
      <text>
        <r>
          <rPr>
            <sz val="10"/>
            <rFont val="Arial"/>
            <family val="2"/>
          </rPr>
          <t>reference:F62,F70,F78
mrs:(F62,+,10.0000)  (F70,+,10.0000)  (F78,+,10.0000)  
Rotate:True</t>
        </r>
      </text>
    </comment>
    <comment ref="G80" authorId="0" shapeId="0" xr:uid="{00000000-0006-0000-0500-00002C000000}">
      <text>
        <r>
          <rPr>
            <sz val="10"/>
            <rFont val="Arial"/>
            <family val="2"/>
          </rPr>
          <t>reference:G62,G70,G78
mrs:(G62,+,10.0000)  (G70,+,10.0000)  (G78,+,10.0000)  
Rotate:True</t>
        </r>
      </text>
    </comment>
    <comment ref="E89" authorId="0" shapeId="0" xr:uid="{00000000-0006-0000-0500-00002D000000}">
      <text>
        <r>
          <rPr>
            <sz val="10"/>
            <rFont val="Arial"/>
            <family val="2"/>
          </rPr>
          <t>reference:E85,E86,E87,E88
mrs:(E85,+,10.0000)  (E86,+,10.0000)  (E87,+,10.0000)  (E88,+,10.0000)  
Rotate:True</t>
        </r>
      </text>
    </comment>
    <comment ref="F89" authorId="0" shapeId="0" xr:uid="{00000000-0006-0000-0500-00002E000000}">
      <text>
        <r>
          <rPr>
            <sz val="10"/>
            <rFont val="Arial"/>
            <family val="2"/>
          </rPr>
          <t>reference:F85,F86,F87,F88
mrs:(F85,+,10.0000)  (F86,+,10.0000)  (F87,+,10.0000)  (F88,+,10.0000)  
Rotate:True</t>
        </r>
      </text>
    </comment>
    <comment ref="G89" authorId="0" shapeId="0" xr:uid="{00000000-0006-0000-0500-00002F000000}">
      <text>
        <r>
          <rPr>
            <sz val="10"/>
            <rFont val="Arial"/>
            <family val="2"/>
          </rPr>
          <t>reference:G85,G86,G87,G88
mrs:(G85,+,10.0000)  (G86,+,10.0000)  (G87,+,10.0000)  (G88,+,10.0000)  
Rotate:True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F8" authorId="0" shapeId="0" xr:uid="{00000000-0006-0000-0600-000001000000}">
      <text>
        <r>
          <rPr>
            <sz val="10"/>
            <rFont val="Arial"/>
            <family val="2"/>
          </rPr>
          <t>reference:D8,E8
mrs:(D8,+,10.0000)  (E8,+,10.0000)  
Rotate:True</t>
        </r>
      </text>
    </comment>
    <comment ref="I8" authorId="0" shapeId="0" xr:uid="{00000000-0006-0000-0600-000002000000}">
      <text>
        <r>
          <rPr>
            <sz val="10"/>
            <rFont val="Arial"/>
            <family val="2"/>
          </rPr>
          <t>reference:G8,F8
mrs:
Rotate:True</t>
        </r>
      </text>
    </comment>
    <comment ref="F9" authorId="0" shapeId="0" xr:uid="{00000000-0006-0000-0600-000003000000}">
      <text>
        <r>
          <rPr>
            <sz val="10"/>
            <rFont val="Arial"/>
            <family val="2"/>
          </rPr>
          <t>reference:D9,E9
mrs:(D9,+,10.0000)  (E9,+,10.0000)  
Rotate:True</t>
        </r>
      </text>
    </comment>
    <comment ref="I9" authorId="0" shapeId="0" xr:uid="{00000000-0006-0000-0600-000004000000}">
      <text>
        <r>
          <rPr>
            <sz val="10"/>
            <rFont val="Arial"/>
            <family val="2"/>
          </rPr>
          <t>reference:G9,F9
mrs:
Rotate:True</t>
        </r>
      </text>
    </comment>
    <comment ref="F10" authorId="0" shapeId="0" xr:uid="{00000000-0006-0000-0600-000005000000}">
      <text>
        <r>
          <rPr>
            <sz val="10"/>
            <rFont val="Arial"/>
            <family val="2"/>
          </rPr>
          <t>reference:D10,E10
mrs:(D10,+,10.0000)  (E10,+,10.0000)  
Rotate:True</t>
        </r>
      </text>
    </comment>
    <comment ref="I10" authorId="0" shapeId="0" xr:uid="{00000000-0006-0000-0600-000006000000}">
      <text>
        <r>
          <rPr>
            <sz val="10"/>
            <rFont val="Arial"/>
            <family val="2"/>
          </rPr>
          <t>reference:G10,F10
mrs:
Rotate:True</t>
        </r>
      </text>
    </comment>
    <comment ref="F11" authorId="0" shapeId="0" xr:uid="{00000000-0006-0000-0600-000007000000}">
      <text>
        <r>
          <rPr>
            <sz val="10"/>
            <rFont val="Arial"/>
            <family val="2"/>
          </rPr>
          <t>reference:D11,E11
mrs:(D11,+,10.0000)  (E11,+,10.0000)  
Rotate:True</t>
        </r>
      </text>
    </comment>
    <comment ref="I11" authorId="0" shapeId="0" xr:uid="{00000000-0006-0000-0600-000008000000}">
      <text>
        <r>
          <rPr>
            <sz val="10"/>
            <rFont val="Arial"/>
            <family val="2"/>
          </rPr>
          <t>reference:G11,F11
mrs:
Rotate:True</t>
        </r>
      </text>
    </comment>
    <comment ref="F12" authorId="0" shapeId="0" xr:uid="{00000000-0006-0000-0600-000009000000}">
      <text>
        <r>
          <rPr>
            <sz val="10"/>
            <rFont val="Arial"/>
            <family val="2"/>
          </rPr>
          <t>reference:D12,E12
mrs:(D12,+,10.0000)  (E12,+,10.0000)  
Rotate:True</t>
        </r>
      </text>
    </comment>
    <comment ref="I12" authorId="0" shapeId="0" xr:uid="{00000000-0006-0000-0600-00000A000000}">
      <text>
        <r>
          <rPr>
            <sz val="10"/>
            <rFont val="Arial"/>
            <family val="2"/>
          </rPr>
          <t>reference:G12,F12
mrs:
Rotate:True</t>
        </r>
      </text>
    </comment>
    <comment ref="F13" authorId="0" shapeId="0" xr:uid="{00000000-0006-0000-0600-00000B000000}">
      <text>
        <r>
          <rPr>
            <sz val="10"/>
            <rFont val="Arial"/>
            <family val="2"/>
          </rPr>
          <t>reference:D13,E13
mrs:(D13,+,10.0000)  (E13,+,10.0000)  
Rotate:True</t>
        </r>
      </text>
    </comment>
    <comment ref="I13" authorId="0" shapeId="0" xr:uid="{00000000-0006-0000-0600-00000C000000}">
      <text>
        <r>
          <rPr>
            <sz val="10"/>
            <rFont val="Arial"/>
            <family val="2"/>
          </rPr>
          <t>reference:G13,F13
mrs:
Rotate:True</t>
        </r>
      </text>
    </comment>
    <comment ref="F14" authorId="0" shapeId="0" xr:uid="{00000000-0006-0000-0600-00000D000000}">
      <text>
        <r>
          <rPr>
            <sz val="10"/>
            <rFont val="Arial"/>
            <family val="2"/>
          </rPr>
          <t>reference:D14,E14
mrs:(D14,+,10.0000)  (E14,+,10.0000)  
Rotate:True</t>
        </r>
      </text>
    </comment>
    <comment ref="I14" authorId="0" shapeId="0" xr:uid="{00000000-0006-0000-0600-00000E000000}">
      <text>
        <r>
          <rPr>
            <sz val="10"/>
            <rFont val="Arial"/>
            <family val="2"/>
          </rPr>
          <t>reference:G14,F14
mrs:
Rotate:True</t>
        </r>
      </text>
    </comment>
    <comment ref="F15" authorId="0" shapeId="0" xr:uid="{00000000-0006-0000-0600-00000F000000}">
      <text>
        <r>
          <rPr>
            <sz val="10"/>
            <rFont val="Arial"/>
            <family val="2"/>
          </rPr>
          <t>reference:D15,E15
mrs:(D15,+,10.0000)  (E15,+,10.0000)  
Rotate:True</t>
        </r>
      </text>
    </comment>
    <comment ref="I15" authorId="0" shapeId="0" xr:uid="{00000000-0006-0000-0600-000010000000}">
      <text>
        <r>
          <rPr>
            <sz val="10"/>
            <rFont val="Arial"/>
            <family val="2"/>
          </rPr>
          <t>reference:G15,F15
mrs:
Rotate:True</t>
        </r>
      </text>
    </comment>
    <comment ref="F16" authorId="0" shapeId="0" xr:uid="{00000000-0006-0000-0600-000011000000}">
      <text>
        <r>
          <rPr>
            <sz val="10"/>
            <rFont val="Arial"/>
            <family val="2"/>
          </rPr>
          <t>reference:D16,E16
mrs:(D16,+,10.0000)  (E16,+,10.0000)  
Rotate:True</t>
        </r>
      </text>
    </comment>
    <comment ref="I16" authorId="0" shapeId="0" xr:uid="{00000000-0006-0000-0600-000012000000}">
      <text>
        <r>
          <rPr>
            <sz val="10"/>
            <rFont val="Arial"/>
            <family val="2"/>
          </rPr>
          <t>reference:G16,F16
mrs:
Rotate:True</t>
        </r>
      </text>
    </comment>
    <comment ref="F17" authorId="0" shapeId="0" xr:uid="{00000000-0006-0000-0600-000013000000}">
      <text>
        <r>
          <rPr>
            <sz val="10"/>
            <rFont val="Arial"/>
            <family val="2"/>
          </rPr>
          <t>reference:D17,E17
mrs:(D17,+,10.0000)  (E17,+,10.0000)  
Rotate:True</t>
        </r>
      </text>
    </comment>
    <comment ref="H17" authorId="0" shapeId="0" xr:uid="{00000000-0006-0000-0600-000014000000}">
      <text>
        <r>
          <rPr>
            <sz val="10"/>
            <rFont val="Arial"/>
            <family val="2"/>
          </rPr>
          <t>reference:F17,G17
mrs:(F17,+,10.0000)  (G17,+,-10.0000)  
Rotate:True</t>
        </r>
      </text>
    </comment>
    <comment ref="I17" authorId="0" shapeId="0" xr:uid="{00000000-0006-0000-0600-000015000000}">
      <text>
        <r>
          <rPr>
            <sz val="10"/>
            <rFont val="Arial"/>
            <family val="2"/>
          </rPr>
          <t>reference:G17,F17
mrs:
Rotate:True</t>
        </r>
      </text>
    </comment>
    <comment ref="D18" authorId="0" shapeId="0" xr:uid="{00000000-0006-0000-0600-000016000000}">
      <text>
        <r>
          <rPr>
            <sz val="10"/>
            <rFont val="Arial"/>
            <family val="2"/>
          </rPr>
          <t>reference:D8,D9,D10,D11,D12,D13,D14,D15,D16,D17
mrs:(D8,+,10.0000)  (D9,+,10.0000)  (D10,+,10.0000)  (D11,+,10.0000)  (D12,+,10.0000)  (D13,+,10.0000)  (D14,+,10.0000)  (D15,+,10.0000)  (D16,+,10.0000)  (D17,+,10.0000)  
Rotate:True</t>
        </r>
      </text>
    </comment>
    <comment ref="F18" authorId="0" shapeId="0" xr:uid="{00000000-0006-0000-0600-000017000000}">
      <text>
        <r>
          <rPr>
            <sz val="10"/>
            <rFont val="Arial"/>
            <family val="2"/>
          </rPr>
          <t>reference:F8,F9,F10,F11,F12,F13,F14,F15,F16,F17
mrs:(F8,+,10.0000)  (F9,+,10.0000)  (F10,+,10.0000)  (F11,+,10.0000)  (F12,+,10.0000)  (F13,+,10.0000)  (F14,+,10.0000)  (F15,+,10.0000)  (F16,+,10.0000)  (F17,+,10.0000)  
Rotate:True</t>
        </r>
      </text>
    </comment>
    <comment ref="G18" authorId="0" shapeId="0" xr:uid="{00000000-0006-0000-0600-000018000000}">
      <text>
        <r>
          <rPr>
            <sz val="10"/>
            <rFont val="Arial"/>
            <family val="2"/>
          </rPr>
          <t>reference:G8,G9,G10,G11,G12,G13,G14,G15,G16,G17
mrs:(G8,+,10.0000)  (G9,+,10.0000)  (G10,+,10.0000)  (G11,+,10.0000)  (G12,+,10.0000)  (G13,+,10.0000)  (G14,+,10.0000)  (G15,+,10.0000)  (G16,+,10.0000)  (G17,+,10.0000)  
Rotate:True</t>
        </r>
      </text>
    </comment>
    <comment ref="H18" authorId="0" shapeId="0" xr:uid="{00000000-0006-0000-0600-000019000000}">
      <text>
        <r>
          <rPr>
            <sz val="10"/>
            <rFont val="Arial"/>
            <family val="2"/>
          </rPr>
          <t>reference:H8,H9,H10,H11,H12,H13,H14,H15,H16,H17
mrs:(H8,+,10.0000)  (H9,+,10.0000)  (H10,+,10.0000)  (H11,+,10.0000)  (H12,+,10.0000)  (H13,+,10.0000)  (H14,+,10.0000)  (H15,+,10.0000)  (H16,+,10.0000)  (H17,+,10.0000)  
Rotate:True</t>
        </r>
      </text>
    </comment>
    <comment ref="J18" authorId="0" shapeId="0" xr:uid="{00000000-0006-0000-0600-00001A000000}">
      <text>
        <r>
          <rPr>
            <sz val="10"/>
            <rFont val="Arial"/>
            <family val="2"/>
          </rPr>
          <t>reference:J8,J9,J10,J11,J12,J13,J14,J15,J16,J17
mrs:(J8,+,10.0000)  (J9,+,10.0000)  (J10,+,10.0000)  (J11,+,10.0000)  (J12,+,10.0000)  (J13,+,10.0000)  (J14,+,10.0000)  (J15,+,10.0000)  (J16,+,10.0000)  (J17,+,10.0000)  
Rotate:True</t>
        </r>
      </text>
    </comment>
    <comment ref="K18" authorId="0" shapeId="0" xr:uid="{00000000-0006-0000-0600-00001B000000}">
      <text>
        <r>
          <rPr>
            <sz val="10"/>
            <rFont val="Arial"/>
            <family val="2"/>
          </rPr>
          <t>reference:K8,K9,K10,K11,K12,K13,K14,K15,K16,K17
mrs:(K8,+,10.0000)  (K9,+,10.0000)  (K10,+,10.0000)  (K11,+,10.0000)  (K12,+,10.0000)  (K13,+,10.0000)  (K14,+,10.0000)  (K15,+,10.0000)  (K16,+,10.0000)  (K17,+,10.0000)  
Rotate:True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H11" authorId="0" shapeId="0" xr:uid="{00000000-0006-0000-0800-000001000000}">
      <text>
        <r>
          <rPr>
            <sz val="10"/>
            <rFont val="Arial"/>
            <family val="2"/>
          </rPr>
          <t>reference:D11,E11
mrs:(D11,+,10.0000)  (E11,+,10.0000)  
Rotate:True</t>
        </r>
      </text>
    </comment>
    <comment ref="H12" authorId="0" shapeId="0" xr:uid="{00000000-0006-0000-0800-000002000000}">
      <text>
        <r>
          <rPr>
            <sz val="10"/>
            <rFont val="Arial"/>
            <family val="2"/>
          </rPr>
          <t>reference:D12
mrs:(D12,+,10.0000)  
Rotate:True</t>
        </r>
      </text>
    </comment>
    <comment ref="H13" authorId="0" shapeId="0" xr:uid="{00000000-0006-0000-0800-000003000000}">
      <text>
        <r>
          <rPr>
            <sz val="10"/>
            <rFont val="Arial"/>
            <family val="2"/>
          </rPr>
          <t>reference:D13,E13,F13
mrs:(D13,+,10.0000)  (E13,+,10.0000)  (F13,+,-10.0000)  
Rotate:True</t>
        </r>
      </text>
    </comment>
    <comment ref="H14" authorId="0" shapeId="0" xr:uid="{00000000-0006-0000-0800-000004000000}">
      <text>
        <r>
          <rPr>
            <sz val="10"/>
            <rFont val="Arial"/>
            <family val="2"/>
          </rPr>
          <t>reference:D14,E14,F14
mrs:(D14,+,10.0000)  (E14,+,10.0000)  (F14,+,-10.0000)  
Rotate:True</t>
        </r>
      </text>
    </comment>
    <comment ref="H15" authorId="0" shapeId="0" xr:uid="{00000000-0006-0000-0800-000005000000}">
      <text>
        <r>
          <rPr>
            <sz val="10"/>
            <rFont val="Arial"/>
            <family val="2"/>
          </rPr>
          <t>reference:D15
mrs:(D15,+,10.0000)  
Rotate:True</t>
        </r>
      </text>
    </comment>
    <comment ref="H16" authorId="0" shapeId="0" xr:uid="{00000000-0006-0000-0800-000006000000}">
      <text>
        <r>
          <rPr>
            <sz val="10"/>
            <rFont val="Arial"/>
            <family val="2"/>
          </rPr>
          <t>reference:D16,E16,F16
mrs:(D16,+,10.0000)  (E16,+,10.0000)  (F16,+,-10.0000)  
Rotate:True</t>
        </r>
      </text>
    </comment>
    <comment ref="H17" authorId="0" shapeId="0" xr:uid="{00000000-0006-0000-0800-000007000000}">
      <text>
        <r>
          <rPr>
            <sz val="10"/>
            <rFont val="Arial"/>
            <family val="2"/>
          </rPr>
          <t>reference:D17,E17
mrs:(D17,+,10.0000)  (E17,+,10.0000)  
Rotate:True</t>
        </r>
      </text>
    </comment>
    <comment ref="H18" authorId="0" shapeId="0" xr:uid="{00000000-0006-0000-0800-000008000000}">
      <text>
        <r>
          <rPr>
            <sz val="10"/>
            <rFont val="Arial"/>
            <family val="2"/>
          </rPr>
          <t>reference:D18,F18
mrs:(D18,+,10.0000)  (F18,+,-10.0000)  
Rotate:True</t>
        </r>
      </text>
    </comment>
    <comment ref="H19" authorId="0" shapeId="0" xr:uid="{00000000-0006-0000-0800-000009000000}">
      <text>
        <r>
          <rPr>
            <sz val="10"/>
            <rFont val="Arial"/>
            <family val="2"/>
          </rPr>
          <t>reference:D19,F19
mrs:(D19,+,10.0000)  (F19,+,-10.0000)  
Rotate:True</t>
        </r>
      </text>
    </comment>
    <comment ref="H20" authorId="0" shapeId="0" xr:uid="{00000000-0006-0000-0800-00000A000000}">
      <text>
        <r>
          <rPr>
            <sz val="10"/>
            <rFont val="Arial"/>
            <family val="2"/>
          </rPr>
          <t>reference:D20,F20
mrs:(D20,+,10.0000)  (F20,+,-10.0000)  
Rotate:False</t>
        </r>
      </text>
    </comment>
    <comment ref="H21" authorId="0" shapeId="0" xr:uid="{00000000-0006-0000-0800-00000B000000}">
      <text>
        <r>
          <rPr>
            <sz val="10"/>
            <rFont val="Arial"/>
            <family val="2"/>
          </rPr>
          <t>reference:D21,E21,F21
mrs:(D21,+,10.0000)  (E21,+,10.0000)  (F21,+,-10.0000)  
Rotate:True</t>
        </r>
      </text>
    </comment>
    <comment ref="C23" authorId="0" shapeId="0" xr:uid="{00000000-0006-0000-0800-00000C000000}">
      <text>
        <r>
          <rPr>
            <sz val="10"/>
            <rFont val="Arial"/>
            <family val="2"/>
          </rPr>
          <t>reference:C10,C11,C12,C13,C14,C15,C16,C17,C18,C19,C20,C21,C22
mrs:(C10,+,10.0000)  (C11,+,10.0000)  (C12,+,10.0000)  (C13,+,10.0000)  (C14,+,10.0000)  (C15,+,10.0000)  (C16,+,10.0000)  (C17,+,10.0000)  (C18,+,10.0000)  (C19,+,10.0000)  (C20,+,10.0000)  (C21,+,10.0000)  (C22,+,10.0000)  
Rotate:True</t>
        </r>
      </text>
    </comment>
    <comment ref="D23" authorId="0" shapeId="0" xr:uid="{00000000-0006-0000-0800-00000D000000}">
      <text>
        <r>
          <rPr>
            <sz val="10"/>
            <rFont val="Arial"/>
            <family val="2"/>
          </rPr>
          <t>reference:D10,D11,D12,D13,D14,D15,D16,D17,D18,D19,D20,D21,D22
mrs:(D10,+,10.0000)  (D11,+,10.0000)  (D12,+,10.0000)  (D13,+,10.0000)  (D14,+,10.0000)  (D15,+,10.0000)  (D16,+,10.0000)  (D17,+,10.0000)  (D18,+,10.0000)  (D19,+,10.0000)  (D20,+,10.0000)  (D21,+,10.0000)  (D22,+,10.0000)  
Rotate:True</t>
        </r>
      </text>
    </comment>
    <comment ref="E23" authorId="0" shapeId="0" xr:uid="{00000000-0006-0000-0800-00000E000000}">
      <text>
        <r>
          <rPr>
            <sz val="10"/>
            <rFont val="Arial"/>
            <family val="2"/>
          </rPr>
          <t>reference:E10,E11,E12,E13,E14,E15,E16,E17,E18,E19,E20,E21,E22
mrs:(E10,+,10.0000)  (E11,+,10.0000)  (E12,+,10.0000)  (E13,+,10.0000)  (E14,+,10.0000)  (E15,+,10.0000)  (E16,+,10.0000)  (E17,+,10.0000)  (E18,+,10.0000)  (E19,+,10.0000)  (E20,+,10.0000)  (E21,+,10.0000)  (E22,+,10.0000)  
Rotate:False</t>
        </r>
      </text>
    </comment>
    <comment ref="F23" authorId="0" shapeId="0" xr:uid="{00000000-0006-0000-0800-00000F000000}">
      <text>
        <r>
          <rPr>
            <sz val="10"/>
            <rFont val="Arial"/>
            <family val="2"/>
          </rPr>
          <t>reference:F10,F11,F12,F13,F14,F15,F16,F17,F18,F19,F20,F21,F22
mrs:(F10,+,10.0000)  (F11,+,10.0000)  (F12,+,10.0000)  (F13,+,10.0000)  (F14,+,10.0000)  (F15,+,10.0000)  (F16,+,10.0000)  (F17,+,10.0000)  (F18,+,10.0000)  (F19,+,10.0000)  (F20,+,10.0000)  (F21,+,10.0000)  (F22,+,10.0000)  
Rotate:True</t>
        </r>
      </text>
    </comment>
    <comment ref="H23" authorId="0" shapeId="0" xr:uid="{00000000-0006-0000-0800-000010000000}">
      <text>
        <r>
          <rPr>
            <sz val="10"/>
            <rFont val="Arial"/>
            <family val="2"/>
          </rPr>
          <t>reference:H10,H11,H12,H13,H14,H15,H16,H17,H18,H19,H20,H21,H22
mrs:(H10,+,10.0000)  (H11,+,10.0000)  (H12,+,10.0000)  (H13,+,10.0000)  (H14,+,10.0000)  (H15,+,10.0000)  (H16,+,10.0000)  (H17,+,10.0000)  (H18,+,10.0000)  (H19,+,10.0000)  (H20,+,10.0000)  (H21,+,10.0000)  (H22,+,10.0000)  
Rotate:True</t>
        </r>
      </text>
    </comment>
    <comment ref="H28" authorId="0" shapeId="0" xr:uid="{00000000-0006-0000-0800-000011000000}">
      <text>
        <r>
          <rPr>
            <sz val="10"/>
            <rFont val="Arial"/>
            <family val="2"/>
          </rPr>
          <t>reference:D28,F28
mrs:(D28,+,10.0000)  (F28,+,-10.0000)  
Rotate:False</t>
        </r>
      </text>
    </comment>
    <comment ref="C29" authorId="0" shapeId="0" xr:uid="{00000000-0006-0000-0800-000012000000}">
      <text>
        <r>
          <rPr>
            <sz val="10"/>
            <rFont val="Arial"/>
            <family val="2"/>
          </rPr>
          <t>reference:C28
mrs:(C28,+,10.0000)  
Rotate:True</t>
        </r>
      </text>
    </comment>
    <comment ref="D29" authorId="0" shapeId="0" xr:uid="{00000000-0006-0000-0800-000013000000}">
      <text>
        <r>
          <rPr>
            <sz val="10"/>
            <rFont val="Arial"/>
            <family val="2"/>
          </rPr>
          <t>reference:D28
mrs:(D28,+,10.0000)  
Rotate:True</t>
        </r>
      </text>
    </comment>
    <comment ref="F29" authorId="0" shapeId="0" xr:uid="{00000000-0006-0000-0800-000014000000}">
      <text>
        <r>
          <rPr>
            <sz val="10"/>
            <rFont val="Arial"/>
            <family val="2"/>
          </rPr>
          <t>reference:F28
mrs:(F28,+,10.0000)  
Rotate:True</t>
        </r>
      </text>
    </comment>
    <comment ref="H29" authorId="0" shapeId="0" xr:uid="{00000000-0006-0000-0800-000015000000}">
      <text>
        <r>
          <rPr>
            <sz val="10"/>
            <rFont val="Arial"/>
            <family val="2"/>
          </rPr>
          <t>reference:H28
mrs:(H28,+,10.0000)  
Rotate:True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8" authorId="0" shapeId="0" xr:uid="{00000000-0006-0000-0900-000001000000}">
      <text>
        <r>
          <rPr>
            <sz val="10"/>
            <rFont val="Arial"/>
            <family val="2"/>
          </rPr>
          <t>reference:C9
mrs:(C9,+,10.0000)  
Rotate:True</t>
        </r>
      </text>
    </comment>
    <comment ref="G8" authorId="0" shapeId="0" xr:uid="{00000000-0006-0000-0900-000002000000}">
      <text>
        <r>
          <rPr>
            <sz val="10"/>
            <rFont val="Arial"/>
            <family val="2"/>
          </rPr>
          <t>reference:C8
mrs:(C8,+,10.0000)  
Rotate:True</t>
        </r>
      </text>
    </comment>
    <comment ref="G9" authorId="0" shapeId="0" xr:uid="{00000000-0006-0000-0900-000003000000}">
      <text>
        <r>
          <rPr>
            <sz val="10"/>
            <rFont val="Arial"/>
            <family val="2"/>
          </rPr>
          <t>reference:C9
mrs:(C9,+,10.0000)  
Rotate:True</t>
        </r>
      </text>
    </comment>
    <comment ref="C11" authorId="0" shapeId="0" xr:uid="{00000000-0006-0000-0900-000004000000}">
      <text>
        <r>
          <rPr>
            <sz val="10"/>
            <rFont val="Arial"/>
            <family val="2"/>
          </rPr>
          <t>reference:C12,C13,C14
mrs:(C12,+,10.0000)  (C13,+,10.0000)  (C14,+,10.0000)  
Rotate:True</t>
        </r>
      </text>
    </comment>
    <comment ref="G11" authorId="0" shapeId="0" xr:uid="{00000000-0006-0000-0900-000005000000}">
      <text>
        <r>
          <rPr>
            <sz val="10"/>
            <rFont val="Arial"/>
            <family val="2"/>
          </rPr>
          <t>reference:G12,G13,G14
mrs:(G12,+,10.0000)  (G13,+,10.0000)  (G14,+,10.0000)  
Rotate:True</t>
        </r>
      </text>
    </comment>
    <comment ref="G12" authorId="0" shapeId="0" xr:uid="{00000000-0006-0000-0900-000006000000}">
      <text>
        <r>
          <rPr>
            <sz val="10"/>
            <rFont val="Arial"/>
            <family val="2"/>
          </rPr>
          <t>reference:C12
mrs:(C12,+,10.0000)  
Rotate:True</t>
        </r>
      </text>
    </comment>
    <comment ref="G13" authorId="0" shapeId="0" xr:uid="{00000000-0006-0000-0900-000007000000}">
      <text>
        <r>
          <rPr>
            <sz val="10"/>
            <rFont val="Arial"/>
            <family val="2"/>
          </rPr>
          <t>reference:C13
mrs:(C13,+,10.0000)  
Rotate:True</t>
        </r>
      </text>
    </comment>
    <comment ref="G14" authorId="0" shapeId="0" xr:uid="{00000000-0006-0000-0900-000008000000}">
      <text>
        <r>
          <rPr>
            <sz val="10"/>
            <rFont val="Arial"/>
            <family val="2"/>
          </rPr>
          <t>reference:C14
mrs:(C14,+,10.0000)  
Rotate:True</t>
        </r>
      </text>
    </comment>
    <comment ref="C16" authorId="0" shapeId="0" xr:uid="{00000000-0006-0000-0900-000009000000}">
      <text>
        <r>
          <rPr>
            <sz val="10"/>
            <rFont val="Arial"/>
            <family val="2"/>
          </rPr>
          <t>reference:C8,C11
mrs:(C8,+,10.0000)  (C11,+,10.0000)  
Rotate:True</t>
        </r>
      </text>
    </comment>
    <comment ref="G16" authorId="0" shapeId="0" xr:uid="{00000000-0006-0000-0900-00000A000000}">
      <text>
        <r>
          <rPr>
            <sz val="10"/>
            <rFont val="Arial"/>
            <family val="2"/>
          </rPr>
          <t>reference:G8,G11
mrs:(G8,+,10.0000)  (G11,+,10.0000)  
Rotate:True</t>
        </r>
      </text>
    </comment>
    <comment ref="C21" authorId="0" shapeId="0" xr:uid="{00000000-0006-0000-0900-00000B000000}">
      <text>
        <r>
          <rPr>
            <sz val="10"/>
            <rFont val="Arial"/>
            <family val="2"/>
          </rPr>
          <t>reference:C22
mrs:(C22,+,10.0000)  
Rotate:True</t>
        </r>
      </text>
    </comment>
    <comment ref="G21" authorId="0" shapeId="0" xr:uid="{00000000-0006-0000-0900-00000C000000}">
      <text>
        <r>
          <rPr>
            <sz val="10"/>
            <rFont val="Arial"/>
            <family val="2"/>
          </rPr>
          <t>reference:G22
mrs:(G22,+,10.0000)  
Rotate:True</t>
        </r>
      </text>
    </comment>
    <comment ref="G22" authorId="0" shapeId="0" xr:uid="{00000000-0006-0000-0900-00000D000000}">
      <text>
        <r>
          <rPr>
            <sz val="10"/>
            <rFont val="Arial"/>
            <family val="2"/>
          </rPr>
          <t>reference:C22
mrs:(C22,+,10.0000)  
Rotate:True</t>
        </r>
      </text>
    </comment>
    <comment ref="C24" authorId="0" shapeId="0" xr:uid="{00000000-0006-0000-0900-00000E000000}">
      <text>
        <r>
          <rPr>
            <sz val="10"/>
            <rFont val="Arial"/>
            <family val="2"/>
          </rPr>
          <t>reference:C25,C26,C27
mrs:(C25,+,10.0000)  (C26,+,10.0000)  (C27,+,10.0000)  
Rotate:True</t>
        </r>
      </text>
    </comment>
    <comment ref="G24" authorId="0" shapeId="0" xr:uid="{00000000-0006-0000-0900-00000F000000}">
      <text>
        <r>
          <rPr>
            <sz val="10"/>
            <rFont val="Arial"/>
            <family val="2"/>
          </rPr>
          <t>reference:G25,G26,G27
mrs:(G25,+,10.0000)  (G26,+,10.0000)  (G27,+,10.0000)  
Rotate:True</t>
        </r>
      </text>
    </comment>
    <comment ref="G25" authorId="0" shapeId="0" xr:uid="{00000000-0006-0000-0900-000010000000}">
      <text>
        <r>
          <rPr>
            <sz val="10"/>
            <rFont val="Arial"/>
            <family val="2"/>
          </rPr>
          <t>reference:C25
mrs:(C25,+,10.0000)  
Rotate:True</t>
        </r>
      </text>
    </comment>
    <comment ref="G26" authorId="0" shapeId="0" xr:uid="{00000000-0006-0000-0900-000011000000}">
      <text>
        <r>
          <rPr>
            <sz val="10"/>
            <rFont val="Arial"/>
            <family val="2"/>
          </rPr>
          <t>reference:C26
mrs:(C26,+,10.0000)  
Rotate:True</t>
        </r>
      </text>
    </comment>
    <comment ref="G27" authorId="0" shapeId="0" xr:uid="{00000000-0006-0000-0900-000012000000}">
      <text>
        <r>
          <rPr>
            <sz val="10"/>
            <rFont val="Arial"/>
            <family val="2"/>
          </rPr>
          <t>reference:C27
mrs:(C27,+,10.0000)  
Rotate:True</t>
        </r>
      </text>
    </comment>
    <comment ref="C29" authorId="0" shapeId="0" xr:uid="{00000000-0006-0000-0900-000013000000}">
      <text>
        <r>
          <rPr>
            <sz val="10"/>
            <rFont val="Arial"/>
            <family val="2"/>
          </rPr>
          <t>reference:C21,C24
mrs:(C21,+,10.0000)  (C24,+,10.0000)  
Rotate:True</t>
        </r>
      </text>
    </comment>
    <comment ref="G29" authorId="0" shapeId="0" xr:uid="{00000000-0006-0000-0900-000014000000}">
      <text>
        <r>
          <rPr>
            <sz val="10"/>
            <rFont val="Arial"/>
            <family val="2"/>
          </rPr>
          <t>reference:G21,G24
mrs:(G21,+,10.0000)  (G24,+,10.0000)  
Rotate:True</t>
        </r>
      </text>
    </comment>
  </commentList>
</comments>
</file>

<file path=xl/sharedStrings.xml><?xml version="1.0" encoding="utf-8"?>
<sst xmlns="http://schemas.openxmlformats.org/spreadsheetml/2006/main" count="1967" uniqueCount="511">
  <si>
    <t>Note</t>
  </si>
  <si>
    <t>2002/03
R'000</t>
  </si>
  <si>
    <t>2001/02
R'000</t>
  </si>
  <si>
    <t>REVENUE</t>
  </si>
  <si>
    <t>Voted funds</t>
  </si>
  <si>
    <t>Charge to National Revenue Fund</t>
  </si>
  <si>
    <t>Non voted funds</t>
  </si>
  <si>
    <t>Other revenue to be surrendered to the revenue fund</t>
  </si>
  <si>
    <t>Local and foreign aid assistance (incl. RDP funds)</t>
  </si>
  <si>
    <t>TOTAL REVENUE</t>
  </si>
  <si>
    <t>EXPENDITURE</t>
  </si>
  <si>
    <t>Current</t>
  </si>
  <si>
    <t>Personnel</t>
  </si>
  <si>
    <t>Administrative</t>
  </si>
  <si>
    <t>Inventories</t>
  </si>
  <si>
    <t>Machinery and Equipment</t>
  </si>
  <si>
    <t>Professional and special services</t>
  </si>
  <si>
    <t>Transfer payments</t>
  </si>
  <si>
    <t>Miscellaneous</t>
  </si>
  <si>
    <t>Special functions: authorised losses</t>
  </si>
  <si>
    <t>Foreign aid assistance (incl. RDP funds)</t>
  </si>
  <si>
    <t>Capital</t>
  </si>
  <si>
    <t>-</t>
  </si>
  <si>
    <t>Land and buildings</t>
  </si>
  <si>
    <t xml:space="preserve"> </t>
  </si>
  <si>
    <t xml:space="preserve">     </t>
  </si>
  <si>
    <t>TOTAL EXPENDITURE</t>
  </si>
  <si>
    <t>NET SURPLUS /(DEFICIT)</t>
  </si>
  <si>
    <t>Add back unauthorised, and fruitless and wasteful expenditure disallowed</t>
  </si>
  <si>
    <t>NET SURPLUS /(DEFICIT) FOR THE YEAR</t>
  </si>
  <si>
    <t>suspicious:</t>
  </si>
  <si>
    <t>ASSETS</t>
  </si>
  <si>
    <t>Current assets</t>
  </si>
  <si>
    <t>Unauthorised and fruitless and wasteful expenditure</t>
  </si>
  <si>
    <t>Cash and cash equivalents</t>
  </si>
  <si>
    <t>Receivables</t>
  </si>
  <si>
    <t>Foreign aid assistance (including RDP funds) receivable from donors</t>
  </si>
  <si>
    <t>TOTAL ASSETS</t>
  </si>
  <si>
    <t>LIABILITIES</t>
  </si>
  <si>
    <t>Current liabilities</t>
  </si>
  <si>
    <t>Voted funds to be surrendered</t>
  </si>
  <si>
    <t>Bank overdraft</t>
  </si>
  <si>
    <t>Revenue funds to be surrendered</t>
  </si>
  <si>
    <t>Payables</t>
  </si>
  <si>
    <t>TOTAL LIABILITIES</t>
  </si>
  <si>
    <t>NET ASSETS/LIABILITES</t>
  </si>
  <si>
    <t>EQUITY</t>
  </si>
  <si>
    <t>Recoverable revenue</t>
  </si>
  <si>
    <t>Foreign aid assistance (including RDP funds) rolled over</t>
  </si>
  <si>
    <t>TOTAL EQUITY</t>
  </si>
  <si>
    <t>Opening balance</t>
  </si>
  <si>
    <t>Transfer to Revenue Fund</t>
  </si>
  <si>
    <t>Debts raised</t>
  </si>
  <si>
    <t>Closing balance</t>
  </si>
  <si>
    <t>Transfers</t>
  </si>
  <si>
    <t>Transfer to other reserves</t>
  </si>
  <si>
    <t>CASH FLOWS FROM OPERATING ACTIVITIES</t>
  </si>
  <si>
    <t>Net cash flow generated by operating activities</t>
  </si>
  <si>
    <t>Cash generated (utilised) to (increase)/decrease working capital</t>
  </si>
  <si>
    <t>Voted funds and Revenue funds surrendered</t>
  </si>
  <si>
    <t>Net cash flow available from operating activities</t>
  </si>
  <si>
    <t>Ralph note</t>
  </si>
  <si>
    <t>CASH FLOWS FROM INVESTING ACTIVITIES</t>
  </si>
  <si>
    <t>Capital expenditure</t>
  </si>
  <si>
    <t>Proceeds from sale of equipment</t>
  </si>
  <si>
    <t>Proceeds from sale of investments</t>
  </si>
  <si>
    <t>Net cash flows from operating and investing activities</t>
  </si>
  <si>
    <t>Net increase/(decrease) in cash and cash equivalents</t>
  </si>
  <si>
    <t>Cash and cash equivalents at beginning of period</t>
  </si>
  <si>
    <t>Cash and cash equivalents at end of period</t>
  </si>
  <si>
    <t>1.</t>
  </si>
  <si>
    <t xml:space="preserve">Included in the above are funds specifically and exclusively appropriated for National Departments (Voted funds) </t>
  </si>
  <si>
    <t>Programmes</t>
  </si>
  <si>
    <t>Total Appropriation
2002/03</t>
  </si>
  <si>
    <t xml:space="preserve">Actual </t>
  </si>
  <si>
    <t>Variance over/(under)</t>
  </si>
  <si>
    <t>Total Appropriation 2001/02</t>
  </si>
  <si>
    <t>R'000</t>
  </si>
  <si>
    <t>1  Administration</t>
  </si>
  <si>
    <t>2  Environmental Planning and Co-ordination</t>
  </si>
  <si>
    <t>3  Marine and Coastal Management</t>
  </si>
  <si>
    <t>4  Tourism</t>
  </si>
  <si>
    <t>5  Environmental Quality and Protection</t>
  </si>
  <si>
    <t>6  Biodiversity and Heritage</t>
  </si>
  <si>
    <t>7  Auxiliary and Associated Services</t>
  </si>
  <si>
    <t>8  Special functions: authorised losses</t>
  </si>
  <si>
    <t>TOTAL</t>
  </si>
  <si>
    <t>Explanation of material variances including whether or not application will be made for a rollover.</t>
  </si>
  <si>
    <t>Programme 2: Environmental Planning and Co-ordination</t>
  </si>
  <si>
    <t xml:space="preserve">  CSIR (transfer payment for Environmental Impact Assessments)</t>
  </si>
  <si>
    <t>Programme 5: Environmental Quality and Protection</t>
  </si>
  <si>
    <t xml:space="preserve">  Thor Chemicals</t>
  </si>
  <si>
    <t xml:space="preserve">  Green building project</t>
  </si>
  <si>
    <t>Programme 6: Biodiversity and Heritage</t>
  </si>
  <si>
    <t xml:space="preserve">  University of Potchefstroom (transfer payment for desertification project)</t>
  </si>
  <si>
    <t xml:space="preserve">  University of Pretoria (transfer payment for desertification project)</t>
  </si>
  <si>
    <t>Programme 7: Auxiliary and Associated Services</t>
  </si>
  <si>
    <t xml:space="preserve">  Government transport (nominal provision for capital transfer)</t>
  </si>
  <si>
    <t xml:space="preserve">  Public Works capital maintenance</t>
  </si>
  <si>
    <t xml:space="preserve">  Marion Base building project</t>
  </si>
  <si>
    <t xml:space="preserve">  </t>
  </si>
  <si>
    <t>2.</t>
  </si>
  <si>
    <t>Other revenue to be surrendered to revenue fund</t>
  </si>
  <si>
    <t>Description</t>
  </si>
  <si>
    <t>Cheques written back/stale cheques</t>
  </si>
  <si>
    <t>Interest received</t>
  </si>
  <si>
    <t>Other</t>
  </si>
  <si>
    <t>3.</t>
  </si>
  <si>
    <t>Foreign aid assistance (including RDP)</t>
  </si>
  <si>
    <t>Assistance received in cash</t>
  </si>
  <si>
    <t>Opening Balance</t>
  </si>
  <si>
    <t>Revenue</t>
  </si>
  <si>
    <t>Expenditure</t>
  </si>
  <si>
    <t>Closing Balance</t>
  </si>
  <si>
    <t>Name of Donor and purpose</t>
  </si>
  <si>
    <t>Foreign</t>
  </si>
  <si>
    <t>Spain - Tourism Institute (SATI)</t>
  </si>
  <si>
    <t>United Nations - Biodiversity Programme</t>
  </si>
  <si>
    <t>United Nations - Marine and Coastal</t>
  </si>
  <si>
    <t xml:space="preserve">Netherlands </t>
  </si>
  <si>
    <t>European Union - Spatial Development Initiatives</t>
  </si>
  <si>
    <t>Norway - Environmental Co-operation Programme</t>
  </si>
  <si>
    <t>Norway - Marine Fisheries Co-operation Programme</t>
  </si>
  <si>
    <t>United Kingdom - Sustainable Coastal Livelihoods Programme</t>
  </si>
  <si>
    <t>Denmark - ECBU Programme</t>
  </si>
  <si>
    <t>United States of America - Marine Living Resources</t>
  </si>
  <si>
    <t>UNESCO</t>
  </si>
  <si>
    <t>Youth Development -YDN</t>
  </si>
  <si>
    <t>Analysis of balance</t>
  </si>
  <si>
    <t>Amounts owing by donors</t>
  </si>
  <si>
    <t>Assistance rolled over</t>
  </si>
  <si>
    <t>4.</t>
  </si>
  <si>
    <t>Current expenditure</t>
  </si>
  <si>
    <t>Basic salary costs</t>
  </si>
  <si>
    <t>Pension contributions</t>
  </si>
  <si>
    <t>Medical aid contributions</t>
  </si>
  <si>
    <t>Other salary related costs</t>
  </si>
  <si>
    <t>Average number of employees</t>
  </si>
  <si>
    <t>Total Personnel Costs</t>
  </si>
  <si>
    <t>5.</t>
  </si>
  <si>
    <t>Inventories purchased during the year</t>
  </si>
  <si>
    <t>Consumable goods</t>
  </si>
  <si>
    <t>Computer stores and stationary</t>
  </si>
  <si>
    <t>Printing</t>
  </si>
  <si>
    <t xml:space="preserve">Stationary </t>
  </si>
  <si>
    <t>Fuel and lubrication</t>
  </si>
  <si>
    <t>Library purchases</t>
  </si>
  <si>
    <t>Vehicles</t>
  </si>
  <si>
    <t>Kitchenware</t>
  </si>
  <si>
    <t>Total cost of inventories</t>
  </si>
  <si>
    <t>6.</t>
  </si>
  <si>
    <t>Current (Rentals, maintenance and sundry net of cash discounts)</t>
  </si>
  <si>
    <t>Total current and capital expenditure</t>
  </si>
  <si>
    <t>Capital machinery and equipment analysed as follows:</t>
  </si>
  <si>
    <t>Computer equipment</t>
  </si>
  <si>
    <t>Furniture and office equipment</t>
  </si>
  <si>
    <t>Other machinery and equipment</t>
  </si>
  <si>
    <t>7.</t>
  </si>
  <si>
    <t>Total capital expenditure</t>
  </si>
  <si>
    <t>Capital land and building expenditure analysed as follows:</t>
  </si>
  <si>
    <t>Non-residential buildings</t>
  </si>
  <si>
    <t>8.</t>
  </si>
  <si>
    <t>Auditors’ remuneration</t>
  </si>
  <si>
    <t>Contractors</t>
  </si>
  <si>
    <t>Consultants and advisory services</t>
  </si>
  <si>
    <t>Computer services</t>
  </si>
  <si>
    <t>Total Professional and special services</t>
  </si>
  <si>
    <t>9.</t>
  </si>
  <si>
    <t>Total transfer payments made</t>
  </si>
  <si>
    <t>Annexure 1D</t>
  </si>
  <si>
    <t>Ralph take note</t>
  </si>
  <si>
    <t>Analysis of payments</t>
  </si>
  <si>
    <t>10.</t>
  </si>
  <si>
    <t xml:space="preserve">Remissions, refunds and payments made as an act of grace </t>
  </si>
  <si>
    <t xml:space="preserve">Gifts, donations and sponsorships made </t>
  </si>
  <si>
    <t>Claim against the state: Fish Hoek Land &amp; Estate (PTY) Limited</t>
  </si>
  <si>
    <t>Total miscellaneous expenditure</t>
  </si>
  <si>
    <t xml:space="preserve">Nature of remissions, refunds and payments </t>
  </si>
  <si>
    <t>Lost Luggage and Equipment</t>
  </si>
  <si>
    <t>Broken spectacles</t>
  </si>
  <si>
    <t>Stolen goods</t>
  </si>
  <si>
    <t>Gifts, donations and sponsorships paid in cash by the department (items expensed during the current year)</t>
  </si>
  <si>
    <t>Nature of gifts, donations and sponsorships</t>
  </si>
  <si>
    <t>Contribution to the Kruger Fire Disaster Fund</t>
  </si>
  <si>
    <t>Prize for a photographic competition</t>
  </si>
  <si>
    <t>Support for the SADC regional environmental education programme</t>
  </si>
  <si>
    <t>Sponsorship for South Africa global advantage 2003</t>
  </si>
  <si>
    <t xml:space="preserve">Gifts for speakers and delegates </t>
  </si>
  <si>
    <t>11.</t>
  </si>
  <si>
    <t>Special functions: Authorised losses</t>
  </si>
  <si>
    <t>.</t>
  </si>
  <si>
    <t>Material losses through criminal conduct</t>
  </si>
  <si>
    <t>Other material losses written off</t>
  </si>
  <si>
    <t>Debts written off</t>
  </si>
  <si>
    <t>Nature of losses</t>
  </si>
  <si>
    <t xml:space="preserve">Vehicle losses </t>
  </si>
  <si>
    <t>Other material losses written off in income statement in current period</t>
  </si>
  <si>
    <t>Vehicle losses - damage due to collisions</t>
  </si>
  <si>
    <t>Other material losses of items expensed in previous periods (Total not included above)</t>
  </si>
  <si>
    <t>Equipment stolen (a Proxima Lite Pro)</t>
  </si>
  <si>
    <t xml:space="preserve">Cellphones missing or stolen  </t>
  </si>
  <si>
    <t xml:space="preserve">Loss of  laptops </t>
  </si>
  <si>
    <t>A-Class Items</t>
  </si>
  <si>
    <t>10 CD's and 1 Book</t>
  </si>
  <si>
    <t xml:space="preserve">Debts written off </t>
  </si>
  <si>
    <t>Nature of debts written off</t>
  </si>
  <si>
    <t xml:space="preserve">Irrecoverable debt </t>
  </si>
  <si>
    <t>Details of special functions (theft and losses)</t>
  </si>
  <si>
    <t>Per programme</t>
  </si>
  <si>
    <t>12.</t>
  </si>
  <si>
    <t>Unauthorised and fruitless and wasteful expenditure disallowed</t>
  </si>
  <si>
    <t>Unauthorised expenditure</t>
  </si>
  <si>
    <t>Reconciliation of unauthorised expenditure balance</t>
  </si>
  <si>
    <t>Transfer to income statement – authorised losses</t>
  </si>
  <si>
    <t>Incident</t>
  </si>
  <si>
    <t>Tender E553:-Aebivatuve 2000 (Pty) Ltd</t>
  </si>
  <si>
    <t>Tender E522:ACOPS Conference</t>
  </si>
  <si>
    <t>Services rendered by consultants:ARCON Services</t>
  </si>
  <si>
    <t>13.</t>
  </si>
  <si>
    <t>Analysis of surplus</t>
  </si>
  <si>
    <t>Voted funds to be surrendered to the Revenue Fund</t>
  </si>
  <si>
    <t>Other revenue to be surrendered to the Revenue Fund</t>
  </si>
  <si>
    <t>Total</t>
  </si>
  <si>
    <t>14.</t>
  </si>
  <si>
    <t>Cash and cash equivalents/(Bank overdraft)</t>
  </si>
  <si>
    <t>Paymaster General Account (Bank overdraft)</t>
  </si>
  <si>
    <t>Cash on hand</t>
  </si>
  <si>
    <t>15.</t>
  </si>
  <si>
    <t>Receivables - current</t>
  </si>
  <si>
    <t>Amounts owing by other departments</t>
  </si>
  <si>
    <t>Staff debtors</t>
  </si>
  <si>
    <t>Other debtors</t>
  </si>
  <si>
    <t>Advances</t>
  </si>
  <si>
    <t>Amounts of  R 36 010.31 (2002:R147 011.64) included above may not be recoverable, but has not been written off in the income statement.</t>
  </si>
  <si>
    <t>Age analysis – receivables current</t>
  </si>
  <si>
    <t>Less than one year</t>
  </si>
  <si>
    <t xml:space="preserve">One to two years </t>
  </si>
  <si>
    <t xml:space="preserve">More than two years </t>
  </si>
  <si>
    <t>Catogories</t>
  </si>
  <si>
    <t>Debt accounts</t>
  </si>
  <si>
    <t>Departmental suspense accounts</t>
  </si>
  <si>
    <t>Control accounts</t>
  </si>
  <si>
    <t>Persal deduction control accounts</t>
  </si>
  <si>
    <t>Marine Living Resources Fund suspense accounts</t>
  </si>
  <si>
    <t>Amounts owing by trading and public entities</t>
  </si>
  <si>
    <t xml:space="preserve">(Included in the Departmental suspense accounts is an amount of R67 866 743.18 with regard to a loan to </t>
  </si>
  <si>
    <t>Johannesburg World Summit Company (Jowsco) for hosting the World Summit on Sustainable Development)</t>
  </si>
  <si>
    <t>Nature of advances</t>
  </si>
  <si>
    <t>Travel and subsistence</t>
  </si>
  <si>
    <t>16.</t>
  </si>
  <si>
    <t>Transfer from income statement</t>
  </si>
  <si>
    <t>Paid during the year</t>
  </si>
  <si>
    <t>17.</t>
  </si>
  <si>
    <t>Transfer from income statement for revenue to be surrendered</t>
  </si>
  <si>
    <t>18.</t>
  </si>
  <si>
    <t>Payables - current</t>
  </si>
  <si>
    <t>Amounts owing to other departments</t>
  </si>
  <si>
    <t>Other payables</t>
  </si>
  <si>
    <t>Payment in suspense</t>
  </si>
  <si>
    <t>Salary related payables</t>
  </si>
  <si>
    <t>Amount owing to Marine Living Resources Fund</t>
  </si>
  <si>
    <t>(advances2001/02)</t>
  </si>
  <si>
    <t>(advances2002/03)</t>
  </si>
  <si>
    <t>19.</t>
  </si>
  <si>
    <t>Net surplus as per Income Statement</t>
  </si>
  <si>
    <t>(advances)</t>
  </si>
  <si>
    <t>Adjusted for items separately disclosed</t>
  </si>
  <si>
    <t>(receivables 2001/02</t>
  </si>
  <si>
    <t xml:space="preserve">Proceeds from sale of equipment </t>
  </si>
  <si>
    <t xml:space="preserve">Proceeds on sale of investments </t>
  </si>
  <si>
    <t>20.</t>
  </si>
  <si>
    <t>2002/2003</t>
  </si>
  <si>
    <t>2001/2002</t>
  </si>
  <si>
    <t>(Increase) / decrease in receivables – current</t>
  </si>
  <si>
    <t>(Increase) / decrease in prepayments and advances</t>
  </si>
  <si>
    <t>Increase / (decrease) in payables</t>
  </si>
  <si>
    <t>21.</t>
  </si>
  <si>
    <t>Voted funds surrendered</t>
  </si>
  <si>
    <t>Revenue funds surrendered</t>
  </si>
  <si>
    <t xml:space="preserve">suspicious:H365,  E60,  G355,  </t>
  </si>
  <si>
    <t>These amounts are not recognised in the financial statements, and are disclosed to enhance the usefulness of the financial statements and to comply with the statutory requirements of the Public Finance Management Act, Act 1 of 1999 (as amended by Act 29 of 1999), the Treasury Regulations for Departments and Constitutional Institutions issued in terms of the Act and the Division of Revenue Act, Act 5 of 2002.</t>
  </si>
  <si>
    <t>22.</t>
  </si>
  <si>
    <t>Contingent liabilities</t>
  </si>
  <si>
    <t>Liable to</t>
  </si>
  <si>
    <t xml:space="preserve">Nature </t>
  </si>
  <si>
    <t>Motor vehicle guarantees</t>
  </si>
  <si>
    <t>Employees</t>
  </si>
  <si>
    <t>Annexure 3</t>
  </si>
  <si>
    <t>Housing loan guarantees</t>
  </si>
  <si>
    <t>23.</t>
  </si>
  <si>
    <t>Commitments</t>
  </si>
  <si>
    <t>Approved and contracted/ordered</t>
  </si>
  <si>
    <t>Total Commitments</t>
  </si>
  <si>
    <t>24.</t>
  </si>
  <si>
    <t>Accruals</t>
  </si>
  <si>
    <t>Listed by standard Item</t>
  </si>
  <si>
    <t>Equipment</t>
  </si>
  <si>
    <t>Listed by programme level</t>
  </si>
  <si>
    <t>Administration</t>
  </si>
  <si>
    <t>Environmental Planning and Co-ordination</t>
  </si>
  <si>
    <t>Tourism</t>
  </si>
  <si>
    <t>Environmental Quality and Protection</t>
  </si>
  <si>
    <t>Biodiversity and Heritage</t>
  </si>
  <si>
    <t>25.</t>
  </si>
  <si>
    <t>Employee benefits</t>
  </si>
  <si>
    <t>Leave entitlement</t>
  </si>
  <si>
    <t>Thirteenth cheque</t>
  </si>
  <si>
    <t>Performance bonus</t>
  </si>
  <si>
    <t>26.</t>
  </si>
  <si>
    <t>Leases</t>
  </si>
  <si>
    <t>Operating leases</t>
  </si>
  <si>
    <t>Total
2002/03
R'000</t>
  </si>
  <si>
    <t>Total
2001/02
R'000</t>
  </si>
  <si>
    <t>Nashua</t>
  </si>
  <si>
    <t>Not later than 1 year</t>
  </si>
  <si>
    <t>Later than 1 year and not later than 3 years</t>
  </si>
  <si>
    <t>Later than 3 years</t>
  </si>
  <si>
    <t>Future finance charges</t>
  </si>
  <si>
    <t>Present value of lease liabilities</t>
  </si>
  <si>
    <t>Xerox</t>
  </si>
  <si>
    <t>Minolco</t>
  </si>
  <si>
    <t>Total present value of lease liabilities</t>
  </si>
  <si>
    <t>27.</t>
  </si>
  <si>
    <t>Key management personnel</t>
  </si>
  <si>
    <t>Remuneration</t>
  </si>
  <si>
    <t>Number of individuals</t>
  </si>
  <si>
    <t>The Minister and Deputy Minister</t>
  </si>
  <si>
    <t>Director-General</t>
  </si>
  <si>
    <t>Deputy Directors-General</t>
  </si>
  <si>
    <t>Other members of key management</t>
  </si>
  <si>
    <t xml:space="preserve">                                                                                                                                                                                                                                                                                                                                                                 </t>
  </si>
  <si>
    <t xml:space="preserve">suspicious:G76,  G68,  </t>
  </si>
  <si>
    <t>ANNEXURE 1D</t>
  </si>
  <si>
    <t>STATEMENT OF TRANSFERS TO PUBLIC ENTITIES AND INSTITUTIONS BY NATIONAL DEPARTMENTS AS AT 31 MARCH 2003</t>
  </si>
  <si>
    <t>Public Entity / Institution</t>
  </si>
  <si>
    <t>GRANT ALLOCATION</t>
  </si>
  <si>
    <t>Appropriations Act</t>
  </si>
  <si>
    <t>Adjustments Estimate</t>
  </si>
  <si>
    <t>Roll Overs</t>
  </si>
  <si>
    <t>Total Available (1)</t>
  </si>
  <si>
    <t>Actual Transfer</t>
  </si>
  <si>
    <t>Amount not Transferred</t>
  </si>
  <si>
    <t>% of Available Transferred</t>
  </si>
  <si>
    <t>Marine Living Resources Fund</t>
  </si>
  <si>
    <t>South African Weather Service</t>
  </si>
  <si>
    <t>International Tourism Marketing (SA Tourism)</t>
  </si>
  <si>
    <t>South African Tourism</t>
  </si>
  <si>
    <t>South African National Parks</t>
  </si>
  <si>
    <t>National Botanical Institute</t>
  </si>
  <si>
    <t>Johannesburg World Summit Company</t>
  </si>
  <si>
    <t>Greater St Lucia Wetland Park Authority</t>
  </si>
  <si>
    <t>Poverty Relief Projects</t>
  </si>
  <si>
    <t>Other Transfers</t>
  </si>
  <si>
    <t>1)   Research projects awarded to CSIR, University of Pretoria and University of Potchefstroom were cancelled. The amount R635 000 is part of the departmental saving which was surrendered.</t>
  </si>
  <si>
    <t>ANNEXURE 2A</t>
  </si>
  <si>
    <t>STATEMENT OF CONTROLLED/PUBLIC ENTITIES AS AT 31 MARCH 2003</t>
  </si>
  <si>
    <t>Name of public Entity</t>
  </si>
  <si>
    <t>Nature of public entities business</t>
  </si>
  <si>
    <t>Relevant Act</t>
  </si>
  <si>
    <t>Entity’s PFMA Schedule type (State year end if not 31 March)</t>
  </si>
  <si>
    <t>Audit Report Status</t>
  </si>
  <si>
    <t>U/Q/A/D</t>
  </si>
  <si>
    <t>1. South African National Parks</t>
  </si>
  <si>
    <t>Acquire and manage a system of national parks that represent the indigenous wildlife, vegetation, landscapes and associated cultural assets of South Africa, for the benefit of the nation.</t>
  </si>
  <si>
    <t>National Parks Act, 1976 (Act No. 57 of 1976)</t>
  </si>
  <si>
    <t>3A</t>
  </si>
  <si>
    <t>U</t>
  </si>
  <si>
    <t>2. South African Tourism</t>
  </si>
  <si>
    <t>Develop and implement a world-class international tourism marketing strategy for South Africa.</t>
  </si>
  <si>
    <t>Tourism Act, 1993 (Act No. 72 of 1993) as amended</t>
  </si>
  <si>
    <t>3. South African Weather Service</t>
  </si>
  <si>
    <t xml:space="preserve">Maintain, extend and improve the quality of meteorological service for the benefit of all South Africans. </t>
  </si>
  <si>
    <t>South African Weather Service Act, 2001 (Act No. 8 of 2001)</t>
  </si>
  <si>
    <t>Q</t>
  </si>
  <si>
    <t>4. Marine Living Resources Fund</t>
  </si>
  <si>
    <t>Management of sustainable utilisation and conservation of Marine Living Resources as well as the preservation of marine biodiversity and minimisation of marine pollution.</t>
  </si>
  <si>
    <t>Marine Living Resources Act, 1998 (Act No 18 of 1998)</t>
  </si>
  <si>
    <t>Auditor-General to report</t>
  </si>
  <si>
    <t>5. National Botanical Institute</t>
  </si>
  <si>
    <t>Promote the sustainable use, conservation, appreciation and enjoyment of the exceptionally rich plant life of South Africa for the benefit of all people.</t>
  </si>
  <si>
    <t>Forest Act, 1984 (Act No. 122 of 1984)</t>
  </si>
  <si>
    <t>6. Johannesburg World Summit Company</t>
  </si>
  <si>
    <t>Hosting of the World Summit on Sustainable Development.</t>
  </si>
  <si>
    <t>Companies Act, 1973 (Act No. 61 of 1973) as amended</t>
  </si>
  <si>
    <t>First report 2002/03</t>
  </si>
  <si>
    <t>7. Greater St Lucia Wetland Park Authority</t>
  </si>
  <si>
    <t>Conservation of the Greater St Lucia Wetland Area</t>
  </si>
  <si>
    <t>World Heritage Convention Act, 1999 (Act No. 49 of 1999)</t>
  </si>
  <si>
    <t>ANNEXURE 3</t>
  </si>
  <si>
    <t>STATEMENT OF FINANCIAL GUARANTEES ISSUED AS AT 31 MARCH 2003</t>
  </si>
  <si>
    <t>DOMESTIC</t>
  </si>
  <si>
    <t>Guaranteed institution</t>
  </si>
  <si>
    <t>Guarantee in respect of</t>
  </si>
  <si>
    <t>Original Guaranteed capital amount</t>
  </si>
  <si>
    <t>Opening balance 01/04/2002</t>
  </si>
  <si>
    <t>Guarantees issued during the year</t>
  </si>
  <si>
    <t>Guarantees Released during the year</t>
  </si>
  <si>
    <t>Guaranteed interest outstanding as at 31/03/2003</t>
  </si>
  <si>
    <t>Closing Balance 31/03/2003</t>
  </si>
  <si>
    <t>Realised losses i.r.o. claims paid out</t>
  </si>
  <si>
    <t>Standard Bank</t>
  </si>
  <si>
    <t>Cape of Good Hoop Bank</t>
  </si>
  <si>
    <t>Nedbank Limited</t>
  </si>
  <si>
    <t>Firstrand Bank: FNB</t>
  </si>
  <si>
    <t>BOE Bank (Boland division)</t>
  </si>
  <si>
    <t>ABSA Bank</t>
  </si>
  <si>
    <t>Old Mutual Bank</t>
  </si>
  <si>
    <t>People's Bank</t>
  </si>
  <si>
    <t>BOE Bank (NBS division)</t>
  </si>
  <si>
    <t>Saambou Bank</t>
  </si>
  <si>
    <t>Permanent Bank</t>
  </si>
  <si>
    <t>Cash Bank</t>
  </si>
  <si>
    <t xml:space="preserve">Stannic </t>
  </si>
  <si>
    <t xml:space="preserve">suspicious:H20,  H28,  E23,  </t>
  </si>
  <si>
    <t>ANNEXURE 4</t>
  </si>
  <si>
    <t>PHYSICAL ASSET MOVEMENT SCHEDULE (Not including inventories)</t>
  </si>
  <si>
    <t>PHYSICAL ASSETS ACQUIRED DURING FINANCIAL YEAR 2002/03</t>
  </si>
  <si>
    <t>Additions</t>
  </si>
  <si>
    <t>Disposals</t>
  </si>
  <si>
    <t>Transfers In</t>
  </si>
  <si>
    <t>Transfers Out</t>
  </si>
  <si>
    <t>LAND AND BUILDINGS</t>
  </si>
  <si>
    <t>Non-Residential Buildings</t>
  </si>
  <si>
    <t>MACHINERY AND EQUIPMENT</t>
  </si>
  <si>
    <t>PHYSICAL ASSETS ACQUIRED DURING FINANCIAL YEAR 2001/02</t>
  </si>
  <si>
    <t>APPROPRIATION STATEMENT</t>
  </si>
  <si>
    <t>for the year ended 31 MARCH 2003</t>
  </si>
  <si>
    <t>2002/03</t>
  </si>
  <si>
    <t>2001/02</t>
  </si>
  <si>
    <t>Programme</t>
  </si>
  <si>
    <t>Adjusted
Appropriation</t>
  </si>
  <si>
    <t>Virement</t>
  </si>
  <si>
    <t>Revised
Allocation</t>
  </si>
  <si>
    <t>Actual
Expenditure</t>
  </si>
  <si>
    <t>Savings
(Excess)</t>
  </si>
  <si>
    <t>Expenditure as % of revised allocation</t>
  </si>
  <si>
    <t>Environmental Planning and Coordination</t>
  </si>
  <si>
    <t>Marine and Coastal Management</t>
  </si>
  <si>
    <t>Auxiliary and Associated Services</t>
  </si>
  <si>
    <t>Special Functions</t>
  </si>
  <si>
    <t>Economic classification</t>
  </si>
  <si>
    <t>Acquisition of capital assets</t>
  </si>
  <si>
    <t>Standard item classification</t>
  </si>
  <si>
    <t>Special functions</t>
  </si>
  <si>
    <t>DETAIL PER PROGRAMME 1</t>
  </si>
  <si>
    <t>Programme per subprogramme</t>
  </si>
  <si>
    <t>Adjusted</t>
  </si>
  <si>
    <t>Revised</t>
  </si>
  <si>
    <t>Actual</t>
  </si>
  <si>
    <t>Savings</t>
  </si>
  <si>
    <t>Appropriation</t>
  </si>
  <si>
    <t>Allocation</t>
  </si>
  <si>
    <t>(Excess)</t>
  </si>
  <si>
    <t>Minister</t>
  </si>
  <si>
    <t>Deputy Minister</t>
  </si>
  <si>
    <t>Management</t>
  </si>
  <si>
    <t>Corporate Services</t>
  </si>
  <si>
    <t>DETAIL PER PROGRAMME 2</t>
  </si>
  <si>
    <t>Environmental Monitoring and Reporting</t>
  </si>
  <si>
    <t>Environmental Capacity Building</t>
  </si>
  <si>
    <t>Law Reform Planning and Conciliation</t>
  </si>
  <si>
    <t>Environmental Impact Management</t>
  </si>
  <si>
    <t>Contributions</t>
  </si>
  <si>
    <t>DETAIL PER PROGRAMME 3</t>
  </si>
  <si>
    <t>Administrative Support Services</t>
  </si>
  <si>
    <t>Antarctic Supply Vessel</t>
  </si>
  <si>
    <t>Marine and Aquatic Pollution Control</t>
  </si>
  <si>
    <t>Financial Assistance</t>
  </si>
  <si>
    <t>DETAIL PER PROGRAMME 4</t>
  </si>
  <si>
    <t>Tourism Business Development</t>
  </si>
  <si>
    <t>Tourism Quality Assurance</t>
  </si>
  <si>
    <t>International Tourism Liaison and Inter- governmental Coordination</t>
  </si>
  <si>
    <t>Tourism Research and Development</t>
  </si>
  <si>
    <t>Grant-in-aid</t>
  </si>
  <si>
    <t>Contribution</t>
  </si>
  <si>
    <t>Financial assistance</t>
  </si>
  <si>
    <t>DETAIL PER PROGRAMME 5</t>
  </si>
  <si>
    <t>Air Quality Management</t>
  </si>
  <si>
    <t>Chemicals and Hazardous Waste Management</t>
  </si>
  <si>
    <t>Waste Management</t>
  </si>
  <si>
    <t>Climate Change and Ozone Layer Protection</t>
  </si>
  <si>
    <t>Environmental Resource Economics</t>
  </si>
  <si>
    <t xml:space="preserve">Allocation and expenditure for 2001/02 with regard to South African Weather Service (previously Programme 4: Weather Services) are </t>
  </si>
  <si>
    <t>included in Programme 5: Environmental Quality and Protection</t>
  </si>
  <si>
    <t>DETAIL PER PROGRAMME 6</t>
  </si>
  <si>
    <t>Biodiversity Management</t>
  </si>
  <si>
    <t>Cultural and Local Natural Resources Management</t>
  </si>
  <si>
    <t>Transfrontier Conservation Areas</t>
  </si>
  <si>
    <t>Protected Areas</t>
  </si>
  <si>
    <t>DETAIL PER PROGRAMME 7</t>
  </si>
  <si>
    <t>Antarctic and Island Research</t>
  </si>
  <si>
    <t>Government Motor Transport</t>
  </si>
  <si>
    <t>Land, Buildings and Structures</t>
  </si>
  <si>
    <t xml:space="preserve">suspicious:L30,  </t>
  </si>
  <si>
    <t>Detail of current and capital transfers as per Appropriation Act (after Virement):</t>
  </si>
  <si>
    <t>Detail of these transactions can be viewed in note 9 (Transfer payments) to the annual financial statements.</t>
  </si>
  <si>
    <t>Detail of specifically and exclusively appropriated amounts voted (after Virement):</t>
  </si>
  <si>
    <t>Detail of these transactions can be viewed in note 1 (Charge to National Revenue Fund) to the annual financial statements.</t>
  </si>
  <si>
    <t>Detail of special functions (theft and losses)</t>
  </si>
  <si>
    <t>Detail of these transactions per programme can be viewed in note 11.5 (Details of special functions) to the annual financial statements.</t>
  </si>
  <si>
    <t>Explanations of material variances from Amount Voted (after virement):</t>
  </si>
  <si>
    <t>Per programme:</t>
  </si>
  <si>
    <t xml:space="preserve">Under expenditure mainly due to late procurement on capital projects undertaken by the Department of Public Works. </t>
  </si>
  <si>
    <t xml:space="preserve">Under expenditure mainly due to the awarding process of tenders through the procurement procedure  </t>
  </si>
  <si>
    <t>of the Department of Public Works with regard to the Marion base building project.</t>
  </si>
  <si>
    <t>Per standard item:</t>
  </si>
  <si>
    <t>Reconciliation of appropriation statement to income statement:</t>
  </si>
  <si>
    <t>Total expenditure per Appropriation Statement</t>
  </si>
  <si>
    <t>Add:</t>
  </si>
  <si>
    <t>Local and foreign aid assistance (including RDP funds)</t>
  </si>
  <si>
    <t>Actual Expenditure per Income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</si>
</sst>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76" formatCode="0.0"/>
    <numFmt numFmtId="177" formatCode="\ #\ ###\ ##0,"/>
    <numFmt numFmtId="178" formatCode="#\ ###\ ##0;\(#\ ###\ ##0\)"/>
    <numFmt numFmtId="179" formatCode="#\ ###\ ###\ ##0.00;\(#\ ###\ ###\ ##0.00\)"/>
    <numFmt numFmtId="180" formatCode="#\ ###\ ##0.00;\(#\ ###\ ##0.00\)"/>
    <numFmt numFmtId="181" formatCode="#\ ###\ ##0;\(#\ ###\ ##0,\)"/>
  </numFmts>
  <fonts count="18" x14ac:knownFonts="1">
    <font>
      <sz val="10"/>
      <name val="Arial"/>
    </font>
    <font>
      <sz val="10"/>
      <name val="Arial"/>
      <family val="2"/>
    </font>
    <font>
      <b/>
      <sz val="10"/>
      <name val="Arial"/>
      <family val="2"/>
    </font>
    <font>
      <sz val="10"/>
      <name val="Arial"/>
      <family val="2"/>
    </font>
    <font>
      <b/>
      <sz val="12"/>
      <name val="Arial"/>
      <family val="2"/>
    </font>
    <font>
      <b/>
      <sz val="11"/>
      <name val="Arial"/>
      <family val="2"/>
    </font>
    <font>
      <b/>
      <sz val="8"/>
      <name val="Arial"/>
      <family val="2"/>
    </font>
    <font>
      <sz val="8"/>
      <name val="Arial"/>
      <family val="2"/>
    </font>
    <font>
      <sz val="12"/>
      <name val="Arial"/>
      <family val="2"/>
    </font>
    <font>
      <b/>
      <sz val="10"/>
      <color indexed="12"/>
      <name val="Arial"/>
      <family val="2"/>
    </font>
    <font>
      <sz val="10"/>
      <color indexed="12"/>
      <name val="Arial"/>
      <family val="2"/>
    </font>
    <font>
      <sz val="10"/>
      <color indexed="10"/>
      <name val="Arial"/>
      <family val="2"/>
    </font>
    <font>
      <sz val="10"/>
      <color indexed="8"/>
      <name val="Arial"/>
      <family val="2"/>
    </font>
    <font>
      <b/>
      <sz val="10"/>
      <color indexed="8"/>
      <name val="Arial"/>
      <family val="2"/>
    </font>
    <font>
      <b/>
      <sz val="9"/>
      <name val="Arial"/>
      <family val="2"/>
    </font>
    <font>
      <u/>
      <sz val="10"/>
      <color indexed="12"/>
      <name val="Arial"/>
      <family val="2"/>
    </font>
    <font>
      <sz val="10"/>
      <color indexed="8"/>
      <name val="Arial Narrow"/>
      <family val="2"/>
    </font>
    <font>
      <sz val="9"/>
      <name val="宋体"/>
      <family val="3"/>
      <charset val="134"/>
    </font>
  </fonts>
  <fills count="47">
    <fill>
      <patternFill patternType="none"/>
    </fill>
    <fill>
      <patternFill patternType="gray125"/>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8B4513"/>
      </patternFill>
    </fill>
    <fill>
      <patternFill patternType="solid">
        <fgColor rgb="FF00FFFF"/>
      </patternFill>
    </fill>
    <fill>
      <patternFill patternType="solid">
        <fgColor rgb="FF556B2F"/>
      </patternFill>
    </fill>
    <fill>
      <patternFill patternType="solid">
        <fgColor rgb="FFEE00EE"/>
      </patternFill>
    </fill>
    <fill>
      <patternFill patternType="solid">
        <fgColor rgb="FFB22222"/>
      </patternFill>
    </fill>
    <fill>
      <patternFill patternType="solid">
        <fgColor rgb="FFEE9A00"/>
      </patternFill>
    </fill>
    <fill>
      <patternFill patternType="solid">
        <fgColor rgb="FFFA8072"/>
      </patternFill>
    </fill>
    <fill>
      <patternFill patternType="solid">
        <fgColor rgb="FFDB7093"/>
      </patternFill>
    </fill>
    <fill>
      <patternFill patternType="solid">
        <fgColor rgb="FFB9D3EE"/>
      </patternFill>
    </fill>
    <fill>
      <patternFill patternType="solid">
        <fgColor rgb="FF8B864E"/>
      </patternFill>
    </fill>
    <fill>
      <patternFill patternType="solid">
        <fgColor rgb="FF7B68EE"/>
      </patternFill>
    </fill>
    <fill>
      <patternFill patternType="solid">
        <fgColor rgb="FFEEB422"/>
      </patternFill>
    </fill>
    <fill>
      <patternFill patternType="solid">
        <fgColor rgb="FF00CD00"/>
      </patternFill>
    </fill>
    <fill>
      <patternFill patternType="solid">
        <fgColor rgb="FF4D4D4D"/>
      </patternFill>
    </fill>
    <fill>
      <patternFill patternType="solid">
        <fgColor rgb="FF8B7500"/>
      </patternFill>
    </fill>
    <fill>
      <patternFill patternType="solid">
        <fgColor rgb="FF7F7F7F"/>
      </patternFill>
    </fill>
    <fill>
      <patternFill patternType="solid">
        <fgColor rgb="FFFF6600"/>
      </patternFill>
    </fill>
    <fill>
      <patternFill patternType="solid">
        <fgColor rgb="FF800000"/>
      </patternFill>
    </fill>
    <fill>
      <patternFill patternType="solid">
        <fgColor rgb="FF008080"/>
      </patternFill>
    </fill>
    <fill>
      <patternFill patternType="solid">
        <fgColor rgb="FFFFFFCC"/>
      </patternFill>
    </fill>
    <fill>
      <patternFill patternType="solid">
        <fgColor rgb="FFCCFFCC"/>
      </patternFill>
    </fill>
    <fill>
      <patternFill patternType="solid">
        <fgColor rgb="FFCCCCFF"/>
      </patternFill>
    </fill>
    <fill>
      <patternFill patternType="solid">
        <fgColor rgb="FFFFCC99"/>
      </patternFill>
    </fill>
    <fill>
      <patternFill patternType="solid">
        <fgColor rgb="FFCC99FF"/>
      </patternFill>
    </fill>
    <fill>
      <patternFill patternType="solid">
        <fgColor rgb="FF000080"/>
      </patternFill>
    </fill>
    <fill>
      <patternFill patternType="solid">
        <fgColor rgb="FF666699"/>
      </patternFill>
    </fill>
    <fill>
      <patternFill patternType="solid">
        <fgColor rgb="FF969696"/>
      </patternFill>
    </fill>
    <fill>
      <patternFill patternType="solid">
        <fgColor rgb="FF339966"/>
      </patternFill>
    </fill>
    <fill>
      <patternFill patternType="solid">
        <fgColor rgb="FF993300"/>
      </patternFill>
    </fill>
    <fill>
      <patternFill patternType="solid">
        <fgColor rgb="FF333300"/>
      </patternFill>
    </fill>
    <fill>
      <patternFill patternType="solid">
        <fgColor rgb="FF99CCFF"/>
      </patternFill>
    </fill>
    <fill>
      <patternFill patternType="solid">
        <fgColor rgb="FFC0C0C0"/>
      </patternFill>
    </fill>
    <fill>
      <patternFill patternType="solid">
        <fgColor rgb="FF808080"/>
      </patternFill>
    </fill>
    <fill>
      <patternFill patternType="solid">
        <fgColor rgb="FF9999FF"/>
      </patternFill>
    </fill>
    <fill>
      <patternFill patternType="solid">
        <fgColor rgb="FF993366"/>
      </patternFill>
    </fill>
    <fill>
      <patternFill patternType="solid">
        <fgColor rgb="FF008000"/>
      </patternFill>
    </fill>
    <fill>
      <patternFill patternType="solid">
        <fgColor rgb="FF800080"/>
      </patternFill>
    </fill>
    <fill>
      <patternFill patternType="solid">
        <fgColor rgb="FFFF00FF"/>
      </patternFill>
    </fill>
    <fill>
      <patternFill patternType="lightGrid">
        <fgColor rgb="FFFF00FF"/>
      </patternFill>
    </fill>
  </fills>
  <borders count="22">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double">
        <color indexed="64"/>
      </top>
      <bottom/>
      <diagonal/>
    </border>
    <border>
      <left/>
      <right style="thin">
        <color indexed="64"/>
      </right>
      <top style="thin">
        <color indexed="64"/>
      </top>
      <bottom/>
      <diagonal/>
    </border>
    <border>
      <left/>
      <right/>
      <top/>
      <bottom style="double">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8"/>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8"/>
      </right>
      <top style="thin">
        <color indexed="64"/>
      </top>
      <bottom style="thin">
        <color indexed="64"/>
      </bottom>
      <diagonal/>
    </border>
  </borders>
  <cellStyleXfs count="2">
    <xf numFmtId="0" fontId="0" fillId="0" borderId="0"/>
    <xf numFmtId="43" fontId="1" fillId="0" borderId="0"/>
  </cellStyleXfs>
  <cellXfs count="691">
    <xf numFmtId="0" fontId="0" fillId="0" borderId="0" xfId="0"/>
    <xf numFmtId="0" fontId="2" fillId="0" borderId="2" xfId="0" applyFont="1" applyBorder="1" applyAlignment="1">
      <alignment vertical="top" wrapText="1"/>
    </xf>
    <xf numFmtId="0" fontId="2" fillId="0" borderId="0" xfId="0" applyFont="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4" fillId="0" borderId="0" xfId="0" applyFont="1" applyAlignment="1">
      <alignment horizontal="justify"/>
    </xf>
    <xf numFmtId="0" fontId="2" fillId="0" borderId="0" xfId="0" applyFont="1" applyAlignment="1">
      <alignment horizontal="justify"/>
    </xf>
    <xf numFmtId="0" fontId="4" fillId="0" borderId="0" xfId="0" applyFont="1" applyAlignment="1">
      <alignment horizontal="center"/>
    </xf>
    <xf numFmtId="0" fontId="2" fillId="0" borderId="1" xfId="0" applyFont="1" applyBorder="1" applyAlignment="1">
      <alignment wrapText="1"/>
    </xf>
    <xf numFmtId="0" fontId="2" fillId="0" borderId="5" xfId="0" applyFont="1" applyBorder="1" applyAlignment="1">
      <alignment vertical="top" wrapText="1"/>
    </xf>
    <xf numFmtId="0" fontId="3" fillId="0" borderId="7" xfId="0" applyFont="1" applyBorder="1" applyAlignment="1">
      <alignment horizontal="center" vertical="top" wrapText="1"/>
    </xf>
    <xf numFmtId="0" fontId="2" fillId="0" borderId="0" xfId="0" applyFont="1" applyAlignment="1">
      <alignment horizontal="justify" wrapText="1"/>
    </xf>
    <xf numFmtId="0" fontId="2" fillId="0" borderId="0" xfId="0" applyFont="1" applyAlignment="1">
      <alignment horizontal="justify" vertical="top" wrapText="1"/>
    </xf>
    <xf numFmtId="0" fontId="4" fillId="0" borderId="0" xfId="0" applyFont="1" applyAlignment="1">
      <alignment horizontal="right"/>
    </xf>
    <xf numFmtId="0" fontId="2" fillId="0" borderId="2" xfId="0" applyFont="1" applyBorder="1" applyAlignment="1">
      <alignment horizontal="left" vertical="top" wrapText="1"/>
    </xf>
    <xf numFmtId="0" fontId="3" fillId="0" borderId="0" xfId="0" applyFont="1" applyAlignment="1">
      <alignment horizontal="center" vertical="top"/>
    </xf>
    <xf numFmtId="0" fontId="2" fillId="0" borderId="0" xfId="0" applyFont="1" applyAlignment="1">
      <alignment horizontal="left" indent="3"/>
    </xf>
    <xf numFmtId="1" fontId="4" fillId="0" borderId="0" xfId="0" applyNumberFormat="1" applyFont="1" applyAlignment="1">
      <alignment horizontal="left" vertical="top"/>
    </xf>
    <xf numFmtId="0" fontId="2" fillId="0" borderId="0" xfId="0" applyFont="1" applyAlignment="1">
      <alignment horizontal="justify" vertical="top"/>
    </xf>
    <xf numFmtId="0" fontId="2" fillId="0" borderId="0" xfId="0" applyFont="1" applyAlignment="1">
      <alignment vertical="top"/>
    </xf>
    <xf numFmtId="0" fontId="3" fillId="0" borderId="0" xfId="0" applyFont="1" applyAlignment="1">
      <alignment horizontal="center" vertical="top" wrapText="1"/>
    </xf>
    <xf numFmtId="0" fontId="2" fillId="0" borderId="0" xfId="0" applyFont="1" applyAlignment="1">
      <alignment wrapText="1"/>
    </xf>
    <xf numFmtId="0" fontId="3" fillId="0" borderId="0" xfId="0" applyFont="1" applyAlignment="1">
      <alignment vertical="top"/>
    </xf>
    <xf numFmtId="0" fontId="3" fillId="0" borderId="0" xfId="0" applyFont="1" applyAlignment="1">
      <alignment horizontal="left" vertical="top"/>
    </xf>
    <xf numFmtId="0" fontId="4" fillId="0" borderId="0" xfId="0" applyFont="1"/>
    <xf numFmtId="0" fontId="2" fillId="0" borderId="0" xfId="0" applyFont="1" applyAlignment="1">
      <alignment horizontal="right"/>
    </xf>
    <xf numFmtId="0" fontId="2" fillId="0" borderId="0" xfId="0" applyFont="1" applyAlignment="1">
      <alignment horizontal="left" vertical="top" wrapText="1" indent="4"/>
    </xf>
    <xf numFmtId="0" fontId="0" fillId="0" borderId="0" xfId="0" applyAlignment="1">
      <alignment horizontal="right"/>
    </xf>
    <xf numFmtId="0" fontId="0" fillId="0" borderId="0" xfId="0" applyAlignment="1">
      <alignment horizontal="right" wrapText="1"/>
    </xf>
    <xf numFmtId="0" fontId="0" fillId="0" borderId="0" xfId="0" applyAlignment="1">
      <alignment horizontal="left" wrapText="1"/>
    </xf>
    <xf numFmtId="0" fontId="2" fillId="0" borderId="0" xfId="0" applyFont="1" applyAlignment="1">
      <alignment horizontal="left"/>
    </xf>
    <xf numFmtId="0" fontId="2" fillId="0" borderId="0" xfId="0" applyFont="1" applyAlignment="1">
      <alignment horizontal="right" wrapText="1"/>
    </xf>
    <xf numFmtId="0" fontId="2" fillId="0" borderId="2"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3" fillId="0" borderId="0" xfId="0" applyFont="1" applyAlignment="1">
      <alignment vertical="center"/>
    </xf>
    <xf numFmtId="0" fontId="2" fillId="0" borderId="14" xfId="0" applyFont="1" applyBorder="1" applyAlignment="1">
      <alignment horizontal="center" wrapText="1"/>
    </xf>
    <xf numFmtId="0" fontId="2" fillId="0" borderId="1" xfId="0" applyFont="1" applyBorder="1" applyAlignment="1">
      <alignment horizontal="left" wrapText="1"/>
    </xf>
    <xf numFmtId="0" fontId="6" fillId="0" borderId="8" xfId="0" applyFont="1" applyBorder="1" applyAlignment="1">
      <alignment wrapText="1"/>
    </xf>
    <xf numFmtId="0" fontId="2" fillId="0" borderId="15" xfId="0" applyFont="1" applyBorder="1" applyAlignment="1">
      <alignment wrapText="1"/>
    </xf>
    <xf numFmtId="0" fontId="2" fillId="0" borderId="5" xfId="0" applyFont="1" applyBorder="1" applyAlignment="1">
      <alignment wrapText="1"/>
    </xf>
    <xf numFmtId="0" fontId="2" fillId="0" borderId="3" xfId="0" applyFont="1" applyBorder="1" applyAlignment="1">
      <alignmen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0" borderId="6" xfId="0" applyFont="1" applyBorder="1" applyAlignment="1">
      <alignment horizontal="center" wrapText="1"/>
    </xf>
    <xf numFmtId="0" fontId="3" fillId="0" borderId="6" xfId="0" applyFont="1" applyBorder="1" applyAlignment="1">
      <alignment wrapText="1"/>
    </xf>
    <xf numFmtId="0" fontId="3" fillId="0" borderId="2" xfId="0" applyFont="1" applyBorder="1" applyAlignment="1">
      <alignment wrapText="1"/>
    </xf>
    <xf numFmtId="0" fontId="2" fillId="0" borderId="12" xfId="0" applyFont="1" applyBorder="1" applyAlignment="1">
      <alignment wrapText="1"/>
    </xf>
    <xf numFmtId="0" fontId="3" fillId="0" borderId="0" xfId="0" applyFont="1" applyAlignment="1">
      <alignment wrapText="1"/>
    </xf>
    <xf numFmtId="0" fontId="2" fillId="0" borderId="15" xfId="0" applyFont="1" applyBorder="1" applyAlignment="1">
      <alignment horizontal="center" wrapText="1"/>
    </xf>
    <xf numFmtId="0" fontId="3" fillId="0" borderId="12" xfId="0" applyFont="1" applyBorder="1"/>
    <xf numFmtId="0" fontId="6" fillId="0" borderId="0" xfId="0" applyFont="1" applyAlignment="1">
      <alignment wrapText="1"/>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wrapText="1"/>
    </xf>
    <xf numFmtId="0" fontId="2" fillId="0" borderId="6" xfId="0" applyFont="1" applyBorder="1" applyAlignment="1">
      <alignment horizontal="left" wrapText="1"/>
    </xf>
    <xf numFmtId="0" fontId="2" fillId="0" borderId="15" xfId="0" applyFont="1" applyBorder="1" applyAlignment="1">
      <alignment horizontal="left" wrapText="1"/>
    </xf>
    <xf numFmtId="0" fontId="2" fillId="0" borderId="1" xfId="0" applyFont="1" applyBorder="1" applyAlignment="1">
      <alignment horizontal="left" vertical="top" wrapText="1"/>
    </xf>
    <xf numFmtId="0" fontId="2" fillId="0" borderId="5" xfId="0" applyFont="1" applyBorder="1" applyAlignment="1">
      <alignment horizontal="left" wrapText="1"/>
    </xf>
    <xf numFmtId="0" fontId="4" fillId="0" borderId="0" xfId="0" applyFont="1" applyAlignment="1">
      <alignment horizontal="left" vertical="top"/>
    </xf>
    <xf numFmtId="0" fontId="2" fillId="0" borderId="0" xfId="0" applyFont="1" applyAlignment="1">
      <alignment horizontal="left" vertical="top" wrapText="1" indent="3"/>
    </xf>
    <xf numFmtId="0" fontId="2" fillId="0" borderId="0" xfId="0" applyFont="1" applyAlignment="1">
      <alignment horizontal="left" vertical="top"/>
    </xf>
    <xf numFmtId="1" fontId="4" fillId="0" borderId="0" xfId="0" applyNumberFormat="1" applyFont="1" applyAlignment="1">
      <alignment horizontal="left"/>
    </xf>
    <xf numFmtId="0" fontId="3" fillId="0" borderId="2" xfId="0" applyFont="1" applyBorder="1" applyAlignment="1">
      <alignment horizontal="right" vertical="top" wrapText="1"/>
    </xf>
    <xf numFmtId="1" fontId="3" fillId="0" borderId="0" xfId="0" applyNumberFormat="1" applyFont="1" applyAlignment="1">
      <alignment vertical="top" wrapText="1"/>
    </xf>
    <xf numFmtId="1" fontId="2" fillId="0" borderId="0" xfId="0" applyNumberFormat="1" applyFont="1" applyAlignment="1">
      <alignment horizontal="left"/>
    </xf>
    <xf numFmtId="0" fontId="2" fillId="0" borderId="0" xfId="0" applyFont="1" applyAlignment="1">
      <alignment horizontal="left" vertical="center" wrapText="1"/>
    </xf>
    <xf numFmtId="0" fontId="3" fillId="0" borderId="0" xfId="0" applyFont="1" applyAlignment="1">
      <alignment vertical="top" wrapText="1"/>
    </xf>
    <xf numFmtId="0" fontId="3" fillId="0" borderId="0" xfId="0" applyFont="1" applyAlignment="1">
      <alignment horizontal="right" vertical="top" wrapText="1"/>
    </xf>
    <xf numFmtId="0" fontId="2" fillId="0" borderId="0" xfId="0" applyFont="1" applyAlignment="1">
      <alignment horizontal="left" indent="1"/>
    </xf>
    <xf numFmtId="0" fontId="0" fillId="0" borderId="0" xfId="0"/>
    <xf numFmtId="0" fontId="2" fillId="0" borderId="0" xfId="0" applyFont="1" applyAlignment="1">
      <alignment vertical="center" wrapText="1"/>
    </xf>
    <xf numFmtId="0" fontId="2" fillId="0" borderId="0" xfId="0" applyFont="1"/>
    <xf numFmtId="17" fontId="2" fillId="0" borderId="0" xfId="0" applyNumberFormat="1" applyFont="1" applyAlignment="1">
      <alignment horizontal="right" vertical="top" wrapText="1"/>
    </xf>
    <xf numFmtId="0" fontId="3" fillId="0" borderId="0" xfId="0" applyFont="1" applyAlignment="1">
      <alignment horizontal="left" vertical="top" indent="2"/>
    </xf>
    <xf numFmtId="0" fontId="2" fillId="0" borderId="0" xfId="0" quotePrefix="1" applyFont="1" applyAlignment="1">
      <alignment horizontal="left" vertical="top"/>
    </xf>
    <xf numFmtId="0" fontId="3" fillId="0" borderId="0" xfId="0" applyFont="1" applyAlignment="1">
      <alignment vertical="center" wrapText="1"/>
    </xf>
    <xf numFmtId="0" fontId="11" fillId="0" borderId="0" xfId="0" applyFont="1" applyAlignment="1">
      <alignment horizontal="left" vertical="top"/>
    </xf>
    <xf numFmtId="0" fontId="10" fillId="0" borderId="0" xfId="0" applyFont="1" applyAlignment="1">
      <alignment horizontal="justify" vertical="top" wrapText="1"/>
    </xf>
    <xf numFmtId="0" fontId="10" fillId="0" borderId="0" xfId="0" applyFont="1"/>
    <xf numFmtId="0" fontId="9" fillId="0" borderId="0" xfId="0" applyFont="1" applyAlignment="1">
      <alignment horizontal="right" vertical="top" wrapText="1"/>
    </xf>
    <xf numFmtId="0" fontId="11" fillId="0" borderId="0" xfId="0" applyFont="1"/>
    <xf numFmtId="0" fontId="3" fillId="0" borderId="0" xfId="0" applyFont="1" applyAlignment="1">
      <alignment horizontal="right"/>
    </xf>
    <xf numFmtId="0" fontId="3" fillId="0" borderId="0" xfId="0" applyFont="1" applyAlignment="1">
      <alignment horizontal="right" wrapText="1"/>
    </xf>
    <xf numFmtId="0" fontId="3" fillId="0" borderId="0" xfId="0" applyFont="1"/>
    <xf numFmtId="4" fontId="2" fillId="0" borderId="0" xfId="0" applyNumberFormat="1" applyFont="1"/>
    <xf numFmtId="4" fontId="2" fillId="0" borderId="0" xfId="0" applyNumberFormat="1" applyFont="1" applyAlignment="1">
      <alignment horizontal="right" vertical="top" wrapText="1"/>
    </xf>
    <xf numFmtId="0" fontId="3" fillId="0" borderId="12" xfId="0" applyFont="1" applyBorder="1" applyAlignment="1">
      <alignment vertical="top" wrapText="1"/>
    </xf>
    <xf numFmtId="0" fontId="3" fillId="0" borderId="12" xfId="0" applyFont="1" applyBorder="1" applyAlignment="1">
      <alignment wrapText="1"/>
    </xf>
    <xf numFmtId="0" fontId="3" fillId="0" borderId="3" xfId="0" applyFont="1" applyBorder="1" applyAlignment="1">
      <alignment wrapText="1"/>
    </xf>
    <xf numFmtId="0" fontId="7" fillId="0" borderId="8" xfId="0" applyFont="1" applyBorder="1" applyAlignment="1">
      <alignment wrapText="1"/>
    </xf>
    <xf numFmtId="0" fontId="4" fillId="0" borderId="0" xfId="0" applyFont="1" applyAlignment="1">
      <alignment horizontal="centerContinuous"/>
    </xf>
    <xf numFmtId="0" fontId="0" fillId="0" borderId="0" xfId="0" applyAlignment="1">
      <alignment horizontal="centerContinuous"/>
    </xf>
    <xf numFmtId="0" fontId="2" fillId="0" borderId="0" xfId="0" quotePrefix="1" applyFont="1" applyAlignment="1">
      <alignment horizontal="left"/>
    </xf>
    <xf numFmtId="0" fontId="12" fillId="0" borderId="0" xfId="0" applyFont="1" applyAlignment="1">
      <alignment horizontal="left" vertical="top"/>
    </xf>
    <xf numFmtId="0" fontId="13" fillId="0" borderId="0" xfId="0" applyFont="1" applyAlignment="1">
      <alignment horizontal="left"/>
    </xf>
    <xf numFmtId="0" fontId="13" fillId="0" borderId="0" xfId="0" applyFont="1" applyAlignment="1">
      <alignment horizontal="justify" vertical="top" wrapText="1"/>
    </xf>
    <xf numFmtId="0" fontId="3" fillId="0" borderId="0" xfId="0" applyFont="1" applyAlignment="1">
      <alignment horizontal="center" vertical="center"/>
    </xf>
    <xf numFmtId="0" fontId="2" fillId="0" borderId="0" xfId="0" applyFont="1" applyAlignment="1">
      <alignment horizontal="center" vertical="center"/>
    </xf>
    <xf numFmtId="0" fontId="10" fillId="0" borderId="0" xfId="0" applyFont="1" applyAlignment="1">
      <alignment horizontal="center"/>
    </xf>
    <xf numFmtId="0" fontId="14" fillId="0" borderId="0" xfId="0" applyFont="1"/>
    <xf numFmtId="0" fontId="2" fillId="0" borderId="0" xfId="0" applyFont="1" applyAlignment="1">
      <alignment horizontal="center" vertical="top" wrapText="1"/>
    </xf>
    <xf numFmtId="4" fontId="3" fillId="0" borderId="0" xfId="0" applyNumberFormat="1" applyFont="1" applyAlignment="1">
      <alignment horizontal="right"/>
    </xf>
    <xf numFmtId="0" fontId="3" fillId="0" borderId="0" xfId="0" quotePrefix="1" applyFont="1" applyAlignment="1">
      <alignment horizontal="left" vertical="top"/>
    </xf>
    <xf numFmtId="17" fontId="9" fillId="0" borderId="0" xfId="0" applyNumberFormat="1" applyFont="1" applyAlignment="1">
      <alignment horizontal="right" vertical="top" wrapText="1"/>
    </xf>
    <xf numFmtId="4" fontId="0" fillId="0" borderId="0" xfId="0" applyNumberFormat="1"/>
    <xf numFmtId="4" fontId="3" fillId="0" borderId="0" xfId="0" applyNumberFormat="1" applyFont="1" applyAlignment="1">
      <alignment horizontal="justify" vertical="top" wrapText="1"/>
    </xf>
    <xf numFmtId="4" fontId="3" fillId="0" borderId="0" xfId="0" applyNumberFormat="1" applyFont="1" applyAlignment="1">
      <alignment wrapText="1"/>
    </xf>
    <xf numFmtId="4" fontId="2" fillId="0" borderId="0" xfId="0" applyNumberFormat="1" applyFont="1" applyAlignment="1">
      <alignment vertical="top" wrapText="1"/>
    </xf>
    <xf numFmtId="0" fontId="15" fillId="0" borderId="0" xfId="0" applyFont="1" applyAlignment="1">
      <alignment horizontal="center"/>
    </xf>
    <xf numFmtId="4" fontId="7" fillId="0" borderId="0" xfId="0" applyNumberFormat="1" applyFont="1" applyAlignment="1">
      <alignment vertical="top" wrapText="1"/>
    </xf>
    <xf numFmtId="4" fontId="3" fillId="0" borderId="0" xfId="0" applyNumberFormat="1" applyFont="1" applyAlignment="1">
      <alignment horizontal="right" vertical="top" wrapText="1"/>
    </xf>
    <xf numFmtId="4" fontId="10" fillId="0" borderId="2" xfId="0" applyNumberFormat="1" applyFont="1" applyBorder="1"/>
    <xf numFmtId="17" fontId="2" fillId="0" borderId="0" xfId="0" applyNumberFormat="1" applyFont="1" applyAlignment="1">
      <alignment horizontal="center" vertical="top" wrapText="1"/>
    </xf>
    <xf numFmtId="0" fontId="3" fillId="0" borderId="0" xfId="0" applyFont="1" applyAlignment="1">
      <alignment horizontal="left" vertical="top" wrapText="1" indent="2"/>
    </xf>
    <xf numFmtId="0" fontId="3" fillId="0" borderId="0" xfId="0" quotePrefix="1" applyFont="1" applyAlignment="1">
      <alignment horizontal="left" vertical="top" wrapText="1" indent="2"/>
    </xf>
    <xf numFmtId="0" fontId="2" fillId="0" borderId="12" xfId="0" quotePrefix="1" applyFont="1" applyBorder="1" applyAlignment="1">
      <alignment horizontal="center" vertical="center" wrapText="1"/>
    </xf>
    <xf numFmtId="0" fontId="2" fillId="0" borderId="13" xfId="0" applyFont="1" applyBorder="1" applyAlignment="1">
      <alignment horizontal="center" vertical="center"/>
    </xf>
    <xf numFmtId="0" fontId="1" fillId="0" borderId="0" xfId="0" applyFont="1" applyAlignment="1">
      <alignment horizontal="centerContinuous"/>
    </xf>
    <xf numFmtId="0" fontId="1" fillId="0" borderId="0" xfId="0" applyFont="1"/>
    <xf numFmtId="0" fontId="8" fillId="0" borderId="0" xfId="0" applyFont="1" applyAlignment="1">
      <alignment horizontal="centerContinuous"/>
    </xf>
    <xf numFmtId="0" fontId="1" fillId="0" borderId="0" xfId="0" applyFont="1" applyAlignment="1">
      <alignment vertical="center"/>
    </xf>
    <xf numFmtId="0" fontId="0" fillId="0" borderId="0" xfId="0" quotePrefix="1" applyAlignment="1">
      <alignment horizontal="center"/>
    </xf>
    <xf numFmtId="0" fontId="0" fillId="0" borderId="0" xfId="0" applyAlignment="1">
      <alignment horizontal="center"/>
    </xf>
    <xf numFmtId="0" fontId="4" fillId="0" borderId="0" xfId="0" quotePrefix="1" applyFont="1" applyAlignment="1">
      <alignment horizontal="left" vertical="top"/>
    </xf>
    <xf numFmtId="1" fontId="4" fillId="0" borderId="0" xfId="0" quotePrefix="1" applyNumberFormat="1" applyFont="1" applyAlignment="1">
      <alignment horizontal="left"/>
    </xf>
    <xf numFmtId="0" fontId="4" fillId="0" borderId="0" xfId="0" quotePrefix="1" applyFont="1" applyAlignment="1">
      <alignment horizontal="left"/>
    </xf>
    <xf numFmtId="4" fontId="10" fillId="0" borderId="0" xfId="0" applyNumberFormat="1" applyFont="1"/>
    <xf numFmtId="0" fontId="3" fillId="0" borderId="0" xfId="0" applyFont="1" applyAlignment="1">
      <alignment horizontal="centerContinuous"/>
    </xf>
    <xf numFmtId="0" fontId="8" fillId="0" borderId="0" xfId="0" applyFont="1"/>
    <xf numFmtId="0" fontId="4" fillId="0" borderId="17" xfId="0" applyFont="1" applyBorder="1" applyAlignment="1">
      <alignment horizontal="center" vertical="center" wrapText="1"/>
    </xf>
    <xf numFmtId="0" fontId="4" fillId="0" borderId="17" xfId="0" applyFont="1" applyBorder="1" applyAlignment="1">
      <alignment horizontal="center" vertical="center"/>
    </xf>
    <xf numFmtId="0" fontId="8" fillId="0" borderId="12" xfId="0" applyFont="1" applyBorder="1" applyAlignment="1">
      <alignment vertical="top"/>
    </xf>
    <xf numFmtId="0" fontId="8" fillId="0" borderId="3" xfId="0" applyFont="1" applyBorder="1" applyAlignment="1">
      <alignment vertical="top" wrapText="1"/>
    </xf>
    <xf numFmtId="0" fontId="8" fillId="0" borderId="12" xfId="0" applyFont="1" applyBorder="1" applyAlignment="1">
      <alignment horizontal="center" vertical="top"/>
    </xf>
    <xf numFmtId="0" fontId="8" fillId="0" borderId="10" xfId="0" applyFont="1" applyBorder="1" applyAlignment="1">
      <alignment vertical="top"/>
    </xf>
    <xf numFmtId="0" fontId="8" fillId="0" borderId="4" xfId="0" applyFont="1" applyBorder="1" applyAlignment="1">
      <alignment vertical="top" wrapText="1"/>
    </xf>
    <xf numFmtId="0" fontId="8" fillId="0" borderId="10" xfId="0" applyFont="1" applyBorder="1" applyAlignment="1">
      <alignment horizontal="center" vertical="top"/>
    </xf>
    <xf numFmtId="0" fontId="8" fillId="0" borderId="13" xfId="0" applyFont="1" applyBorder="1" applyAlignment="1">
      <alignment vertical="top"/>
    </xf>
    <xf numFmtId="0" fontId="8" fillId="0" borderId="6" xfId="0" applyFont="1" applyBorder="1" applyAlignment="1">
      <alignment vertical="top"/>
    </xf>
    <xf numFmtId="0" fontId="8" fillId="0" borderId="13" xfId="0" applyFont="1" applyBorder="1"/>
    <xf numFmtId="0" fontId="2" fillId="0" borderId="18" xfId="0" applyFont="1" applyBorder="1" applyAlignment="1">
      <alignment wrapText="1"/>
    </xf>
    <xf numFmtId="0" fontId="3" fillId="0" borderId="11" xfId="0" applyFont="1" applyBorder="1" applyAlignment="1">
      <alignment wrapText="1"/>
    </xf>
    <xf numFmtId="0" fontId="2" fillId="0" borderId="0" xfId="0" applyFont="1" applyAlignment="1">
      <alignment horizontal="right" vertical="center"/>
    </xf>
    <xf numFmtId="4" fontId="3" fillId="0" borderId="0" xfId="0" applyNumberFormat="1" applyFont="1" applyAlignment="1">
      <alignment vertical="top" wrapText="1"/>
    </xf>
    <xf numFmtId="4" fontId="3" fillId="0" borderId="0" xfId="0" applyNumberFormat="1" applyFont="1"/>
    <xf numFmtId="0" fontId="2" fillId="0" borderId="0" xfId="0" applyFont="1" applyAlignment="1">
      <alignment horizontal="right" vertical="top"/>
    </xf>
    <xf numFmtId="0" fontId="3" fillId="0" borderId="0" xfId="0" applyFont="1" applyAlignment="1">
      <alignment horizontal="right" vertical="top"/>
    </xf>
    <xf numFmtId="0" fontId="0" fillId="0" borderId="0" xfId="0" applyAlignment="1">
      <alignment horizontal="right" vertical="top"/>
    </xf>
    <xf numFmtId="0" fontId="2" fillId="0" borderId="15" xfId="0" applyFont="1" applyBorder="1" applyAlignment="1">
      <alignment vertical="top" wrapText="1"/>
    </xf>
    <xf numFmtId="0" fontId="2" fillId="0" borderId="12" xfId="0" applyFont="1" applyBorder="1" applyAlignment="1">
      <alignment horizontal="right" vertical="top" wrapText="1"/>
    </xf>
    <xf numFmtId="0" fontId="2" fillId="0" borderId="12" xfId="0" applyFont="1" applyBorder="1" applyAlignment="1">
      <alignment horizontal="right" wrapText="1"/>
    </xf>
    <xf numFmtId="0" fontId="2" fillId="0" borderId="3" xfId="0" applyFont="1" applyBorder="1" applyAlignment="1">
      <alignment horizontal="right" wrapText="1"/>
    </xf>
    <xf numFmtId="0" fontId="2" fillId="0" borderId="11" xfId="0" applyFont="1" applyBorder="1" applyAlignment="1">
      <alignment vertical="top" wrapText="1"/>
    </xf>
    <xf numFmtId="0" fontId="3" fillId="0" borderId="12" xfId="0" applyFont="1" applyBorder="1" applyAlignment="1">
      <alignment horizontal="right"/>
    </xf>
    <xf numFmtId="0" fontId="6" fillId="0" borderId="8" xfId="0" applyFont="1" applyBorder="1" applyAlignment="1">
      <alignment horizontal="right" wrapText="1"/>
    </xf>
    <xf numFmtId="0" fontId="2" fillId="0" borderId="8" xfId="0" applyFont="1" applyBorder="1" applyAlignment="1">
      <alignment horizontal="right" wrapText="1"/>
    </xf>
    <xf numFmtId="0" fontId="6" fillId="0" borderId="0" xfId="0" applyFont="1" applyAlignment="1">
      <alignment horizontal="right" wrapText="1"/>
    </xf>
    <xf numFmtId="0" fontId="7" fillId="0" borderId="0" xfId="0" applyFont="1" applyAlignment="1">
      <alignment wrapText="1"/>
    </xf>
    <xf numFmtId="0" fontId="3" fillId="0" borderId="0" xfId="0" applyFont="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12" fillId="0" borderId="0" xfId="0" applyFont="1" applyAlignment="1">
      <alignment horizontal="left" vertical="top" wrapText="1"/>
    </xf>
    <xf numFmtId="0" fontId="2" fillId="0" borderId="0" xfId="0" applyFont="1" applyAlignment="1">
      <alignment horizontal="right" vertical="center" wrapText="1"/>
    </xf>
    <xf numFmtId="0" fontId="2" fillId="0" borderId="0" xfId="0" applyFont="1" applyAlignment="1">
      <alignment horizontal="right" vertical="top" wrapText="1"/>
    </xf>
    <xf numFmtId="0" fontId="3" fillId="0" borderId="0" xfId="0" applyFont="1" applyAlignment="1">
      <alignment horizontal="justify" vertical="top" wrapText="1"/>
    </xf>
    <xf numFmtId="0" fontId="5" fillId="0" borderId="0" xfId="0" applyFont="1" applyAlignment="1">
      <alignment horizontal="justify" vertical="top" wrapText="1"/>
    </xf>
    <xf numFmtId="0" fontId="2" fillId="0" borderId="0" xfId="0" applyFont="1" applyAlignment="1">
      <alignment horizontal="center" vertical="center" wrapText="1"/>
    </xf>
    <xf numFmtId="0" fontId="4" fillId="0" borderId="0" xfId="0" applyFont="1" applyAlignment="1">
      <alignment horizontal="left" wrapText="1"/>
    </xf>
    <xf numFmtId="0" fontId="2" fillId="0" borderId="0" xfId="0" applyFont="1" applyAlignment="1">
      <alignment horizontal="left" vertical="top" wrapText="1"/>
    </xf>
    <xf numFmtId="0" fontId="3" fillId="0" borderId="0" xfId="0" applyFont="1" applyAlignment="1">
      <alignment horizontal="left"/>
    </xf>
    <xf numFmtId="0" fontId="0" fillId="0" borderId="0" xfId="0" applyAlignment="1">
      <alignment horizontal="left"/>
    </xf>
    <xf numFmtId="0" fontId="2" fillId="0" borderId="11" xfId="0" applyFont="1" applyBorder="1" applyAlignment="1">
      <alignment horizontal="center" vertical="center" wrapText="1"/>
    </xf>
    <xf numFmtId="0" fontId="0" fillId="0" borderId="0" xfId="0" applyAlignment="1">
      <alignment wrapText="1"/>
    </xf>
    <xf numFmtId="0" fontId="2" fillId="0" borderId="13" xfId="0" applyFont="1" applyBorder="1" applyAlignment="1">
      <alignment horizontal="center" vertical="top" wrapText="1"/>
    </xf>
    <xf numFmtId="0" fontId="4" fillId="0" borderId="0" xfId="0" applyFont="1" applyAlignment="1">
      <alignment horizontal="left"/>
    </xf>
    <xf numFmtId="0" fontId="2" fillId="0" borderId="17" xfId="0" applyFont="1" applyBorder="1" applyAlignment="1">
      <alignment horizontal="center" vertical="top" wrapText="1"/>
    </xf>
    <xf numFmtId="0" fontId="2" fillId="0" borderId="12" xfId="0" applyFont="1" applyBorder="1" applyAlignment="1">
      <alignment horizontal="center" wrapText="1"/>
    </xf>
    <xf numFmtId="0" fontId="2" fillId="0" borderId="10" xfId="0" applyFont="1" applyBorder="1" applyAlignment="1">
      <alignment horizontal="center" wrapText="1"/>
    </xf>
    <xf numFmtId="0" fontId="2" fillId="0" borderId="13" xfId="0" applyFont="1" applyBorder="1" applyAlignment="1">
      <alignment horizontal="center" wrapText="1"/>
    </xf>
    <xf numFmtId="0" fontId="2" fillId="0" borderId="0" xfId="0" applyFont="1" applyAlignment="1">
      <alignment horizontal="left" wrapText="1"/>
    </xf>
    <xf numFmtId="0" fontId="2" fillId="0" borderId="12" xfId="0" applyFont="1" applyBorder="1" applyAlignment="1">
      <alignment horizontal="center" vertical="center" wrapText="1"/>
    </xf>
    <xf numFmtId="0" fontId="2" fillId="0" borderId="8" xfId="0" applyFont="1" applyBorder="1" applyAlignment="1">
      <alignment horizontal="left" wrapText="1"/>
    </xf>
    <xf numFmtId="0" fontId="2" fillId="0" borderId="4"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center" wrapText="1"/>
    </xf>
    <xf numFmtId="0" fontId="2" fillId="0" borderId="0" xfId="0" applyFont="1" applyAlignment="1">
      <alignment horizontal="center"/>
    </xf>
    <xf numFmtId="0" fontId="2" fillId="0" borderId="1" xfId="0" applyFont="1" applyBorder="1" applyAlignment="1">
      <alignment vertical="top" wrapText="1"/>
    </xf>
    <xf numFmtId="177" fontId="3" fillId="0" borderId="0" xfId="0" applyNumberFormat="1" applyFont="1"/>
    <xf numFmtId="177" fontId="2" fillId="2" borderId="0" xfId="0" applyNumberFormat="1" applyFont="1" applyFill="1" applyAlignment="1">
      <alignment horizontal="right" vertical="top" wrapText="1"/>
    </xf>
    <xf numFmtId="178" fontId="2" fillId="2" borderId="0" xfId="0" applyNumberFormat="1" applyFont="1" applyFill="1" applyAlignment="1">
      <alignment horizontal="right" vertical="top" wrapText="1"/>
    </xf>
    <xf numFmtId="177" fontId="0" fillId="0" borderId="0" xfId="0" applyNumberFormat="1"/>
    <xf numFmtId="180" fontId="0" fillId="0" borderId="0" xfId="0" applyNumberFormat="1"/>
    <xf numFmtId="177" fontId="3" fillId="0" borderId="5" xfId="1" applyNumberFormat="1" applyFont="1" applyBorder="1" applyAlignment="1">
      <alignment horizontal="right" vertical="top" wrapText="1"/>
    </xf>
    <xf numFmtId="178" fontId="3" fillId="0" borderId="18" xfId="1" applyNumberFormat="1" applyFont="1" applyBorder="1" applyAlignment="1">
      <alignment horizontal="right" vertical="top" wrapText="1"/>
    </xf>
    <xf numFmtId="177" fontId="2" fillId="0" borderId="0" xfId="0" applyNumberFormat="1" applyFont="1" applyAlignment="1">
      <alignment horizontal="right" vertical="top" wrapText="1"/>
    </xf>
    <xf numFmtId="177" fontId="2" fillId="3" borderId="0" xfId="0" applyNumberFormat="1" applyFont="1" applyFill="1" applyAlignment="1">
      <alignment horizontal="right" vertical="top" wrapText="1"/>
    </xf>
    <xf numFmtId="178" fontId="2" fillId="3" borderId="0" xfId="0" applyNumberFormat="1" applyFont="1" applyFill="1" applyAlignment="1">
      <alignment horizontal="right" vertical="top" wrapText="1"/>
    </xf>
    <xf numFmtId="177" fontId="3" fillId="0" borderId="3" xfId="1" applyNumberFormat="1" applyFont="1" applyBorder="1" applyAlignment="1">
      <alignment horizontal="right" vertical="top" wrapText="1"/>
    </xf>
    <xf numFmtId="178" fontId="3" fillId="0" borderId="8" xfId="1" applyNumberFormat="1" applyFont="1" applyBorder="1" applyAlignment="1">
      <alignment horizontal="right" vertical="top" wrapText="1"/>
    </xf>
    <xf numFmtId="177" fontId="3" fillId="0" borderId="6" xfId="1" applyNumberFormat="1" applyFont="1" applyBorder="1" applyAlignment="1">
      <alignment horizontal="right" vertical="top" wrapText="1"/>
    </xf>
    <xf numFmtId="178" fontId="3" fillId="0" borderId="14" xfId="1" applyNumberFormat="1" applyFont="1" applyBorder="1" applyAlignment="1">
      <alignment horizontal="right" vertical="top" wrapText="1"/>
    </xf>
    <xf numFmtId="180" fontId="0" fillId="4" borderId="0" xfId="0" applyNumberFormat="1" applyFill="1"/>
    <xf numFmtId="177" fontId="2" fillId="5" borderId="15" xfId="0" applyNumberFormat="1" applyFont="1" applyFill="1" applyBorder="1" applyAlignment="1">
      <alignment horizontal="right" vertical="top" wrapText="1"/>
    </xf>
    <xf numFmtId="178" fontId="2" fillId="5" borderId="15" xfId="0" applyNumberFormat="1" applyFont="1" applyFill="1" applyBorder="1" applyAlignment="1">
      <alignment horizontal="right" vertical="top" wrapText="1"/>
    </xf>
    <xf numFmtId="177" fontId="3" fillId="0" borderId="0" xfId="0" applyNumberFormat="1" applyFont="1" applyAlignment="1">
      <alignment horizontal="right" vertical="top"/>
    </xf>
    <xf numFmtId="177" fontId="2" fillId="6" borderId="0" xfId="0" applyNumberFormat="1" applyFont="1" applyFill="1" applyAlignment="1">
      <alignment horizontal="right" vertical="top"/>
    </xf>
    <xf numFmtId="178" fontId="2" fillId="6" borderId="0" xfId="0" applyNumberFormat="1" applyFont="1" applyFill="1" applyAlignment="1">
      <alignment horizontal="right" vertical="top"/>
    </xf>
    <xf numFmtId="178" fontId="0" fillId="0" borderId="0" xfId="0" applyNumberFormat="1"/>
    <xf numFmtId="177" fontId="3" fillId="0" borderId="4" xfId="1" applyNumberFormat="1" applyFont="1" applyBorder="1" applyAlignment="1">
      <alignment horizontal="right" vertical="top" wrapText="1"/>
    </xf>
    <xf numFmtId="178" fontId="3" fillId="0" borderId="11" xfId="1" applyNumberFormat="1" applyFont="1" applyBorder="1" applyAlignment="1">
      <alignment horizontal="right" vertical="top" wrapText="1"/>
    </xf>
    <xf numFmtId="178" fontId="0" fillId="7" borderId="0" xfId="0" applyNumberFormat="1" applyFill="1"/>
    <xf numFmtId="177" fontId="3" fillId="0" borderId="15" xfId="1" applyNumberFormat="1" applyFont="1" applyBorder="1" applyAlignment="1">
      <alignment horizontal="right" vertical="top" wrapText="1"/>
    </xf>
    <xf numFmtId="178" fontId="3" fillId="0" borderId="15" xfId="1" applyNumberFormat="1" applyFont="1" applyBorder="1" applyAlignment="1">
      <alignment horizontal="right" vertical="top" wrapText="1"/>
    </xf>
    <xf numFmtId="177" fontId="2" fillId="8" borderId="0" xfId="0" applyNumberFormat="1" applyFont="1" applyFill="1" applyAlignment="1">
      <alignment horizontal="right" vertical="top" wrapText="1"/>
    </xf>
    <xf numFmtId="178" fontId="2" fillId="8" borderId="0" xfId="0" applyNumberFormat="1" applyFont="1" applyFill="1" applyAlignment="1">
      <alignment horizontal="right" vertical="top" wrapText="1"/>
    </xf>
    <xf numFmtId="178" fontId="3" fillId="0" borderId="0" xfId="1" applyNumberFormat="1" applyFont="1" applyAlignment="1">
      <alignment vertical="top" wrapText="1"/>
    </xf>
    <xf numFmtId="177" fontId="3" fillId="0" borderId="0" xfId="1" applyNumberFormat="1" applyFont="1" applyAlignment="1">
      <alignment horizontal="right" vertical="top" wrapText="1"/>
    </xf>
    <xf numFmtId="178" fontId="3" fillId="0" borderId="0" xfId="1" applyNumberFormat="1" applyFont="1" applyAlignment="1">
      <alignment horizontal="right" vertical="top" wrapText="1"/>
    </xf>
    <xf numFmtId="177" fontId="2" fillId="9" borderId="0" xfId="0" applyNumberFormat="1" applyFont="1" applyFill="1" applyAlignment="1">
      <alignment horizontal="right" vertical="top" wrapText="1"/>
    </xf>
    <xf numFmtId="178" fontId="2" fillId="9" borderId="0" xfId="0" applyNumberFormat="1" applyFont="1" applyFill="1" applyAlignment="1">
      <alignment horizontal="right" vertical="top" wrapText="1"/>
    </xf>
    <xf numFmtId="177" fontId="2" fillId="10" borderId="15" xfId="0" applyNumberFormat="1" applyFont="1" applyFill="1" applyBorder="1" applyAlignment="1">
      <alignment horizontal="right" vertical="top" wrapText="1"/>
    </xf>
    <xf numFmtId="178" fontId="2" fillId="10" borderId="15" xfId="0" applyNumberFormat="1" applyFont="1" applyFill="1" applyBorder="1" applyAlignment="1">
      <alignment horizontal="right" vertical="top" wrapText="1"/>
    </xf>
    <xf numFmtId="177" fontId="3" fillId="0" borderId="0" xfId="0" applyNumberFormat="1" applyFont="1" applyAlignment="1">
      <alignment horizontal="right" vertical="top" wrapText="1"/>
    </xf>
    <xf numFmtId="178" fontId="3" fillId="0" borderId="0" xfId="0" applyNumberFormat="1" applyFont="1" applyAlignment="1">
      <alignment horizontal="right" vertical="top" wrapText="1"/>
    </xf>
    <xf numFmtId="177" fontId="3" fillId="0" borderId="0" xfId="1" applyNumberFormat="1" applyFont="1" applyAlignment="1">
      <alignment horizontal="right" vertical="top"/>
    </xf>
    <xf numFmtId="178" fontId="3" fillId="0" borderId="0" xfId="0" applyNumberFormat="1" applyFont="1" applyAlignment="1">
      <alignment horizontal="right" vertical="top"/>
    </xf>
    <xf numFmtId="177" fontId="2" fillId="11" borderId="16" xfId="0" applyNumberFormat="1" applyFont="1" applyFill="1" applyBorder="1" applyAlignment="1">
      <alignment horizontal="right" vertical="top" wrapText="1"/>
    </xf>
    <xf numFmtId="178" fontId="2" fillId="11" borderId="16" xfId="0" applyNumberFormat="1" applyFont="1" applyFill="1" applyBorder="1" applyAlignment="1">
      <alignment horizontal="right" vertical="top" wrapText="1"/>
    </xf>
    <xf numFmtId="177" fontId="2" fillId="2" borderId="0" xfId="0" applyNumberFormat="1" applyFont="1" applyFill="1" applyAlignment="1">
      <alignment horizontal="right" vertical="top"/>
    </xf>
    <xf numFmtId="178" fontId="2" fillId="2" borderId="0" xfId="0" applyNumberFormat="1" applyFont="1" applyFill="1" applyAlignment="1">
      <alignment horizontal="right" vertical="top"/>
    </xf>
    <xf numFmtId="177" fontId="3" fillId="0" borderId="3" xfId="1" applyNumberFormat="1" applyFont="1" applyBorder="1" applyAlignment="1">
      <alignment horizontal="right" vertical="top"/>
    </xf>
    <xf numFmtId="178" fontId="3" fillId="0" borderId="8" xfId="1" applyNumberFormat="1" applyFont="1" applyBorder="1" applyAlignment="1">
      <alignment horizontal="right" vertical="top"/>
    </xf>
    <xf numFmtId="177" fontId="3" fillId="0" borderId="4" xfId="1" applyNumberFormat="1" applyFont="1" applyBorder="1" applyAlignment="1">
      <alignment horizontal="right" vertical="top"/>
    </xf>
    <xf numFmtId="178" fontId="3" fillId="0" borderId="11" xfId="1" applyNumberFormat="1" applyFont="1" applyBorder="1" applyAlignment="1">
      <alignment horizontal="right" vertical="top"/>
    </xf>
    <xf numFmtId="177" fontId="3" fillId="0" borderId="6" xfId="1" applyNumberFormat="1" applyFont="1" applyBorder="1" applyAlignment="1">
      <alignment horizontal="right" vertical="top"/>
    </xf>
    <xf numFmtId="178" fontId="3" fillId="0" borderId="14" xfId="1" applyNumberFormat="1" applyFont="1" applyBorder="1" applyAlignment="1">
      <alignment horizontal="right" vertical="top"/>
    </xf>
    <xf numFmtId="180" fontId="2" fillId="0" borderId="0" xfId="0" applyNumberFormat="1" applyFont="1" applyAlignment="1">
      <alignment horizontal="right" vertical="top"/>
    </xf>
    <xf numFmtId="178" fontId="2" fillId="0" borderId="0" xfId="0" applyNumberFormat="1" applyFont="1" applyAlignment="1">
      <alignment horizontal="right" vertical="top"/>
    </xf>
    <xf numFmtId="177" fontId="2" fillId="4" borderId="15" xfId="0" applyNumberFormat="1" applyFont="1" applyFill="1" applyBorder="1" applyAlignment="1">
      <alignment horizontal="right" vertical="top"/>
    </xf>
    <xf numFmtId="178" fontId="2" fillId="4" borderId="15" xfId="0" applyNumberFormat="1" applyFont="1" applyFill="1" applyBorder="1" applyAlignment="1">
      <alignment horizontal="right" vertical="top"/>
    </xf>
    <xf numFmtId="177" fontId="2" fillId="0" borderId="0" xfId="0" applyNumberFormat="1" applyFont="1" applyAlignment="1">
      <alignment horizontal="right" vertical="top"/>
    </xf>
    <xf numFmtId="177" fontId="2" fillId="3" borderId="0" xfId="0" applyNumberFormat="1" applyFont="1" applyFill="1" applyAlignment="1">
      <alignment horizontal="right" vertical="top"/>
    </xf>
    <xf numFmtId="178" fontId="2" fillId="3" borderId="0" xfId="0" applyNumberFormat="1" applyFont="1" applyFill="1" applyAlignment="1">
      <alignment horizontal="right" vertical="top"/>
    </xf>
    <xf numFmtId="177" fontId="2" fillId="0" borderId="2" xfId="0" applyNumberFormat="1" applyFont="1" applyBorder="1" applyAlignment="1">
      <alignment horizontal="right" vertical="top"/>
    </xf>
    <xf numFmtId="178" fontId="2" fillId="0" borderId="2" xfId="0" applyNumberFormat="1" applyFont="1" applyBorder="1" applyAlignment="1">
      <alignment horizontal="right" vertical="top"/>
    </xf>
    <xf numFmtId="177" fontId="2" fillId="4" borderId="0" xfId="0" applyNumberFormat="1" applyFont="1" applyFill="1" applyAlignment="1">
      <alignment horizontal="right" vertical="top"/>
    </xf>
    <xf numFmtId="178" fontId="2" fillId="4" borderId="0" xfId="0" applyNumberFormat="1" applyFont="1" applyFill="1" applyAlignment="1">
      <alignment horizontal="right" vertical="top"/>
    </xf>
    <xf numFmtId="177" fontId="2" fillId="5" borderId="9" xfId="0" applyNumberFormat="1" applyFont="1" applyFill="1" applyBorder="1" applyAlignment="1">
      <alignment horizontal="right" vertical="top"/>
    </xf>
    <xf numFmtId="178" fontId="2" fillId="5" borderId="9" xfId="0" applyNumberFormat="1" applyFont="1" applyFill="1" applyBorder="1" applyAlignment="1">
      <alignment horizontal="right" vertical="top"/>
    </xf>
    <xf numFmtId="177" fontId="3" fillId="0" borderId="6" xfId="0" applyNumberFormat="1" applyFont="1" applyBorder="1" applyAlignment="1">
      <alignment horizontal="right" vertical="top"/>
    </xf>
    <xf numFmtId="178" fontId="3" fillId="0" borderId="14" xfId="0" applyNumberFormat="1" applyFont="1" applyBorder="1" applyAlignment="1">
      <alignment horizontal="right" vertical="top"/>
    </xf>
    <xf numFmtId="177" fontId="2" fillId="7" borderId="16" xfId="0" applyNumberFormat="1" applyFont="1" applyFill="1" applyBorder="1" applyAlignment="1">
      <alignment horizontal="right" vertical="top"/>
    </xf>
    <xf numFmtId="178" fontId="2" fillId="8" borderId="16" xfId="0" applyNumberFormat="1" applyFont="1" applyFill="1" applyBorder="1" applyAlignment="1">
      <alignment horizontal="right" vertical="top"/>
    </xf>
    <xf numFmtId="179" fontId="0" fillId="0" borderId="0" xfId="0" applyNumberFormat="1"/>
    <xf numFmtId="178" fontId="2" fillId="0" borderId="0" xfId="0" applyNumberFormat="1" applyFont="1" applyAlignment="1">
      <alignment horizontal="right" vertical="top" wrapText="1"/>
    </xf>
    <xf numFmtId="177" fontId="2" fillId="3" borderId="16" xfId="0" applyNumberFormat="1" applyFont="1" applyFill="1" applyBorder="1" applyAlignment="1">
      <alignment horizontal="right" vertical="top"/>
    </xf>
    <xf numFmtId="178" fontId="2" fillId="3" borderId="16" xfId="0" applyNumberFormat="1" applyFont="1" applyFill="1" applyBorder="1" applyAlignment="1">
      <alignment horizontal="right" vertical="top"/>
    </xf>
    <xf numFmtId="181" fontId="3" fillId="0" borderId="2" xfId="0" applyNumberFormat="1" applyFont="1" applyBorder="1" applyAlignment="1">
      <alignment horizontal="right" vertical="top"/>
    </xf>
    <xf numFmtId="178" fontId="3" fillId="0" borderId="2" xfId="0" applyNumberFormat="1" applyFont="1" applyBorder="1" applyAlignment="1">
      <alignment horizontal="right" vertical="top"/>
    </xf>
    <xf numFmtId="177" fontId="2" fillId="0" borderId="9" xfId="0" applyNumberFormat="1" applyFont="1" applyBorder="1" applyAlignment="1">
      <alignment horizontal="right" vertical="top"/>
    </xf>
    <xf numFmtId="178" fontId="2" fillId="2" borderId="9" xfId="0" applyNumberFormat="1" applyFont="1" applyFill="1" applyBorder="1" applyAlignment="1">
      <alignment horizontal="right" vertical="top"/>
    </xf>
    <xf numFmtId="177" fontId="2" fillId="4" borderId="16" xfId="0" applyNumberFormat="1" applyFont="1" applyFill="1" applyBorder="1" applyAlignment="1">
      <alignment horizontal="right" vertical="top"/>
    </xf>
    <xf numFmtId="178" fontId="2" fillId="4" borderId="16" xfId="0" applyNumberFormat="1" applyFont="1" applyFill="1" applyBorder="1" applyAlignment="1">
      <alignment horizontal="right" vertical="top"/>
    </xf>
    <xf numFmtId="179" fontId="3" fillId="0" borderId="0" xfId="0" applyNumberFormat="1" applyFont="1" applyAlignment="1">
      <alignment horizontal="right" vertical="top" wrapText="1"/>
    </xf>
    <xf numFmtId="178" fontId="3" fillId="0" borderId="0" xfId="1" applyNumberFormat="1" applyFont="1" applyAlignment="1">
      <alignment horizontal="right" vertical="top"/>
    </xf>
    <xf numFmtId="181" fontId="3" fillId="0" borderId="0" xfId="1" applyNumberFormat="1" applyFont="1" applyAlignment="1">
      <alignment horizontal="right" vertical="top"/>
    </xf>
    <xf numFmtId="177" fontId="2" fillId="2" borderId="15" xfId="0" applyNumberFormat="1" applyFont="1" applyFill="1" applyBorder="1" applyAlignment="1">
      <alignment horizontal="right" vertical="top"/>
    </xf>
    <xf numFmtId="178" fontId="2" fillId="2" borderId="15" xfId="0" applyNumberFormat="1" applyFont="1" applyFill="1" applyBorder="1" applyAlignment="1">
      <alignment horizontal="right" vertical="top"/>
    </xf>
    <xf numFmtId="179" fontId="2" fillId="0" borderId="0" xfId="0" applyNumberFormat="1" applyFont="1" applyAlignment="1">
      <alignment horizontal="right" vertical="top"/>
    </xf>
    <xf numFmtId="181" fontId="2" fillId="3" borderId="0" xfId="0" applyNumberFormat="1" applyFont="1" applyFill="1" applyAlignment="1">
      <alignment horizontal="right" vertical="top"/>
    </xf>
    <xf numFmtId="181" fontId="3" fillId="0" borderId="3" xfId="1" applyNumberFormat="1" applyFont="1" applyBorder="1" applyAlignment="1">
      <alignment horizontal="right" vertical="top"/>
    </xf>
    <xf numFmtId="181" fontId="2" fillId="4" borderId="15" xfId="0" applyNumberFormat="1" applyFont="1" applyFill="1" applyBorder="1" applyAlignment="1">
      <alignment horizontal="right" vertical="top"/>
    </xf>
    <xf numFmtId="181" fontId="2" fillId="0" borderId="0" xfId="0" applyNumberFormat="1" applyFont="1" applyAlignment="1">
      <alignment horizontal="right" vertical="top"/>
    </xf>
    <xf numFmtId="181" fontId="3" fillId="5" borderId="15" xfId="0" applyNumberFormat="1" applyFont="1" applyFill="1" applyBorder="1" applyAlignment="1">
      <alignment horizontal="right" vertical="top"/>
    </xf>
    <xf numFmtId="178" fontId="3" fillId="5" borderId="15" xfId="0" applyNumberFormat="1" applyFont="1" applyFill="1" applyBorder="1" applyAlignment="1">
      <alignment horizontal="right" vertical="top"/>
    </xf>
    <xf numFmtId="181" fontId="2" fillId="6" borderId="16" xfId="0" applyNumberFormat="1" applyFont="1" applyFill="1" applyBorder="1" applyAlignment="1">
      <alignment horizontal="right" vertical="top"/>
    </xf>
    <xf numFmtId="178" fontId="2" fillId="6" borderId="16" xfId="0" applyNumberFormat="1" applyFont="1" applyFill="1" applyBorder="1" applyAlignment="1">
      <alignment horizontal="right" vertical="top"/>
    </xf>
    <xf numFmtId="176" fontId="0" fillId="0" borderId="0" xfId="0" applyNumberFormat="1" applyAlignment="1">
      <alignment horizontal="left"/>
    </xf>
    <xf numFmtId="176" fontId="2" fillId="0" borderId="0" xfId="0" applyNumberFormat="1" applyFont="1" applyAlignment="1">
      <alignment horizontal="left" vertical="top"/>
    </xf>
    <xf numFmtId="181" fontId="3" fillId="0" borderId="0" xfId="0" applyNumberFormat="1" applyFont="1" applyAlignment="1">
      <alignment horizontal="right" vertical="top" wrapText="1"/>
    </xf>
    <xf numFmtId="181" fontId="3" fillId="2" borderId="0" xfId="0" applyNumberFormat="1" applyFont="1" applyFill="1" applyAlignment="1">
      <alignment horizontal="right" vertical="top" wrapText="1"/>
    </xf>
    <xf numFmtId="178" fontId="12" fillId="0" borderId="0" xfId="0" applyNumberFormat="1" applyFont="1" applyAlignment="1">
      <alignment horizontal="right" vertical="top"/>
    </xf>
    <xf numFmtId="176" fontId="2" fillId="0" borderId="0" xfId="0" applyNumberFormat="1" applyFont="1" applyAlignment="1">
      <alignment horizontal="left" vertical="top" wrapText="1"/>
    </xf>
    <xf numFmtId="177" fontId="2" fillId="4" borderId="16" xfId="0" applyNumberFormat="1" applyFont="1" applyFill="1" applyBorder="1" applyAlignment="1">
      <alignment horizontal="right" vertical="top" wrapText="1"/>
    </xf>
    <xf numFmtId="181" fontId="2" fillId="4" borderId="16" xfId="0" applyNumberFormat="1" applyFont="1" applyFill="1" applyBorder="1" applyAlignment="1">
      <alignment horizontal="right" vertical="top" wrapText="1"/>
    </xf>
    <xf numFmtId="178" fontId="13" fillId="4" borderId="16" xfId="0" applyNumberFormat="1" applyFont="1" applyFill="1" applyBorder="1" applyAlignment="1">
      <alignment horizontal="right" vertical="top" wrapText="1"/>
    </xf>
    <xf numFmtId="176" fontId="13" fillId="0" borderId="0" xfId="0" applyNumberFormat="1" applyFont="1" applyAlignment="1">
      <alignment horizontal="left" vertical="top"/>
    </xf>
    <xf numFmtId="177" fontId="0" fillId="0" borderId="0" xfId="0" applyNumberFormat="1" applyAlignment="1">
      <alignment horizontal="right" vertical="top"/>
    </xf>
    <xf numFmtId="177" fontId="2" fillId="5" borderId="16" xfId="0" applyNumberFormat="1" applyFont="1" applyFill="1" applyBorder="1" applyAlignment="1">
      <alignment horizontal="right" vertical="top"/>
    </xf>
    <xf numFmtId="179" fontId="2" fillId="0" borderId="0" xfId="0" applyNumberFormat="1" applyFont="1"/>
    <xf numFmtId="176" fontId="3" fillId="0" borderId="0" xfId="0" applyNumberFormat="1" applyFont="1" applyAlignment="1">
      <alignment horizontal="left"/>
    </xf>
    <xf numFmtId="178" fontId="2" fillId="7" borderId="16" xfId="0" applyNumberFormat="1" applyFont="1" applyFill="1" applyBorder="1" applyAlignment="1">
      <alignment horizontal="right" vertical="top"/>
    </xf>
    <xf numFmtId="176" fontId="2" fillId="0" borderId="0" xfId="0" applyNumberFormat="1" applyFont="1" applyAlignment="1">
      <alignment horizontal="left" wrapText="1"/>
    </xf>
    <xf numFmtId="177" fontId="3" fillId="11" borderId="0" xfId="0" applyNumberFormat="1" applyFont="1" applyFill="1" applyAlignment="1">
      <alignment horizontal="right" vertical="top" wrapText="1"/>
    </xf>
    <xf numFmtId="181" fontId="3" fillId="11" borderId="0" xfId="0" applyNumberFormat="1" applyFont="1" applyFill="1" applyAlignment="1">
      <alignment horizontal="right" vertical="top" wrapText="1"/>
    </xf>
    <xf numFmtId="181" fontId="3" fillId="12" borderId="0" xfId="0" applyNumberFormat="1" applyFont="1" applyFill="1" applyAlignment="1">
      <alignment horizontal="right" vertical="top" wrapText="1"/>
    </xf>
    <xf numFmtId="177" fontId="3" fillId="13" borderId="0" xfId="0" applyNumberFormat="1" applyFont="1" applyFill="1" applyAlignment="1">
      <alignment horizontal="right" vertical="top" wrapText="1"/>
    </xf>
    <xf numFmtId="177" fontId="2" fillId="14" borderId="16" xfId="0" applyNumberFormat="1" applyFont="1" applyFill="1" applyBorder="1" applyAlignment="1">
      <alignment horizontal="right" vertical="top" wrapText="1"/>
    </xf>
    <xf numFmtId="177" fontId="2" fillId="46" borderId="16" xfId="0" applyNumberFormat="1" applyFont="1" applyFill="1" applyBorder="1" applyAlignment="1">
      <alignment horizontal="right" vertical="top" wrapText="1"/>
    </xf>
    <xf numFmtId="181" fontId="2" fillId="12" borderId="16" xfId="0" applyNumberFormat="1" applyFont="1" applyFill="1" applyBorder="1" applyAlignment="1">
      <alignment horizontal="right" vertical="top" wrapText="1"/>
    </xf>
    <xf numFmtId="181" fontId="3" fillId="15" borderId="0" xfId="0" applyNumberFormat="1" applyFont="1" applyFill="1" applyAlignment="1">
      <alignment horizontal="right" vertical="top" wrapText="1"/>
    </xf>
    <xf numFmtId="181" fontId="2" fillId="16" borderId="16" xfId="0" applyNumberFormat="1" applyFont="1" applyFill="1" applyBorder="1" applyAlignment="1">
      <alignment horizontal="right" vertical="top" wrapText="1"/>
    </xf>
    <xf numFmtId="178" fontId="2" fillId="16" borderId="16" xfId="0" applyNumberFormat="1" applyFont="1" applyFill="1" applyBorder="1" applyAlignment="1">
      <alignment horizontal="right" vertical="top" wrapText="1"/>
    </xf>
    <xf numFmtId="178" fontId="3" fillId="0" borderId="0" xfId="0" applyNumberFormat="1" applyFont="1"/>
    <xf numFmtId="177" fontId="2" fillId="8" borderId="16" xfId="0" applyNumberFormat="1" applyFont="1" applyFill="1" applyBorder="1" applyAlignment="1">
      <alignment horizontal="right" vertical="top" wrapText="1"/>
    </xf>
    <xf numFmtId="178" fontId="2" fillId="8" borderId="16" xfId="0" applyNumberFormat="1" applyFont="1" applyFill="1" applyBorder="1" applyAlignment="1">
      <alignment horizontal="right" vertical="top" wrapText="1"/>
    </xf>
    <xf numFmtId="178" fontId="0" fillId="8" borderId="15" xfId="0" applyNumberFormat="1" applyFill="1" applyBorder="1"/>
    <xf numFmtId="178" fontId="3" fillId="0" borderId="2" xfId="0" applyNumberFormat="1" applyFont="1" applyBorder="1" applyAlignment="1">
      <alignment horizontal="right" vertical="top" wrapText="1"/>
    </xf>
    <xf numFmtId="177" fontId="2" fillId="28" borderId="9" xfId="0" applyNumberFormat="1" applyFont="1" applyFill="1" applyBorder="1" applyAlignment="1">
      <alignment horizontal="right" vertical="top" wrapText="1"/>
    </xf>
    <xf numFmtId="178" fontId="2" fillId="28" borderId="9" xfId="0" applyNumberFormat="1" applyFont="1" applyFill="1" applyBorder="1" applyAlignment="1">
      <alignment horizontal="right" vertical="top" wrapText="1"/>
    </xf>
    <xf numFmtId="176" fontId="2" fillId="0" borderId="0" xfId="0" applyNumberFormat="1" applyFont="1" applyAlignment="1">
      <alignment horizontal="left"/>
    </xf>
    <xf numFmtId="177" fontId="3" fillId="0" borderId="2" xfId="0" applyNumberFormat="1" applyFont="1" applyBorder="1" applyAlignment="1">
      <alignment horizontal="right" vertical="top" wrapText="1"/>
    </xf>
    <xf numFmtId="177" fontId="2" fillId="29" borderId="0" xfId="0" applyNumberFormat="1" applyFont="1" applyFill="1" applyAlignment="1">
      <alignment horizontal="right" vertical="top"/>
    </xf>
    <xf numFmtId="178" fontId="2" fillId="29" borderId="0" xfId="0" applyNumberFormat="1" applyFont="1" applyFill="1" applyAlignment="1">
      <alignment horizontal="right" vertical="top"/>
    </xf>
    <xf numFmtId="178" fontId="0" fillId="29" borderId="0" xfId="0" applyNumberFormat="1" applyFill="1"/>
    <xf numFmtId="177" fontId="2" fillId="0" borderId="0" xfId="0" applyNumberFormat="1" applyFont="1" applyAlignment="1">
      <alignment horizontal="right"/>
    </xf>
    <xf numFmtId="178" fontId="2" fillId="0" borderId="0" xfId="0" applyNumberFormat="1" applyFont="1"/>
    <xf numFmtId="177" fontId="3" fillId="0" borderId="2" xfId="0" applyNumberFormat="1" applyFont="1" applyBorder="1" applyAlignment="1">
      <alignment horizontal="right" vertical="top"/>
    </xf>
    <xf numFmtId="177" fontId="2" fillId="6" borderId="0" xfId="0" applyNumberFormat="1" applyFont="1" applyFill="1" applyAlignment="1">
      <alignment horizontal="right" vertical="top" wrapText="1"/>
    </xf>
    <xf numFmtId="179" fontId="3" fillId="0" borderId="2" xfId="0" applyNumberFormat="1" applyFont="1" applyBorder="1" applyAlignment="1">
      <alignment horizontal="right" vertical="top" wrapText="1"/>
    </xf>
    <xf numFmtId="177" fontId="2" fillId="30" borderId="9" xfId="0" applyNumberFormat="1" applyFont="1" applyFill="1" applyBorder="1" applyAlignment="1">
      <alignment horizontal="right" vertical="top" wrapText="1"/>
    </xf>
    <xf numFmtId="178" fontId="2" fillId="30" borderId="9" xfId="0" applyNumberFormat="1" applyFont="1" applyFill="1" applyBorder="1" applyAlignment="1">
      <alignment horizontal="right" vertical="top" wrapText="1"/>
    </xf>
    <xf numFmtId="177" fontId="3" fillId="31" borderId="2" xfId="1" applyNumberFormat="1" applyFont="1" applyFill="1" applyBorder="1" applyAlignment="1">
      <alignment horizontal="right" vertical="top" wrapText="1"/>
    </xf>
    <xf numFmtId="178" fontId="3" fillId="31" borderId="2" xfId="1" applyNumberFormat="1" applyFont="1" applyFill="1" applyBorder="1" applyAlignment="1">
      <alignment horizontal="right" vertical="top" wrapText="1"/>
    </xf>
    <xf numFmtId="177" fontId="2" fillId="23" borderId="9" xfId="0" applyNumberFormat="1" applyFont="1" applyFill="1" applyBorder="1" applyAlignment="1">
      <alignment horizontal="right" vertical="top" wrapText="1"/>
    </xf>
    <xf numFmtId="178" fontId="2" fillId="23" borderId="9" xfId="0" applyNumberFormat="1" applyFont="1" applyFill="1" applyBorder="1" applyAlignment="1">
      <alignment horizontal="right" vertical="top" wrapText="1"/>
    </xf>
    <xf numFmtId="177" fontId="2" fillId="38" borderId="16" xfId="0" applyNumberFormat="1" applyFont="1" applyFill="1" applyBorder="1" applyAlignment="1">
      <alignment horizontal="right" vertical="top" wrapText="1"/>
    </xf>
    <xf numFmtId="178" fontId="2" fillId="38" borderId="16" xfId="0" applyNumberFormat="1" applyFont="1" applyFill="1" applyBorder="1" applyAlignment="1">
      <alignment horizontal="right" vertical="top" wrapText="1"/>
    </xf>
    <xf numFmtId="178" fontId="0" fillId="38" borderId="15" xfId="0" applyNumberFormat="1" applyFill="1" applyBorder="1"/>
    <xf numFmtId="176" fontId="3" fillId="0" borderId="0" xfId="0" applyNumberFormat="1" applyFont="1" applyAlignment="1">
      <alignment horizontal="left" wrapText="1"/>
    </xf>
    <xf numFmtId="177" fontId="3" fillId="41" borderId="2" xfId="0" applyNumberFormat="1" applyFont="1" applyFill="1" applyBorder="1" applyAlignment="1">
      <alignment horizontal="right" vertical="top" wrapText="1"/>
    </xf>
    <xf numFmtId="0" fontId="3" fillId="41" borderId="2" xfId="0" applyFont="1" applyFill="1" applyBorder="1" applyAlignment="1">
      <alignment horizontal="right" vertical="top" wrapText="1"/>
    </xf>
    <xf numFmtId="177" fontId="2" fillId="42" borderId="9" xfId="0" applyNumberFormat="1" applyFont="1" applyFill="1" applyBorder="1" applyAlignment="1">
      <alignment horizontal="right" vertical="top" wrapText="1"/>
    </xf>
    <xf numFmtId="0" fontId="2" fillId="42" borderId="9" xfId="0" applyFont="1" applyFill="1" applyBorder="1" applyAlignment="1">
      <alignment horizontal="right" vertical="top" wrapText="1"/>
    </xf>
    <xf numFmtId="177" fontId="2" fillId="42" borderId="16" xfId="0" applyNumberFormat="1" applyFont="1" applyFill="1" applyBorder="1" applyAlignment="1">
      <alignment horizontal="right" vertical="top" wrapText="1"/>
    </xf>
    <xf numFmtId="0" fontId="2" fillId="42" borderId="16" xfId="0" applyFont="1" applyFill="1" applyBorder="1" applyAlignment="1">
      <alignment horizontal="right" vertical="top" wrapText="1"/>
    </xf>
    <xf numFmtId="177" fontId="2" fillId="44" borderId="15" xfId="0" applyNumberFormat="1" applyFont="1" applyFill="1" applyBorder="1" applyAlignment="1">
      <alignment horizontal="right" vertical="top" wrapText="1"/>
    </xf>
    <xf numFmtId="178" fontId="2" fillId="44" borderId="15" xfId="0" applyNumberFormat="1" applyFont="1" applyFill="1" applyBorder="1" applyAlignment="1">
      <alignment horizontal="right" vertical="top" wrapText="1"/>
    </xf>
    <xf numFmtId="178" fontId="0" fillId="44" borderId="15" xfId="0" applyNumberFormat="1" applyFill="1" applyBorder="1"/>
    <xf numFmtId="177" fontId="2" fillId="24" borderId="0" xfId="0" applyNumberFormat="1" applyFont="1" applyFill="1" applyAlignment="1">
      <alignment horizontal="right" vertical="top" wrapText="1"/>
    </xf>
    <xf numFmtId="178" fontId="2" fillId="24" borderId="15" xfId="0" applyNumberFormat="1" applyFont="1" applyFill="1" applyBorder="1" applyAlignment="1">
      <alignment horizontal="right" vertical="top" wrapText="1"/>
    </xf>
    <xf numFmtId="177" fontId="2" fillId="45" borderId="16" xfId="0" applyNumberFormat="1" applyFont="1" applyFill="1" applyBorder="1" applyAlignment="1">
      <alignment horizontal="right" vertical="top"/>
    </xf>
    <xf numFmtId="178" fontId="2" fillId="45" borderId="16" xfId="0" applyNumberFormat="1" applyFont="1" applyFill="1" applyBorder="1" applyAlignment="1">
      <alignment horizontal="right" vertical="top"/>
    </xf>
    <xf numFmtId="177" fontId="2" fillId="0" borderId="0" xfId="0" applyNumberFormat="1" applyFont="1"/>
    <xf numFmtId="177" fontId="3" fillId="2" borderId="0" xfId="0" applyNumberFormat="1" applyFont="1" applyFill="1" applyAlignment="1">
      <alignment horizontal="right" vertical="top" wrapText="1"/>
    </xf>
    <xf numFmtId="178" fontId="3" fillId="2" borderId="0" xfId="0" applyNumberFormat="1" applyFont="1" applyFill="1" applyAlignment="1">
      <alignment horizontal="right" vertical="top" wrapText="1"/>
    </xf>
    <xf numFmtId="177" fontId="2" fillId="42" borderId="16" xfId="0" applyNumberFormat="1" applyFont="1" applyFill="1" applyBorder="1" applyAlignment="1">
      <alignment horizontal="right" vertical="top"/>
    </xf>
    <xf numFmtId="178" fontId="2" fillId="42" borderId="16" xfId="0" applyNumberFormat="1" applyFont="1" applyFill="1" applyBorder="1" applyAlignment="1">
      <alignment horizontal="right" vertical="top"/>
    </xf>
    <xf numFmtId="177" fontId="3" fillId="0" borderId="0" xfId="0" applyNumberFormat="1" applyFont="1" applyAlignment="1">
      <alignment vertical="top" wrapText="1"/>
    </xf>
    <xf numFmtId="177" fontId="2" fillId="27" borderId="16" xfId="0" applyNumberFormat="1" applyFont="1" applyFill="1" applyBorder="1"/>
    <xf numFmtId="178" fontId="2" fillId="27" borderId="16" xfId="0" applyNumberFormat="1" applyFont="1" applyFill="1" applyBorder="1"/>
    <xf numFmtId="177" fontId="3" fillId="3" borderId="0" xfId="0" applyNumberFormat="1" applyFont="1" applyFill="1" applyAlignment="1">
      <alignment horizontal="right" vertical="top"/>
    </xf>
    <xf numFmtId="178" fontId="3" fillId="3" borderId="0" xfId="0" applyNumberFormat="1" applyFont="1" applyFill="1" applyAlignment="1">
      <alignment horizontal="right" vertical="top"/>
    </xf>
    <xf numFmtId="177" fontId="3" fillId="4" borderId="0" xfId="0" applyNumberFormat="1" applyFont="1" applyFill="1" applyAlignment="1">
      <alignment horizontal="right" vertical="top"/>
    </xf>
    <xf numFmtId="178" fontId="3" fillId="4" borderId="0" xfId="0" applyNumberFormat="1" applyFont="1" applyFill="1" applyAlignment="1">
      <alignment horizontal="right" vertical="top"/>
    </xf>
    <xf numFmtId="176" fontId="3" fillId="0" borderId="0" xfId="0" applyNumberFormat="1" applyFont="1" applyAlignment="1">
      <alignment horizontal="left" vertical="top" wrapText="1"/>
    </xf>
    <xf numFmtId="177" fontId="2" fillId="34" borderId="0" xfId="0" applyNumberFormat="1" applyFont="1" applyFill="1" applyAlignment="1">
      <alignment horizontal="right" vertical="top"/>
    </xf>
    <xf numFmtId="178" fontId="2" fillId="34" borderId="0" xfId="0" applyNumberFormat="1" applyFont="1" applyFill="1" applyAlignment="1">
      <alignment horizontal="right" vertical="top"/>
    </xf>
    <xf numFmtId="177" fontId="2" fillId="5" borderId="9" xfId="0" applyNumberFormat="1" applyFont="1" applyFill="1" applyBorder="1" applyAlignment="1">
      <alignment horizontal="right" vertical="top" wrapText="1"/>
    </xf>
    <xf numFmtId="178" fontId="2" fillId="5" borderId="9" xfId="0" applyNumberFormat="1" applyFont="1" applyFill="1" applyBorder="1" applyAlignment="1">
      <alignment horizontal="right" vertical="top" wrapText="1"/>
    </xf>
    <xf numFmtId="177" fontId="2" fillId="37" borderId="16" xfId="0" applyNumberFormat="1" applyFont="1" applyFill="1" applyBorder="1" applyAlignment="1">
      <alignment horizontal="right" vertical="top" wrapText="1"/>
    </xf>
    <xf numFmtId="0" fontId="2" fillId="37" borderId="16" xfId="0" applyFont="1" applyFill="1" applyBorder="1" applyAlignment="1">
      <alignment horizontal="right" vertical="top" wrapText="1"/>
    </xf>
    <xf numFmtId="177" fontId="2" fillId="32" borderId="16" xfId="0" applyNumberFormat="1" applyFont="1" applyFill="1" applyBorder="1" applyAlignment="1">
      <alignment horizontal="right" vertical="top" wrapText="1"/>
    </xf>
    <xf numFmtId="0" fontId="2" fillId="32" borderId="16" xfId="0" applyFont="1" applyFill="1" applyBorder="1" applyAlignment="1">
      <alignment horizontal="right" vertical="top" wrapText="1"/>
    </xf>
    <xf numFmtId="177" fontId="3" fillId="6" borderId="0" xfId="0" applyNumberFormat="1" applyFont="1" applyFill="1" applyAlignment="1">
      <alignment horizontal="right" vertical="top"/>
    </xf>
    <xf numFmtId="0" fontId="3" fillId="6" borderId="0" xfId="0" applyFont="1" applyFill="1" applyAlignment="1">
      <alignment horizontal="right" vertical="top"/>
    </xf>
    <xf numFmtId="0" fontId="3" fillId="3" borderId="0" xfId="0" applyFont="1" applyFill="1" applyAlignment="1">
      <alignment horizontal="right" vertical="top"/>
    </xf>
    <xf numFmtId="177" fontId="3" fillId="7" borderId="0" xfId="0" applyNumberFormat="1" applyFont="1" applyFill="1" applyAlignment="1">
      <alignment horizontal="right" vertical="top"/>
    </xf>
    <xf numFmtId="0" fontId="3" fillId="7" borderId="0" xfId="0" applyFont="1" applyFill="1" applyAlignment="1">
      <alignment horizontal="right" vertical="top"/>
    </xf>
    <xf numFmtId="177" fontId="2" fillId="33" borderId="16" xfId="0" applyNumberFormat="1" applyFont="1" applyFill="1" applyBorder="1" applyAlignment="1">
      <alignment horizontal="right" vertical="top" wrapText="1"/>
    </xf>
    <xf numFmtId="0" fontId="2" fillId="33" borderId="16" xfId="0" applyFont="1" applyFill="1" applyBorder="1" applyAlignment="1">
      <alignment horizontal="right" vertical="top" wrapText="1"/>
    </xf>
    <xf numFmtId="178" fontId="2" fillId="42" borderId="16" xfId="0" applyNumberFormat="1" applyFont="1" applyFill="1" applyBorder="1" applyAlignment="1">
      <alignment horizontal="right" vertical="top" wrapText="1"/>
    </xf>
    <xf numFmtId="177" fontId="2" fillId="0" borderId="0" xfId="0" applyNumberFormat="1" applyFont="1" applyAlignment="1">
      <alignment vertical="top" wrapText="1"/>
    </xf>
    <xf numFmtId="178" fontId="2" fillId="0" borderId="0" xfId="0" applyNumberFormat="1" applyFont="1" applyAlignment="1">
      <alignment vertical="top" wrapText="1"/>
    </xf>
    <xf numFmtId="177" fontId="3" fillId="8" borderId="0" xfId="0" applyNumberFormat="1" applyFont="1" applyFill="1" applyAlignment="1">
      <alignment horizontal="right" vertical="top"/>
    </xf>
    <xf numFmtId="177" fontId="2" fillId="0" borderId="16" xfId="0" applyNumberFormat="1" applyFont="1" applyBorder="1" applyAlignment="1">
      <alignment horizontal="right" vertical="top" wrapText="1"/>
    </xf>
    <xf numFmtId="177" fontId="2" fillId="43" borderId="16" xfId="0" applyNumberFormat="1" applyFont="1" applyFill="1" applyBorder="1" applyAlignment="1">
      <alignment horizontal="right" vertical="top" wrapText="1"/>
    </xf>
    <xf numFmtId="178" fontId="2" fillId="43" borderId="16" xfId="0" applyNumberFormat="1" applyFont="1" applyFill="1" applyBorder="1" applyAlignment="1">
      <alignment horizontal="right" vertical="top" wrapText="1"/>
    </xf>
    <xf numFmtId="176" fontId="12" fillId="0" borderId="0" xfId="0" applyNumberFormat="1" applyFont="1" applyAlignment="1">
      <alignment horizontal="left"/>
    </xf>
    <xf numFmtId="177" fontId="3" fillId="10" borderId="0" xfId="0" applyNumberFormat="1" applyFont="1" applyFill="1" applyAlignment="1">
      <alignment horizontal="right" vertical="top" wrapText="1"/>
    </xf>
    <xf numFmtId="178" fontId="3" fillId="10" borderId="0" xfId="0" applyNumberFormat="1" applyFont="1" applyFill="1" applyAlignment="1">
      <alignment horizontal="right" vertical="top" wrapText="1"/>
    </xf>
    <xf numFmtId="178" fontId="0" fillId="0" borderId="0" xfId="0" applyNumberFormat="1" applyAlignment="1">
      <alignment horizontal="right" vertical="top"/>
    </xf>
    <xf numFmtId="177" fontId="2" fillId="20" borderId="16" xfId="0" applyNumberFormat="1" applyFont="1" applyFill="1" applyBorder="1" applyAlignment="1">
      <alignment horizontal="right" vertical="top" wrapText="1"/>
    </xf>
    <xf numFmtId="178" fontId="2" fillId="20" borderId="16" xfId="0" applyNumberFormat="1" applyFont="1" applyFill="1" applyBorder="1" applyAlignment="1">
      <alignment horizontal="right" vertical="top" wrapText="1"/>
    </xf>
    <xf numFmtId="176" fontId="2" fillId="0" borderId="0" xfId="0" applyNumberFormat="1" applyFont="1" applyAlignment="1">
      <alignment vertical="top"/>
    </xf>
    <xf numFmtId="177" fontId="2" fillId="10" borderId="16" xfId="0" applyNumberFormat="1" applyFont="1" applyFill="1" applyBorder="1" applyAlignment="1">
      <alignment horizontal="right" vertical="top" wrapText="1"/>
    </xf>
    <xf numFmtId="178" fontId="2" fillId="10" borderId="16" xfId="0" applyNumberFormat="1" applyFont="1" applyFill="1" applyBorder="1" applyAlignment="1">
      <alignment horizontal="right" vertical="top" wrapText="1"/>
    </xf>
    <xf numFmtId="176" fontId="11" fillId="0" borderId="0" xfId="0" applyNumberFormat="1" applyFont="1" applyAlignment="1">
      <alignment horizontal="left"/>
    </xf>
    <xf numFmtId="181" fontId="3" fillId="11" borderId="0" xfId="0" applyNumberFormat="1" applyFont="1" applyFill="1" applyAlignment="1">
      <alignment horizontal="right" vertical="top"/>
    </xf>
    <xf numFmtId="178" fontId="3" fillId="11" borderId="0" xfId="0" applyNumberFormat="1" applyFont="1" applyFill="1" applyAlignment="1">
      <alignment horizontal="right" vertical="top"/>
    </xf>
    <xf numFmtId="177" fontId="3" fillId="0" borderId="3" xfId="0" applyNumberFormat="1" applyFont="1" applyBorder="1" applyAlignment="1">
      <alignment horizontal="right" vertical="top"/>
    </xf>
    <xf numFmtId="178" fontId="3" fillId="0" borderId="8" xfId="0" applyNumberFormat="1" applyFont="1" applyBorder="1" applyAlignment="1">
      <alignment horizontal="right" vertical="top"/>
    </xf>
    <xf numFmtId="181" fontId="3" fillId="12" borderId="6" xfId="0" applyNumberFormat="1" applyFont="1" applyFill="1" applyBorder="1" applyAlignment="1">
      <alignment horizontal="right" vertical="top" wrapText="1"/>
    </xf>
    <xf numFmtId="179" fontId="3" fillId="0" borderId="0" xfId="0" applyNumberFormat="1" applyFont="1" applyAlignment="1">
      <alignment horizontal="right" vertical="top"/>
    </xf>
    <xf numFmtId="177" fontId="2" fillId="13" borderId="16" xfId="0" applyNumberFormat="1" applyFont="1" applyFill="1" applyBorder="1" applyAlignment="1">
      <alignment horizontal="right" vertical="top"/>
    </xf>
    <xf numFmtId="178" fontId="2" fillId="13" borderId="16" xfId="0" applyNumberFormat="1" applyFont="1" applyFill="1" applyBorder="1" applyAlignment="1">
      <alignment horizontal="right" vertical="top"/>
    </xf>
    <xf numFmtId="181" fontId="0" fillId="0" borderId="0" xfId="0" applyNumberFormat="1" applyAlignment="1">
      <alignment horizontal="right" vertical="top"/>
    </xf>
    <xf numFmtId="181" fontId="2" fillId="19" borderId="16" xfId="0" applyNumberFormat="1" applyFont="1" applyFill="1" applyBorder="1" applyAlignment="1">
      <alignment horizontal="right" vertical="top" wrapText="1"/>
    </xf>
    <xf numFmtId="178" fontId="2" fillId="19" borderId="16" xfId="0" applyNumberFormat="1" applyFont="1" applyFill="1" applyBorder="1" applyAlignment="1">
      <alignment horizontal="right" vertical="top" wrapText="1"/>
    </xf>
    <xf numFmtId="177" fontId="3" fillId="4" borderId="0" xfId="0" applyNumberFormat="1" applyFont="1" applyFill="1" applyAlignment="1">
      <alignment horizontal="right" vertical="top" wrapText="1"/>
    </xf>
    <xf numFmtId="178" fontId="3" fillId="4" borderId="0" xfId="0" applyNumberFormat="1" applyFont="1" applyFill="1" applyAlignment="1">
      <alignment horizontal="right" vertical="top" wrapText="1"/>
    </xf>
    <xf numFmtId="177" fontId="3" fillId="14" borderId="0" xfId="0" applyNumberFormat="1" applyFont="1" applyFill="1" applyAlignment="1">
      <alignment horizontal="right" vertical="top" wrapText="1"/>
    </xf>
    <xf numFmtId="178" fontId="3" fillId="14" borderId="0" xfId="0" applyNumberFormat="1" applyFont="1" applyFill="1" applyAlignment="1">
      <alignment horizontal="right" vertical="top" wrapText="1"/>
    </xf>
    <xf numFmtId="177" fontId="3" fillId="15" borderId="2" xfId="0" applyNumberFormat="1" applyFont="1" applyFill="1" applyBorder="1" applyAlignment="1">
      <alignment horizontal="right" vertical="top" wrapText="1"/>
    </xf>
    <xf numFmtId="178" fontId="3" fillId="15" borderId="2" xfId="0" applyNumberFormat="1" applyFont="1" applyFill="1" applyBorder="1" applyAlignment="1">
      <alignment horizontal="right" vertical="top" wrapText="1"/>
    </xf>
    <xf numFmtId="177" fontId="2" fillId="9" borderId="9" xfId="0" applyNumberFormat="1" applyFont="1" applyFill="1" applyBorder="1" applyAlignment="1">
      <alignment horizontal="right" vertical="top" wrapText="1"/>
    </xf>
    <xf numFmtId="178" fontId="2" fillId="9" borderId="9" xfId="0" applyNumberFormat="1" applyFont="1" applyFill="1" applyBorder="1" applyAlignment="1">
      <alignment horizontal="right" vertical="top" wrapText="1"/>
    </xf>
    <xf numFmtId="177" fontId="2" fillId="40" borderId="16" xfId="0" applyNumberFormat="1" applyFont="1" applyFill="1" applyBorder="1" applyAlignment="1">
      <alignment horizontal="right" vertical="top" wrapText="1"/>
    </xf>
    <xf numFmtId="178" fontId="2" fillId="40" borderId="16" xfId="0" applyNumberFormat="1" applyFont="1" applyFill="1" applyBorder="1" applyAlignment="1">
      <alignment horizontal="right" vertical="top" wrapText="1"/>
    </xf>
    <xf numFmtId="177" fontId="2" fillId="17" borderId="16" xfId="0" applyNumberFormat="1" applyFont="1" applyFill="1" applyBorder="1" applyAlignment="1">
      <alignment horizontal="right" vertical="top" wrapText="1"/>
    </xf>
    <xf numFmtId="178" fontId="2" fillId="17" borderId="16" xfId="0" applyNumberFormat="1" applyFont="1" applyFill="1" applyBorder="1" applyAlignment="1">
      <alignment horizontal="right" vertical="top" wrapText="1"/>
    </xf>
    <xf numFmtId="177" fontId="3" fillId="17" borderId="0" xfId="0" applyNumberFormat="1" applyFont="1" applyFill="1" applyAlignment="1">
      <alignment horizontal="right" vertical="top"/>
    </xf>
    <xf numFmtId="177" fontId="2" fillId="32" borderId="16" xfId="0" applyNumberFormat="1" applyFont="1" applyFill="1" applyBorder="1" applyAlignment="1">
      <alignment horizontal="right" vertical="top"/>
    </xf>
    <xf numFmtId="178" fontId="2" fillId="32" borderId="16" xfId="0" applyNumberFormat="1" applyFont="1" applyFill="1" applyBorder="1" applyAlignment="1">
      <alignment horizontal="right" vertical="top"/>
    </xf>
    <xf numFmtId="177" fontId="2" fillId="35" borderId="16" xfId="0" applyNumberFormat="1" applyFont="1" applyFill="1" applyBorder="1" applyAlignment="1">
      <alignment horizontal="right" vertical="top"/>
    </xf>
    <xf numFmtId="178" fontId="2" fillId="35" borderId="16" xfId="0" applyNumberFormat="1" applyFont="1" applyFill="1" applyBorder="1" applyAlignment="1">
      <alignment horizontal="right" vertical="top"/>
    </xf>
    <xf numFmtId="177" fontId="2" fillId="25" borderId="16" xfId="0" applyNumberFormat="1" applyFont="1" applyFill="1" applyBorder="1" applyAlignment="1">
      <alignment horizontal="right" vertical="top" wrapText="1"/>
    </xf>
    <xf numFmtId="0" fontId="2" fillId="25" borderId="16" xfId="0" applyFont="1" applyFill="1" applyBorder="1" applyAlignment="1">
      <alignment horizontal="right" vertical="top" wrapText="1"/>
    </xf>
    <xf numFmtId="177" fontId="2" fillId="39" borderId="16" xfId="0" applyNumberFormat="1" applyFont="1" applyFill="1" applyBorder="1" applyAlignment="1">
      <alignment horizontal="right" vertical="top" wrapText="1"/>
    </xf>
    <xf numFmtId="178" fontId="2" fillId="18" borderId="16" xfId="0" applyNumberFormat="1" applyFont="1" applyFill="1" applyBorder="1" applyAlignment="1">
      <alignment horizontal="right" vertical="top" wrapText="1"/>
    </xf>
    <xf numFmtId="179" fontId="0" fillId="0" borderId="0" xfId="0" applyNumberFormat="1" applyAlignment="1">
      <alignment horizontal="right" vertical="top"/>
    </xf>
    <xf numFmtId="4" fontId="3" fillId="42" borderId="15" xfId="0" applyNumberFormat="1" applyFont="1" applyFill="1" applyBorder="1"/>
    <xf numFmtId="177" fontId="2" fillId="19" borderId="0" xfId="0" applyNumberFormat="1" applyFont="1" applyFill="1" applyAlignment="1">
      <alignment horizontal="right" vertical="top"/>
    </xf>
    <xf numFmtId="178" fontId="2" fillId="19" borderId="0" xfId="0" applyNumberFormat="1" applyFont="1" applyFill="1" applyAlignment="1">
      <alignment horizontal="right" vertical="top"/>
    </xf>
    <xf numFmtId="181" fontId="3" fillId="20" borderId="3" xfId="0" applyNumberFormat="1" applyFont="1" applyFill="1" applyBorder="1" applyAlignment="1">
      <alignment horizontal="right" vertical="top" wrapText="1"/>
    </xf>
    <xf numFmtId="178" fontId="3" fillId="46" borderId="8" xfId="0" applyNumberFormat="1" applyFont="1" applyFill="1" applyBorder="1" applyAlignment="1">
      <alignment horizontal="right" vertical="top" wrapText="1"/>
    </xf>
    <xf numFmtId="4" fontId="3" fillId="18" borderId="15" xfId="0" applyNumberFormat="1" applyFont="1" applyFill="1" applyBorder="1"/>
    <xf numFmtId="177" fontId="3" fillId="0" borderId="4" xfId="0" applyNumberFormat="1" applyFont="1" applyBorder="1" applyAlignment="1">
      <alignment horizontal="right" vertical="top" wrapText="1"/>
    </xf>
    <xf numFmtId="178" fontId="3" fillId="0" borderId="11" xfId="0" applyNumberFormat="1" applyFont="1" applyBorder="1" applyAlignment="1">
      <alignment horizontal="right" vertical="top" wrapText="1"/>
    </xf>
    <xf numFmtId="177" fontId="3" fillId="0" borderId="6" xfId="0" applyNumberFormat="1" applyFont="1" applyBorder="1" applyAlignment="1">
      <alignment horizontal="right" vertical="top" wrapText="1"/>
    </xf>
    <xf numFmtId="178" fontId="3" fillId="0" borderId="14" xfId="0" applyNumberFormat="1" applyFont="1" applyBorder="1" applyAlignment="1">
      <alignment horizontal="right" vertical="top" wrapText="1"/>
    </xf>
    <xf numFmtId="178" fontId="0" fillId="21" borderId="0" xfId="0" applyNumberFormat="1" applyFill="1"/>
    <xf numFmtId="177" fontId="2" fillId="22" borderId="16" xfId="0" applyNumberFormat="1" applyFont="1" applyFill="1" applyBorder="1" applyAlignment="1">
      <alignment horizontal="right" vertical="top" wrapText="1"/>
    </xf>
    <xf numFmtId="178" fontId="2" fillId="22" borderId="16" xfId="0" applyNumberFormat="1" applyFont="1" applyFill="1" applyBorder="1" applyAlignment="1">
      <alignment horizontal="right" vertical="top" wrapText="1"/>
    </xf>
    <xf numFmtId="4" fontId="10" fillId="21" borderId="1" xfId="0" applyNumberFormat="1" applyFont="1" applyFill="1" applyBorder="1"/>
    <xf numFmtId="179" fontId="10" fillId="21" borderId="1" xfId="0" applyNumberFormat="1" applyFont="1" applyFill="1" applyBorder="1"/>
    <xf numFmtId="181" fontId="2" fillId="36" borderId="16" xfId="0" applyNumberFormat="1" applyFont="1" applyFill="1" applyBorder="1" applyAlignment="1">
      <alignment horizontal="right" vertical="top"/>
    </xf>
    <xf numFmtId="178" fontId="2" fillId="36" borderId="16" xfId="0" applyNumberFormat="1" applyFont="1" applyFill="1" applyBorder="1" applyAlignment="1">
      <alignment horizontal="right" vertical="top"/>
    </xf>
    <xf numFmtId="179" fontId="10" fillId="46" borderId="0" xfId="0" applyNumberFormat="1" applyFont="1" applyFill="1"/>
    <xf numFmtId="4" fontId="10" fillId="22" borderId="1" xfId="0" applyNumberFormat="1" applyFont="1" applyFill="1" applyBorder="1"/>
    <xf numFmtId="179" fontId="10" fillId="0" borderId="0" xfId="0" applyNumberFormat="1" applyFont="1"/>
    <xf numFmtId="4" fontId="0" fillId="42" borderId="0" xfId="0" applyNumberFormat="1" applyFill="1"/>
    <xf numFmtId="177" fontId="3" fillId="24" borderId="0" xfId="0" applyNumberFormat="1" applyFont="1" applyFill="1" applyAlignment="1">
      <alignment horizontal="right" vertical="top"/>
    </xf>
    <xf numFmtId="178" fontId="3" fillId="24" borderId="0" xfId="0" applyNumberFormat="1" applyFont="1" applyFill="1" applyAlignment="1">
      <alignment horizontal="right" vertical="top"/>
    </xf>
    <xf numFmtId="177" fontId="3" fillId="25" borderId="0" xfId="0" applyNumberFormat="1" applyFont="1" applyFill="1" applyAlignment="1">
      <alignment horizontal="right" vertical="top" wrapText="1"/>
    </xf>
    <xf numFmtId="177" fontId="2" fillId="26" borderId="16" xfId="0" applyNumberFormat="1" applyFont="1" applyFill="1" applyBorder="1" applyAlignment="1">
      <alignment horizontal="right" vertical="top" wrapText="1"/>
    </xf>
    <xf numFmtId="178" fontId="2" fillId="26" borderId="16" xfId="0" applyNumberFormat="1" applyFont="1" applyFill="1" applyBorder="1" applyAlignment="1">
      <alignment horizontal="right" vertical="top" wrapText="1"/>
    </xf>
    <xf numFmtId="177" fontId="2" fillId="2" borderId="16" xfId="0" applyNumberFormat="1" applyFont="1" applyFill="1" applyBorder="1" applyAlignment="1">
      <alignment horizontal="right" vertical="top" wrapText="1"/>
    </xf>
    <xf numFmtId="178" fontId="2" fillId="2" borderId="16" xfId="0" applyNumberFormat="1" applyFont="1" applyFill="1" applyBorder="1" applyAlignment="1">
      <alignment horizontal="right" vertical="top" wrapText="1"/>
    </xf>
    <xf numFmtId="177" fontId="2" fillId="3" borderId="15" xfId="0" applyNumberFormat="1" applyFont="1" applyFill="1" applyBorder="1" applyAlignment="1">
      <alignment horizontal="right" vertical="top" wrapText="1"/>
    </xf>
    <xf numFmtId="178" fontId="2" fillId="3" borderId="15" xfId="0" applyNumberFormat="1" applyFont="1" applyFill="1" applyBorder="1" applyAlignment="1">
      <alignment horizontal="right" vertical="top" wrapText="1"/>
    </xf>
    <xf numFmtId="178" fontId="2" fillId="4" borderId="16" xfId="0" applyNumberFormat="1" applyFont="1" applyFill="1" applyBorder="1" applyAlignment="1">
      <alignment horizontal="right" vertical="top" wrapText="1"/>
    </xf>
    <xf numFmtId="179" fontId="2" fillId="0" borderId="0" xfId="0" applyNumberFormat="1" applyFont="1" applyAlignment="1">
      <alignment horizontal="right" vertical="top" wrapText="1"/>
    </xf>
    <xf numFmtId="177" fontId="2" fillId="6" borderId="16" xfId="0" applyNumberFormat="1" applyFont="1" applyFill="1" applyBorder="1" applyAlignment="1">
      <alignment horizontal="right" vertical="top" wrapText="1"/>
    </xf>
    <xf numFmtId="178" fontId="2" fillId="6" borderId="16" xfId="0" applyNumberFormat="1" applyFont="1" applyFill="1" applyBorder="1" applyAlignment="1">
      <alignment horizontal="right" vertical="top" wrapText="1"/>
    </xf>
    <xf numFmtId="177" fontId="2" fillId="7" borderId="16" xfId="0" applyNumberFormat="1" applyFont="1" applyFill="1" applyBorder="1" applyAlignment="1">
      <alignment horizontal="right" vertical="top" wrapText="1"/>
    </xf>
    <xf numFmtId="178" fontId="2" fillId="7" borderId="16" xfId="0" applyNumberFormat="1" applyFont="1" applyFill="1" applyBorder="1" applyAlignment="1">
      <alignment horizontal="right" vertical="top" wrapText="1"/>
    </xf>
    <xf numFmtId="177" fontId="2" fillId="8" borderId="9" xfId="0" applyNumberFormat="1" applyFont="1" applyFill="1" applyBorder="1" applyAlignment="1">
      <alignment horizontal="right" vertical="top"/>
    </xf>
    <xf numFmtId="179" fontId="2" fillId="0" borderId="0" xfId="0" applyNumberFormat="1" applyFont="1" applyAlignment="1">
      <alignment vertical="top"/>
    </xf>
    <xf numFmtId="178" fontId="2" fillId="0" borderId="0" xfId="0" applyNumberFormat="1" applyFont="1" applyAlignment="1">
      <alignment vertical="top"/>
    </xf>
    <xf numFmtId="177" fontId="3" fillId="12" borderId="0" xfId="0" applyNumberFormat="1" applyFont="1" applyFill="1" applyAlignment="1">
      <alignment horizontal="right" vertical="top" wrapText="1"/>
    </xf>
    <xf numFmtId="180" fontId="3" fillId="0" borderId="0" xfId="0" applyNumberFormat="1" applyFont="1" applyAlignment="1">
      <alignment horizontal="right" vertical="top" wrapText="1"/>
    </xf>
    <xf numFmtId="177" fontId="3" fillId="9" borderId="15" xfId="0" applyNumberFormat="1" applyFont="1" applyFill="1" applyBorder="1" applyAlignment="1">
      <alignment horizontal="right" vertical="top" wrapText="1"/>
    </xf>
    <xf numFmtId="177" fontId="3" fillId="11" borderId="15" xfId="0" applyNumberFormat="1" applyFont="1" applyFill="1" applyBorder="1" applyAlignment="1">
      <alignment horizontal="right" vertical="top" wrapText="1"/>
    </xf>
    <xf numFmtId="177" fontId="3" fillId="46" borderId="15" xfId="0" applyNumberFormat="1" applyFont="1" applyFill="1" applyBorder="1" applyAlignment="1">
      <alignment horizontal="right" vertical="top" wrapText="1"/>
    </xf>
    <xf numFmtId="177" fontId="3" fillId="10" borderId="15" xfId="0" applyNumberFormat="1" applyFont="1" applyFill="1" applyBorder="1" applyAlignment="1">
      <alignment horizontal="right" vertical="top" wrapText="1"/>
    </xf>
    <xf numFmtId="177" fontId="3" fillId="14" borderId="16" xfId="0" applyNumberFormat="1" applyFont="1" applyFill="1" applyBorder="1" applyAlignment="1">
      <alignment horizontal="right" vertical="top" wrapText="1"/>
    </xf>
    <xf numFmtId="181" fontId="16" fillId="0" borderId="0" xfId="0" applyNumberFormat="1" applyFont="1" applyAlignment="1">
      <alignment horizontal="right" vertical="top"/>
    </xf>
    <xf numFmtId="181" fontId="2" fillId="5" borderId="16" xfId="0" applyNumberFormat="1" applyFont="1" applyFill="1" applyBorder="1" applyAlignment="1">
      <alignment horizontal="right" vertical="top"/>
    </xf>
    <xf numFmtId="179" fontId="0" fillId="0" borderId="0" xfId="0" applyNumberFormat="1" applyAlignment="1">
      <alignment horizontal="center"/>
    </xf>
    <xf numFmtId="178" fontId="0" fillId="0" borderId="0" xfId="0" applyNumberFormat="1" applyAlignment="1">
      <alignment horizontal="center"/>
    </xf>
    <xf numFmtId="178" fontId="0" fillId="3" borderId="0" xfId="0" applyNumberFormat="1" applyFill="1" applyAlignment="1">
      <alignment horizontal="right" vertical="top"/>
    </xf>
    <xf numFmtId="178" fontId="3" fillId="4" borderId="0" xfId="0" applyNumberFormat="1" applyFont="1" applyFill="1" applyAlignment="1">
      <alignment wrapText="1"/>
    </xf>
    <xf numFmtId="179" fontId="0" fillId="0" borderId="0" xfId="0" applyNumberFormat="1" applyAlignment="1">
      <alignment horizontal="center" vertical="top"/>
    </xf>
    <xf numFmtId="178" fontId="0" fillId="0" borderId="0" xfId="0" applyNumberFormat="1" applyAlignment="1">
      <alignment horizontal="center" vertical="top"/>
    </xf>
    <xf numFmtId="178" fontId="0" fillId="0" borderId="0" xfId="0" applyNumberFormat="1" applyAlignment="1">
      <alignment horizontal="right"/>
    </xf>
    <xf numFmtId="178" fontId="0" fillId="2" borderId="0" xfId="0" applyNumberFormat="1" applyFill="1" applyAlignment="1">
      <alignment horizontal="right" vertical="top"/>
    </xf>
    <xf numFmtId="179" fontId="0" fillId="0" borderId="16" xfId="0" applyNumberFormat="1" applyBorder="1" applyAlignment="1">
      <alignment horizontal="center"/>
    </xf>
    <xf numFmtId="178" fontId="0" fillId="5" borderId="16" xfId="0" applyNumberFormat="1" applyFill="1" applyBorder="1"/>
    <xf numFmtId="178" fontId="0" fillId="0" borderId="16" xfId="0" applyNumberFormat="1" applyBorder="1" applyAlignment="1">
      <alignment horizontal="center"/>
    </xf>
    <xf numFmtId="177" fontId="3" fillId="0" borderId="0" xfId="0" applyNumberFormat="1" applyFont="1" applyAlignment="1">
      <alignment horizontal="center" vertical="top" wrapText="1"/>
    </xf>
    <xf numFmtId="177" fontId="3" fillId="2" borderId="0" xfId="0" applyNumberFormat="1" applyFont="1" applyFill="1" applyAlignment="1">
      <alignment vertical="top" wrapText="1"/>
    </xf>
    <xf numFmtId="177" fontId="3" fillId="3" borderId="0" xfId="0" applyNumberFormat="1" applyFont="1" applyFill="1" applyAlignment="1">
      <alignment vertical="top" wrapText="1"/>
    </xf>
    <xf numFmtId="177" fontId="3" fillId="4" borderId="0" xfId="0" applyNumberFormat="1" applyFont="1" applyFill="1" applyAlignment="1">
      <alignment vertical="top" wrapText="1"/>
    </xf>
    <xf numFmtId="177" fontId="3" fillId="5" borderId="0" xfId="0" applyNumberFormat="1" applyFont="1" applyFill="1" applyAlignment="1">
      <alignment vertical="top" wrapText="1"/>
    </xf>
    <xf numFmtId="177" fontId="3" fillId="46" borderId="0" xfId="0" applyNumberFormat="1" applyFont="1" applyFill="1" applyAlignment="1">
      <alignment vertical="top" wrapText="1"/>
    </xf>
    <xf numFmtId="177" fontId="2" fillId="6" borderId="16" xfId="0" applyNumberFormat="1" applyFont="1" applyFill="1" applyBorder="1" applyAlignment="1">
      <alignment wrapText="1"/>
    </xf>
    <xf numFmtId="177" fontId="2" fillId="6" borderId="16" xfId="0" applyNumberFormat="1" applyFont="1" applyFill="1" applyBorder="1" applyAlignment="1">
      <alignment horizontal="right" wrapText="1"/>
    </xf>
    <xf numFmtId="177" fontId="2" fillId="46" borderId="16" xfId="0" applyNumberFormat="1" applyFont="1" applyFill="1" applyBorder="1" applyAlignment="1">
      <alignment wrapText="1"/>
    </xf>
    <xf numFmtId="177" fontId="2" fillId="0" borderId="16" xfId="0" applyNumberFormat="1" applyFont="1" applyBorder="1" applyAlignment="1">
      <alignment horizontal="center" wrapText="1"/>
    </xf>
    <xf numFmtId="177" fontId="0" fillId="0" borderId="0" xfId="0" applyNumberFormat="1" applyAlignment="1">
      <alignment horizontal="center"/>
    </xf>
    <xf numFmtId="177" fontId="2" fillId="7" borderId="16" xfId="0" applyNumberFormat="1" applyFont="1" applyFill="1" applyBorder="1"/>
    <xf numFmtId="177" fontId="2" fillId="0" borderId="16" xfId="0" applyNumberFormat="1" applyFont="1" applyBorder="1" applyAlignment="1">
      <alignment horizontal="center"/>
    </xf>
    <xf numFmtId="177" fontId="2" fillId="2" borderId="0" xfId="0" applyNumberFormat="1" applyFont="1" applyFill="1" applyAlignment="1">
      <alignment vertical="top" wrapText="1"/>
    </xf>
    <xf numFmtId="177" fontId="2" fillId="3" borderId="0" xfId="0" applyNumberFormat="1" applyFont="1" applyFill="1" applyAlignment="1">
      <alignment vertical="top" wrapText="1"/>
    </xf>
    <xf numFmtId="177" fontId="3" fillId="0" borderId="5" xfId="0" applyNumberFormat="1" applyFont="1" applyBorder="1" applyAlignment="1">
      <alignment horizontal="right" vertical="top" wrapText="1"/>
    </xf>
    <xf numFmtId="177" fontId="3" fillId="0" borderId="1" xfId="0" applyNumberFormat="1" applyFont="1" applyBorder="1" applyAlignment="1">
      <alignment vertical="top" wrapText="1"/>
    </xf>
    <xf numFmtId="177" fontId="3" fillId="0" borderId="1" xfId="0" applyNumberFormat="1" applyFont="1" applyBorder="1" applyAlignment="1">
      <alignment horizontal="right" vertical="top" wrapText="1"/>
    </xf>
    <xf numFmtId="177" fontId="3" fillId="3" borderId="18" xfId="0" applyNumberFormat="1" applyFont="1" applyFill="1" applyBorder="1" applyAlignment="1">
      <alignment vertical="top" wrapText="1"/>
    </xf>
    <xf numFmtId="177" fontId="3" fillId="0" borderId="0" xfId="0" applyNumberFormat="1" applyFont="1" applyAlignment="1">
      <alignment horizontal="justify" vertical="top" wrapText="1"/>
    </xf>
    <xf numFmtId="177" fontId="2" fillId="5" borderId="0" xfId="0" applyNumberFormat="1" applyFont="1" applyFill="1" applyAlignment="1">
      <alignment horizontal="right" vertical="top" wrapText="1"/>
    </xf>
    <xf numFmtId="177" fontId="2" fillId="5" borderId="0" xfId="0" applyNumberFormat="1" applyFont="1" applyFill="1" applyAlignment="1">
      <alignment vertical="top" wrapText="1"/>
    </xf>
    <xf numFmtId="177" fontId="3" fillId="0" borderId="3" xfId="0" applyNumberFormat="1" applyFont="1" applyBorder="1" applyAlignment="1">
      <alignment horizontal="right" vertical="top" wrapText="1"/>
    </xf>
    <xf numFmtId="177" fontId="3" fillId="0" borderId="15" xfId="0" applyNumberFormat="1" applyFont="1" applyBorder="1" applyAlignment="1">
      <alignment vertical="top" wrapText="1"/>
    </xf>
    <xf numFmtId="177" fontId="3" fillId="0" borderId="15" xfId="0" applyNumberFormat="1" applyFont="1" applyBorder="1" applyAlignment="1">
      <alignment horizontal="right" vertical="top" wrapText="1"/>
    </xf>
    <xf numFmtId="177" fontId="3" fillId="3" borderId="8" xfId="0" applyNumberFormat="1" applyFont="1" applyFill="1" applyBorder="1" applyAlignment="1">
      <alignment vertical="top" wrapText="1"/>
    </xf>
    <xf numFmtId="177" fontId="3" fillId="3" borderId="11" xfId="0" applyNumberFormat="1" applyFont="1" applyFill="1" applyBorder="1" applyAlignment="1">
      <alignment vertical="top" wrapText="1"/>
    </xf>
    <xf numFmtId="177" fontId="3" fillId="0" borderId="2" xfId="0" applyNumberFormat="1" applyFont="1" applyBorder="1" applyAlignment="1">
      <alignment vertical="top" wrapText="1"/>
    </xf>
    <xf numFmtId="177" fontId="3" fillId="3" borderId="14" xfId="0" applyNumberFormat="1" applyFont="1" applyFill="1" applyBorder="1" applyAlignment="1">
      <alignment vertical="top" wrapText="1"/>
    </xf>
    <xf numFmtId="177" fontId="3" fillId="0" borderId="2" xfId="0" applyNumberFormat="1" applyFont="1" applyBorder="1" applyAlignment="1">
      <alignment horizontal="justify" vertical="top" wrapText="1"/>
    </xf>
    <xf numFmtId="177" fontId="2" fillId="6" borderId="16" xfId="0" applyNumberFormat="1" applyFont="1" applyFill="1" applyBorder="1" applyAlignment="1">
      <alignment vertical="top" wrapText="1"/>
    </xf>
    <xf numFmtId="178" fontId="3" fillId="0" borderId="5" xfId="0" applyNumberFormat="1" applyFont="1" applyBorder="1" applyAlignment="1">
      <alignment horizontal="right" vertical="top" wrapText="1"/>
    </xf>
    <xf numFmtId="178" fontId="3" fillId="0" borderId="1" xfId="0" applyNumberFormat="1" applyFont="1" applyBorder="1" applyAlignment="1">
      <alignment horizontal="right" vertical="top" wrapText="1"/>
    </xf>
    <xf numFmtId="178" fontId="3" fillId="3" borderId="18" xfId="0" applyNumberFormat="1" applyFont="1" applyFill="1" applyBorder="1" applyAlignment="1">
      <alignment horizontal="right" vertical="top" wrapText="1"/>
    </xf>
    <xf numFmtId="178" fontId="2" fillId="4" borderId="0" xfId="0" applyNumberFormat="1" applyFont="1" applyFill="1" applyAlignment="1">
      <alignment horizontal="right" vertical="top" wrapText="1"/>
    </xf>
    <xf numFmtId="178" fontId="3" fillId="0" borderId="3" xfId="0" applyNumberFormat="1" applyFont="1" applyBorder="1" applyAlignment="1">
      <alignment horizontal="right" vertical="top" wrapText="1"/>
    </xf>
    <xf numFmtId="178" fontId="3" fillId="0" borderId="15" xfId="0" applyNumberFormat="1" applyFont="1" applyBorder="1" applyAlignment="1">
      <alignment horizontal="right" vertical="top" wrapText="1"/>
    </xf>
    <xf numFmtId="178" fontId="3" fillId="3" borderId="8" xfId="0" applyNumberFormat="1" applyFont="1" applyFill="1" applyBorder="1" applyAlignment="1">
      <alignment horizontal="right" vertical="top" wrapText="1"/>
    </xf>
    <xf numFmtId="178" fontId="3" fillId="0" borderId="4" xfId="0" applyNumberFormat="1" applyFont="1" applyBorder="1" applyAlignment="1">
      <alignment horizontal="right" vertical="top" wrapText="1"/>
    </xf>
    <xf numFmtId="178" fontId="3" fillId="3" borderId="11" xfId="0" applyNumberFormat="1" applyFont="1" applyFill="1" applyBorder="1" applyAlignment="1">
      <alignment horizontal="right" vertical="top" wrapText="1"/>
    </xf>
    <xf numFmtId="178" fontId="3" fillId="0" borderId="6" xfId="0" applyNumberFormat="1" applyFont="1" applyBorder="1" applyAlignment="1">
      <alignment horizontal="right" vertical="top" wrapText="1"/>
    </xf>
    <xf numFmtId="178" fontId="3" fillId="3" borderId="14" xfId="0" applyNumberFormat="1" applyFont="1" applyFill="1" applyBorder="1" applyAlignment="1">
      <alignment horizontal="right" vertical="top" wrapText="1"/>
    </xf>
    <xf numFmtId="178" fontId="3" fillId="0" borderId="2" xfId="0" applyNumberFormat="1" applyFont="1" applyBorder="1" applyAlignment="1">
      <alignment horizontal="justify" vertical="top" wrapText="1"/>
    </xf>
    <xf numFmtId="178" fontId="2" fillId="0" borderId="16" xfId="0" applyNumberFormat="1" applyFont="1" applyBorder="1" applyAlignment="1">
      <alignment horizontal="right" vertical="top" wrapText="1"/>
    </xf>
    <xf numFmtId="178" fontId="3" fillId="0" borderId="10" xfId="0" applyNumberFormat="1" applyFont="1" applyBorder="1" applyAlignment="1">
      <alignment wrapText="1"/>
    </xf>
    <xf numFmtId="178" fontId="3" fillId="0" borderId="11" xfId="0" applyNumberFormat="1" applyFont="1" applyBorder="1" applyAlignment="1">
      <alignment wrapText="1"/>
    </xf>
    <xf numFmtId="178" fontId="3" fillId="0" borderId="11" xfId="0" applyNumberFormat="1" applyFont="1" applyBorder="1" applyAlignment="1">
      <alignment horizontal="right" wrapText="1"/>
    </xf>
    <xf numFmtId="178" fontId="3" fillId="2" borderId="11" xfId="0" applyNumberFormat="1" applyFont="1" applyFill="1" applyBorder="1" applyAlignment="1">
      <alignment wrapText="1"/>
    </xf>
    <xf numFmtId="178" fontId="3" fillId="3" borderId="0" xfId="0" applyNumberFormat="1" applyFont="1" applyFill="1"/>
    <xf numFmtId="178" fontId="3" fillId="10" borderId="0" xfId="0" applyNumberFormat="1" applyFont="1" applyFill="1"/>
    <xf numFmtId="178" fontId="3" fillId="4" borderId="0" xfId="0" applyNumberFormat="1" applyFont="1" applyFill="1"/>
    <xf numFmtId="178" fontId="3" fillId="11" borderId="0" xfId="0" applyNumberFormat="1" applyFont="1" applyFill="1"/>
    <xf numFmtId="178" fontId="3" fillId="0" borderId="10" xfId="0" applyNumberFormat="1" applyFont="1" applyBorder="1" applyAlignment="1">
      <alignment horizontal="right" wrapText="1"/>
    </xf>
    <xf numFmtId="178" fontId="3" fillId="5" borderId="0" xfId="0" applyNumberFormat="1" applyFont="1" applyFill="1"/>
    <xf numFmtId="178" fontId="3" fillId="12" borderId="0" xfId="0" applyNumberFormat="1" applyFont="1" applyFill="1"/>
    <xf numFmtId="178" fontId="3" fillId="6" borderId="0" xfId="0" applyNumberFormat="1" applyFont="1" applyFill="1"/>
    <xf numFmtId="178" fontId="3" fillId="13" borderId="0" xfId="0" applyNumberFormat="1" applyFont="1" applyFill="1"/>
    <xf numFmtId="178" fontId="3" fillId="7" borderId="0" xfId="0" applyNumberFormat="1" applyFont="1" applyFill="1"/>
    <xf numFmtId="178" fontId="3" fillId="14" borderId="0" xfId="0" applyNumberFormat="1" applyFont="1" applyFill="1"/>
    <xf numFmtId="178" fontId="3" fillId="8" borderId="0" xfId="0" applyNumberFormat="1" applyFont="1" applyFill="1"/>
    <xf numFmtId="178" fontId="3" fillId="15" borderId="0" xfId="0" applyNumberFormat="1" applyFont="1" applyFill="1"/>
    <xf numFmtId="178" fontId="3" fillId="9" borderId="0" xfId="0" applyNumberFormat="1" applyFont="1" applyFill="1"/>
    <xf numFmtId="178" fontId="3" fillId="16" borderId="0" xfId="0" applyNumberFormat="1" applyFont="1" applyFill="1"/>
    <xf numFmtId="178" fontId="3" fillId="17" borderId="0" xfId="0" applyNumberFormat="1" applyFont="1" applyFill="1"/>
    <xf numFmtId="178" fontId="2" fillId="19" borderId="17" xfId="0" applyNumberFormat="1" applyFont="1" applyFill="1" applyBorder="1" applyAlignment="1">
      <alignment wrapText="1"/>
    </xf>
    <xf numFmtId="178" fontId="2" fillId="0" borderId="17" xfId="0" applyNumberFormat="1" applyFont="1" applyBorder="1" applyAlignment="1">
      <alignment horizontal="right" wrapText="1"/>
    </xf>
    <xf numFmtId="178" fontId="2" fillId="2" borderId="17" xfId="0" applyNumberFormat="1" applyFont="1" applyFill="1" applyBorder="1" applyAlignment="1">
      <alignment wrapText="1"/>
    </xf>
    <xf numFmtId="178" fontId="3" fillId="46" borderId="0" xfId="0" applyNumberFormat="1" applyFont="1" applyFill="1"/>
    <xf numFmtId="178" fontId="3" fillId="2" borderId="11" xfId="0" applyNumberFormat="1" applyFont="1" applyFill="1" applyBorder="1" applyAlignment="1">
      <alignment horizontal="right" wrapText="1"/>
    </xf>
    <xf numFmtId="178" fontId="2" fillId="23" borderId="17" xfId="0" applyNumberFormat="1" applyFont="1" applyFill="1" applyBorder="1" applyAlignment="1">
      <alignment horizontal="right" wrapText="1"/>
    </xf>
    <xf numFmtId="178" fontId="2" fillId="2" borderId="17" xfId="0" applyNumberFormat="1" applyFont="1" applyFill="1" applyBorder="1" applyAlignment="1">
      <alignment horizontal="right" wrapText="1"/>
    </xf>
    <xf numFmtId="178" fontId="3" fillId="0" borderId="13" xfId="0" applyNumberFormat="1" applyFont="1" applyBorder="1" applyAlignment="1">
      <alignment horizontal="right" wrapText="1"/>
    </xf>
    <xf numFmtId="178" fontId="3" fillId="0" borderId="14" xfId="0" applyNumberFormat="1" applyFont="1" applyBorder="1" applyAlignment="1">
      <alignment horizontal="right" wrapText="1"/>
    </xf>
    <xf numFmtId="178" fontId="2" fillId="28" borderId="13" xfId="0" applyNumberFormat="1" applyFont="1" applyFill="1" applyBorder="1" applyAlignment="1">
      <alignment horizontal="right" wrapText="1"/>
    </xf>
    <xf numFmtId="178" fontId="2" fillId="0" borderId="13" xfId="0" applyNumberFormat="1" applyFont="1" applyBorder="1" applyAlignment="1">
      <alignment horizontal="right" wrapText="1"/>
    </xf>
    <xf numFmtId="176" fontId="2" fillId="0" borderId="4" xfId="0" applyNumberFormat="1" applyFont="1" applyBorder="1" applyAlignment="1">
      <alignment horizontal="left" vertical="top" wrapText="1"/>
    </xf>
    <xf numFmtId="180" fontId="2" fillId="0" borderId="3" xfId="0" applyNumberFormat="1" applyFont="1" applyBorder="1" applyAlignment="1">
      <alignment wrapText="1"/>
    </xf>
    <xf numFmtId="180" fontId="2" fillId="0" borderId="12" xfId="0" applyNumberFormat="1" applyFont="1" applyBorder="1" applyAlignment="1">
      <alignment wrapText="1"/>
    </xf>
    <xf numFmtId="178" fontId="3" fillId="0" borderId="4" xfId="0" applyNumberFormat="1" applyFont="1" applyBorder="1" applyAlignment="1">
      <alignment horizontal="right" wrapText="1"/>
    </xf>
    <xf numFmtId="178" fontId="3" fillId="29" borderId="10" xfId="0" applyNumberFormat="1" applyFont="1" applyFill="1" applyBorder="1" applyAlignment="1">
      <alignment horizontal="right" wrapText="1"/>
    </xf>
    <xf numFmtId="178" fontId="3" fillId="29" borderId="13" xfId="0" applyNumberFormat="1" applyFont="1" applyFill="1" applyBorder="1" applyAlignment="1">
      <alignment horizontal="right" wrapText="1"/>
    </xf>
    <xf numFmtId="178" fontId="2" fillId="30" borderId="5" xfId="0" applyNumberFormat="1" applyFont="1" applyFill="1" applyBorder="1" applyAlignment="1">
      <alignment horizontal="right" wrapText="1"/>
    </xf>
    <xf numFmtId="178" fontId="2" fillId="0" borderId="5" xfId="0" applyNumberFormat="1" applyFont="1" applyBorder="1" applyAlignment="1">
      <alignment horizontal="right" wrapText="1"/>
    </xf>
    <xf numFmtId="178" fontId="2" fillId="30" borderId="17" xfId="0" applyNumberFormat="1" applyFont="1" applyFill="1" applyBorder="1" applyAlignment="1">
      <alignment horizontal="right" wrapText="1"/>
    </xf>
    <xf numFmtId="180" fontId="2" fillId="0" borderId="10" xfId="0" applyNumberFormat="1" applyFont="1" applyBorder="1" applyAlignment="1">
      <alignment wrapText="1"/>
    </xf>
    <xf numFmtId="180" fontId="2" fillId="0" borderId="0" xfId="0" applyNumberFormat="1" applyFont="1" applyAlignment="1">
      <alignment wrapText="1"/>
    </xf>
    <xf numFmtId="178" fontId="2" fillId="0" borderId="0" xfId="0" applyNumberFormat="1" applyFont="1" applyAlignment="1">
      <alignment wrapText="1"/>
    </xf>
    <xf numFmtId="178" fontId="2" fillId="0" borderId="12" xfId="0" applyNumberFormat="1" applyFont="1" applyBorder="1" applyAlignment="1">
      <alignment wrapText="1"/>
    </xf>
    <xf numFmtId="178" fontId="3" fillId="0" borderId="0" xfId="0" applyNumberFormat="1" applyFont="1" applyAlignment="1">
      <alignment horizontal="right" wrapText="1"/>
    </xf>
    <xf numFmtId="178" fontId="2" fillId="31" borderId="17" xfId="0" applyNumberFormat="1" applyFont="1" applyFill="1" applyBorder="1" applyAlignment="1">
      <alignment horizontal="right" wrapText="1"/>
    </xf>
    <xf numFmtId="178" fontId="3" fillId="32" borderId="10" xfId="0" applyNumberFormat="1" applyFont="1" applyFill="1" applyBorder="1" applyAlignment="1">
      <alignment horizontal="right" wrapText="1"/>
    </xf>
    <xf numFmtId="178" fontId="3" fillId="34" borderId="10" xfId="0" applyNumberFormat="1" applyFont="1" applyFill="1" applyBorder="1" applyAlignment="1">
      <alignment horizontal="right" wrapText="1"/>
    </xf>
    <xf numFmtId="178" fontId="2" fillId="36" borderId="17" xfId="0" applyNumberFormat="1" applyFont="1" applyFill="1" applyBorder="1" applyAlignment="1">
      <alignment horizontal="right" wrapText="1"/>
    </xf>
    <xf numFmtId="178" fontId="2" fillId="0" borderId="12" xfId="0" applyNumberFormat="1" applyFont="1" applyBorder="1" applyAlignment="1">
      <alignment horizontal="right" wrapText="1"/>
    </xf>
    <xf numFmtId="178" fontId="3" fillId="0" borderId="10" xfId="0" applyNumberFormat="1" applyFont="1" applyBorder="1" applyAlignment="1">
      <alignment horizontal="right" vertical="top" wrapText="1"/>
    </xf>
    <xf numFmtId="178" fontId="3" fillId="0" borderId="0" xfId="0" applyNumberFormat="1" applyFont="1" applyAlignment="1">
      <alignment horizontal="right"/>
    </xf>
    <xf numFmtId="178" fontId="3" fillId="17" borderId="10" xfId="0" applyNumberFormat="1" applyFont="1" applyFill="1" applyBorder="1" applyAlignment="1">
      <alignment horizontal="right" wrapText="1"/>
    </xf>
    <xf numFmtId="178" fontId="3" fillId="33" borderId="10" xfId="0" applyNumberFormat="1" applyFont="1" applyFill="1" applyBorder="1" applyAlignment="1">
      <alignment horizontal="right" wrapText="1"/>
    </xf>
    <xf numFmtId="178" fontId="2" fillId="42" borderId="17" xfId="0" applyNumberFormat="1" applyFont="1" applyFill="1" applyBorder="1" applyAlignment="1">
      <alignment horizontal="right" vertical="top" wrapText="1"/>
    </xf>
    <xf numFmtId="178" fontId="3" fillId="0" borderId="10" xfId="0" applyNumberFormat="1" applyFont="1" applyBorder="1" applyAlignment="1">
      <alignment horizontal="right"/>
    </xf>
    <xf numFmtId="178" fontId="3" fillId="0" borderId="13" xfId="0" applyNumberFormat="1" applyFont="1" applyBorder="1" applyAlignment="1">
      <alignment horizontal="right"/>
    </xf>
    <xf numFmtId="178" fontId="2" fillId="38" borderId="17" xfId="0" applyNumberFormat="1" applyFont="1" applyFill="1" applyBorder="1" applyAlignment="1">
      <alignment horizontal="right"/>
    </xf>
    <xf numFmtId="178" fontId="3" fillId="29" borderId="4" xfId="0" applyNumberFormat="1" applyFont="1" applyFill="1" applyBorder="1" applyAlignment="1">
      <alignment horizontal="right" wrapText="1"/>
    </xf>
    <xf numFmtId="178" fontId="3" fillId="2" borderId="10" xfId="0" applyNumberFormat="1" applyFont="1" applyFill="1" applyBorder="1" applyAlignment="1">
      <alignment horizontal="right" wrapText="1"/>
    </xf>
    <xf numFmtId="178" fontId="3" fillId="17" borderId="4" xfId="0" applyNumberFormat="1" applyFont="1" applyFill="1" applyBorder="1" applyAlignment="1">
      <alignment horizontal="right" wrapText="1"/>
    </xf>
    <xf numFmtId="178" fontId="3" fillId="33" borderId="4" xfId="0" applyNumberFormat="1" applyFont="1" applyFill="1" applyBorder="1" applyAlignment="1">
      <alignment horizontal="right" wrapText="1"/>
    </xf>
    <xf numFmtId="178" fontId="3" fillId="34" borderId="4" xfId="0" applyNumberFormat="1" applyFont="1" applyFill="1" applyBorder="1" applyAlignment="1">
      <alignment horizontal="right" wrapText="1"/>
    </xf>
    <xf numFmtId="178" fontId="2" fillId="25" borderId="17" xfId="0" applyNumberFormat="1" applyFont="1" applyFill="1" applyBorder="1" applyAlignment="1">
      <alignment horizontal="right"/>
    </xf>
    <xf numFmtId="178" fontId="2" fillId="43" borderId="17" xfId="0" applyNumberFormat="1" applyFont="1" applyFill="1" applyBorder="1" applyAlignment="1">
      <alignment horizontal="right" vertical="top" wrapText="1"/>
    </xf>
    <xf numFmtId="178" fontId="2" fillId="0" borderId="17" xfId="0" applyNumberFormat="1" applyFont="1" applyBorder="1" applyAlignment="1">
      <alignment horizontal="right" vertical="top" wrapText="1"/>
    </xf>
    <xf numFmtId="178" fontId="3" fillId="0" borderId="12" xfId="0" applyNumberFormat="1" applyFont="1" applyBorder="1"/>
    <xf numFmtId="178" fontId="6" fillId="0" borderId="8" xfId="0" applyNumberFormat="1" applyFont="1" applyBorder="1" applyAlignment="1">
      <alignment wrapText="1"/>
    </xf>
    <xf numFmtId="178" fontId="2" fillId="0" borderId="3" xfId="0" applyNumberFormat="1" applyFont="1" applyBorder="1" applyAlignment="1">
      <alignment wrapText="1"/>
    </xf>
    <xf numFmtId="178" fontId="2" fillId="41" borderId="17" xfId="0" applyNumberFormat="1" applyFont="1" applyFill="1" applyBorder="1" applyAlignment="1">
      <alignment horizontal="right"/>
    </xf>
    <xf numFmtId="178" fontId="2" fillId="0" borderId="17" xfId="0" applyNumberFormat="1" applyFont="1" applyBorder="1" applyAlignment="1">
      <alignment horizontal="right"/>
    </xf>
    <xf numFmtId="178" fontId="2" fillId="35" borderId="17" xfId="0" applyNumberFormat="1" applyFont="1" applyFill="1" applyBorder="1" applyAlignment="1">
      <alignment horizontal="right"/>
    </xf>
    <xf numFmtId="178" fontId="2" fillId="32" borderId="17" xfId="0" applyNumberFormat="1" applyFont="1" applyFill="1" applyBorder="1" applyAlignment="1">
      <alignment horizontal="right" vertical="top" wrapText="1"/>
    </xf>
    <xf numFmtId="178" fontId="7" fillId="0" borderId="8" xfId="0" applyNumberFormat="1" applyFont="1" applyBorder="1" applyAlignment="1">
      <alignment wrapText="1"/>
    </xf>
    <xf numFmtId="178" fontId="3" fillId="0" borderId="3" xfId="0" applyNumberFormat="1" applyFont="1" applyBorder="1" applyAlignment="1">
      <alignment wrapText="1"/>
    </xf>
    <xf numFmtId="178" fontId="3" fillId="0" borderId="12" xfId="0" applyNumberFormat="1" applyFont="1" applyBorder="1" applyAlignment="1">
      <alignment wrapText="1"/>
    </xf>
    <xf numFmtId="178" fontId="2" fillId="40" borderId="17" xfId="0" applyNumberFormat="1" applyFont="1" applyFill="1" applyBorder="1" applyAlignment="1">
      <alignment horizontal="right"/>
    </xf>
    <xf numFmtId="178" fontId="2" fillId="27" borderId="17" xfId="0" applyNumberFormat="1" applyFont="1" applyFill="1" applyBorder="1" applyAlignment="1">
      <alignment horizontal="right"/>
    </xf>
    <xf numFmtId="176" fontId="2" fillId="0" borderId="3" xfId="0" applyNumberFormat="1" applyFont="1" applyBorder="1" applyAlignment="1">
      <alignment horizontal="left" vertical="top" wrapText="1"/>
    </xf>
    <xf numFmtId="178" fontId="2" fillId="18" borderId="17" xfId="0" applyNumberFormat="1" applyFont="1" applyFill="1" applyBorder="1" applyAlignment="1">
      <alignment horizontal="right" vertical="top" wrapText="1"/>
    </xf>
    <xf numFmtId="178" fontId="2" fillId="44" borderId="17" xfId="0" applyNumberFormat="1" applyFont="1" applyFill="1" applyBorder="1" applyAlignment="1">
      <alignment horizontal="right" vertical="top" wrapText="1"/>
    </xf>
    <xf numFmtId="178" fontId="2" fillId="37" borderId="17" xfId="0" applyNumberFormat="1" applyFont="1" applyFill="1" applyBorder="1" applyAlignment="1">
      <alignment horizontal="right"/>
    </xf>
    <xf numFmtId="178" fontId="2" fillId="0" borderId="0" xfId="0" applyNumberFormat="1" applyFont="1" applyAlignment="1">
      <alignment horizontal="right"/>
    </xf>
    <xf numFmtId="178" fontId="2" fillId="0" borderId="0" xfId="0" applyNumberFormat="1" applyFont="1" applyAlignment="1">
      <alignment horizontal="right" wrapText="1"/>
    </xf>
    <xf numFmtId="178" fontId="2" fillId="45" borderId="17" xfId="0" applyNumberFormat="1" applyFont="1" applyFill="1" applyBorder="1" applyAlignment="1">
      <alignment horizontal="right"/>
    </xf>
    <xf numFmtId="178" fontId="2" fillId="0" borderId="12" xfId="0" applyNumberFormat="1" applyFont="1" applyBorder="1"/>
    <xf numFmtId="178" fontId="2" fillId="0" borderId="15" xfId="0" applyNumberFormat="1" applyFont="1" applyBorder="1" applyAlignment="1">
      <alignment wrapText="1"/>
    </xf>
    <xf numFmtId="178" fontId="3" fillId="2" borderId="10" xfId="0" applyNumberFormat="1" applyFont="1" applyFill="1" applyBorder="1" applyAlignment="1">
      <alignment wrapText="1"/>
    </xf>
    <xf numFmtId="178" fontId="2" fillId="22" borderId="17" xfId="0" applyNumberFormat="1" applyFont="1" applyFill="1" applyBorder="1" applyAlignment="1">
      <alignment horizontal="right"/>
    </xf>
    <xf numFmtId="178" fontId="2" fillId="24" borderId="17" xfId="0" applyNumberFormat="1" applyFont="1" applyFill="1" applyBorder="1" applyAlignment="1">
      <alignment horizontal="right"/>
    </xf>
    <xf numFmtId="180" fontId="3" fillId="0" borderId="12" xfId="0" applyNumberFormat="1" applyFont="1" applyBorder="1"/>
    <xf numFmtId="180" fontId="3" fillId="0" borderId="0" xfId="0" applyNumberFormat="1" applyFont="1"/>
    <xf numFmtId="180" fontId="3" fillId="0" borderId="12" xfId="0" applyNumberFormat="1" applyFont="1" applyBorder="1" applyAlignment="1">
      <alignment wrapText="1"/>
    </xf>
    <xf numFmtId="180" fontId="3" fillId="0" borderId="3" xfId="0" applyNumberFormat="1" applyFont="1" applyBorder="1" applyAlignment="1">
      <alignment wrapText="1"/>
    </xf>
    <xf numFmtId="178" fontId="2" fillId="21" borderId="17" xfId="0" applyNumberFormat="1" applyFont="1" applyFill="1" applyBorder="1" applyAlignment="1">
      <alignment horizontal="right"/>
    </xf>
    <xf numFmtId="178" fontId="2" fillId="2" borderId="17" xfId="0" applyNumberFormat="1" applyFont="1" applyFill="1" applyBorder="1" applyAlignment="1">
      <alignment horizontal="right" vertical="top" wrapText="1"/>
    </xf>
    <xf numFmtId="178" fontId="2" fillId="39" borderId="18" xfId="0" applyNumberFormat="1" applyFont="1" applyFill="1" applyBorder="1" applyAlignment="1">
      <alignment horizontal="right"/>
    </xf>
    <xf numFmtId="178" fontId="2" fillId="26" borderId="17" xfId="0" applyNumberFormat="1" applyFont="1" applyFill="1" applyBorder="1" applyAlignment="1">
      <alignment horizontal="right"/>
    </xf>
    <xf numFmtId="176" fontId="6" fillId="0" borderId="0" xfId="0" applyNumberFormat="1" applyFont="1" applyAlignment="1">
      <alignment horizontal="left" vertical="top" wrapText="1"/>
    </xf>
    <xf numFmtId="180" fontId="3" fillId="0" borderId="0" xfId="0" applyNumberFormat="1" applyFont="1" applyAlignment="1">
      <alignment wrapText="1"/>
    </xf>
    <xf numFmtId="178" fontId="3" fillId="0" borderId="0" xfId="0" applyNumberFormat="1" applyFont="1" applyAlignment="1">
      <alignment wrapText="1"/>
    </xf>
    <xf numFmtId="177" fontId="3" fillId="2" borderId="16" xfId="0" applyNumberFormat="1" applyFont="1" applyFill="1" applyBorder="1" applyAlignment="1">
      <alignment horizontal="right" vertical="top"/>
    </xf>
    <xf numFmtId="178" fontId="0" fillId="2" borderId="16" xfId="0" applyNumberFormat="1" applyFill="1" applyBorder="1"/>
    <xf numFmtId="176" fontId="2" fillId="0" borderId="0" xfId="0" applyNumberFormat="1" applyFont="1" applyAlignment="1">
      <alignment horizontal="right"/>
    </xf>
    <xf numFmtId="176" fontId="2" fillId="0" borderId="0" xfId="0" applyNumberFormat="1" applyFont="1" applyAlignment="1">
      <alignment horizontal="right" vertical="top"/>
    </xf>
    <xf numFmtId="176" fontId="2" fillId="0" borderId="0" xfId="0" applyNumberFormat="1" applyFont="1"/>
    <xf numFmtId="0" fontId="2" fillId="0" borderId="0" xfId="0" applyFont="1" applyAlignment="1">
      <alignment horizontal="center"/>
    </xf>
    <xf numFmtId="0" fontId="0" fillId="0" borderId="0" xfId="0"/>
    <xf numFmtId="0" fontId="0" fillId="0" borderId="0" xfId="0" applyAlignment="1">
      <alignment horizontal="right"/>
    </xf>
    <xf numFmtId="0" fontId="0" fillId="0" borderId="0" xfId="0" applyAlignment="1">
      <alignment horizontal="center"/>
    </xf>
    <xf numFmtId="0" fontId="3" fillId="0" borderId="0" xfId="0" applyFont="1" applyAlignment="1">
      <alignment horizontal="center"/>
    </xf>
    <xf numFmtId="0" fontId="3" fillId="0" borderId="0" xfId="0" applyFont="1" applyAlignment="1">
      <alignment horizontal="left" vertical="top" wrapText="1"/>
    </xf>
    <xf numFmtId="0" fontId="2" fillId="0" borderId="0" xfId="0" applyFont="1" applyAlignment="1">
      <alignment horizontal="left" wrapText="1"/>
    </xf>
    <xf numFmtId="0" fontId="12" fillId="0" borderId="0" xfId="0" applyFont="1" applyAlignment="1">
      <alignment horizontal="left" vertical="top" wrapText="1"/>
    </xf>
    <xf numFmtId="0" fontId="2" fillId="0" borderId="0" xfId="0" applyFont="1" applyAlignment="1">
      <alignment horizontal="right" vertical="center" wrapText="1"/>
    </xf>
    <xf numFmtId="177" fontId="3" fillId="0" borderId="0" xfId="0" applyNumberFormat="1" applyFont="1" applyAlignment="1">
      <alignment horizontal="right" vertical="top"/>
    </xf>
    <xf numFmtId="177" fontId="2" fillId="3" borderId="16" xfId="0" applyNumberFormat="1" applyFont="1" applyFill="1" applyBorder="1" applyAlignment="1">
      <alignment horizontal="right" vertical="top" wrapText="1"/>
    </xf>
    <xf numFmtId="0" fontId="0" fillId="0" borderId="16" xfId="0" applyBorder="1"/>
    <xf numFmtId="0" fontId="3" fillId="0" borderId="0" xfId="0" applyFont="1" applyAlignment="1">
      <alignment horizontal="justify" vertical="top" wrapText="1"/>
    </xf>
    <xf numFmtId="0" fontId="5" fillId="0" borderId="0" xfId="0" applyFont="1" applyAlignment="1">
      <alignment horizontal="justify" vertical="top" wrapText="1"/>
    </xf>
    <xf numFmtId="0" fontId="2" fillId="0" borderId="0" xfId="0" applyFont="1" applyAlignment="1">
      <alignment horizontal="center" vertical="center" wrapText="1"/>
    </xf>
    <xf numFmtId="0" fontId="0" fillId="0" borderId="0" xfId="0" applyAlignment="1">
      <alignment wrapText="1"/>
    </xf>
    <xf numFmtId="0" fontId="2" fillId="0" borderId="0" xfId="0" applyFont="1" applyAlignment="1">
      <alignment horizontal="left" vertical="top" wrapText="1"/>
    </xf>
    <xf numFmtId="0" fontId="3" fillId="0" borderId="0" xfId="0" applyFont="1" applyAlignment="1">
      <alignment horizontal="left"/>
    </xf>
    <xf numFmtId="177" fontId="3" fillId="0" borderId="2" xfId="0" applyNumberFormat="1" applyFont="1" applyBorder="1" applyAlignment="1">
      <alignment horizontal="right" vertical="top"/>
    </xf>
    <xf numFmtId="0" fontId="0" fillId="0" borderId="2" xfId="0" applyBorder="1"/>
    <xf numFmtId="0" fontId="4" fillId="0" borderId="0" xfId="0" applyFont="1" applyAlignment="1">
      <alignment horizontal="left" wrapText="1"/>
    </xf>
    <xf numFmtId="177" fontId="2" fillId="9" borderId="16" xfId="0" applyNumberFormat="1" applyFont="1" applyFill="1" applyBorder="1" applyAlignment="1">
      <alignment horizontal="right" vertical="top"/>
    </xf>
    <xf numFmtId="0" fontId="2" fillId="0" borderId="0" xfId="0" applyFont="1" applyAlignment="1">
      <alignment horizontal="right" vertical="top" wrapText="1"/>
    </xf>
    <xf numFmtId="0" fontId="0" fillId="0" borderId="0" xfId="0" applyAlignment="1">
      <alignment horizontal="left" vertical="top" wrapText="1"/>
    </xf>
    <xf numFmtId="0" fontId="0" fillId="0" borderId="0" xfId="0" applyAlignment="1">
      <alignment horizontal="left"/>
    </xf>
    <xf numFmtId="0" fontId="3" fillId="0" borderId="0" xfId="0" applyFont="1"/>
    <xf numFmtId="0" fontId="2" fillId="0" borderId="17" xfId="0" quotePrefix="1" applyFont="1" applyBorder="1" applyAlignment="1">
      <alignment horizontal="center" vertical="center" wrapText="1"/>
    </xf>
    <xf numFmtId="0" fontId="0" fillId="0" borderId="8" xfId="0" applyBorder="1"/>
    <xf numFmtId="0" fontId="0" fillId="0" borderId="4" xfId="0" applyBorder="1"/>
    <xf numFmtId="0" fontId="0" fillId="0" borderId="11" xfId="0" applyBorder="1"/>
    <xf numFmtId="0" fontId="0" fillId="0" borderId="6" xfId="0" applyBorder="1"/>
    <xf numFmtId="0" fontId="0" fillId="0" borderId="14" xfId="0" applyBorder="1"/>
    <xf numFmtId="0" fontId="2" fillId="0" borderId="17" xfId="0" applyFont="1" applyBorder="1" applyAlignment="1">
      <alignment horizontal="center" vertical="center"/>
    </xf>
    <xf numFmtId="0" fontId="0" fillId="0" borderId="1" xfId="0" applyBorder="1"/>
    <xf numFmtId="0" fontId="0" fillId="0" borderId="18" xfId="0" applyBorder="1"/>
    <xf numFmtId="0" fontId="2" fillId="0" borderId="0" xfId="0" quotePrefix="1" applyFont="1" applyAlignment="1">
      <alignment horizontal="left" wrapText="1"/>
    </xf>
    <xf numFmtId="0" fontId="2" fillId="0" borderId="0" xfId="0" applyFont="1"/>
    <xf numFmtId="0" fontId="4" fillId="0" borderId="17" xfId="0" applyFont="1" applyBorder="1" applyAlignment="1">
      <alignment horizontal="center" vertical="center" wrapText="1"/>
    </xf>
    <xf numFmtId="0" fontId="0" fillId="0" borderId="13" xfId="0" applyBorder="1"/>
    <xf numFmtId="0" fontId="4" fillId="0" borderId="17" xfId="0" quotePrefix="1" applyFont="1" applyBorder="1" applyAlignment="1">
      <alignment horizontal="center" vertical="top" wrapText="1"/>
    </xf>
    <xf numFmtId="0" fontId="2" fillId="0" borderId="5" xfId="0" applyFont="1" applyBorder="1" applyAlignment="1">
      <alignment horizontal="center" vertical="top" wrapText="1"/>
    </xf>
    <xf numFmtId="0" fontId="2" fillId="0" borderId="17" xfId="0" applyFont="1" applyBorder="1" applyAlignment="1">
      <alignment horizontal="center" vertical="top" wrapText="1"/>
    </xf>
    <xf numFmtId="0" fontId="0" fillId="0" borderId="10" xfId="0" applyBorder="1"/>
    <xf numFmtId="0" fontId="4" fillId="0" borderId="0" xfId="0" applyFont="1" applyAlignment="1">
      <alignment horizontal="left"/>
    </xf>
    <xf numFmtId="17" fontId="2" fillId="0" borderId="21" xfId="0" quotePrefix="1" applyNumberFormat="1" applyFont="1" applyBorder="1" applyAlignment="1">
      <alignment horizontal="center" wrapText="1"/>
    </xf>
    <xf numFmtId="0" fontId="0" fillId="0" borderId="19" xfId="0" applyBorder="1"/>
    <xf numFmtId="17" fontId="2" fillId="0" borderId="20" xfId="0" quotePrefix="1" applyNumberFormat="1" applyFont="1" applyBorder="1" applyAlignment="1">
      <alignment horizontal="center" wrapText="1"/>
    </xf>
    <xf numFmtId="0" fontId="2" fillId="0" borderId="17" xfId="0" applyFont="1" applyBorder="1" applyAlignment="1">
      <alignment horizontal="center" vertical="center" wrapText="1"/>
    </xf>
    <xf numFmtId="17" fontId="2" fillId="0" borderId="19" xfId="0" quotePrefix="1" applyNumberFormat="1" applyFont="1" applyBorder="1" applyAlignment="1">
      <alignment horizontal="center" wrapText="1"/>
    </xf>
    <xf numFmtId="0" fontId="2" fillId="0" borderId="17" xfId="0" applyFont="1" applyBorder="1" applyAlignment="1">
      <alignment horizontal="center" wrapText="1"/>
    </xf>
    <xf numFmtId="0" fontId="2" fillId="0" borderId="14" xfId="0" applyFont="1" applyBorder="1" applyAlignment="1">
      <alignment horizontal="left" wrapText="1"/>
    </xf>
    <xf numFmtId="17" fontId="2" fillId="0" borderId="17" xfId="0" quotePrefix="1" applyNumberFormat="1" applyFont="1" applyBorder="1" applyAlignment="1">
      <alignment horizontal="center" wrapText="1"/>
    </xf>
    <xf numFmtId="0" fontId="2" fillId="0" borderId="18" xfId="0" applyFont="1" applyBorder="1" applyAlignment="1">
      <alignment horizontal="left" wrapText="1"/>
    </xf>
    <xf numFmtId="0" fontId="2" fillId="0" borderId="6" xfId="0" applyFont="1" applyBorder="1" applyAlignment="1">
      <alignment horizontal="left" vertical="top" wrapText="1"/>
    </xf>
    <xf numFmtId="0" fontId="2" fillId="0" borderId="0" xfId="0" applyFont="1" applyAlignment="1">
      <alignment horizontal="center" wrapText="1"/>
    </xf>
    <xf numFmtId="17" fontId="2" fillId="0" borderId="0" xfId="0" quotePrefix="1" applyNumberFormat="1" applyFont="1" applyAlignment="1">
      <alignment horizontal="center" wrapText="1"/>
    </xf>
    <xf numFmtId="0" fontId="2" fillId="0" borderId="2" xfId="0" applyFont="1" applyBorder="1" applyAlignment="1">
      <alignment horizontal="left" wrapText="1"/>
    </xf>
    <xf numFmtId="0" fontId="2" fillId="0" borderId="1" xfId="0" applyFont="1" applyBorder="1" applyAlignment="1">
      <alignment vertical="top" wrapText="1"/>
    </xf>
    <xf numFmtId="0" fontId="4" fillId="0" borderId="0" xfId="0" applyFont="1" applyAlignment="1">
      <alignment horizontal="left" vertical="top" wrapText="1"/>
    </xf>
    <xf numFmtId="0" fontId="0" fillId="0" borderId="0" xfId="0" applyAlignment="1">
      <alignment vertical="top" wrapText="1"/>
    </xf>
  </cellXfs>
  <cellStyles count="2">
    <cellStyle name="常规" xfId="0" builtinId="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44"/>
  <sheetViews>
    <sheetView topLeftCell="B1" zoomScaleNormal="100" workbookViewId="0">
      <selection activeCell="D22" sqref="D22"/>
    </sheetView>
  </sheetViews>
  <sheetFormatPr defaultRowHeight="12.75" x14ac:dyDescent="0.2"/>
  <cols>
    <col min="1" max="1" width="60.7109375" style="70" customWidth="1"/>
    <col min="2" max="2" width="5.28515625" style="70" bestFit="1" customWidth="1"/>
    <col min="3" max="4" width="15.7109375" style="70" customWidth="1"/>
    <col min="5" max="5" width="12.7109375" style="70" customWidth="1"/>
    <col min="6" max="6" width="15.7109375" style="70" customWidth="1"/>
  </cols>
  <sheetData>
    <row r="1" spans="1:6" x14ac:dyDescent="0.2">
      <c r="A1" s="631"/>
      <c r="B1" s="632"/>
      <c r="C1" s="632"/>
      <c r="D1" s="632"/>
    </row>
    <row r="3" spans="1:6" x14ac:dyDescent="0.2">
      <c r="A3" s="631"/>
      <c r="B3" s="632"/>
      <c r="C3" s="632"/>
      <c r="D3" s="632"/>
    </row>
    <row r="4" spans="1:6" x14ac:dyDescent="0.2">
      <c r="A4" s="84"/>
      <c r="B4" s="84"/>
      <c r="C4" s="188"/>
      <c r="D4" s="84"/>
    </row>
    <row r="5" spans="1:6" x14ac:dyDescent="0.2">
      <c r="A5" s="186"/>
      <c r="B5" s="186"/>
      <c r="C5" s="186"/>
      <c r="D5" s="186"/>
    </row>
    <row r="6" spans="1:6" ht="25.5" customHeight="1" x14ac:dyDescent="0.2">
      <c r="A6" s="12"/>
      <c r="B6" s="2" t="s">
        <v>0</v>
      </c>
      <c r="C6" s="73" t="s">
        <v>1</v>
      </c>
      <c r="D6" s="73" t="s">
        <v>2</v>
      </c>
    </row>
    <row r="7" spans="1:6" x14ac:dyDescent="0.2">
      <c r="A7" s="12" t="s">
        <v>3</v>
      </c>
      <c r="B7" s="67"/>
      <c r="C7" s="164"/>
      <c r="D7" s="164"/>
    </row>
    <row r="8" spans="1:6" x14ac:dyDescent="0.2">
      <c r="A8" s="12" t="s">
        <v>4</v>
      </c>
      <c r="B8" s="67"/>
      <c r="C8" s="189">
        <f>SUM(C9:C9)</f>
        <v>1400586000</v>
      </c>
      <c r="D8" s="190">
        <f>SUM(D9:D9)</f>
        <v>1078454</v>
      </c>
      <c r="E8" s="191"/>
      <c r="F8" s="192"/>
    </row>
    <row r="9" spans="1:6" x14ac:dyDescent="0.2">
      <c r="A9" s="114" t="s">
        <v>5</v>
      </c>
      <c r="B9" s="64">
        <v>1</v>
      </c>
      <c r="C9" s="193">
        <f>'NOTES TO FS'!C14</f>
        <v>1400586000</v>
      </c>
      <c r="D9" s="194">
        <f>'NOTES TO FS'!G14</f>
        <v>1078454</v>
      </c>
      <c r="E9" s="191"/>
      <c r="F9" s="192">
        <v>6883449.9400000004</v>
      </c>
    </row>
    <row r="10" spans="1:6" x14ac:dyDescent="0.2">
      <c r="A10" s="165"/>
      <c r="B10" s="84"/>
      <c r="C10" s="195"/>
      <c r="D10" s="164"/>
      <c r="E10" s="191"/>
      <c r="F10" s="192">
        <v>1722552.45</v>
      </c>
    </row>
    <row r="11" spans="1:6" x14ac:dyDescent="0.2">
      <c r="A11" s="12" t="s">
        <v>6</v>
      </c>
      <c r="B11" s="67"/>
      <c r="C11" s="196">
        <f>SUM(C12:C13)</f>
        <v>28136683.329999998</v>
      </c>
      <c r="D11" s="197">
        <f>SUM(D12:D13)</f>
        <v>51514</v>
      </c>
      <c r="E11" s="191"/>
      <c r="F11" s="192">
        <v>-262642.87</v>
      </c>
    </row>
    <row r="12" spans="1:6" x14ac:dyDescent="0.2">
      <c r="A12" s="114" t="s">
        <v>7</v>
      </c>
      <c r="B12" s="64">
        <v>2</v>
      </c>
      <c r="C12" s="198">
        <f>'NOTES TO FS'!F40</f>
        <v>2057777.5999999999</v>
      </c>
      <c r="D12" s="199">
        <f>'NOTES TO FS'!G40</f>
        <v>2380</v>
      </c>
      <c r="E12" s="191"/>
      <c r="F12" s="192">
        <v>-27910.82</v>
      </c>
    </row>
    <row r="13" spans="1:6" x14ac:dyDescent="0.2">
      <c r="A13" s="114" t="s">
        <v>8</v>
      </c>
      <c r="B13" s="64">
        <v>3</v>
      </c>
      <c r="C13" s="200">
        <f>'NOTES TO FS'!D60</f>
        <v>26078905.729999997</v>
      </c>
      <c r="D13" s="201">
        <f>43153+5981</f>
        <v>49134</v>
      </c>
      <c r="E13" s="191"/>
      <c r="F13" s="192">
        <v>-121023.32</v>
      </c>
    </row>
    <row r="14" spans="1:6" x14ac:dyDescent="0.2">
      <c r="A14" s="165"/>
      <c r="B14" s="64"/>
      <c r="C14" s="195"/>
      <c r="D14" s="164"/>
      <c r="E14" s="191"/>
      <c r="F14" s="202">
        <f>SUM(F9:F13)</f>
        <v>8194425.3799999999</v>
      </c>
    </row>
    <row r="15" spans="1:6" x14ac:dyDescent="0.2">
      <c r="A15" s="12" t="s">
        <v>9</v>
      </c>
      <c r="B15" s="67"/>
      <c r="C15" s="203">
        <f>SUM(C8,C11)</f>
        <v>1428722683.3299999</v>
      </c>
      <c r="D15" s="204">
        <f>SUM(D8,D11)</f>
        <v>1129968</v>
      </c>
      <c r="E15" s="191"/>
      <c r="F15" s="192"/>
    </row>
    <row r="16" spans="1:6" x14ac:dyDescent="0.2">
      <c r="A16" s="2"/>
      <c r="B16" s="67"/>
      <c r="C16" s="195"/>
      <c r="D16" s="164"/>
      <c r="E16" s="191"/>
      <c r="F16" s="192"/>
    </row>
    <row r="17" spans="1:6" x14ac:dyDescent="0.2">
      <c r="A17" s="12" t="s">
        <v>10</v>
      </c>
      <c r="B17" s="84"/>
      <c r="C17" s="205"/>
      <c r="D17" s="147"/>
      <c r="E17" s="191"/>
      <c r="F17" s="192"/>
    </row>
    <row r="18" spans="1:6" x14ac:dyDescent="0.2">
      <c r="A18" s="12" t="s">
        <v>11</v>
      </c>
      <c r="B18" s="84"/>
      <c r="C18" s="206">
        <f>SUM(C19:C27)</f>
        <v>1179211293.1699998</v>
      </c>
      <c r="D18" s="207">
        <f>SUM(D19:D27)</f>
        <v>915381</v>
      </c>
      <c r="E18" s="191"/>
      <c r="F18" s="191"/>
    </row>
    <row r="19" spans="1:6" x14ac:dyDescent="0.2">
      <c r="A19" s="114" t="s">
        <v>12</v>
      </c>
      <c r="B19" s="67">
        <v>4</v>
      </c>
      <c r="C19" s="198">
        <f>'NOTES TO FS'!F76</f>
        <v>129503501.83999999</v>
      </c>
      <c r="D19" s="199">
        <f>'NOTES TO FS'!G76</f>
        <v>126466</v>
      </c>
      <c r="E19" s="208"/>
      <c r="F19" s="208"/>
    </row>
    <row r="20" spans="1:6" x14ac:dyDescent="0.2">
      <c r="A20" s="114" t="s">
        <v>13</v>
      </c>
      <c r="B20" s="67"/>
      <c r="C20" s="209">
        <f>41243167.25+800</f>
        <v>41243967.25</v>
      </c>
      <c r="D20" s="210">
        <f>36629</f>
        <v>36629</v>
      </c>
      <c r="E20" s="208"/>
      <c r="F20" s="208">
        <v>915004</v>
      </c>
    </row>
    <row r="21" spans="1:6" x14ac:dyDescent="0.2">
      <c r="A21" s="114" t="s">
        <v>14</v>
      </c>
      <c r="B21" s="67">
        <v>5</v>
      </c>
      <c r="C21" s="209">
        <f>'NOTES TO FS'!F94</f>
        <v>9569950.8399999999</v>
      </c>
      <c r="D21" s="210">
        <f>'NOTES TO FS'!G94</f>
        <v>11482</v>
      </c>
      <c r="E21" s="208"/>
      <c r="F21" s="208">
        <v>-29525</v>
      </c>
    </row>
    <row r="22" spans="1:6" x14ac:dyDescent="0.2">
      <c r="A22" s="114" t="s">
        <v>15</v>
      </c>
      <c r="B22" s="67">
        <v>6</v>
      </c>
      <c r="C22" s="209">
        <f>'NOTES TO FS'!F110</f>
        <v>2114232.04</v>
      </c>
      <c r="D22" s="210">
        <f>'NOTES TO FS'!G110</f>
        <v>2138</v>
      </c>
      <c r="E22" s="208"/>
      <c r="F22" s="208">
        <v>182086</v>
      </c>
    </row>
    <row r="23" spans="1:6" x14ac:dyDescent="0.2">
      <c r="A23" s="114" t="s">
        <v>16</v>
      </c>
      <c r="B23" s="67">
        <v>8</v>
      </c>
      <c r="C23" s="209">
        <f>'NOTES TO FS'!F141</f>
        <v>75213085.640000015</v>
      </c>
      <c r="D23" s="210">
        <f>'NOTES TO FS'!G141</f>
        <v>78161</v>
      </c>
      <c r="E23" s="208"/>
      <c r="F23" s="211">
        <f>SUM(F20:F22)</f>
        <v>1067565</v>
      </c>
    </row>
    <row r="24" spans="1:6" x14ac:dyDescent="0.2">
      <c r="A24" s="114" t="s">
        <v>17</v>
      </c>
      <c r="B24" s="67">
        <v>9</v>
      </c>
      <c r="C24" s="209">
        <f>'NOTES TO FS'!F158</f>
        <v>867895000</v>
      </c>
      <c r="D24" s="210">
        <f>'NOTES TO FS'!G158</f>
        <v>628771</v>
      </c>
      <c r="E24" s="208"/>
      <c r="F24" s="208"/>
    </row>
    <row r="25" spans="1:6" x14ac:dyDescent="0.2">
      <c r="A25" s="114" t="s">
        <v>18</v>
      </c>
      <c r="B25" s="67">
        <v>10</v>
      </c>
      <c r="C25" s="209">
        <f>'NOTES TO FS'!F167</f>
        <v>211282.29</v>
      </c>
      <c r="D25" s="210">
        <f>'NOTES TO FS'!G167</f>
        <v>2134</v>
      </c>
      <c r="E25" s="208"/>
      <c r="F25" s="208"/>
    </row>
    <row r="26" spans="1:6" x14ac:dyDescent="0.2">
      <c r="A26" s="114" t="s">
        <v>19</v>
      </c>
      <c r="B26" s="67">
        <v>11</v>
      </c>
      <c r="C26" s="209">
        <f>'NOTES TO FS'!F194</f>
        <v>140422.22</v>
      </c>
      <c r="D26" s="210">
        <f>'NOTES TO FS'!G194</f>
        <v>75</v>
      </c>
      <c r="E26" s="208"/>
      <c r="F26" s="208"/>
    </row>
    <row r="27" spans="1:6" x14ac:dyDescent="0.2">
      <c r="A27" s="114" t="s">
        <v>20</v>
      </c>
      <c r="B27" s="67">
        <v>3</v>
      </c>
      <c r="C27" s="200">
        <f>'NOTES TO FS'!E60</f>
        <v>53319851.049999997</v>
      </c>
      <c r="D27" s="201">
        <v>29525</v>
      </c>
      <c r="E27" s="208"/>
      <c r="F27" s="208"/>
    </row>
    <row r="28" spans="1:6" x14ac:dyDescent="0.2">
      <c r="A28" s="165"/>
      <c r="B28" s="67"/>
      <c r="C28" s="212"/>
      <c r="D28" s="213"/>
      <c r="E28" s="208"/>
      <c r="F28" s="208"/>
    </row>
    <row r="29" spans="1:6" x14ac:dyDescent="0.2">
      <c r="A29" s="12" t="s">
        <v>21</v>
      </c>
      <c r="B29" s="67"/>
      <c r="C29" s="214">
        <f>SUM(C30:C36)</f>
        <v>241256664.91</v>
      </c>
      <c r="D29" s="215">
        <f>SUM(D30:D36)</f>
        <v>181709</v>
      </c>
      <c r="E29" s="208"/>
      <c r="F29" s="208"/>
    </row>
    <row r="30" spans="1:6" x14ac:dyDescent="0.2">
      <c r="A30" s="114" t="s">
        <v>13</v>
      </c>
      <c r="B30" s="67"/>
      <c r="C30" s="198">
        <f>5175.03+300</f>
        <v>5475.03</v>
      </c>
      <c r="D30" s="199" t="s">
        <v>22</v>
      </c>
      <c r="E30" s="208"/>
      <c r="F30" s="208"/>
    </row>
    <row r="31" spans="1:6" x14ac:dyDescent="0.2">
      <c r="A31" s="114" t="s">
        <v>14</v>
      </c>
      <c r="B31" s="67">
        <v>5</v>
      </c>
      <c r="C31" s="209">
        <f>'NOTES TO FS'!F102+200</f>
        <v>238451.18</v>
      </c>
      <c r="D31" s="210" t="s">
        <v>22</v>
      </c>
      <c r="E31" s="208"/>
      <c r="F31" s="208"/>
    </row>
    <row r="32" spans="1:6" x14ac:dyDescent="0.2">
      <c r="A32" s="114" t="s">
        <v>15</v>
      </c>
      <c r="B32" s="67">
        <v>6</v>
      </c>
      <c r="C32" s="209">
        <f>'NOTES TO FS'!F118</f>
        <v>4385514.41</v>
      </c>
      <c r="D32" s="210">
        <f>'NOTES TO FS'!G118</f>
        <v>7550</v>
      </c>
      <c r="E32" s="208"/>
      <c r="F32" s="216"/>
    </row>
    <row r="33" spans="1:6" x14ac:dyDescent="0.2">
      <c r="A33" s="114" t="s">
        <v>23</v>
      </c>
      <c r="B33" s="67">
        <v>7</v>
      </c>
      <c r="C33" s="209">
        <f>'NOTES TO FS'!F124</f>
        <v>5169002.09</v>
      </c>
      <c r="D33" s="210">
        <f>'NOTES TO FS'!G129</f>
        <v>800</v>
      </c>
      <c r="E33" s="208"/>
      <c r="F33" s="216"/>
    </row>
    <row r="34" spans="1:6" x14ac:dyDescent="0.2">
      <c r="A34" s="114" t="s">
        <v>16</v>
      </c>
      <c r="B34" s="67">
        <v>8</v>
      </c>
      <c r="C34" s="209">
        <f>'NOTES TO FS'!F145</f>
        <v>396642.25</v>
      </c>
      <c r="D34" s="210">
        <f>'NOTES TO FS'!G145</f>
        <v>1359</v>
      </c>
      <c r="E34" s="208"/>
      <c r="F34" s="216" t="s">
        <v>24</v>
      </c>
    </row>
    <row r="35" spans="1:6" x14ac:dyDescent="0.2">
      <c r="A35" s="114" t="s">
        <v>17</v>
      </c>
      <c r="B35" s="67">
        <v>9</v>
      </c>
      <c r="C35" s="209">
        <f>'NOTES TO FS'!F157</f>
        <v>230500000</v>
      </c>
      <c r="D35" s="210">
        <f>'NOTES TO FS'!G157</f>
        <v>172000</v>
      </c>
      <c r="E35" s="208"/>
      <c r="F35" s="216"/>
    </row>
    <row r="36" spans="1:6" x14ac:dyDescent="0.2">
      <c r="A36" s="114" t="s">
        <v>20</v>
      </c>
      <c r="B36" s="67">
        <v>3</v>
      </c>
      <c r="C36" s="200">
        <f>'NOTES TO FS'!F60</f>
        <v>561579.94999999995</v>
      </c>
      <c r="D36" s="201" t="s">
        <v>22</v>
      </c>
      <c r="E36" s="208"/>
      <c r="F36" s="208"/>
    </row>
    <row r="37" spans="1:6" x14ac:dyDescent="0.2">
      <c r="A37" s="114" t="s">
        <v>25</v>
      </c>
      <c r="B37" s="67"/>
      <c r="C37" s="217"/>
      <c r="D37" s="218"/>
      <c r="E37" s="208"/>
      <c r="F37" s="208"/>
    </row>
    <row r="38" spans="1:6" x14ac:dyDescent="0.2">
      <c r="A38" s="12" t="s">
        <v>26</v>
      </c>
      <c r="B38" s="67"/>
      <c r="C38" s="219">
        <f>SUM(C18,C29)</f>
        <v>1420467958.0799999</v>
      </c>
      <c r="D38" s="220">
        <f>SUM(D18,D29)</f>
        <v>1097090</v>
      </c>
      <c r="E38" s="208"/>
      <c r="F38" s="208"/>
    </row>
    <row r="39" spans="1:6" x14ac:dyDescent="0.2">
      <c r="A39" s="12" t="s">
        <v>27</v>
      </c>
      <c r="B39" s="67"/>
      <c r="C39" s="221">
        <f>SUM(C15,-C38)</f>
        <v>8254725.25</v>
      </c>
      <c r="D39" s="222">
        <f>SUM(D15,-D38)</f>
        <v>32878</v>
      </c>
      <c r="E39" s="208"/>
      <c r="F39" s="208"/>
    </row>
    <row r="40" spans="1:6" x14ac:dyDescent="0.2">
      <c r="A40" s="2"/>
      <c r="B40" s="67"/>
      <c r="C40" s="223"/>
      <c r="D40" s="224"/>
      <c r="E40" s="208"/>
      <c r="F40" s="208"/>
    </row>
    <row r="41" spans="1:6" ht="12.75" customHeight="1" x14ac:dyDescent="0.2">
      <c r="A41" s="84" t="s">
        <v>28</v>
      </c>
      <c r="B41" s="84">
        <v>12</v>
      </c>
      <c r="C41" s="225" t="s">
        <v>22</v>
      </c>
      <c r="D41" s="218">
        <f>'NOTES TO FS'!G234</f>
        <v>673</v>
      </c>
      <c r="E41" s="208"/>
      <c r="F41" s="208"/>
    </row>
    <row r="42" spans="1:6" x14ac:dyDescent="0.2">
      <c r="A42" s="84"/>
      <c r="B42" s="84"/>
      <c r="C42" s="205"/>
      <c r="D42" s="226"/>
      <c r="E42" s="208"/>
      <c r="F42" s="208"/>
    </row>
    <row r="43" spans="1:6" ht="13.5" customHeight="1" thickBot="1" x14ac:dyDescent="0.25">
      <c r="A43" s="12" t="s">
        <v>29</v>
      </c>
      <c r="B43" s="67">
        <v>13</v>
      </c>
      <c r="C43" s="227">
        <f>SUM(C41,C39)</f>
        <v>8254725.25</v>
      </c>
      <c r="D43" s="228">
        <f>SUM(D41,D39)</f>
        <v>33551</v>
      </c>
      <c r="E43" s="208"/>
      <c r="F43" s="208"/>
    </row>
    <row r="44" spans="1:6" ht="13.5" customHeight="1" thickTop="1" x14ac:dyDescent="0.2">
      <c r="A44" t="s">
        <v>30</v>
      </c>
    </row>
  </sheetData>
  <mergeCells count="2">
    <mergeCell ref="A1:D1"/>
    <mergeCell ref="A3:D3"/>
  </mergeCells>
  <phoneticPr fontId="17" type="noConversion"/>
  <pageMargins left="0.75" right="0.75" top="1" bottom="1" header="0.5" footer="0.5"/>
  <pageSetup scale="85" orientation="portrait" verticalDpi="300"/>
  <headerFooter alignWithMargins="0">
    <oddHeader>&amp;C&amp;"Arial,Bold"DEPARTMENT OF ENVIRONMENTAL AFFAIRS AND TOURISM
VOTE 27
INCOME STATEMENT (STATEMENT OF FINANCIAL PERFORMANCE)
for the year ended 31 MARCH 2003</oddHeader>
  </headerFooter>
  <colBreaks count="1" manualBreakCount="1">
    <brk id="5" max="1048575" man="1"/>
  </colBreaks>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G30"/>
  <sheetViews>
    <sheetView zoomScale="90" zoomScaleNormal="90" workbookViewId="0"/>
  </sheetViews>
  <sheetFormatPr defaultRowHeight="12.75" x14ac:dyDescent="0.2"/>
  <cols>
    <col min="1" max="1" width="38.5703125" style="119" customWidth="1"/>
    <col min="2" max="2" width="8.85546875" style="119" bestFit="1" customWidth="1"/>
    <col min="3" max="3" width="11.7109375" style="119" customWidth="1"/>
    <col min="4" max="4" width="10.28515625" style="119" bestFit="1" customWidth="1"/>
    <col min="5" max="6" width="10.42578125" style="119" bestFit="1" customWidth="1"/>
    <col min="7" max="7" width="12.7109375" style="119" customWidth="1"/>
    <col min="8" max="9" width="9.140625" style="119" customWidth="1"/>
    <col min="10" max="16384" width="9.140625" style="119"/>
  </cols>
  <sheetData>
    <row r="1" spans="1:7" ht="15.75" customHeight="1" x14ac:dyDescent="0.25">
      <c r="A1" s="175" t="s">
        <v>414</v>
      </c>
      <c r="B1" s="118"/>
      <c r="C1" s="118"/>
      <c r="D1" s="118"/>
      <c r="E1" s="118"/>
      <c r="F1" s="118"/>
      <c r="G1" s="118"/>
    </row>
    <row r="2" spans="1:7" x14ac:dyDescent="0.2">
      <c r="A2" s="118"/>
      <c r="B2" s="118"/>
      <c r="C2" s="118"/>
      <c r="D2" s="118"/>
      <c r="E2" s="118"/>
      <c r="F2" s="118"/>
      <c r="G2" s="118"/>
    </row>
    <row r="3" spans="1:7" s="129" customFormat="1" ht="15.75" customHeight="1" x14ac:dyDescent="0.25">
      <c r="A3" s="175" t="s">
        <v>415</v>
      </c>
      <c r="B3" s="91"/>
      <c r="C3" s="91"/>
      <c r="D3" s="91"/>
      <c r="E3" s="91"/>
      <c r="F3" s="91"/>
      <c r="G3" s="120"/>
    </row>
    <row r="4" spans="1:7" s="84" customFormat="1" x14ac:dyDescent="0.2">
      <c r="A4" s="69"/>
    </row>
    <row r="5" spans="1:7" s="121" customFormat="1" ht="25.5" customHeight="1" x14ac:dyDescent="0.2">
      <c r="A5" s="66" t="s">
        <v>416</v>
      </c>
      <c r="B5" s="163" t="s">
        <v>110</v>
      </c>
      <c r="C5" s="163" t="s">
        <v>417</v>
      </c>
      <c r="D5" s="163" t="s">
        <v>418</v>
      </c>
      <c r="E5" s="163" t="s">
        <v>419</v>
      </c>
      <c r="F5" s="163" t="s">
        <v>420</v>
      </c>
      <c r="G5" s="163" t="s">
        <v>113</v>
      </c>
    </row>
    <row r="6" spans="1:7" s="121" customFormat="1" x14ac:dyDescent="0.2">
      <c r="A6" s="66"/>
      <c r="B6" s="163" t="s">
        <v>77</v>
      </c>
      <c r="C6" s="163" t="s">
        <v>77</v>
      </c>
      <c r="D6" s="163" t="s">
        <v>77</v>
      </c>
      <c r="E6" s="163" t="s">
        <v>77</v>
      </c>
      <c r="F6" s="163" t="s">
        <v>77</v>
      </c>
      <c r="G6" s="163" t="s">
        <v>77</v>
      </c>
    </row>
    <row r="7" spans="1:7" x14ac:dyDescent="0.2">
      <c r="B7" s="165"/>
      <c r="C7" s="165"/>
      <c r="D7" s="165"/>
      <c r="E7" s="165"/>
      <c r="F7" s="165"/>
      <c r="G7" s="165"/>
    </row>
    <row r="8" spans="1:7" s="72" customFormat="1" x14ac:dyDescent="0.2">
      <c r="A8" s="169" t="s">
        <v>421</v>
      </c>
      <c r="B8" s="195" t="s">
        <v>22</v>
      </c>
      <c r="C8" s="494">
        <f>SUM(C9:C9)</f>
        <v>5169002.09</v>
      </c>
      <c r="D8" s="195" t="s">
        <v>22</v>
      </c>
      <c r="E8" s="195" t="s">
        <v>22</v>
      </c>
      <c r="F8" s="195" t="s">
        <v>22</v>
      </c>
      <c r="G8" s="495">
        <f>SUM(C8)</f>
        <v>5169002.09</v>
      </c>
    </row>
    <row r="9" spans="1:7" x14ac:dyDescent="0.2">
      <c r="A9" s="114" t="s">
        <v>422</v>
      </c>
      <c r="B9" s="496" t="s">
        <v>22</v>
      </c>
      <c r="C9" s="497">
        <v>5169002.09</v>
      </c>
      <c r="D9" s="498" t="s">
        <v>22</v>
      </c>
      <c r="E9" s="498" t="s">
        <v>22</v>
      </c>
      <c r="F9" s="498" t="s">
        <v>22</v>
      </c>
      <c r="G9" s="499">
        <f>C9</f>
        <v>5169002.09</v>
      </c>
    </row>
    <row r="10" spans="1:7" x14ac:dyDescent="0.2">
      <c r="B10" s="223"/>
      <c r="C10" s="500"/>
      <c r="D10" s="500"/>
      <c r="E10" s="500"/>
      <c r="F10" s="500"/>
      <c r="G10" s="349"/>
    </row>
    <row r="11" spans="1:7" x14ac:dyDescent="0.2">
      <c r="A11" s="169" t="s">
        <v>423</v>
      </c>
      <c r="B11" s="195" t="s">
        <v>22</v>
      </c>
      <c r="C11" s="501">
        <f>SUM(C12:C14)</f>
        <v>4385514.41</v>
      </c>
      <c r="D11" s="195" t="s">
        <v>22</v>
      </c>
      <c r="E11" s="195" t="s">
        <v>22</v>
      </c>
      <c r="F11" s="195" t="s">
        <v>22</v>
      </c>
      <c r="G11" s="502">
        <f>SUM(G12:G14)</f>
        <v>4385514.41</v>
      </c>
    </row>
    <row r="12" spans="1:7" x14ac:dyDescent="0.2">
      <c r="A12" s="114" t="s">
        <v>154</v>
      </c>
      <c r="B12" s="503" t="s">
        <v>22</v>
      </c>
      <c r="C12" s="504">
        <v>3242856.77</v>
      </c>
      <c r="D12" s="505" t="s">
        <v>22</v>
      </c>
      <c r="E12" s="505" t="s">
        <v>22</v>
      </c>
      <c r="F12" s="505" t="s">
        <v>22</v>
      </c>
      <c r="G12" s="506">
        <f>C12</f>
        <v>3242856.77</v>
      </c>
    </row>
    <row r="13" spans="1:7" x14ac:dyDescent="0.2">
      <c r="A13" s="114" t="s">
        <v>155</v>
      </c>
      <c r="B13" s="428" t="s">
        <v>22</v>
      </c>
      <c r="C13" s="349">
        <f>488576.85-500</f>
        <v>488076.85</v>
      </c>
      <c r="D13" s="223" t="s">
        <v>22</v>
      </c>
      <c r="E13" s="223" t="s">
        <v>22</v>
      </c>
      <c r="F13" s="223" t="s">
        <v>22</v>
      </c>
      <c r="G13" s="507">
        <f>C13</f>
        <v>488076.85</v>
      </c>
    </row>
    <row r="14" spans="1:7" x14ac:dyDescent="0.2">
      <c r="A14" s="114" t="s">
        <v>156</v>
      </c>
      <c r="B14" s="430" t="s">
        <v>22</v>
      </c>
      <c r="C14" s="508">
        <v>654580.79</v>
      </c>
      <c r="D14" s="312" t="s">
        <v>22</v>
      </c>
      <c r="E14" s="312" t="s">
        <v>22</v>
      </c>
      <c r="F14" s="312" t="s">
        <v>22</v>
      </c>
      <c r="G14" s="509">
        <f>C14</f>
        <v>654580.79</v>
      </c>
    </row>
    <row r="15" spans="1:7" x14ac:dyDescent="0.2">
      <c r="B15" s="223"/>
      <c r="C15" s="510"/>
      <c r="D15" s="312"/>
      <c r="E15" s="312"/>
      <c r="F15" s="312"/>
      <c r="G15" s="349"/>
    </row>
    <row r="16" spans="1:7" ht="13.5" customHeight="1" thickBot="1" x14ac:dyDescent="0.25">
      <c r="A16" s="160"/>
      <c r="B16" s="376" t="s">
        <v>22</v>
      </c>
      <c r="C16" s="454">
        <f>SUM(C8,C11)</f>
        <v>9554516.5</v>
      </c>
      <c r="D16" s="376" t="s">
        <v>22</v>
      </c>
      <c r="E16" s="376" t="s">
        <v>22</v>
      </c>
      <c r="F16" s="376" t="s">
        <v>22</v>
      </c>
      <c r="G16" s="511">
        <f>SUM(G8,G11)</f>
        <v>9554516.5</v>
      </c>
    </row>
    <row r="17" spans="1:7" ht="13.5" customHeight="1" thickTop="1" x14ac:dyDescent="0.2">
      <c r="A17" s="160"/>
      <c r="B17" s="165"/>
      <c r="C17" s="165"/>
      <c r="D17" s="165"/>
      <c r="E17" s="165"/>
      <c r="F17" s="165"/>
      <c r="G17" s="165"/>
    </row>
    <row r="18" spans="1:7" s="121" customFormat="1" ht="25.5" customHeight="1" x14ac:dyDescent="0.2">
      <c r="A18" s="66" t="s">
        <v>424</v>
      </c>
      <c r="B18" s="163" t="s">
        <v>110</v>
      </c>
      <c r="C18" s="163" t="s">
        <v>417</v>
      </c>
      <c r="D18" s="163" t="s">
        <v>418</v>
      </c>
      <c r="E18" s="163" t="s">
        <v>419</v>
      </c>
      <c r="F18" s="163" t="s">
        <v>420</v>
      </c>
      <c r="G18" s="163" t="s">
        <v>113</v>
      </c>
    </row>
    <row r="19" spans="1:7" s="121" customFormat="1" x14ac:dyDescent="0.2">
      <c r="A19" s="66"/>
      <c r="B19" s="163" t="s">
        <v>77</v>
      </c>
      <c r="C19" s="163" t="s">
        <v>77</v>
      </c>
      <c r="D19" s="163" t="s">
        <v>77</v>
      </c>
      <c r="E19" s="163" t="s">
        <v>77</v>
      </c>
      <c r="F19" s="163" t="s">
        <v>77</v>
      </c>
      <c r="G19" s="163" t="s">
        <v>77</v>
      </c>
    </row>
    <row r="20" spans="1:7" s="121" customFormat="1" x14ac:dyDescent="0.2">
      <c r="A20" s="66"/>
      <c r="B20" s="167"/>
      <c r="C20" s="167"/>
      <c r="D20" s="167"/>
      <c r="E20" s="167"/>
      <c r="F20" s="167"/>
      <c r="G20" s="167"/>
    </row>
    <row r="21" spans="1:7" s="72" customFormat="1" x14ac:dyDescent="0.2">
      <c r="A21" s="169" t="s">
        <v>421</v>
      </c>
      <c r="B21" s="255" t="s">
        <v>22</v>
      </c>
      <c r="C21" s="190">
        <f>SUM(C22:C22)</f>
        <v>800</v>
      </c>
      <c r="D21" s="255" t="s">
        <v>22</v>
      </c>
      <c r="E21" s="255" t="s">
        <v>22</v>
      </c>
      <c r="F21" s="255" t="s">
        <v>22</v>
      </c>
      <c r="G21" s="190">
        <f>SUM(G22:G22)</f>
        <v>800</v>
      </c>
    </row>
    <row r="22" spans="1:7" x14ac:dyDescent="0.2">
      <c r="A22" s="114" t="s">
        <v>422</v>
      </c>
      <c r="B22" s="512" t="s">
        <v>22</v>
      </c>
      <c r="C22" s="513">
        <v>800</v>
      </c>
      <c r="D22" s="513" t="s">
        <v>22</v>
      </c>
      <c r="E22" s="513"/>
      <c r="F22" s="513" t="s">
        <v>22</v>
      </c>
      <c r="G22" s="514">
        <f>C22</f>
        <v>800</v>
      </c>
    </row>
    <row r="23" spans="1:7" x14ac:dyDescent="0.2">
      <c r="B23" s="68"/>
      <c r="C23" s="165"/>
      <c r="D23" s="68"/>
      <c r="E23" s="68" t="s">
        <v>22</v>
      </c>
      <c r="F23" s="68"/>
      <c r="G23" s="68"/>
    </row>
    <row r="24" spans="1:7" x14ac:dyDescent="0.2">
      <c r="A24" s="169" t="s">
        <v>423</v>
      </c>
      <c r="B24" s="255" t="s">
        <v>22</v>
      </c>
      <c r="C24" s="515">
        <f>SUM(C25:C27)</f>
        <v>7550</v>
      </c>
      <c r="D24" s="255" t="s">
        <v>22</v>
      </c>
      <c r="E24" s="255" t="s">
        <v>22</v>
      </c>
      <c r="F24" s="255" t="s">
        <v>22</v>
      </c>
      <c r="G24" s="515">
        <f>SUM(G25:G27)</f>
        <v>7550</v>
      </c>
    </row>
    <row r="25" spans="1:7" x14ac:dyDescent="0.2">
      <c r="A25" s="114" t="s">
        <v>154</v>
      </c>
      <c r="B25" s="516" t="s">
        <v>22</v>
      </c>
      <c r="C25" s="517">
        <v>5345</v>
      </c>
      <c r="D25" s="517" t="s">
        <v>22</v>
      </c>
      <c r="E25" s="517" t="s">
        <v>22</v>
      </c>
      <c r="F25" s="517" t="s">
        <v>22</v>
      </c>
      <c r="G25" s="518">
        <f>C25</f>
        <v>5345</v>
      </c>
    </row>
    <row r="26" spans="1:7" x14ac:dyDescent="0.2">
      <c r="A26" s="114" t="s">
        <v>155</v>
      </c>
      <c r="B26" s="519" t="s">
        <v>22</v>
      </c>
      <c r="C26" s="224">
        <v>1465</v>
      </c>
      <c r="D26" s="224" t="s">
        <v>22</v>
      </c>
      <c r="E26" s="224" t="s">
        <v>22</v>
      </c>
      <c r="F26" s="224" t="s">
        <v>22</v>
      </c>
      <c r="G26" s="520">
        <f>C26</f>
        <v>1465</v>
      </c>
    </row>
    <row r="27" spans="1:7" x14ac:dyDescent="0.2">
      <c r="A27" s="114" t="s">
        <v>156</v>
      </c>
      <c r="B27" s="521" t="s">
        <v>22</v>
      </c>
      <c r="C27" s="308">
        <v>740</v>
      </c>
      <c r="D27" s="308" t="s">
        <v>22</v>
      </c>
      <c r="E27" s="308" t="s">
        <v>22</v>
      </c>
      <c r="F27" s="308" t="s">
        <v>22</v>
      </c>
      <c r="G27" s="522">
        <f>C27</f>
        <v>740</v>
      </c>
    </row>
    <row r="28" spans="1:7" x14ac:dyDescent="0.2">
      <c r="B28" s="224"/>
      <c r="C28" s="523"/>
      <c r="D28" s="308"/>
      <c r="E28" s="308"/>
      <c r="F28" s="308"/>
      <c r="G28" s="224"/>
    </row>
    <row r="29" spans="1:7" ht="13.5" customHeight="1" thickBot="1" x14ac:dyDescent="0.25">
      <c r="A29" s="160"/>
      <c r="B29" s="524" t="s">
        <v>22</v>
      </c>
      <c r="C29" s="457">
        <f>SUM(C21,C24)</f>
        <v>8350</v>
      </c>
      <c r="D29" s="524" t="s">
        <v>22</v>
      </c>
      <c r="E29" s="524" t="s">
        <v>22</v>
      </c>
      <c r="F29" s="524" t="s">
        <v>22</v>
      </c>
      <c r="G29" s="457">
        <f>SUM(G21,G24)</f>
        <v>8350</v>
      </c>
    </row>
    <row r="30" spans="1:7" ht="13.5" customHeight="1" thickTop="1" x14ac:dyDescent="0.2">
      <c r="A30" t="s">
        <v>30</v>
      </c>
    </row>
  </sheetData>
  <phoneticPr fontId="17" type="noConversion"/>
  <pageMargins left="0.47244094488188981" right="0.39370078740157483" top="1.59" bottom="0.59055118110236227" header="0.51181102362204722" footer="0.51181102362204722"/>
  <pageSetup paperSize="9" scale="93" orientation="portrait"/>
  <headerFooter alignWithMargins="0">
    <oddHeader>&amp;C&amp;"Arial,Bold"DEPARTMENT OF ENVIRONMENTAL AFFAIRS AND TOURISM
VOTE 27
ANNEXURES TO THE ANNUAL FINANCIAL STATEMENTS
for the year ended 31 MARCH 2003</oddHeader>
  </headerFooter>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L684"/>
  <sheetViews>
    <sheetView view="pageBreakPreview" zoomScale="75" zoomScaleNormal="75" zoomScaleSheetLayoutView="75" workbookViewId="0">
      <selection activeCell="L30" sqref="L30"/>
    </sheetView>
  </sheetViews>
  <sheetFormatPr defaultRowHeight="12.75" x14ac:dyDescent="0.2"/>
  <cols>
    <col min="1" max="1" width="4.5703125" style="170" bestFit="1" customWidth="1"/>
    <col min="2" max="2" width="24.140625" style="170" customWidth="1"/>
    <col min="3" max="3" width="17.42578125" style="84" customWidth="1"/>
    <col min="4" max="4" width="16.5703125" style="84" bestFit="1" customWidth="1"/>
    <col min="5" max="6" width="16.5703125" style="84" customWidth="1"/>
    <col min="7" max="7" width="17.28515625" style="84" customWidth="1"/>
    <col min="8" max="8" width="14.7109375" style="84" customWidth="1"/>
    <col min="9" max="9" width="14" style="84" customWidth="1"/>
    <col min="10" max="10" width="40.140625" style="84" customWidth="1"/>
    <col min="11" max="11" width="42.7109375" style="84" customWidth="1"/>
    <col min="12" max="16384" width="9.140625" style="84"/>
  </cols>
  <sheetData>
    <row r="1" spans="1:12" s="72" customFormat="1" x14ac:dyDescent="0.2">
      <c r="A1" s="631" t="s">
        <v>425</v>
      </c>
      <c r="B1" s="667"/>
      <c r="C1" s="667"/>
      <c r="D1" s="667"/>
      <c r="E1" s="667"/>
      <c r="F1" s="667"/>
      <c r="G1" s="667"/>
      <c r="H1" s="667"/>
      <c r="I1" s="667"/>
      <c r="J1" s="667"/>
    </row>
    <row r="2" spans="1:12" s="72" customFormat="1" x14ac:dyDescent="0.2">
      <c r="A2" s="631" t="s">
        <v>426</v>
      </c>
      <c r="B2" s="667"/>
      <c r="C2" s="667"/>
      <c r="D2" s="667"/>
      <c r="E2" s="667"/>
      <c r="F2" s="667"/>
      <c r="G2" s="667"/>
      <c r="H2" s="667"/>
      <c r="I2" s="667"/>
      <c r="J2" s="667"/>
    </row>
    <row r="3" spans="1:12" s="72" customFormat="1" x14ac:dyDescent="0.2">
      <c r="A3" s="186"/>
      <c r="B3" s="186"/>
      <c r="C3" s="186"/>
      <c r="D3" s="186"/>
      <c r="E3" s="186"/>
      <c r="F3" s="186"/>
      <c r="G3" s="186"/>
      <c r="H3" s="186"/>
      <c r="I3" s="186"/>
      <c r="J3" s="186"/>
    </row>
    <row r="4" spans="1:12" x14ac:dyDescent="0.2">
      <c r="A4" s="52"/>
      <c r="B4" s="182"/>
      <c r="C4" s="675" t="s">
        <v>427</v>
      </c>
      <c r="D4" s="664"/>
      <c r="E4" s="664"/>
      <c r="F4" s="664"/>
      <c r="G4" s="664"/>
      <c r="H4" s="676"/>
      <c r="I4" s="677" t="s">
        <v>428</v>
      </c>
      <c r="J4" s="676"/>
    </row>
    <row r="5" spans="1:12" s="35" customFormat="1" ht="25.5" customHeight="1" x14ac:dyDescent="0.2">
      <c r="A5" s="684"/>
      <c r="B5" s="681" t="s">
        <v>429</v>
      </c>
      <c r="C5" s="172" t="s">
        <v>430</v>
      </c>
      <c r="D5" s="172" t="s">
        <v>431</v>
      </c>
      <c r="E5" s="172" t="s">
        <v>432</v>
      </c>
      <c r="F5" s="172" t="s">
        <v>433</v>
      </c>
      <c r="G5" s="172" t="s">
        <v>434</v>
      </c>
      <c r="H5" s="678" t="s">
        <v>435</v>
      </c>
      <c r="I5" s="172" t="s">
        <v>432</v>
      </c>
      <c r="J5" s="172" t="s">
        <v>433</v>
      </c>
    </row>
    <row r="6" spans="1:12" x14ac:dyDescent="0.2">
      <c r="A6" s="661"/>
      <c r="B6" s="662"/>
      <c r="C6" s="36" t="s">
        <v>77</v>
      </c>
      <c r="D6" s="36" t="s">
        <v>77</v>
      </c>
      <c r="E6" s="36" t="s">
        <v>77</v>
      </c>
      <c r="F6" s="36" t="s">
        <v>77</v>
      </c>
      <c r="G6" s="36" t="s">
        <v>77</v>
      </c>
      <c r="H6" s="669"/>
      <c r="I6" s="36" t="s">
        <v>77</v>
      </c>
      <c r="J6" s="36" t="s">
        <v>77</v>
      </c>
    </row>
    <row r="7" spans="1:12" x14ac:dyDescent="0.2">
      <c r="A7" s="183">
        <v>1</v>
      </c>
      <c r="B7" s="180" t="s">
        <v>298</v>
      </c>
      <c r="C7" s="33"/>
      <c r="D7" s="34"/>
      <c r="E7" s="34"/>
      <c r="F7" s="34"/>
      <c r="G7" s="34"/>
      <c r="H7" s="34"/>
      <c r="I7" s="34"/>
      <c r="J7" s="34"/>
    </row>
    <row r="8" spans="1:12" x14ac:dyDescent="0.2">
      <c r="A8" s="183"/>
      <c r="B8" s="161" t="s">
        <v>11</v>
      </c>
      <c r="C8" s="525">
        <v>55806</v>
      </c>
      <c r="D8" s="525">
        <v>10411</v>
      </c>
      <c r="E8" s="526">
        <v>66217</v>
      </c>
      <c r="F8" s="525">
        <v>66217</v>
      </c>
      <c r="G8" s="527" t="s">
        <v>22</v>
      </c>
      <c r="H8" s="528">
        <f>+F8/E8*100</f>
        <v>100</v>
      </c>
      <c r="I8" s="525">
        <v>69338</v>
      </c>
      <c r="J8" s="525">
        <v>69338</v>
      </c>
      <c r="K8" s="304"/>
      <c r="L8" s="529">
        <f>SUM(J8:J9)</f>
        <v>73744</v>
      </c>
    </row>
    <row r="9" spans="1:12" x14ac:dyDescent="0.2">
      <c r="A9" s="183"/>
      <c r="B9" s="161" t="s">
        <v>21</v>
      </c>
      <c r="C9" s="525">
        <v>1803</v>
      </c>
      <c r="D9" s="525">
        <v>339</v>
      </c>
      <c r="E9" s="526">
        <v>2142</v>
      </c>
      <c r="F9" s="525">
        <v>2142</v>
      </c>
      <c r="G9" s="527" t="s">
        <v>22</v>
      </c>
      <c r="H9" s="528">
        <f>+F9/E9*100</f>
        <v>100</v>
      </c>
      <c r="I9" s="525">
        <v>4406</v>
      </c>
      <c r="J9" s="525">
        <v>4406</v>
      </c>
      <c r="K9" s="304"/>
      <c r="L9" s="530">
        <f>SUM(I8:I9)</f>
        <v>73744</v>
      </c>
    </row>
    <row r="10" spans="1:12" ht="25.5" customHeight="1" x14ac:dyDescent="0.2">
      <c r="A10" s="183">
        <v>2</v>
      </c>
      <c r="B10" s="180" t="s">
        <v>436</v>
      </c>
      <c r="C10" s="525"/>
      <c r="D10" s="526"/>
      <c r="E10" s="526"/>
      <c r="F10" s="526"/>
      <c r="G10" s="526"/>
      <c r="H10" s="526"/>
      <c r="I10" s="526"/>
      <c r="J10" s="526"/>
      <c r="K10" s="304"/>
    </row>
    <row r="11" spans="1:12" x14ac:dyDescent="0.2">
      <c r="A11" s="183"/>
      <c r="B11" s="161" t="s">
        <v>11</v>
      </c>
      <c r="C11" s="525">
        <v>274003</v>
      </c>
      <c r="D11" s="525">
        <v>-7453</v>
      </c>
      <c r="E11" s="526">
        <v>266550</v>
      </c>
      <c r="F11" s="525">
        <v>266196</v>
      </c>
      <c r="G11" s="526">
        <v>354</v>
      </c>
      <c r="H11" s="528">
        <f>+F11/E11*100</f>
        <v>99.867191896454699</v>
      </c>
      <c r="I11" s="525">
        <f>8651+36354+11935</f>
        <v>56940</v>
      </c>
      <c r="J11" s="525">
        <v>56726</v>
      </c>
      <c r="K11" s="304"/>
      <c r="L11" s="531">
        <f>SUM(J11:J12)</f>
        <v>57674</v>
      </c>
    </row>
    <row r="12" spans="1:12" x14ac:dyDescent="0.2">
      <c r="A12" s="183"/>
      <c r="B12" s="161" t="s">
        <v>21</v>
      </c>
      <c r="C12" s="525">
        <v>969</v>
      </c>
      <c r="D12" s="525">
        <v>23</v>
      </c>
      <c r="E12" s="526">
        <v>992</v>
      </c>
      <c r="F12" s="525">
        <v>992</v>
      </c>
      <c r="G12" s="527" t="s">
        <v>22</v>
      </c>
      <c r="H12" s="528">
        <f>+F12/E12*100</f>
        <v>100</v>
      </c>
      <c r="I12" s="525">
        <v>887</v>
      </c>
      <c r="J12" s="525">
        <v>948</v>
      </c>
      <c r="K12" s="304"/>
      <c r="L12" s="532">
        <f>SUM(I11:I12)</f>
        <v>57827</v>
      </c>
    </row>
    <row r="13" spans="1:12" ht="25.5" customHeight="1" x14ac:dyDescent="0.2">
      <c r="A13" s="183">
        <v>3</v>
      </c>
      <c r="B13" s="180" t="s">
        <v>437</v>
      </c>
      <c r="C13" s="525"/>
      <c r="D13" s="526"/>
      <c r="E13" s="526"/>
      <c r="F13" s="526"/>
      <c r="G13" s="527"/>
      <c r="H13" s="526"/>
      <c r="I13" s="526"/>
      <c r="J13" s="526"/>
      <c r="K13" s="304"/>
    </row>
    <row r="14" spans="1:12" x14ac:dyDescent="0.2">
      <c r="A14" s="183"/>
      <c r="B14" s="161" t="s">
        <v>11</v>
      </c>
      <c r="C14" s="525">
        <v>111159</v>
      </c>
      <c r="D14" s="533">
        <v>-5106</v>
      </c>
      <c r="E14" s="526">
        <v>106053</v>
      </c>
      <c r="F14" s="525">
        <v>106053</v>
      </c>
      <c r="G14" s="527" t="s">
        <v>22</v>
      </c>
      <c r="H14" s="528">
        <f>+F14/E14*100</f>
        <v>100</v>
      </c>
      <c r="I14" s="525">
        <v>110446</v>
      </c>
      <c r="J14" s="525">
        <v>110446</v>
      </c>
      <c r="K14" s="304"/>
      <c r="L14" s="534">
        <f>SUM(J14:J15)</f>
        <v>257446</v>
      </c>
    </row>
    <row r="15" spans="1:12" x14ac:dyDescent="0.2">
      <c r="A15" s="183"/>
      <c r="B15" s="161" t="s">
        <v>21</v>
      </c>
      <c r="C15" s="525">
        <v>147000</v>
      </c>
      <c r="D15" s="533" t="s">
        <v>22</v>
      </c>
      <c r="E15" s="526">
        <v>147000</v>
      </c>
      <c r="F15" s="525">
        <v>147000</v>
      </c>
      <c r="G15" s="527" t="s">
        <v>22</v>
      </c>
      <c r="H15" s="528">
        <f>+F15/E15*100</f>
        <v>100</v>
      </c>
      <c r="I15" s="525">
        <v>147000</v>
      </c>
      <c r="J15" s="525">
        <v>147000</v>
      </c>
      <c r="K15" s="304"/>
      <c r="L15" s="535">
        <f>SUM(I14:I15)</f>
        <v>257446</v>
      </c>
    </row>
    <row r="16" spans="1:12" x14ac:dyDescent="0.2">
      <c r="A16" s="183">
        <v>4</v>
      </c>
      <c r="B16" s="180" t="s">
        <v>300</v>
      </c>
      <c r="C16" s="525"/>
      <c r="D16" s="526"/>
      <c r="E16" s="526"/>
      <c r="F16" s="526"/>
      <c r="G16" s="527"/>
      <c r="H16" s="526"/>
      <c r="I16" s="526"/>
      <c r="J16" s="526"/>
      <c r="K16" s="304"/>
    </row>
    <row r="17" spans="1:12" x14ac:dyDescent="0.2">
      <c r="A17" s="183"/>
      <c r="B17" s="161" t="s">
        <v>11</v>
      </c>
      <c r="C17" s="525">
        <v>304296</v>
      </c>
      <c r="D17" s="525">
        <v>29644</v>
      </c>
      <c r="E17" s="526">
        <v>333940</v>
      </c>
      <c r="F17" s="525">
        <v>333940</v>
      </c>
      <c r="G17" s="527" t="s">
        <v>22</v>
      </c>
      <c r="H17" s="528">
        <f>+F17/E17*100</f>
        <v>100</v>
      </c>
      <c r="I17" s="525">
        <v>327595</v>
      </c>
      <c r="J17" s="525">
        <v>327433</v>
      </c>
      <c r="K17" s="304"/>
      <c r="L17" s="536">
        <f>SUM(J17:J18)</f>
        <v>328202</v>
      </c>
    </row>
    <row r="18" spans="1:12" x14ac:dyDescent="0.2">
      <c r="A18" s="183"/>
      <c r="B18" s="161" t="s">
        <v>21</v>
      </c>
      <c r="C18" s="525">
        <v>317</v>
      </c>
      <c r="D18" s="525">
        <v>76</v>
      </c>
      <c r="E18" s="526">
        <v>393</v>
      </c>
      <c r="F18" s="525">
        <v>393</v>
      </c>
      <c r="G18" s="527" t="s">
        <v>22</v>
      </c>
      <c r="H18" s="528">
        <f>+F18/E18*100</f>
        <v>100</v>
      </c>
      <c r="I18" s="525">
        <v>607</v>
      </c>
      <c r="J18" s="525">
        <v>769</v>
      </c>
      <c r="K18" s="304"/>
      <c r="L18" s="537">
        <f>SUM(I17:I18)</f>
        <v>328202</v>
      </c>
    </row>
    <row r="19" spans="1:12" ht="25.5" customHeight="1" x14ac:dyDescent="0.2">
      <c r="A19" s="183">
        <v>5</v>
      </c>
      <c r="B19" s="180" t="s">
        <v>301</v>
      </c>
      <c r="C19" s="525"/>
      <c r="D19" s="526"/>
      <c r="E19" s="526"/>
      <c r="F19" s="526"/>
      <c r="G19" s="526"/>
      <c r="H19" s="526"/>
      <c r="I19" s="526"/>
      <c r="J19" s="526"/>
      <c r="K19" s="304"/>
    </row>
    <row r="20" spans="1:12" x14ac:dyDescent="0.2">
      <c r="A20" s="183"/>
      <c r="B20" s="161" t="s">
        <v>11</v>
      </c>
      <c r="C20" s="525">
        <v>130022</v>
      </c>
      <c r="D20" s="525">
        <v>-11483</v>
      </c>
      <c r="E20" s="526">
        <v>118539</v>
      </c>
      <c r="F20" s="525">
        <v>117632</v>
      </c>
      <c r="G20" s="526">
        <v>907</v>
      </c>
      <c r="H20" s="528">
        <f>+F20/E20*100</f>
        <v>99.234850977315475</v>
      </c>
      <c r="I20" s="525">
        <v>132328</v>
      </c>
      <c r="J20" s="525">
        <f>126621+33+358</f>
        <v>127012</v>
      </c>
      <c r="K20" s="304"/>
      <c r="L20" s="538">
        <f>SUM(J20:J21)</f>
        <v>128180</v>
      </c>
    </row>
    <row r="21" spans="1:12" x14ac:dyDescent="0.2">
      <c r="A21" s="183"/>
      <c r="B21" s="161" t="s">
        <v>21</v>
      </c>
      <c r="C21" s="525">
        <v>760</v>
      </c>
      <c r="D21" s="525">
        <v>2123</v>
      </c>
      <c r="E21" s="526">
        <v>2883</v>
      </c>
      <c r="F21" s="525">
        <v>383</v>
      </c>
      <c r="G21" s="526">
        <v>2500</v>
      </c>
      <c r="H21" s="528">
        <f>+F21/E21*100</f>
        <v>13.284772806104753</v>
      </c>
      <c r="I21" s="525">
        <v>4998</v>
      </c>
      <c r="J21" s="525">
        <f>1559-33-358</f>
        <v>1168</v>
      </c>
      <c r="K21" s="304"/>
      <c r="L21" s="539">
        <f>SUM(I20:I21)</f>
        <v>137326</v>
      </c>
    </row>
    <row r="22" spans="1:12" x14ac:dyDescent="0.2">
      <c r="A22" s="54">
        <v>6</v>
      </c>
      <c r="B22" s="180" t="s">
        <v>302</v>
      </c>
      <c r="C22" s="525"/>
      <c r="D22" s="526"/>
      <c r="E22" s="526"/>
      <c r="F22" s="526"/>
      <c r="G22" s="526"/>
      <c r="H22" s="526"/>
      <c r="I22" s="526"/>
      <c r="J22" s="526"/>
      <c r="K22" s="304"/>
    </row>
    <row r="23" spans="1:12" x14ac:dyDescent="0.2">
      <c r="A23" s="183"/>
      <c r="B23" s="161" t="s">
        <v>11</v>
      </c>
      <c r="C23" s="525">
        <v>231951</v>
      </c>
      <c r="D23" s="525">
        <v>-21038</v>
      </c>
      <c r="E23" s="526">
        <v>210913</v>
      </c>
      <c r="F23" s="525">
        <v>210633</v>
      </c>
      <c r="G23" s="526">
        <v>280</v>
      </c>
      <c r="H23" s="528">
        <f>+F23/E23*100</f>
        <v>99.867243839877105</v>
      </c>
      <c r="I23" s="525">
        <v>171558</v>
      </c>
      <c r="J23" s="525">
        <v>171126</v>
      </c>
      <c r="K23" s="304"/>
      <c r="L23" s="540">
        <f>SUM(J23:J24)</f>
        <v>196937</v>
      </c>
    </row>
    <row r="24" spans="1:12" x14ac:dyDescent="0.2">
      <c r="A24" s="183"/>
      <c r="B24" s="161" t="s">
        <v>21</v>
      </c>
      <c r="C24" s="525">
        <v>84502</v>
      </c>
      <c r="D24" s="525">
        <v>-141</v>
      </c>
      <c r="E24" s="526">
        <v>84361</v>
      </c>
      <c r="F24" s="525">
        <v>84361</v>
      </c>
      <c r="G24" s="527" t="s">
        <v>22</v>
      </c>
      <c r="H24" s="528">
        <f>+F24/E24*100</f>
        <v>100</v>
      </c>
      <c r="I24" s="525">
        <v>25660</v>
      </c>
      <c r="J24" s="525">
        <v>25811</v>
      </c>
      <c r="K24" s="304"/>
      <c r="L24" s="541">
        <f>SUM(I23:I24)</f>
        <v>197218</v>
      </c>
    </row>
    <row r="25" spans="1:12" ht="25.5" customHeight="1" x14ac:dyDescent="0.2">
      <c r="A25" s="183">
        <v>7</v>
      </c>
      <c r="B25" s="180" t="s">
        <v>438</v>
      </c>
      <c r="C25" s="525"/>
      <c r="D25" s="526"/>
      <c r="E25" s="526"/>
      <c r="F25" s="526"/>
      <c r="G25" s="526"/>
      <c r="H25" s="526"/>
      <c r="I25" s="526"/>
      <c r="J25" s="526"/>
      <c r="K25" s="304"/>
    </row>
    <row r="26" spans="1:12" x14ac:dyDescent="0.2">
      <c r="A26" s="183"/>
      <c r="B26" s="161" t="s">
        <v>11</v>
      </c>
      <c r="C26" s="525">
        <v>19027</v>
      </c>
      <c r="D26" s="525">
        <v>6053</v>
      </c>
      <c r="E26" s="526">
        <v>25080</v>
      </c>
      <c r="F26" s="525">
        <v>25080</v>
      </c>
      <c r="G26" s="527" t="s">
        <v>22</v>
      </c>
      <c r="H26" s="528">
        <f>+F26/E26*100</f>
        <v>100</v>
      </c>
      <c r="I26" s="525">
        <v>24216</v>
      </c>
      <c r="J26" s="525">
        <v>23700</v>
      </c>
      <c r="K26" s="304"/>
      <c r="L26" s="542">
        <f>SUM(J26:J27)</f>
        <v>25307</v>
      </c>
    </row>
    <row r="27" spans="1:12" x14ac:dyDescent="0.2">
      <c r="A27" s="183"/>
      <c r="B27" s="161" t="s">
        <v>21</v>
      </c>
      <c r="C27" s="525">
        <v>38971</v>
      </c>
      <c r="D27" s="525">
        <v>-3588</v>
      </c>
      <c r="E27" s="526">
        <v>35383</v>
      </c>
      <c r="F27" s="525">
        <v>5424</v>
      </c>
      <c r="G27" s="526">
        <v>29959</v>
      </c>
      <c r="H27" s="528">
        <f>+F27/E27*100</f>
        <v>15.329395472402002</v>
      </c>
      <c r="I27" s="525">
        <v>2400</v>
      </c>
      <c r="J27" s="525">
        <v>1607</v>
      </c>
      <c r="K27" s="304"/>
      <c r="L27" s="543">
        <f>SUM(I26:I27)</f>
        <v>26616</v>
      </c>
    </row>
    <row r="28" spans="1:12" x14ac:dyDescent="0.2">
      <c r="A28" s="183"/>
      <c r="B28" s="180" t="s">
        <v>439</v>
      </c>
      <c r="C28" s="525"/>
      <c r="D28" s="526"/>
      <c r="E28" s="526"/>
      <c r="F28" s="526"/>
      <c r="G28" s="526"/>
      <c r="H28" s="526"/>
      <c r="I28" s="526"/>
      <c r="J28" s="526"/>
      <c r="K28" s="304"/>
    </row>
    <row r="29" spans="1:12" x14ac:dyDescent="0.2">
      <c r="A29" s="183"/>
      <c r="B29" s="161" t="s">
        <v>11</v>
      </c>
      <c r="C29" s="533" t="s">
        <v>22</v>
      </c>
      <c r="D29" s="533">
        <v>140</v>
      </c>
      <c r="E29" s="526">
        <v>140</v>
      </c>
      <c r="F29" s="525">
        <v>140</v>
      </c>
      <c r="G29" s="527" t="s">
        <v>22</v>
      </c>
      <c r="H29" s="528">
        <f>+F29/E29*100</f>
        <v>100</v>
      </c>
      <c r="I29" s="525">
        <v>75</v>
      </c>
      <c r="J29" s="525">
        <v>75</v>
      </c>
      <c r="K29" s="304"/>
      <c r="L29" s="544">
        <f>SUM(J29:J29)</f>
        <v>75</v>
      </c>
    </row>
    <row r="30" spans="1:12" x14ac:dyDescent="0.2">
      <c r="A30" s="53"/>
      <c r="B30" s="37" t="s">
        <v>222</v>
      </c>
      <c r="C30" s="545">
        <f>SUM(C7:C29)</f>
        <v>1400586</v>
      </c>
      <c r="D30" s="546" t="s">
        <v>22</v>
      </c>
      <c r="E30" s="545">
        <f>SUM(E7:E29)</f>
        <v>1400586</v>
      </c>
      <c r="F30" s="545">
        <f>SUM(F7:F29)</f>
        <v>1366586</v>
      </c>
      <c r="G30" s="545">
        <f>SUM(G7:G29)</f>
        <v>34000</v>
      </c>
      <c r="H30" s="547">
        <f>+F30/E30*100</f>
        <v>97.572444676728168</v>
      </c>
      <c r="I30" s="545">
        <f>SUM(I7:I29)</f>
        <v>1078454</v>
      </c>
      <c r="J30" s="545">
        <f>SUM(J7:J29)</f>
        <v>1067565</v>
      </c>
      <c r="K30" s="304"/>
      <c r="L30" s="548">
        <f>SUM(L8:L29)</f>
        <v>2145944</v>
      </c>
    </row>
    <row r="32" spans="1:12" s="72" customFormat="1" x14ac:dyDescent="0.2">
      <c r="A32" s="631" t="s">
        <v>425</v>
      </c>
      <c r="B32" s="667"/>
      <c r="C32" s="667"/>
      <c r="D32" s="667"/>
      <c r="E32" s="667"/>
      <c r="F32" s="667"/>
      <c r="G32" s="667"/>
      <c r="H32" s="667"/>
      <c r="I32" s="667"/>
      <c r="J32" s="667"/>
    </row>
    <row r="33" spans="1:11" s="72" customFormat="1" x14ac:dyDescent="0.2">
      <c r="A33" s="631" t="s">
        <v>426</v>
      </c>
      <c r="B33" s="667"/>
      <c r="C33" s="667"/>
      <c r="D33" s="667"/>
      <c r="E33" s="667"/>
      <c r="F33" s="667"/>
      <c r="G33" s="667"/>
      <c r="H33" s="667"/>
      <c r="I33" s="667"/>
      <c r="J33" s="667"/>
    </row>
    <row r="34" spans="1:11" s="72" customFormat="1" x14ac:dyDescent="0.2">
      <c r="A34" s="186"/>
      <c r="B34" s="186"/>
      <c r="C34" s="186"/>
      <c r="D34" s="186"/>
      <c r="E34" s="186"/>
      <c r="F34" s="186"/>
      <c r="G34" s="186"/>
      <c r="H34" s="186"/>
      <c r="I34" s="186"/>
      <c r="J34" s="186"/>
    </row>
    <row r="35" spans="1:11" x14ac:dyDescent="0.2">
      <c r="A35" s="52"/>
      <c r="B35" s="683" t="s">
        <v>440</v>
      </c>
      <c r="C35" s="679" t="s">
        <v>427</v>
      </c>
      <c r="D35" s="664"/>
      <c r="E35" s="664"/>
      <c r="F35" s="664"/>
      <c r="G35" s="664"/>
      <c r="H35" s="676"/>
      <c r="I35" s="677" t="s">
        <v>428</v>
      </c>
      <c r="J35" s="676"/>
    </row>
    <row r="36" spans="1:11" ht="25.5" customHeight="1" x14ac:dyDescent="0.2">
      <c r="A36" s="183"/>
      <c r="B36" s="660"/>
      <c r="C36" s="172" t="s">
        <v>430</v>
      </c>
      <c r="D36" s="172" t="s">
        <v>431</v>
      </c>
      <c r="E36" s="172" t="s">
        <v>432</v>
      </c>
      <c r="F36" s="172" t="s">
        <v>433</v>
      </c>
      <c r="G36" s="172" t="s">
        <v>434</v>
      </c>
      <c r="H36" s="678" t="s">
        <v>435</v>
      </c>
      <c r="I36" s="172" t="s">
        <v>432</v>
      </c>
      <c r="J36" s="172" t="s">
        <v>433</v>
      </c>
    </row>
    <row r="37" spans="1:11" x14ac:dyDescent="0.2">
      <c r="A37" s="184"/>
      <c r="B37" s="662"/>
      <c r="C37" s="36" t="s">
        <v>77</v>
      </c>
      <c r="D37" s="36" t="s">
        <v>77</v>
      </c>
      <c r="E37" s="36" t="s">
        <v>77</v>
      </c>
      <c r="F37" s="36" t="s">
        <v>77</v>
      </c>
      <c r="G37" s="36" t="s">
        <v>77</v>
      </c>
      <c r="H37" s="669"/>
      <c r="I37" s="36" t="s">
        <v>77</v>
      </c>
      <c r="J37" s="36" t="s">
        <v>77</v>
      </c>
    </row>
    <row r="38" spans="1:11" x14ac:dyDescent="0.2">
      <c r="A38" s="183"/>
      <c r="B38" s="21" t="s">
        <v>11</v>
      </c>
      <c r="C38" s="33"/>
      <c r="D38" s="34"/>
      <c r="E38" s="34"/>
      <c r="F38" s="34"/>
      <c r="G38" s="34"/>
      <c r="H38" s="34"/>
      <c r="I38" s="34"/>
      <c r="J38" s="34"/>
    </row>
    <row r="39" spans="1:11" x14ac:dyDescent="0.2">
      <c r="A39" s="183"/>
      <c r="B39" s="48" t="s">
        <v>12</v>
      </c>
      <c r="C39" s="533">
        <v>132282</v>
      </c>
      <c r="D39" s="533">
        <v>-2778</v>
      </c>
      <c r="E39" s="527">
        <v>129504</v>
      </c>
      <c r="F39" s="533">
        <v>129504</v>
      </c>
      <c r="G39" s="527" t="s">
        <v>22</v>
      </c>
      <c r="H39" s="549">
        <f>+F39/E39*100</f>
        <v>100</v>
      </c>
      <c r="I39" s="527">
        <v>126466</v>
      </c>
      <c r="J39" s="527">
        <v>126466</v>
      </c>
      <c r="K39" s="304"/>
    </row>
    <row r="40" spans="1:11" x14ac:dyDescent="0.2">
      <c r="A40" s="183"/>
      <c r="B40" s="48" t="s">
        <v>17</v>
      </c>
      <c r="C40" s="533">
        <v>864515</v>
      </c>
      <c r="D40" s="533">
        <v>4014</v>
      </c>
      <c r="E40" s="527">
        <v>868529</v>
      </c>
      <c r="F40" s="533">
        <v>867895</v>
      </c>
      <c r="G40" s="527">
        <v>634</v>
      </c>
      <c r="H40" s="549">
        <f>+F40/E40*100</f>
        <v>99.92700301314062</v>
      </c>
      <c r="I40" s="527">
        <v>629206</v>
      </c>
      <c r="J40" s="527">
        <v>628771</v>
      </c>
      <c r="K40" s="304"/>
    </row>
    <row r="41" spans="1:11" x14ac:dyDescent="0.2">
      <c r="A41" s="183"/>
      <c r="B41" s="48" t="s">
        <v>106</v>
      </c>
      <c r="C41" s="533">
        <v>129467</v>
      </c>
      <c r="D41" s="533">
        <v>-68</v>
      </c>
      <c r="E41" s="527">
        <v>129399</v>
      </c>
      <c r="F41" s="533">
        <v>128492</v>
      </c>
      <c r="G41" s="527">
        <v>907</v>
      </c>
      <c r="H41" s="549">
        <f>+F41/E41*100</f>
        <v>99.29906722617639</v>
      </c>
      <c r="I41" s="527">
        <v>136824</v>
      </c>
      <c r="J41" s="527">
        <f>130228+33+358</f>
        <v>130619</v>
      </c>
      <c r="K41" s="304"/>
    </row>
    <row r="42" spans="1:11" ht="13.5" customHeight="1" x14ac:dyDescent="0.2">
      <c r="A42" s="183"/>
      <c r="B42" s="21" t="s">
        <v>21</v>
      </c>
      <c r="C42" s="533"/>
      <c r="D42" s="527"/>
      <c r="E42" s="527"/>
      <c r="F42" s="527"/>
      <c r="G42" s="527"/>
      <c r="H42" s="527"/>
      <c r="I42" s="527"/>
      <c r="J42" s="527"/>
      <c r="K42" s="304"/>
    </row>
    <row r="43" spans="1:11" x14ac:dyDescent="0.2">
      <c r="A43" s="183"/>
      <c r="B43" s="48" t="s">
        <v>17</v>
      </c>
      <c r="C43" s="533">
        <v>230501</v>
      </c>
      <c r="D43" s="527" t="s">
        <v>22</v>
      </c>
      <c r="E43" s="527">
        <v>230501</v>
      </c>
      <c r="F43" s="533">
        <v>230500</v>
      </c>
      <c r="G43" s="527">
        <v>1</v>
      </c>
      <c r="H43" s="549">
        <f>+F43/E43*100</f>
        <v>99.999566162402758</v>
      </c>
      <c r="I43" s="527">
        <v>172001</v>
      </c>
      <c r="J43" s="527">
        <v>172000</v>
      </c>
      <c r="K43" s="304"/>
    </row>
    <row r="44" spans="1:11" ht="12.75" customHeight="1" x14ac:dyDescent="0.2">
      <c r="A44" s="183"/>
      <c r="B44" s="48" t="s">
        <v>441</v>
      </c>
      <c r="C44" s="533">
        <v>43821</v>
      </c>
      <c r="D44" s="533">
        <v>-1168</v>
      </c>
      <c r="E44" s="527">
        <v>42653</v>
      </c>
      <c r="F44" s="533">
        <v>10195</v>
      </c>
      <c r="G44" s="527">
        <v>32458</v>
      </c>
      <c r="H44" s="549">
        <f>+F44/E44*100</f>
        <v>23.902187419407777</v>
      </c>
      <c r="I44" s="527">
        <v>13957</v>
      </c>
      <c r="J44" s="527">
        <f>10100-33-358</f>
        <v>9709</v>
      </c>
      <c r="K44" s="304"/>
    </row>
    <row r="45" spans="1:11" x14ac:dyDescent="0.2">
      <c r="A45" s="53"/>
      <c r="B45" s="8" t="s">
        <v>222</v>
      </c>
      <c r="C45" s="550">
        <f>SUM(C38:C44)</f>
        <v>1400586</v>
      </c>
      <c r="D45" s="546" t="s">
        <v>22</v>
      </c>
      <c r="E45" s="550">
        <f>SUM(E38:E44)</f>
        <v>1400586</v>
      </c>
      <c r="F45" s="550">
        <f>SUM(F38:F44)</f>
        <v>1366586</v>
      </c>
      <c r="G45" s="550">
        <f>SUM(G38:G44)</f>
        <v>34000</v>
      </c>
      <c r="H45" s="551">
        <f>+F45/E45*100</f>
        <v>97.572444676728168</v>
      </c>
      <c r="I45" s="550">
        <f>SUM(I38:I44)</f>
        <v>1078454</v>
      </c>
      <c r="J45" s="550">
        <f>SUM(J38:J44)</f>
        <v>1067565</v>
      </c>
      <c r="K45" s="304"/>
    </row>
    <row r="46" spans="1:11" x14ac:dyDescent="0.2">
      <c r="A46" s="688" t="s">
        <v>190</v>
      </c>
      <c r="B46" s="664"/>
      <c r="C46" s="664"/>
      <c r="D46" s="664"/>
      <c r="E46" s="664"/>
      <c r="F46" s="664"/>
      <c r="G46" s="664"/>
      <c r="H46" s="664"/>
      <c r="I46" s="664"/>
      <c r="J46" s="664"/>
    </row>
    <row r="47" spans="1:11" x14ac:dyDescent="0.2">
      <c r="A47" s="52"/>
      <c r="B47" s="683" t="s">
        <v>442</v>
      </c>
      <c r="C47" s="679" t="s">
        <v>427</v>
      </c>
      <c r="D47" s="664"/>
      <c r="E47" s="664"/>
      <c r="F47" s="664"/>
      <c r="G47" s="664"/>
      <c r="H47" s="676"/>
      <c r="I47" s="677" t="s">
        <v>428</v>
      </c>
      <c r="J47" s="676"/>
    </row>
    <row r="48" spans="1:11" ht="25.5" customHeight="1" x14ac:dyDescent="0.2">
      <c r="A48" s="183"/>
      <c r="B48" s="660"/>
      <c r="C48" s="172" t="s">
        <v>430</v>
      </c>
      <c r="D48" s="172" t="s">
        <v>431</v>
      </c>
      <c r="E48" s="172" t="s">
        <v>432</v>
      </c>
      <c r="F48" s="172" t="s">
        <v>433</v>
      </c>
      <c r="G48" s="172" t="s">
        <v>434</v>
      </c>
      <c r="H48" s="678" t="s">
        <v>435</v>
      </c>
      <c r="I48" s="172" t="s">
        <v>432</v>
      </c>
      <c r="J48" s="172" t="s">
        <v>433</v>
      </c>
    </row>
    <row r="49" spans="1:11" x14ac:dyDescent="0.2">
      <c r="A49" s="184"/>
      <c r="B49" s="662"/>
      <c r="C49" s="36" t="s">
        <v>77</v>
      </c>
      <c r="D49" s="36" t="s">
        <v>77</v>
      </c>
      <c r="E49" s="36" t="s">
        <v>77</v>
      </c>
      <c r="F49" s="36" t="s">
        <v>77</v>
      </c>
      <c r="G49" s="36" t="s">
        <v>77</v>
      </c>
      <c r="H49" s="669"/>
      <c r="I49" s="36" t="s">
        <v>77</v>
      </c>
      <c r="J49" s="36" t="s">
        <v>77</v>
      </c>
    </row>
    <row r="50" spans="1:11" x14ac:dyDescent="0.2">
      <c r="A50" s="183"/>
      <c r="B50" s="21" t="s">
        <v>12</v>
      </c>
      <c r="C50" s="533">
        <v>132282</v>
      </c>
      <c r="D50" s="533">
        <v>-2778</v>
      </c>
      <c r="E50" s="527">
        <v>129504</v>
      </c>
      <c r="F50" s="533">
        <v>129504</v>
      </c>
      <c r="G50" s="527" t="s">
        <v>22</v>
      </c>
      <c r="H50" s="549">
        <f t="shared" ref="H50:H59" si="0">+F50/E50*100</f>
        <v>100</v>
      </c>
      <c r="I50" s="527">
        <v>126466</v>
      </c>
      <c r="J50" s="527">
        <v>126466</v>
      </c>
      <c r="K50" s="304"/>
    </row>
    <row r="51" spans="1:11" x14ac:dyDescent="0.2">
      <c r="A51" s="183"/>
      <c r="B51" s="21" t="s">
        <v>13</v>
      </c>
      <c r="C51" s="533">
        <v>36704</v>
      </c>
      <c r="D51" s="533">
        <v>4545</v>
      </c>
      <c r="E51" s="527">
        <v>41249</v>
      </c>
      <c r="F51" s="533">
        <v>41249</v>
      </c>
      <c r="G51" s="527" t="s">
        <v>22</v>
      </c>
      <c r="H51" s="549">
        <f t="shared" si="0"/>
        <v>100</v>
      </c>
      <c r="I51" s="527">
        <v>36629</v>
      </c>
      <c r="J51" s="527">
        <v>36629</v>
      </c>
      <c r="K51" s="304"/>
    </row>
    <row r="52" spans="1:11" x14ac:dyDescent="0.2">
      <c r="A52" s="183"/>
      <c r="B52" s="21" t="s">
        <v>14</v>
      </c>
      <c r="C52" s="533">
        <v>6717</v>
      </c>
      <c r="D52" s="533">
        <v>3091</v>
      </c>
      <c r="E52" s="527">
        <v>9808</v>
      </c>
      <c r="F52" s="533">
        <v>9808</v>
      </c>
      <c r="G52" s="527" t="s">
        <v>22</v>
      </c>
      <c r="H52" s="549">
        <f t="shared" si="0"/>
        <v>100</v>
      </c>
      <c r="I52" s="527">
        <v>11482</v>
      </c>
      <c r="J52" s="527">
        <v>11482</v>
      </c>
      <c r="K52" s="304"/>
    </row>
    <row r="53" spans="1:11" x14ac:dyDescent="0.2">
      <c r="A53" s="183"/>
      <c r="B53" s="21" t="s">
        <v>296</v>
      </c>
      <c r="C53" s="533">
        <v>7420</v>
      </c>
      <c r="D53" s="533">
        <v>-920</v>
      </c>
      <c r="E53" s="527">
        <v>6500</v>
      </c>
      <c r="F53" s="533">
        <v>6500</v>
      </c>
      <c r="G53" s="527" t="s">
        <v>22</v>
      </c>
      <c r="H53" s="549">
        <f t="shared" si="0"/>
        <v>100</v>
      </c>
      <c r="I53" s="527">
        <v>9688</v>
      </c>
      <c r="J53" s="527">
        <v>9688</v>
      </c>
      <c r="K53" s="304"/>
    </row>
    <row r="54" spans="1:11" x14ac:dyDescent="0.2">
      <c r="A54" s="183"/>
      <c r="B54" s="21" t="s">
        <v>23</v>
      </c>
      <c r="C54" s="533">
        <v>7764</v>
      </c>
      <c r="D54" s="533" t="s">
        <v>22</v>
      </c>
      <c r="E54" s="527">
        <v>7764</v>
      </c>
      <c r="F54" s="533">
        <v>5169</v>
      </c>
      <c r="G54" s="527">
        <v>2595</v>
      </c>
      <c r="H54" s="549">
        <f t="shared" si="0"/>
        <v>66.576506955177734</v>
      </c>
      <c r="I54" s="527">
        <v>4658</v>
      </c>
      <c r="J54" s="527">
        <v>800</v>
      </c>
      <c r="K54" s="304"/>
    </row>
    <row r="55" spans="1:11" ht="25.5" customHeight="1" x14ac:dyDescent="0.2">
      <c r="A55" s="183"/>
      <c r="B55" s="21" t="s">
        <v>16</v>
      </c>
      <c r="C55" s="533">
        <v>114683</v>
      </c>
      <c r="D55" s="533">
        <v>-8303</v>
      </c>
      <c r="E55" s="527">
        <v>106380</v>
      </c>
      <c r="F55" s="533">
        <v>75610</v>
      </c>
      <c r="G55" s="527">
        <v>30770</v>
      </c>
      <c r="H55" s="549">
        <f t="shared" si="0"/>
        <v>71.075390110923109</v>
      </c>
      <c r="I55" s="527">
        <v>86115</v>
      </c>
      <c r="J55" s="527">
        <v>79520</v>
      </c>
      <c r="K55" s="304"/>
    </row>
    <row r="56" spans="1:11" x14ac:dyDescent="0.2">
      <c r="A56" s="183"/>
      <c r="B56" s="21" t="s">
        <v>17</v>
      </c>
      <c r="C56" s="533">
        <v>1095016</v>
      </c>
      <c r="D56" s="533">
        <v>4014</v>
      </c>
      <c r="E56" s="527">
        <v>1099030</v>
      </c>
      <c r="F56" s="533">
        <v>1098395</v>
      </c>
      <c r="G56" s="527">
        <v>635</v>
      </c>
      <c r="H56" s="549">
        <f t="shared" si="0"/>
        <v>99.942221777385512</v>
      </c>
      <c r="I56" s="527">
        <v>801207</v>
      </c>
      <c r="J56" s="527">
        <v>800771</v>
      </c>
      <c r="K56" s="304"/>
    </row>
    <row r="57" spans="1:11" x14ac:dyDescent="0.2">
      <c r="A57" s="183"/>
      <c r="B57" s="21" t="s">
        <v>18</v>
      </c>
      <c r="C57" s="533" t="s">
        <v>22</v>
      </c>
      <c r="D57" s="533">
        <v>211</v>
      </c>
      <c r="E57" s="527">
        <v>211</v>
      </c>
      <c r="F57" s="533">
        <v>211</v>
      </c>
      <c r="G57" s="527" t="s">
        <v>22</v>
      </c>
      <c r="H57" s="549">
        <f t="shared" si="0"/>
        <v>100</v>
      </c>
      <c r="I57" s="527">
        <v>2134</v>
      </c>
      <c r="J57" s="527">
        <v>2134</v>
      </c>
      <c r="K57" s="304"/>
    </row>
    <row r="58" spans="1:11" x14ac:dyDescent="0.2">
      <c r="A58" s="184"/>
      <c r="B58" s="32" t="s">
        <v>443</v>
      </c>
      <c r="C58" s="552" t="s">
        <v>22</v>
      </c>
      <c r="D58" s="552">
        <v>140</v>
      </c>
      <c r="E58" s="553">
        <v>140</v>
      </c>
      <c r="F58" s="552">
        <v>140</v>
      </c>
      <c r="G58" s="553" t="s">
        <v>22</v>
      </c>
      <c r="H58" s="549">
        <f t="shared" si="0"/>
        <v>100</v>
      </c>
      <c r="I58" s="553">
        <v>75</v>
      </c>
      <c r="J58" s="553">
        <v>75</v>
      </c>
      <c r="K58" s="304"/>
    </row>
    <row r="59" spans="1:11" x14ac:dyDescent="0.2">
      <c r="A59" s="184"/>
      <c r="B59" s="32" t="s">
        <v>222</v>
      </c>
      <c r="C59" s="554">
        <f>SUM(C50:C58)</f>
        <v>1400586</v>
      </c>
      <c r="D59" s="555" t="s">
        <v>22</v>
      </c>
      <c r="E59" s="554">
        <f>SUM(E50:E58)</f>
        <v>1400586</v>
      </c>
      <c r="F59" s="554">
        <f>SUM(F50:F58)</f>
        <v>1366586</v>
      </c>
      <c r="G59" s="554">
        <f>SUM(G50:G58)</f>
        <v>34000</v>
      </c>
      <c r="H59" s="551">
        <f t="shared" si="0"/>
        <v>97.572444676728168</v>
      </c>
      <c r="I59" s="554">
        <f>SUM(I50:I58)</f>
        <v>1078454</v>
      </c>
      <c r="J59" s="554">
        <f>SUM(J50:J58)</f>
        <v>1067565</v>
      </c>
      <c r="K59" s="304"/>
    </row>
    <row r="61" spans="1:11" x14ac:dyDescent="0.2">
      <c r="A61" s="631" t="s">
        <v>444</v>
      </c>
      <c r="B61" s="648"/>
      <c r="C61" s="656"/>
      <c r="D61" s="656"/>
      <c r="E61" s="656"/>
      <c r="F61" s="656"/>
      <c r="G61" s="656"/>
      <c r="H61" s="656"/>
      <c r="I61" s="656"/>
      <c r="J61" s="656"/>
    </row>
    <row r="62" spans="1:11" s="72" customFormat="1" x14ac:dyDescent="0.2">
      <c r="A62" s="631" t="s">
        <v>426</v>
      </c>
      <c r="B62" s="667"/>
      <c r="C62" s="667"/>
      <c r="D62" s="667"/>
      <c r="E62" s="667"/>
      <c r="F62" s="667"/>
      <c r="G62" s="667"/>
      <c r="H62" s="667"/>
      <c r="I62" s="667"/>
      <c r="J62" s="667"/>
    </row>
    <row r="63" spans="1:11" x14ac:dyDescent="0.2">
      <c r="B63" s="84"/>
    </row>
    <row r="64" spans="1:11" x14ac:dyDescent="0.2">
      <c r="A64" s="52"/>
      <c r="B64" s="39"/>
      <c r="C64" s="682" t="s">
        <v>427</v>
      </c>
      <c r="D64" s="664"/>
      <c r="E64" s="664"/>
      <c r="F64" s="664"/>
      <c r="G64" s="664"/>
      <c r="H64" s="665"/>
      <c r="I64" s="679" t="s">
        <v>428</v>
      </c>
      <c r="J64" s="676"/>
    </row>
    <row r="65" spans="1:10" ht="12.75" customHeight="1" x14ac:dyDescent="0.2">
      <c r="A65" s="54"/>
      <c r="B65" s="681" t="s">
        <v>445</v>
      </c>
      <c r="C65" s="42" t="s">
        <v>446</v>
      </c>
      <c r="D65" s="42" t="s">
        <v>431</v>
      </c>
      <c r="E65" s="42" t="s">
        <v>447</v>
      </c>
      <c r="F65" s="42" t="s">
        <v>448</v>
      </c>
      <c r="G65" s="42" t="s">
        <v>449</v>
      </c>
      <c r="H65" s="680" t="s">
        <v>435</v>
      </c>
      <c r="I65" s="42" t="s">
        <v>447</v>
      </c>
      <c r="J65" s="177" t="s">
        <v>448</v>
      </c>
    </row>
    <row r="66" spans="1:10" ht="12.75" customHeight="1" x14ac:dyDescent="0.2">
      <c r="A66" s="54"/>
      <c r="B66" s="660"/>
      <c r="C66" s="43" t="s">
        <v>450</v>
      </c>
      <c r="D66" s="43" t="s">
        <v>77</v>
      </c>
      <c r="E66" s="43" t="s">
        <v>451</v>
      </c>
      <c r="F66" s="43" t="s">
        <v>112</v>
      </c>
      <c r="G66" s="43" t="s">
        <v>452</v>
      </c>
      <c r="H66" s="673"/>
      <c r="I66" s="43" t="s">
        <v>451</v>
      </c>
      <c r="J66" s="178" t="s">
        <v>112</v>
      </c>
    </row>
    <row r="67" spans="1:10" x14ac:dyDescent="0.2">
      <c r="A67" s="55"/>
      <c r="B67" s="662"/>
      <c r="C67" s="44" t="s">
        <v>77</v>
      </c>
      <c r="D67" s="45"/>
      <c r="E67" s="44" t="s">
        <v>77</v>
      </c>
      <c r="F67" s="44" t="s">
        <v>77</v>
      </c>
      <c r="G67" s="44" t="s">
        <v>77</v>
      </c>
      <c r="H67" s="669"/>
      <c r="I67" s="44" t="s">
        <v>77</v>
      </c>
      <c r="J67" s="179" t="s">
        <v>77</v>
      </c>
    </row>
    <row r="68" spans="1:10" ht="12.75" customHeight="1" x14ac:dyDescent="0.2">
      <c r="A68" s="556">
        <v>1.1000000000000001</v>
      </c>
      <c r="B68" s="39" t="s">
        <v>453</v>
      </c>
      <c r="C68" s="557"/>
      <c r="D68" s="557"/>
      <c r="E68" s="558"/>
      <c r="F68" s="557"/>
      <c r="G68" s="557"/>
      <c r="H68" s="41"/>
      <c r="I68" s="41"/>
      <c r="J68" s="47"/>
    </row>
    <row r="69" spans="1:10" x14ac:dyDescent="0.2">
      <c r="A69" s="183"/>
      <c r="B69" s="48" t="s">
        <v>11</v>
      </c>
      <c r="C69" s="559">
        <v>764</v>
      </c>
      <c r="D69" s="559">
        <v>123</v>
      </c>
      <c r="E69" s="560">
        <f>+D69+C69</f>
        <v>887</v>
      </c>
      <c r="F69" s="559">
        <v>887</v>
      </c>
      <c r="G69" s="533" t="s">
        <v>22</v>
      </c>
      <c r="H69" s="549">
        <f>+F69/E69*100</f>
        <v>100</v>
      </c>
      <c r="I69" s="559">
        <v>782</v>
      </c>
      <c r="J69" s="533">
        <v>782</v>
      </c>
    </row>
    <row r="70" spans="1:10" ht="12.75" customHeight="1" x14ac:dyDescent="0.2">
      <c r="A70" s="556">
        <v>1.2</v>
      </c>
      <c r="B70" s="21" t="s">
        <v>454</v>
      </c>
      <c r="C70" s="559"/>
      <c r="D70" s="559"/>
      <c r="E70" s="533"/>
      <c r="F70" s="559"/>
      <c r="G70" s="559"/>
      <c r="H70" s="559"/>
      <c r="I70" s="559"/>
      <c r="J70" s="533"/>
    </row>
    <row r="71" spans="1:10" x14ac:dyDescent="0.2">
      <c r="A71" s="183"/>
      <c r="B71" s="48" t="s">
        <v>11</v>
      </c>
      <c r="C71" s="559">
        <v>618</v>
      </c>
      <c r="D71" s="559">
        <v>110</v>
      </c>
      <c r="E71" s="560">
        <f>+D71+C71</f>
        <v>728</v>
      </c>
      <c r="F71" s="559">
        <v>728</v>
      </c>
      <c r="G71" s="533" t="s">
        <v>22</v>
      </c>
      <c r="H71" s="549">
        <f>+F71/E71*100</f>
        <v>100</v>
      </c>
      <c r="I71" s="559">
        <v>670</v>
      </c>
      <c r="J71" s="533">
        <v>670</v>
      </c>
    </row>
    <row r="72" spans="1:10" x14ac:dyDescent="0.2">
      <c r="A72" s="183">
        <v>1.3</v>
      </c>
      <c r="B72" s="21" t="s">
        <v>455</v>
      </c>
      <c r="C72" s="559"/>
      <c r="D72" s="559"/>
      <c r="E72" s="533"/>
      <c r="F72" s="559"/>
      <c r="G72" s="559"/>
      <c r="H72" s="559"/>
      <c r="I72" s="559"/>
      <c r="J72" s="533"/>
    </row>
    <row r="73" spans="1:10" x14ac:dyDescent="0.2">
      <c r="A73" s="183"/>
      <c r="B73" s="48" t="s">
        <v>11</v>
      </c>
      <c r="C73" s="559">
        <v>2108</v>
      </c>
      <c r="D73" s="559">
        <v>1365</v>
      </c>
      <c r="E73" s="560">
        <f>+D73+C73</f>
        <v>3473</v>
      </c>
      <c r="F73" s="559">
        <v>3473</v>
      </c>
      <c r="G73" s="533" t="s">
        <v>22</v>
      </c>
      <c r="H73" s="549">
        <f>+F73/E73*100</f>
        <v>100</v>
      </c>
      <c r="I73" s="559">
        <v>6228</v>
      </c>
      <c r="J73" s="533">
        <v>6228</v>
      </c>
    </row>
    <row r="74" spans="1:10" x14ac:dyDescent="0.2">
      <c r="A74" s="183"/>
      <c r="B74" s="48" t="s">
        <v>21</v>
      </c>
      <c r="C74" s="559">
        <v>80</v>
      </c>
      <c r="D74" s="559">
        <v>-59</v>
      </c>
      <c r="E74" s="560">
        <f>+D74+C74</f>
        <v>21</v>
      </c>
      <c r="F74" s="559">
        <v>21</v>
      </c>
      <c r="G74" s="533" t="s">
        <v>22</v>
      </c>
      <c r="H74" s="549">
        <f>+F74/E74*100</f>
        <v>100</v>
      </c>
      <c r="I74" s="559">
        <v>76</v>
      </c>
      <c r="J74" s="533">
        <v>76</v>
      </c>
    </row>
    <row r="75" spans="1:10" x14ac:dyDescent="0.2">
      <c r="A75" s="183">
        <v>1.4</v>
      </c>
      <c r="B75" s="21" t="s">
        <v>456</v>
      </c>
      <c r="C75" s="559"/>
      <c r="D75" s="559"/>
      <c r="E75" s="533"/>
      <c r="F75" s="559"/>
      <c r="G75" s="559"/>
      <c r="H75" s="559"/>
      <c r="I75" s="559"/>
      <c r="J75" s="533"/>
    </row>
    <row r="76" spans="1:10" x14ac:dyDescent="0.2">
      <c r="A76" s="183"/>
      <c r="B76" s="48" t="s">
        <v>11</v>
      </c>
      <c r="C76" s="559">
        <v>52316</v>
      </c>
      <c r="D76" s="559">
        <v>8813</v>
      </c>
      <c r="E76" s="560">
        <f>+D76+C76</f>
        <v>61129</v>
      </c>
      <c r="F76" s="559">
        <v>61129</v>
      </c>
      <c r="G76" s="533" t="s">
        <v>22</v>
      </c>
      <c r="H76" s="549">
        <f>+F76/E76*100</f>
        <v>100</v>
      </c>
      <c r="I76" s="559">
        <v>61658</v>
      </c>
      <c r="J76" s="533">
        <v>61658</v>
      </c>
    </row>
    <row r="77" spans="1:10" x14ac:dyDescent="0.2">
      <c r="A77" s="183"/>
      <c r="B77" s="48" t="s">
        <v>21</v>
      </c>
      <c r="C77" s="559">
        <v>1723</v>
      </c>
      <c r="D77" s="559">
        <v>398</v>
      </c>
      <c r="E77" s="561">
        <f>+D77+C77</f>
        <v>2121</v>
      </c>
      <c r="F77" s="559">
        <v>2121</v>
      </c>
      <c r="G77" s="533" t="s">
        <v>22</v>
      </c>
      <c r="H77" s="549">
        <f>+F77/E77*100</f>
        <v>100</v>
      </c>
      <c r="I77" s="559">
        <v>4330</v>
      </c>
      <c r="J77" s="533">
        <v>4330</v>
      </c>
    </row>
    <row r="78" spans="1:10" x14ac:dyDescent="0.2">
      <c r="A78" s="58"/>
      <c r="B78" s="141" t="s">
        <v>222</v>
      </c>
      <c r="C78" s="562">
        <f>SUM(C68:C77)</f>
        <v>57609</v>
      </c>
      <c r="D78" s="562">
        <f>SUM(D68:D77)</f>
        <v>10750</v>
      </c>
      <c r="E78" s="562">
        <f>SUM(E68:E77)</f>
        <v>68359</v>
      </c>
      <c r="F78" s="562">
        <f>SUM(F68:F77)</f>
        <v>68359</v>
      </c>
      <c r="G78" s="563" t="s">
        <v>22</v>
      </c>
      <c r="H78" s="551">
        <f>+F78/E78*100</f>
        <v>100</v>
      </c>
      <c r="I78" s="562">
        <f>SUM(I68:I77)</f>
        <v>73744</v>
      </c>
      <c r="J78" s="564">
        <f>SUM(J68:J77)</f>
        <v>73744</v>
      </c>
    </row>
    <row r="79" spans="1:10" x14ac:dyDescent="0.2">
      <c r="A79" s="56"/>
      <c r="B79" s="39"/>
      <c r="C79" s="39"/>
      <c r="D79" s="39"/>
      <c r="E79" s="39"/>
      <c r="F79" s="39"/>
      <c r="G79" s="39"/>
      <c r="H79" s="39"/>
      <c r="I79" s="39"/>
      <c r="J79" s="39"/>
    </row>
    <row r="80" spans="1:10" x14ac:dyDescent="0.2">
      <c r="A80" s="52"/>
      <c r="B80" s="39"/>
      <c r="C80" s="682" t="s">
        <v>427</v>
      </c>
      <c r="D80" s="664"/>
      <c r="E80" s="664"/>
      <c r="F80" s="664"/>
      <c r="G80" s="664"/>
      <c r="H80" s="665"/>
      <c r="I80" s="679" t="s">
        <v>428</v>
      </c>
      <c r="J80" s="676"/>
    </row>
    <row r="81" spans="1:10" ht="12.75" customHeight="1" x14ac:dyDescent="0.2">
      <c r="A81" s="54"/>
      <c r="B81" s="687" t="s">
        <v>440</v>
      </c>
      <c r="C81" s="177" t="s">
        <v>446</v>
      </c>
      <c r="D81" s="49" t="s">
        <v>431</v>
      </c>
      <c r="E81" s="42" t="s">
        <v>447</v>
      </c>
      <c r="F81" s="42" t="s">
        <v>448</v>
      </c>
      <c r="G81" s="42" t="s">
        <v>449</v>
      </c>
      <c r="H81" s="680" t="s">
        <v>435</v>
      </c>
      <c r="I81" s="42" t="s">
        <v>447</v>
      </c>
      <c r="J81" s="177" t="s">
        <v>448</v>
      </c>
    </row>
    <row r="82" spans="1:10" ht="12.75" customHeight="1" x14ac:dyDescent="0.2">
      <c r="A82" s="54"/>
      <c r="B82" s="656"/>
      <c r="C82" s="178" t="s">
        <v>450</v>
      </c>
      <c r="D82" s="185" t="s">
        <v>77</v>
      </c>
      <c r="E82" s="43" t="s">
        <v>451</v>
      </c>
      <c r="F82" s="43" t="s">
        <v>112</v>
      </c>
      <c r="G82" s="43" t="s">
        <v>452</v>
      </c>
      <c r="H82" s="673"/>
      <c r="I82" s="43" t="s">
        <v>451</v>
      </c>
      <c r="J82" s="178" t="s">
        <v>112</v>
      </c>
    </row>
    <row r="83" spans="1:10" x14ac:dyDescent="0.2">
      <c r="A83" s="55"/>
      <c r="B83" s="650"/>
      <c r="C83" s="179" t="s">
        <v>77</v>
      </c>
      <c r="D83" s="46"/>
      <c r="E83" s="44" t="s">
        <v>77</v>
      </c>
      <c r="F83" s="44" t="s">
        <v>77</v>
      </c>
      <c r="G83" s="44" t="s">
        <v>77</v>
      </c>
      <c r="H83" s="669"/>
      <c r="I83" s="44" t="s">
        <v>77</v>
      </c>
      <c r="J83" s="179" t="s">
        <v>77</v>
      </c>
    </row>
    <row r="84" spans="1:10" x14ac:dyDescent="0.2">
      <c r="A84" s="183"/>
      <c r="B84" s="21" t="s">
        <v>11</v>
      </c>
      <c r="C84" s="565"/>
      <c r="D84" s="566"/>
      <c r="E84" s="558"/>
      <c r="F84" s="566"/>
      <c r="G84" s="558"/>
      <c r="H84" s="567"/>
      <c r="I84" s="568"/>
      <c r="J84" s="568"/>
    </row>
    <row r="85" spans="1:10" x14ac:dyDescent="0.2">
      <c r="A85" s="183"/>
      <c r="B85" s="48" t="s">
        <v>12</v>
      </c>
      <c r="C85" s="533">
        <v>27529</v>
      </c>
      <c r="D85" s="569">
        <v>4117</v>
      </c>
      <c r="E85" s="560">
        <f>+D85+C85</f>
        <v>31646</v>
      </c>
      <c r="F85" s="569">
        <v>31646</v>
      </c>
      <c r="G85" s="533" t="s">
        <v>22</v>
      </c>
      <c r="H85" s="549">
        <f>+F85/E85*100</f>
        <v>100</v>
      </c>
      <c r="I85" s="533">
        <v>28553</v>
      </c>
      <c r="J85" s="533">
        <v>28553</v>
      </c>
    </row>
    <row r="86" spans="1:10" x14ac:dyDescent="0.2">
      <c r="A86" s="183"/>
      <c r="B86" s="48" t="s">
        <v>106</v>
      </c>
      <c r="C86" s="533">
        <v>28277</v>
      </c>
      <c r="D86" s="569">
        <v>6294</v>
      </c>
      <c r="E86" s="560">
        <f>+D86+C86</f>
        <v>34571</v>
      </c>
      <c r="F86" s="569">
        <v>34571</v>
      </c>
      <c r="G86" s="533" t="s">
        <v>22</v>
      </c>
      <c r="H86" s="549">
        <f>+F86/E86*100</f>
        <v>100</v>
      </c>
      <c r="I86" s="533">
        <v>40785</v>
      </c>
      <c r="J86" s="533">
        <v>40785</v>
      </c>
    </row>
    <row r="87" spans="1:10" x14ac:dyDescent="0.2">
      <c r="A87" s="183"/>
      <c r="B87" s="21" t="s">
        <v>21</v>
      </c>
      <c r="C87" s="533"/>
      <c r="D87" s="569"/>
      <c r="E87" s="533"/>
      <c r="F87" s="569"/>
      <c r="G87" s="533"/>
      <c r="H87" s="569"/>
      <c r="I87" s="533"/>
      <c r="J87" s="533"/>
    </row>
    <row r="88" spans="1:10" ht="12.75" customHeight="1" x14ac:dyDescent="0.2">
      <c r="A88" s="183"/>
      <c r="B88" s="48" t="s">
        <v>441</v>
      </c>
      <c r="C88" s="533">
        <v>1803</v>
      </c>
      <c r="D88" s="569">
        <v>339</v>
      </c>
      <c r="E88" s="560">
        <f>+D88+C88</f>
        <v>2142</v>
      </c>
      <c r="F88" s="569">
        <v>2142</v>
      </c>
      <c r="G88" s="533" t="s">
        <v>22</v>
      </c>
      <c r="H88" s="549">
        <f>+F88/E88*100</f>
        <v>100</v>
      </c>
      <c r="I88" s="533">
        <f>4330+76</f>
        <v>4406</v>
      </c>
      <c r="J88" s="533">
        <v>4406</v>
      </c>
    </row>
    <row r="89" spans="1:10" x14ac:dyDescent="0.2">
      <c r="A89" s="53"/>
      <c r="B89" s="8" t="s">
        <v>222</v>
      </c>
      <c r="C89" s="570">
        <f>SUM(C84:C88)</f>
        <v>57609</v>
      </c>
      <c r="D89" s="570">
        <f>SUM(D84:D88)</f>
        <v>10750</v>
      </c>
      <c r="E89" s="570">
        <f>SUM(E84:E88)</f>
        <v>68359</v>
      </c>
      <c r="F89" s="570">
        <f>SUM(F84:F88)</f>
        <v>68359</v>
      </c>
      <c r="G89" s="546" t="s">
        <v>22</v>
      </c>
      <c r="H89" s="551">
        <f>+F89/E89*100</f>
        <v>100</v>
      </c>
      <c r="I89" s="570">
        <f>SUM(I84:I88)</f>
        <v>73744</v>
      </c>
      <c r="J89" s="570">
        <f>SUM(J84:J88)</f>
        <v>73744</v>
      </c>
    </row>
    <row r="90" spans="1:10" x14ac:dyDescent="0.2">
      <c r="A90" s="14"/>
      <c r="B90" s="1"/>
      <c r="C90" s="1"/>
      <c r="D90" s="1"/>
      <c r="E90" s="1"/>
      <c r="F90" s="1"/>
      <c r="G90" s="1"/>
      <c r="H90" s="1"/>
      <c r="I90" s="1"/>
      <c r="J90" s="1"/>
    </row>
    <row r="91" spans="1:10" x14ac:dyDescent="0.2">
      <c r="A91" s="52"/>
      <c r="B91" s="39"/>
      <c r="C91" s="682" t="s">
        <v>427</v>
      </c>
      <c r="D91" s="664"/>
      <c r="E91" s="664"/>
      <c r="F91" s="664"/>
      <c r="G91" s="664"/>
      <c r="H91" s="665"/>
      <c r="I91" s="679" t="s">
        <v>428</v>
      </c>
      <c r="J91" s="676"/>
    </row>
    <row r="92" spans="1:10" ht="12.75" customHeight="1" x14ac:dyDescent="0.2">
      <c r="A92" s="54"/>
      <c r="B92" s="681" t="s">
        <v>442</v>
      </c>
      <c r="C92" s="177" t="s">
        <v>446</v>
      </c>
      <c r="D92" s="42" t="s">
        <v>431</v>
      </c>
      <c r="E92" s="42" t="s">
        <v>447</v>
      </c>
      <c r="F92" s="42" t="s">
        <v>448</v>
      </c>
      <c r="G92" s="42" t="s">
        <v>449</v>
      </c>
      <c r="H92" s="680" t="s">
        <v>435</v>
      </c>
      <c r="I92" s="42" t="s">
        <v>447</v>
      </c>
      <c r="J92" s="177" t="s">
        <v>448</v>
      </c>
    </row>
    <row r="93" spans="1:10" ht="12.75" customHeight="1" x14ac:dyDescent="0.2">
      <c r="A93" s="54"/>
      <c r="B93" s="660"/>
      <c r="C93" s="178" t="s">
        <v>450</v>
      </c>
      <c r="D93" s="43" t="s">
        <v>77</v>
      </c>
      <c r="E93" s="43" t="s">
        <v>451</v>
      </c>
      <c r="F93" s="43" t="s">
        <v>112</v>
      </c>
      <c r="G93" s="43" t="s">
        <v>452</v>
      </c>
      <c r="H93" s="673"/>
      <c r="I93" s="43" t="s">
        <v>451</v>
      </c>
      <c r="J93" s="178" t="s">
        <v>112</v>
      </c>
    </row>
    <row r="94" spans="1:10" x14ac:dyDescent="0.2">
      <c r="A94" s="55"/>
      <c r="B94" s="662"/>
      <c r="C94" s="179" t="s">
        <v>77</v>
      </c>
      <c r="D94" s="46"/>
      <c r="E94" s="44" t="s">
        <v>77</v>
      </c>
      <c r="F94" s="44" t="s">
        <v>77</v>
      </c>
      <c r="G94" s="44" t="s">
        <v>77</v>
      </c>
      <c r="H94" s="669"/>
      <c r="I94" s="44" t="s">
        <v>77</v>
      </c>
      <c r="J94" s="179" t="s">
        <v>77</v>
      </c>
    </row>
    <row r="95" spans="1:10" x14ac:dyDescent="0.2">
      <c r="A95" s="183"/>
      <c r="B95" s="21" t="s">
        <v>12</v>
      </c>
      <c r="C95" s="533">
        <v>27529</v>
      </c>
      <c r="D95" s="569">
        <v>4117</v>
      </c>
      <c r="E95" s="560">
        <f>+D95+C95</f>
        <v>31646</v>
      </c>
      <c r="F95" s="569">
        <v>31646</v>
      </c>
      <c r="G95" s="533" t="s">
        <v>22</v>
      </c>
      <c r="H95" s="549">
        <f t="shared" ref="H95:H101" si="1">+F95/E95*100</f>
        <v>100</v>
      </c>
      <c r="I95" s="533">
        <v>28553</v>
      </c>
      <c r="J95" s="533">
        <v>28553</v>
      </c>
    </row>
    <row r="96" spans="1:10" x14ac:dyDescent="0.2">
      <c r="A96" s="183"/>
      <c r="B96" s="21" t="s">
        <v>13</v>
      </c>
      <c r="C96" s="533">
        <v>12919</v>
      </c>
      <c r="D96" s="569">
        <v>7168</v>
      </c>
      <c r="E96" s="560">
        <f>+D96+C96</f>
        <v>20087</v>
      </c>
      <c r="F96" s="569">
        <f>20088-1</f>
        <v>20087</v>
      </c>
      <c r="G96" s="533" t="s">
        <v>22</v>
      </c>
      <c r="H96" s="549">
        <f t="shared" si="1"/>
        <v>100</v>
      </c>
      <c r="I96" s="533">
        <v>17462</v>
      </c>
      <c r="J96" s="533">
        <v>17462</v>
      </c>
    </row>
    <row r="97" spans="1:10" x14ac:dyDescent="0.2">
      <c r="A97" s="183"/>
      <c r="B97" s="21" t="s">
        <v>14</v>
      </c>
      <c r="C97" s="533">
        <v>2466</v>
      </c>
      <c r="D97" s="569">
        <v>1629</v>
      </c>
      <c r="E97" s="571">
        <f>+C97+D97</f>
        <v>4095</v>
      </c>
      <c r="F97" s="569">
        <v>4095</v>
      </c>
      <c r="G97" s="533" t="s">
        <v>22</v>
      </c>
      <c r="H97" s="549">
        <f t="shared" si="1"/>
        <v>100</v>
      </c>
      <c r="I97" s="533">
        <v>3574</v>
      </c>
      <c r="J97" s="533">
        <v>3574</v>
      </c>
    </row>
    <row r="98" spans="1:10" x14ac:dyDescent="0.2">
      <c r="A98" s="183"/>
      <c r="B98" s="21" t="s">
        <v>296</v>
      </c>
      <c r="C98" s="533">
        <v>2376</v>
      </c>
      <c r="D98" s="569">
        <v>471</v>
      </c>
      <c r="E98" s="560">
        <f>+D98+C98</f>
        <v>2847</v>
      </c>
      <c r="F98" s="569">
        <f>2846+1</f>
        <v>2847</v>
      </c>
      <c r="G98" s="533" t="s">
        <v>22</v>
      </c>
      <c r="H98" s="549">
        <f t="shared" si="1"/>
        <v>100</v>
      </c>
      <c r="I98" s="533">
        <v>4190</v>
      </c>
      <c r="J98" s="533">
        <v>4190</v>
      </c>
    </row>
    <row r="99" spans="1:10" ht="25.5" customHeight="1" x14ac:dyDescent="0.2">
      <c r="A99" s="183"/>
      <c r="B99" s="21" t="s">
        <v>16</v>
      </c>
      <c r="C99" s="533">
        <v>12319</v>
      </c>
      <c r="D99" s="569">
        <v>-2640</v>
      </c>
      <c r="E99" s="560">
        <f>+D99+C99</f>
        <v>9679</v>
      </c>
      <c r="F99" s="569">
        <v>9679</v>
      </c>
      <c r="G99" s="533" t="s">
        <v>22</v>
      </c>
      <c r="H99" s="549">
        <f t="shared" si="1"/>
        <v>100</v>
      </c>
      <c r="I99" s="533">
        <v>19947</v>
      </c>
      <c r="J99" s="533">
        <v>19947</v>
      </c>
    </row>
    <row r="100" spans="1:10" x14ac:dyDescent="0.2">
      <c r="A100" s="183"/>
      <c r="B100" s="21" t="s">
        <v>18</v>
      </c>
      <c r="C100" s="533" t="s">
        <v>22</v>
      </c>
      <c r="D100" s="569">
        <v>5</v>
      </c>
      <c r="E100" s="572">
        <f>+D100</f>
        <v>5</v>
      </c>
      <c r="F100" s="569">
        <v>5</v>
      </c>
      <c r="G100" s="533" t="s">
        <v>22</v>
      </c>
      <c r="H100" s="549">
        <f t="shared" si="1"/>
        <v>100</v>
      </c>
      <c r="I100" s="533">
        <v>18</v>
      </c>
      <c r="J100" s="533">
        <v>18</v>
      </c>
    </row>
    <row r="101" spans="1:10" x14ac:dyDescent="0.2">
      <c r="A101" s="53"/>
      <c r="B101" s="8" t="s">
        <v>222</v>
      </c>
      <c r="C101" s="573">
        <f>SUM(C95:C100)</f>
        <v>57609</v>
      </c>
      <c r="D101" s="573">
        <f>SUM(D95:D100)</f>
        <v>10750</v>
      </c>
      <c r="E101" s="573">
        <f>SUM(E95:E100)</f>
        <v>68359</v>
      </c>
      <c r="F101" s="573">
        <f>SUM(F95:F100)</f>
        <v>68359</v>
      </c>
      <c r="G101" s="546" t="s">
        <v>22</v>
      </c>
      <c r="H101" s="551">
        <f t="shared" si="1"/>
        <v>100</v>
      </c>
      <c r="I101" s="573">
        <f>SUM(I95:I100)</f>
        <v>73744</v>
      </c>
      <c r="J101" s="573">
        <f>SUM(J95:J100)</f>
        <v>73744</v>
      </c>
    </row>
    <row r="103" spans="1:10" x14ac:dyDescent="0.2">
      <c r="A103" s="631" t="s">
        <v>457</v>
      </c>
      <c r="B103" s="656"/>
      <c r="C103" s="656"/>
      <c r="D103" s="656"/>
      <c r="E103" s="656"/>
      <c r="F103" s="656"/>
      <c r="G103" s="656"/>
      <c r="H103" s="656"/>
      <c r="I103" s="656"/>
      <c r="J103" s="656"/>
    </row>
    <row r="104" spans="1:10" s="72" customFormat="1" x14ac:dyDescent="0.2">
      <c r="A104" s="631" t="s">
        <v>426</v>
      </c>
      <c r="B104" s="667"/>
      <c r="C104" s="667"/>
      <c r="D104" s="667"/>
      <c r="E104" s="667"/>
      <c r="F104" s="667"/>
      <c r="G104" s="667"/>
      <c r="H104" s="667"/>
      <c r="I104" s="667"/>
      <c r="J104" s="667"/>
    </row>
    <row r="106" spans="1:10" x14ac:dyDescent="0.2">
      <c r="A106" s="52"/>
      <c r="B106" s="39"/>
      <c r="C106" s="682" t="s">
        <v>427</v>
      </c>
      <c r="D106" s="664"/>
      <c r="E106" s="664"/>
      <c r="F106" s="664"/>
      <c r="G106" s="664"/>
      <c r="H106" s="665"/>
      <c r="I106" s="679" t="s">
        <v>428</v>
      </c>
      <c r="J106" s="676"/>
    </row>
    <row r="107" spans="1:10" ht="12.75" customHeight="1" x14ac:dyDescent="0.2">
      <c r="A107" s="54"/>
      <c r="B107" s="681" t="s">
        <v>445</v>
      </c>
      <c r="C107" s="42" t="s">
        <v>446</v>
      </c>
      <c r="D107" s="42" t="s">
        <v>431</v>
      </c>
      <c r="E107" s="42" t="s">
        <v>447</v>
      </c>
      <c r="F107" s="42" t="s">
        <v>448</v>
      </c>
      <c r="G107" s="42" t="s">
        <v>449</v>
      </c>
      <c r="H107" s="680" t="s">
        <v>435</v>
      </c>
      <c r="I107" s="42" t="s">
        <v>447</v>
      </c>
      <c r="J107" s="177" t="s">
        <v>448</v>
      </c>
    </row>
    <row r="108" spans="1:10" ht="12.75" customHeight="1" x14ac:dyDescent="0.2">
      <c r="A108" s="54"/>
      <c r="B108" s="660"/>
      <c r="C108" s="43" t="s">
        <v>450</v>
      </c>
      <c r="D108" s="43" t="s">
        <v>77</v>
      </c>
      <c r="E108" s="43" t="s">
        <v>451</v>
      </c>
      <c r="F108" s="43" t="s">
        <v>112</v>
      </c>
      <c r="G108" s="43" t="s">
        <v>452</v>
      </c>
      <c r="H108" s="673"/>
      <c r="I108" s="43" t="s">
        <v>451</v>
      </c>
      <c r="J108" s="178" t="s">
        <v>112</v>
      </c>
    </row>
    <row r="109" spans="1:10" x14ac:dyDescent="0.2">
      <c r="A109" s="55"/>
      <c r="B109" s="662"/>
      <c r="C109" s="44" t="s">
        <v>77</v>
      </c>
      <c r="D109" s="45"/>
      <c r="E109" s="44" t="s">
        <v>77</v>
      </c>
      <c r="F109" s="44" t="s">
        <v>77</v>
      </c>
      <c r="G109" s="44" t="s">
        <v>77</v>
      </c>
      <c r="H109" s="669"/>
      <c r="I109" s="44" t="s">
        <v>77</v>
      </c>
      <c r="J109" s="179" t="s">
        <v>77</v>
      </c>
    </row>
    <row r="110" spans="1:10" ht="15" customHeight="1" x14ac:dyDescent="0.2">
      <c r="A110" s="556">
        <v>2.1</v>
      </c>
      <c r="B110" s="149" t="s">
        <v>455</v>
      </c>
      <c r="C110" s="150"/>
      <c r="D110" s="82"/>
      <c r="E110" s="151"/>
      <c r="F110" s="152"/>
      <c r="G110" s="151"/>
      <c r="H110" s="152"/>
      <c r="I110" s="574"/>
      <c r="J110" s="574"/>
    </row>
    <row r="111" spans="1:10" x14ac:dyDescent="0.2">
      <c r="A111" s="183"/>
      <c r="B111" s="48" t="s">
        <v>11</v>
      </c>
      <c r="C111" s="575">
        <v>4437</v>
      </c>
      <c r="D111" s="576">
        <v>-280</v>
      </c>
      <c r="E111" s="560">
        <f>+D111+C111</f>
        <v>4157</v>
      </c>
      <c r="F111" s="559">
        <v>4157</v>
      </c>
      <c r="G111" s="533" t="s">
        <v>22</v>
      </c>
      <c r="H111" s="549">
        <f>+F111/E111*100</f>
        <v>100</v>
      </c>
      <c r="I111" s="533">
        <v>1668</v>
      </c>
      <c r="J111" s="533">
        <v>2974</v>
      </c>
    </row>
    <row r="112" spans="1:10" x14ac:dyDescent="0.2">
      <c r="A112" s="183"/>
      <c r="B112" s="48" t="s">
        <v>21</v>
      </c>
      <c r="C112" s="575">
        <v>350</v>
      </c>
      <c r="D112" s="576">
        <v>1</v>
      </c>
      <c r="E112" s="560">
        <f>+D112+C112</f>
        <v>351</v>
      </c>
      <c r="F112" s="559">
        <v>351</v>
      </c>
      <c r="G112" s="533" t="s">
        <v>22</v>
      </c>
      <c r="H112" s="549">
        <f>+F112/E112*100</f>
        <v>100</v>
      </c>
      <c r="I112" s="533">
        <v>108</v>
      </c>
      <c r="J112" s="533">
        <v>229</v>
      </c>
    </row>
    <row r="113" spans="1:10" ht="28.9" customHeight="1" x14ac:dyDescent="0.2">
      <c r="A113" s="556">
        <v>2.2000000000000002</v>
      </c>
      <c r="B113" s="2" t="s">
        <v>458</v>
      </c>
      <c r="C113" s="575"/>
      <c r="D113" s="576"/>
      <c r="E113" s="533"/>
      <c r="F113" s="559"/>
      <c r="G113" s="533"/>
      <c r="H113" s="559"/>
      <c r="I113" s="533"/>
      <c r="J113" s="533"/>
    </row>
    <row r="114" spans="1:10" x14ac:dyDescent="0.2">
      <c r="A114" s="183"/>
      <c r="B114" s="48" t="s">
        <v>11</v>
      </c>
      <c r="C114" s="575">
        <v>7764</v>
      </c>
      <c r="D114" s="576">
        <v>-3124</v>
      </c>
      <c r="E114" s="560">
        <f>+D114+C114</f>
        <v>4640</v>
      </c>
      <c r="F114" s="559">
        <v>4640</v>
      </c>
      <c r="G114" s="533" t="s">
        <v>22</v>
      </c>
      <c r="H114" s="549">
        <f>+F114/E114*100</f>
        <v>100</v>
      </c>
      <c r="I114" s="533">
        <v>7899</v>
      </c>
      <c r="J114" s="533">
        <v>6157</v>
      </c>
    </row>
    <row r="115" spans="1:10" x14ac:dyDescent="0.2">
      <c r="A115" s="183"/>
      <c r="B115" s="48" t="s">
        <v>21</v>
      </c>
      <c r="C115" s="575">
        <v>232</v>
      </c>
      <c r="D115" s="576">
        <v>15</v>
      </c>
      <c r="E115" s="560">
        <f>+D115+C115</f>
        <v>247</v>
      </c>
      <c r="F115" s="559">
        <v>247</v>
      </c>
      <c r="G115" s="533" t="s">
        <v>22</v>
      </c>
      <c r="H115" s="549">
        <f>+F115/E115*100</f>
        <v>100</v>
      </c>
      <c r="I115" s="533">
        <v>528</v>
      </c>
      <c r="J115" s="533">
        <v>205</v>
      </c>
    </row>
    <row r="116" spans="1:10" ht="28.15" customHeight="1" x14ac:dyDescent="0.2">
      <c r="A116" s="556">
        <v>2.2999999999999998</v>
      </c>
      <c r="B116" s="2" t="s">
        <v>459</v>
      </c>
      <c r="C116" s="575"/>
      <c r="D116" s="576"/>
      <c r="E116" s="533"/>
      <c r="F116" s="559"/>
      <c r="G116" s="533"/>
      <c r="H116" s="559"/>
      <c r="I116" s="533"/>
      <c r="J116" s="533"/>
    </row>
    <row r="117" spans="1:10" x14ac:dyDescent="0.2">
      <c r="A117" s="183"/>
      <c r="B117" s="48" t="s">
        <v>11</v>
      </c>
      <c r="C117" s="575">
        <v>4674</v>
      </c>
      <c r="D117" s="576">
        <v>-1376</v>
      </c>
      <c r="E117" s="560">
        <f>+D117+C117</f>
        <v>3298</v>
      </c>
      <c r="F117" s="559">
        <v>3298</v>
      </c>
      <c r="G117" s="533" t="s">
        <v>22</v>
      </c>
      <c r="H117" s="549">
        <f>+F117/E117*100</f>
        <v>100</v>
      </c>
      <c r="I117" s="533">
        <v>4282</v>
      </c>
      <c r="J117" s="533">
        <v>3892</v>
      </c>
    </row>
    <row r="118" spans="1:10" x14ac:dyDescent="0.2">
      <c r="A118" s="183"/>
      <c r="B118" s="48" t="s">
        <v>21</v>
      </c>
      <c r="C118" s="575">
        <v>69</v>
      </c>
      <c r="D118" s="576">
        <v>86</v>
      </c>
      <c r="E118" s="560">
        <f>+D118+C118</f>
        <v>155</v>
      </c>
      <c r="F118" s="559">
        <v>155</v>
      </c>
      <c r="G118" s="533" t="s">
        <v>22</v>
      </c>
      <c r="H118" s="549">
        <f>+F118/E118*100</f>
        <v>100</v>
      </c>
      <c r="I118" s="533">
        <v>20</v>
      </c>
      <c r="J118" s="533">
        <v>152</v>
      </c>
    </row>
    <row r="119" spans="1:10" ht="27" customHeight="1" x14ac:dyDescent="0.2">
      <c r="A119" s="556">
        <v>2.4</v>
      </c>
      <c r="B119" s="2" t="s">
        <v>460</v>
      </c>
      <c r="C119" s="575"/>
      <c r="D119" s="576"/>
      <c r="E119" s="533"/>
      <c r="F119" s="559"/>
      <c r="G119" s="533"/>
      <c r="H119" s="559"/>
      <c r="I119" s="533"/>
      <c r="J119" s="533"/>
    </row>
    <row r="120" spans="1:10" x14ac:dyDescent="0.2">
      <c r="A120" s="183"/>
      <c r="B120" s="48" t="s">
        <v>11</v>
      </c>
      <c r="C120" s="575">
        <v>2712</v>
      </c>
      <c r="D120" s="576">
        <v>-377</v>
      </c>
      <c r="E120" s="560">
        <f>+D120+C120</f>
        <v>2335</v>
      </c>
      <c r="F120" s="559">
        <v>2335</v>
      </c>
      <c r="G120" s="533" t="s">
        <v>22</v>
      </c>
      <c r="H120" s="549">
        <f>+F120/E120*100</f>
        <v>100</v>
      </c>
      <c r="I120" s="533">
        <v>2660</v>
      </c>
      <c r="J120" s="533">
        <v>2013</v>
      </c>
    </row>
    <row r="121" spans="1:10" x14ac:dyDescent="0.2">
      <c r="A121" s="183"/>
      <c r="B121" s="48" t="s">
        <v>21</v>
      </c>
      <c r="C121" s="575">
        <v>80</v>
      </c>
      <c r="D121" s="576">
        <v>-53</v>
      </c>
      <c r="E121" s="560">
        <f>+D121+C121</f>
        <v>27</v>
      </c>
      <c r="F121" s="559">
        <v>27</v>
      </c>
      <c r="G121" s="533" t="s">
        <v>22</v>
      </c>
      <c r="H121" s="549">
        <f>+F121/E121*100</f>
        <v>100</v>
      </c>
      <c r="I121" s="533">
        <v>45</v>
      </c>
      <c r="J121" s="533">
        <v>138</v>
      </c>
    </row>
    <row r="122" spans="1:10" ht="27.6" customHeight="1" x14ac:dyDescent="0.2">
      <c r="A122" s="556">
        <v>2.5</v>
      </c>
      <c r="B122" s="2" t="s">
        <v>461</v>
      </c>
      <c r="C122" s="575"/>
      <c r="D122" s="576"/>
      <c r="E122" s="533"/>
      <c r="F122" s="559"/>
      <c r="G122" s="533"/>
      <c r="H122" s="559"/>
      <c r="I122" s="533"/>
      <c r="J122" s="533"/>
    </row>
    <row r="123" spans="1:10" x14ac:dyDescent="0.2">
      <c r="A123" s="183"/>
      <c r="B123" s="48" t="s">
        <v>11</v>
      </c>
      <c r="C123" s="575">
        <v>5962</v>
      </c>
      <c r="D123" s="576">
        <v>-2296</v>
      </c>
      <c r="E123" s="560">
        <f>+D123+C123</f>
        <v>3666</v>
      </c>
      <c r="F123" s="559">
        <v>3666</v>
      </c>
      <c r="G123" s="533" t="s">
        <v>22</v>
      </c>
      <c r="H123" s="549">
        <f>+F123/E123*100</f>
        <v>100</v>
      </c>
      <c r="I123" s="533">
        <v>4077</v>
      </c>
      <c r="J123" s="533">
        <v>5489</v>
      </c>
    </row>
    <row r="124" spans="1:10" x14ac:dyDescent="0.2">
      <c r="A124" s="183"/>
      <c r="B124" s="48" t="s">
        <v>21</v>
      </c>
      <c r="C124" s="575">
        <v>238</v>
      </c>
      <c r="D124" s="576">
        <v>-26</v>
      </c>
      <c r="E124" s="560">
        <f>+D124+C124</f>
        <v>212</v>
      </c>
      <c r="F124" s="559">
        <v>212</v>
      </c>
      <c r="G124" s="533" t="s">
        <v>22</v>
      </c>
      <c r="H124" s="549">
        <f>+F124/E124*100</f>
        <v>100</v>
      </c>
      <c r="I124" s="533">
        <v>186</v>
      </c>
      <c r="J124" s="533">
        <v>225</v>
      </c>
    </row>
    <row r="125" spans="1:10" x14ac:dyDescent="0.2">
      <c r="A125" s="556">
        <v>2.6</v>
      </c>
      <c r="B125" s="153" t="s">
        <v>462</v>
      </c>
      <c r="C125" s="575"/>
      <c r="D125" s="576"/>
      <c r="E125" s="533"/>
      <c r="F125" s="559"/>
      <c r="G125" s="533"/>
      <c r="H125" s="559"/>
      <c r="I125" s="533"/>
      <c r="J125" s="533"/>
    </row>
    <row r="126" spans="1:10" x14ac:dyDescent="0.2">
      <c r="A126" s="183"/>
      <c r="B126" s="48" t="s">
        <v>11</v>
      </c>
      <c r="C126" s="575">
        <v>248454</v>
      </c>
      <c r="D126" s="576" t="s">
        <v>22</v>
      </c>
      <c r="E126" s="577">
        <f>C126</f>
        <v>248454</v>
      </c>
      <c r="F126" s="559">
        <v>248100</v>
      </c>
      <c r="G126" s="578">
        <f>+E126-F126</f>
        <v>354</v>
      </c>
      <c r="H126" s="549">
        <f>+F126/E126*100</f>
        <v>99.857518896858167</v>
      </c>
      <c r="I126" s="533">
        <v>36354</v>
      </c>
      <c r="J126" s="533">
        <v>36200</v>
      </c>
    </row>
    <row r="127" spans="1:10" x14ac:dyDescent="0.2">
      <c r="A127" s="58"/>
      <c r="B127" s="141" t="s">
        <v>222</v>
      </c>
      <c r="C127" s="579">
        <f>SUM(C110:C126)</f>
        <v>274972</v>
      </c>
      <c r="D127" s="579">
        <f>SUM(D110:D126)</f>
        <v>-7430</v>
      </c>
      <c r="E127" s="579">
        <f>SUM(E110:E126)</f>
        <v>267542</v>
      </c>
      <c r="F127" s="579">
        <f>SUM(F110:F126)</f>
        <v>267188</v>
      </c>
      <c r="G127" s="579">
        <f>SUM(G110:G126)</f>
        <v>354</v>
      </c>
      <c r="H127" s="551">
        <f>+F127/E127*100</f>
        <v>99.867684326199253</v>
      </c>
      <c r="I127" s="579">
        <f>SUM(I110:I126)</f>
        <v>57827</v>
      </c>
      <c r="J127" s="579">
        <f>SUM(J110:J126)</f>
        <v>57674</v>
      </c>
    </row>
    <row r="128" spans="1:10" x14ac:dyDescent="0.2">
      <c r="A128" s="37"/>
      <c r="B128" s="8"/>
      <c r="C128" s="8"/>
      <c r="D128" s="8"/>
      <c r="E128" s="8"/>
      <c r="F128" s="8"/>
      <c r="G128" s="8"/>
      <c r="H128" s="8"/>
      <c r="I128" s="8"/>
      <c r="J128" s="8"/>
    </row>
    <row r="129" spans="1:10" x14ac:dyDescent="0.2">
      <c r="A129" s="52"/>
      <c r="B129" s="39"/>
      <c r="C129" s="682" t="s">
        <v>427</v>
      </c>
      <c r="D129" s="664"/>
      <c r="E129" s="664"/>
      <c r="F129" s="664"/>
      <c r="G129" s="664"/>
      <c r="H129" s="665"/>
      <c r="I129" s="679" t="s">
        <v>428</v>
      </c>
      <c r="J129" s="676"/>
    </row>
    <row r="130" spans="1:10" ht="12.75" customHeight="1" x14ac:dyDescent="0.2">
      <c r="A130" s="54"/>
      <c r="B130" s="687" t="s">
        <v>440</v>
      </c>
      <c r="C130" s="177" t="s">
        <v>446</v>
      </c>
      <c r="D130" s="49" t="s">
        <v>431</v>
      </c>
      <c r="E130" s="42" t="s">
        <v>447</v>
      </c>
      <c r="F130" s="42" t="s">
        <v>448</v>
      </c>
      <c r="G130" s="42" t="s">
        <v>449</v>
      </c>
      <c r="H130" s="680" t="s">
        <v>435</v>
      </c>
      <c r="I130" s="42" t="s">
        <v>447</v>
      </c>
      <c r="J130" s="177" t="s">
        <v>448</v>
      </c>
    </row>
    <row r="131" spans="1:10" ht="12.75" customHeight="1" x14ac:dyDescent="0.2">
      <c r="A131" s="54"/>
      <c r="B131" s="656"/>
      <c r="C131" s="178" t="s">
        <v>450</v>
      </c>
      <c r="D131" s="185" t="s">
        <v>77</v>
      </c>
      <c r="E131" s="43" t="s">
        <v>451</v>
      </c>
      <c r="F131" s="43" t="s">
        <v>112</v>
      </c>
      <c r="G131" s="43" t="s">
        <v>452</v>
      </c>
      <c r="H131" s="673"/>
      <c r="I131" s="43" t="s">
        <v>451</v>
      </c>
      <c r="J131" s="178" t="s">
        <v>112</v>
      </c>
    </row>
    <row r="132" spans="1:10" x14ac:dyDescent="0.2">
      <c r="A132" s="55"/>
      <c r="B132" s="650"/>
      <c r="C132" s="179" t="s">
        <v>77</v>
      </c>
      <c r="D132" s="46"/>
      <c r="E132" s="44" t="s">
        <v>77</v>
      </c>
      <c r="F132" s="44" t="s">
        <v>77</v>
      </c>
      <c r="G132" s="44" t="s">
        <v>77</v>
      </c>
      <c r="H132" s="669"/>
      <c r="I132" s="44" t="s">
        <v>77</v>
      </c>
      <c r="J132" s="179" t="s">
        <v>77</v>
      </c>
    </row>
    <row r="133" spans="1:10" x14ac:dyDescent="0.2">
      <c r="A133" s="52"/>
      <c r="B133" s="39" t="s">
        <v>11</v>
      </c>
      <c r="C133" s="154"/>
      <c r="D133" s="155"/>
      <c r="E133" s="151"/>
      <c r="F133" s="156"/>
      <c r="G133" s="151"/>
      <c r="H133" s="156"/>
      <c r="I133" s="151"/>
      <c r="J133" s="151"/>
    </row>
    <row r="134" spans="1:10" x14ac:dyDescent="0.2">
      <c r="A134" s="183"/>
      <c r="B134" s="48" t="s">
        <v>12</v>
      </c>
      <c r="C134" s="580">
        <v>10710</v>
      </c>
      <c r="D134" s="527">
        <v>-300</v>
      </c>
      <c r="E134" s="560">
        <f>+D134+C134</f>
        <v>10410</v>
      </c>
      <c r="F134" s="527">
        <v>10410</v>
      </c>
      <c r="G134" s="533" t="s">
        <v>22</v>
      </c>
      <c r="H134" s="549">
        <f>+F134/E134*100</f>
        <v>100</v>
      </c>
      <c r="I134" s="533">
        <v>8651</v>
      </c>
      <c r="J134" s="533">
        <v>8651</v>
      </c>
    </row>
    <row r="135" spans="1:10" x14ac:dyDescent="0.2">
      <c r="A135" s="183"/>
      <c r="B135" s="48" t="s">
        <v>17</v>
      </c>
      <c r="C135" s="580">
        <v>248454</v>
      </c>
      <c r="D135" s="527" t="s">
        <v>22</v>
      </c>
      <c r="E135" s="577">
        <f>+C135</f>
        <v>248454</v>
      </c>
      <c r="F135" s="527">
        <v>248100</v>
      </c>
      <c r="G135" s="578">
        <f>+E135-F135</f>
        <v>354</v>
      </c>
      <c r="H135" s="549">
        <f>+F135/E135*100</f>
        <v>99.857518896858167</v>
      </c>
      <c r="I135" s="533">
        <v>36354</v>
      </c>
      <c r="J135" s="533">
        <v>36200</v>
      </c>
    </row>
    <row r="136" spans="1:10" x14ac:dyDescent="0.2">
      <c r="A136" s="183"/>
      <c r="B136" s="48" t="s">
        <v>106</v>
      </c>
      <c r="C136" s="580">
        <v>14839</v>
      </c>
      <c r="D136" s="527">
        <v>-7153</v>
      </c>
      <c r="E136" s="560">
        <f>+D136+C136</f>
        <v>7686</v>
      </c>
      <c r="F136" s="527">
        <v>7686</v>
      </c>
      <c r="G136" s="533" t="s">
        <v>22</v>
      </c>
      <c r="H136" s="549">
        <f>+F136/E136*100</f>
        <v>100</v>
      </c>
      <c r="I136" s="533">
        <v>11935</v>
      </c>
      <c r="J136" s="533">
        <v>11875</v>
      </c>
    </row>
    <row r="137" spans="1:10" x14ac:dyDescent="0.2">
      <c r="A137" s="183"/>
      <c r="B137" s="21" t="s">
        <v>21</v>
      </c>
      <c r="C137" s="580"/>
      <c r="D137" s="527"/>
      <c r="E137" s="533"/>
      <c r="F137" s="527"/>
      <c r="G137" s="533"/>
      <c r="H137" s="527"/>
      <c r="I137" s="533"/>
      <c r="J137" s="533"/>
    </row>
    <row r="138" spans="1:10" ht="12.75" customHeight="1" x14ac:dyDescent="0.2">
      <c r="A138" s="183"/>
      <c r="B138" s="48" t="s">
        <v>441</v>
      </c>
      <c r="C138" s="581">
        <v>969</v>
      </c>
      <c r="D138" s="527">
        <v>23</v>
      </c>
      <c r="E138" s="560">
        <f>+D138+C138</f>
        <v>992</v>
      </c>
      <c r="F138" s="527">
        <v>992</v>
      </c>
      <c r="G138" s="533" t="s">
        <v>22</v>
      </c>
      <c r="H138" s="549">
        <f>+F138/E138*100</f>
        <v>100</v>
      </c>
      <c r="I138" s="533">
        <v>887</v>
      </c>
      <c r="J138" s="533">
        <v>948</v>
      </c>
    </row>
    <row r="139" spans="1:10" s="72" customFormat="1" x14ac:dyDescent="0.2">
      <c r="A139" s="53"/>
      <c r="B139" s="8" t="s">
        <v>222</v>
      </c>
      <c r="C139" s="582">
        <f>SUM(C133:C138)</f>
        <v>274972</v>
      </c>
      <c r="D139" s="582">
        <f>SUM(D133:D138)</f>
        <v>-7430</v>
      </c>
      <c r="E139" s="582">
        <f>SUM(E133:E138)</f>
        <v>267542</v>
      </c>
      <c r="F139" s="582">
        <f>SUM(F133:F138)</f>
        <v>267188</v>
      </c>
      <c r="G139" s="582">
        <f>SUM(G133:G138)</f>
        <v>354</v>
      </c>
      <c r="H139" s="551">
        <f>+F139/E139*100</f>
        <v>99.867684326199253</v>
      </c>
      <c r="I139" s="582">
        <f>SUM(I133:I138)</f>
        <v>57827</v>
      </c>
      <c r="J139" s="582">
        <f>SUM(J133:J138)</f>
        <v>57674</v>
      </c>
    </row>
    <row r="140" spans="1:10" x14ac:dyDescent="0.2">
      <c r="A140" s="57"/>
      <c r="B140" s="187"/>
      <c r="C140" s="187"/>
      <c r="D140" s="187"/>
      <c r="E140" s="187"/>
      <c r="F140" s="187"/>
      <c r="G140" s="187"/>
      <c r="H140" s="187"/>
      <c r="I140" s="187"/>
      <c r="J140" s="187"/>
    </row>
    <row r="141" spans="1:10" x14ac:dyDescent="0.2">
      <c r="A141" s="52"/>
      <c r="B141" s="39"/>
      <c r="C141" s="682" t="s">
        <v>427</v>
      </c>
      <c r="D141" s="664"/>
      <c r="E141" s="664"/>
      <c r="F141" s="664"/>
      <c r="G141" s="664"/>
      <c r="H141" s="665"/>
      <c r="I141" s="679" t="s">
        <v>428</v>
      </c>
      <c r="J141" s="676"/>
    </row>
    <row r="142" spans="1:10" ht="12.75" customHeight="1" x14ac:dyDescent="0.2">
      <c r="A142" s="54"/>
      <c r="B142" s="681" t="s">
        <v>442</v>
      </c>
      <c r="C142" s="177" t="s">
        <v>446</v>
      </c>
      <c r="D142" s="42" t="s">
        <v>431</v>
      </c>
      <c r="E142" s="42" t="s">
        <v>447</v>
      </c>
      <c r="F142" s="42" t="s">
        <v>448</v>
      </c>
      <c r="G142" s="42" t="s">
        <v>449</v>
      </c>
      <c r="H142" s="680" t="s">
        <v>435</v>
      </c>
      <c r="I142" s="42" t="s">
        <v>447</v>
      </c>
      <c r="J142" s="177" t="s">
        <v>448</v>
      </c>
    </row>
    <row r="143" spans="1:10" ht="12.75" customHeight="1" x14ac:dyDescent="0.2">
      <c r="A143" s="54"/>
      <c r="B143" s="660"/>
      <c r="C143" s="178" t="s">
        <v>450</v>
      </c>
      <c r="D143" s="43" t="s">
        <v>77</v>
      </c>
      <c r="E143" s="43" t="s">
        <v>451</v>
      </c>
      <c r="F143" s="43" t="s">
        <v>112</v>
      </c>
      <c r="G143" s="43" t="s">
        <v>452</v>
      </c>
      <c r="H143" s="673"/>
      <c r="I143" s="43" t="s">
        <v>451</v>
      </c>
      <c r="J143" s="178" t="s">
        <v>112</v>
      </c>
    </row>
    <row r="144" spans="1:10" x14ac:dyDescent="0.2">
      <c r="A144" s="55"/>
      <c r="B144" s="662"/>
      <c r="C144" s="179" t="s">
        <v>77</v>
      </c>
      <c r="D144" s="46"/>
      <c r="E144" s="44" t="s">
        <v>77</v>
      </c>
      <c r="F144" s="44" t="s">
        <v>77</v>
      </c>
      <c r="G144" s="44" t="s">
        <v>77</v>
      </c>
      <c r="H144" s="669"/>
      <c r="I144" s="44" t="s">
        <v>77</v>
      </c>
      <c r="J144" s="179" t="s">
        <v>77</v>
      </c>
    </row>
    <row r="145" spans="1:10" x14ac:dyDescent="0.2">
      <c r="A145" s="183"/>
      <c r="B145" s="21" t="s">
        <v>12</v>
      </c>
      <c r="C145" s="580">
        <v>10710</v>
      </c>
      <c r="D145" s="527">
        <v>-300</v>
      </c>
      <c r="E145" s="583">
        <f>+D145+C145</f>
        <v>10410</v>
      </c>
      <c r="F145" s="533">
        <v>10410</v>
      </c>
      <c r="G145" s="559" t="s">
        <v>22</v>
      </c>
      <c r="H145" s="584">
        <f t="shared" ref="H145:H152" si="2">+F145/E145*100</f>
        <v>100</v>
      </c>
      <c r="I145" s="559">
        <v>8651</v>
      </c>
      <c r="J145" s="533">
        <v>8651</v>
      </c>
    </row>
    <row r="146" spans="1:10" x14ac:dyDescent="0.2">
      <c r="A146" s="183"/>
      <c r="B146" s="21" t="s">
        <v>13</v>
      </c>
      <c r="C146" s="580">
        <v>5422</v>
      </c>
      <c r="D146" s="527">
        <v>-1898</v>
      </c>
      <c r="E146" s="583">
        <f>+D146+C146</f>
        <v>3524</v>
      </c>
      <c r="F146" s="533">
        <v>3524</v>
      </c>
      <c r="G146" s="559" t="s">
        <v>22</v>
      </c>
      <c r="H146" s="584">
        <f t="shared" si="2"/>
        <v>100</v>
      </c>
      <c r="I146" s="559">
        <v>4172</v>
      </c>
      <c r="J146" s="533">
        <v>4172</v>
      </c>
    </row>
    <row r="147" spans="1:10" x14ac:dyDescent="0.2">
      <c r="A147" s="183"/>
      <c r="B147" s="21" t="s">
        <v>14</v>
      </c>
      <c r="C147" s="580">
        <v>985</v>
      </c>
      <c r="D147" s="527">
        <v>-14</v>
      </c>
      <c r="E147" s="583">
        <f>+D147+C147</f>
        <v>971</v>
      </c>
      <c r="F147" s="533">
        <v>971</v>
      </c>
      <c r="G147" s="559" t="s">
        <v>22</v>
      </c>
      <c r="H147" s="584">
        <f t="shared" si="2"/>
        <v>100</v>
      </c>
      <c r="I147" s="559">
        <v>753</v>
      </c>
      <c r="J147" s="533">
        <v>753</v>
      </c>
    </row>
    <row r="148" spans="1:10" x14ac:dyDescent="0.2">
      <c r="A148" s="183"/>
      <c r="B148" s="21" t="s">
        <v>296</v>
      </c>
      <c r="C148" s="580">
        <v>1196</v>
      </c>
      <c r="D148" s="527">
        <v>64</v>
      </c>
      <c r="E148" s="583">
        <f>+D148+C148</f>
        <v>1260</v>
      </c>
      <c r="F148" s="533">
        <v>1260</v>
      </c>
      <c r="G148" s="559" t="s">
        <v>22</v>
      </c>
      <c r="H148" s="584">
        <f t="shared" si="2"/>
        <v>100</v>
      </c>
      <c r="I148" s="559">
        <v>1238</v>
      </c>
      <c r="J148" s="533">
        <v>1239</v>
      </c>
    </row>
    <row r="149" spans="1:10" ht="25.5" customHeight="1" x14ac:dyDescent="0.2">
      <c r="A149" s="183"/>
      <c r="B149" s="21" t="s">
        <v>16</v>
      </c>
      <c r="C149" s="580">
        <v>8205</v>
      </c>
      <c r="D149" s="527">
        <v>-5382</v>
      </c>
      <c r="E149" s="583">
        <f>+D149+C149</f>
        <v>2823</v>
      </c>
      <c r="F149" s="533">
        <v>2823</v>
      </c>
      <c r="G149" s="559" t="s">
        <v>22</v>
      </c>
      <c r="H149" s="584">
        <f t="shared" si="2"/>
        <v>100</v>
      </c>
      <c r="I149" s="559">
        <v>4659</v>
      </c>
      <c r="J149" s="533">
        <v>4659</v>
      </c>
    </row>
    <row r="150" spans="1:10" x14ac:dyDescent="0.2">
      <c r="A150" s="183"/>
      <c r="B150" s="21" t="s">
        <v>17</v>
      </c>
      <c r="C150" s="580">
        <v>248454</v>
      </c>
      <c r="D150" s="527" t="s">
        <v>22</v>
      </c>
      <c r="E150" s="585">
        <f>C150</f>
        <v>248454</v>
      </c>
      <c r="F150" s="533">
        <v>248100</v>
      </c>
      <c r="G150" s="586">
        <f>+E150-F150</f>
        <v>354</v>
      </c>
      <c r="H150" s="584">
        <f t="shared" si="2"/>
        <v>99.857518896858167</v>
      </c>
      <c r="I150" s="559">
        <v>36354</v>
      </c>
      <c r="J150" s="533">
        <v>36200</v>
      </c>
    </row>
    <row r="151" spans="1:10" x14ac:dyDescent="0.2">
      <c r="A151" s="183"/>
      <c r="B151" s="21" t="s">
        <v>18</v>
      </c>
      <c r="C151" s="580" t="s">
        <v>22</v>
      </c>
      <c r="D151" s="527">
        <v>100</v>
      </c>
      <c r="E151" s="587">
        <f>+D151</f>
        <v>100</v>
      </c>
      <c r="F151" s="533">
        <v>100</v>
      </c>
      <c r="G151" s="559" t="s">
        <v>22</v>
      </c>
      <c r="H151" s="584">
        <f t="shared" si="2"/>
        <v>100</v>
      </c>
      <c r="I151" s="559">
        <v>2000</v>
      </c>
      <c r="J151" s="533">
        <v>2000</v>
      </c>
    </row>
    <row r="152" spans="1:10" s="72" customFormat="1" x14ac:dyDescent="0.2">
      <c r="A152" s="53"/>
      <c r="B152" s="8" t="s">
        <v>222</v>
      </c>
      <c r="C152" s="588">
        <f>SUM(C145:C151)</f>
        <v>274972</v>
      </c>
      <c r="D152" s="588">
        <f>SUM(D145:D151)</f>
        <v>-7430</v>
      </c>
      <c r="E152" s="588">
        <f>SUM(E145:E151)</f>
        <v>267542</v>
      </c>
      <c r="F152" s="588">
        <f>SUM(F145:F151)</f>
        <v>267188</v>
      </c>
      <c r="G152" s="588">
        <f>SUM(G145:G151)</f>
        <v>354</v>
      </c>
      <c r="H152" s="551">
        <f t="shared" si="2"/>
        <v>99.867684326199253</v>
      </c>
      <c r="I152" s="588">
        <f>SUM(I145:I151)</f>
        <v>57827</v>
      </c>
      <c r="J152" s="588">
        <f>SUM(J145:J151)</f>
        <v>57674</v>
      </c>
    </row>
    <row r="153" spans="1:10" x14ac:dyDescent="0.2">
      <c r="A153" s="169"/>
      <c r="B153" s="51"/>
      <c r="D153" s="157"/>
      <c r="E153" s="31"/>
      <c r="F153" s="31"/>
      <c r="G153" s="31"/>
      <c r="H153" s="31"/>
      <c r="I153" s="31"/>
      <c r="J153" s="31"/>
    </row>
    <row r="154" spans="1:10" x14ac:dyDescent="0.2">
      <c r="A154" s="631" t="s">
        <v>463</v>
      </c>
      <c r="B154" s="656"/>
      <c r="C154" s="656"/>
      <c r="D154" s="656"/>
      <c r="E154" s="656"/>
      <c r="F154" s="656"/>
      <c r="G154" s="656"/>
      <c r="H154" s="656"/>
      <c r="I154" s="656"/>
      <c r="J154" s="656"/>
    </row>
    <row r="155" spans="1:10" s="72" customFormat="1" x14ac:dyDescent="0.2">
      <c r="A155" s="631" t="s">
        <v>426</v>
      </c>
      <c r="B155" s="667"/>
      <c r="C155" s="667"/>
      <c r="D155" s="667"/>
      <c r="E155" s="667"/>
      <c r="F155" s="667"/>
      <c r="G155" s="667"/>
      <c r="H155" s="667"/>
      <c r="I155" s="667"/>
      <c r="J155" s="667"/>
    </row>
    <row r="157" spans="1:10" x14ac:dyDescent="0.2">
      <c r="A157" s="52"/>
      <c r="B157" s="39"/>
      <c r="C157" s="682" t="s">
        <v>427</v>
      </c>
      <c r="D157" s="664"/>
      <c r="E157" s="664"/>
      <c r="F157" s="664"/>
      <c r="G157" s="664"/>
      <c r="H157" s="665"/>
      <c r="I157" s="679" t="s">
        <v>428</v>
      </c>
      <c r="J157" s="676"/>
    </row>
    <row r="158" spans="1:10" ht="12.75" customHeight="1" x14ac:dyDescent="0.2">
      <c r="A158" s="54"/>
      <c r="B158" s="681" t="s">
        <v>445</v>
      </c>
      <c r="C158" s="42" t="s">
        <v>446</v>
      </c>
      <c r="D158" s="42" t="s">
        <v>431</v>
      </c>
      <c r="E158" s="42" t="s">
        <v>447</v>
      </c>
      <c r="F158" s="42" t="s">
        <v>448</v>
      </c>
      <c r="G158" s="42" t="s">
        <v>449</v>
      </c>
      <c r="H158" s="680" t="s">
        <v>435</v>
      </c>
      <c r="I158" s="42" t="s">
        <v>447</v>
      </c>
      <c r="J158" s="177" t="s">
        <v>448</v>
      </c>
    </row>
    <row r="159" spans="1:10" ht="12.75" customHeight="1" x14ac:dyDescent="0.2">
      <c r="A159" s="54"/>
      <c r="B159" s="660"/>
      <c r="C159" s="43" t="s">
        <v>450</v>
      </c>
      <c r="D159" s="43" t="s">
        <v>77</v>
      </c>
      <c r="E159" s="43" t="s">
        <v>451</v>
      </c>
      <c r="F159" s="43" t="s">
        <v>112</v>
      </c>
      <c r="G159" s="43" t="s">
        <v>452</v>
      </c>
      <c r="H159" s="673"/>
      <c r="I159" s="43" t="s">
        <v>451</v>
      </c>
      <c r="J159" s="178" t="s">
        <v>112</v>
      </c>
    </row>
    <row r="160" spans="1:10" x14ac:dyDescent="0.2">
      <c r="A160" s="55"/>
      <c r="B160" s="662"/>
      <c r="C160" s="44" t="s">
        <v>77</v>
      </c>
      <c r="D160" s="45"/>
      <c r="E160" s="44" t="s">
        <v>77</v>
      </c>
      <c r="F160" s="44" t="s">
        <v>77</v>
      </c>
      <c r="G160" s="44" t="s">
        <v>77</v>
      </c>
      <c r="H160" s="669"/>
      <c r="I160" s="44" t="s">
        <v>77</v>
      </c>
      <c r="J160" s="179" t="s">
        <v>77</v>
      </c>
    </row>
    <row r="161" spans="1:11" ht="25.5" customHeight="1" x14ac:dyDescent="0.2">
      <c r="A161" s="556">
        <v>3.1</v>
      </c>
      <c r="B161" s="149" t="s">
        <v>464</v>
      </c>
      <c r="C161" s="87"/>
      <c r="E161" s="88"/>
      <c r="F161" s="89"/>
      <c r="G161" s="88"/>
      <c r="H161" s="89"/>
      <c r="I161" s="88"/>
      <c r="J161" s="88"/>
    </row>
    <row r="162" spans="1:11" x14ac:dyDescent="0.2">
      <c r="A162" s="183"/>
      <c r="B162" s="48" t="s">
        <v>11</v>
      </c>
      <c r="C162" s="575">
        <v>61844</v>
      </c>
      <c r="D162" s="576">
        <v>-1364</v>
      </c>
      <c r="E162" s="560">
        <f>+D162+C162</f>
        <v>60480</v>
      </c>
      <c r="F162" s="559">
        <v>60480</v>
      </c>
      <c r="G162" s="533" t="s">
        <v>22</v>
      </c>
      <c r="H162" s="584">
        <f>+F162/E162*100</f>
        <v>100</v>
      </c>
      <c r="I162" s="533">
        <v>54013</v>
      </c>
      <c r="J162" s="533">
        <v>54013</v>
      </c>
      <c r="K162" s="304"/>
    </row>
    <row r="163" spans="1:11" x14ac:dyDescent="0.2">
      <c r="A163" s="556">
        <v>3.2</v>
      </c>
      <c r="B163" s="2" t="s">
        <v>465</v>
      </c>
      <c r="C163" s="575"/>
      <c r="D163" s="576"/>
      <c r="E163" s="533"/>
      <c r="F163" s="559"/>
      <c r="G163" s="533"/>
      <c r="H163" s="559"/>
      <c r="I163" s="533"/>
      <c r="J163" s="533"/>
      <c r="K163" s="304"/>
    </row>
    <row r="164" spans="1:11" x14ac:dyDescent="0.2">
      <c r="A164" s="183"/>
      <c r="B164" s="48" t="s">
        <v>11</v>
      </c>
      <c r="C164" s="575">
        <v>18000</v>
      </c>
      <c r="D164" s="576">
        <v>6255</v>
      </c>
      <c r="E164" s="560">
        <f>+D164+C164</f>
        <v>24255</v>
      </c>
      <c r="F164" s="559">
        <v>24255</v>
      </c>
      <c r="G164" s="533" t="s">
        <v>22</v>
      </c>
      <c r="H164" s="584">
        <f>+F164/E164*100</f>
        <v>100</v>
      </c>
      <c r="I164" s="533">
        <v>18026</v>
      </c>
      <c r="J164" s="533">
        <v>18026</v>
      </c>
      <c r="K164" s="304"/>
    </row>
    <row r="165" spans="1:11" ht="25.5" customHeight="1" x14ac:dyDescent="0.2">
      <c r="A165" s="556">
        <v>3.3</v>
      </c>
      <c r="B165" s="2" t="s">
        <v>466</v>
      </c>
      <c r="C165" s="575"/>
      <c r="D165" s="576"/>
      <c r="E165" s="533"/>
      <c r="F165" s="559"/>
      <c r="G165" s="533"/>
      <c r="H165" s="559"/>
      <c r="I165" s="533"/>
      <c r="J165" s="533"/>
      <c r="K165" s="304"/>
    </row>
    <row r="166" spans="1:11" x14ac:dyDescent="0.2">
      <c r="A166" s="183"/>
      <c r="B166" s="48" t="s">
        <v>11</v>
      </c>
      <c r="C166" s="575">
        <v>790</v>
      </c>
      <c r="D166" s="576">
        <v>-788</v>
      </c>
      <c r="E166" s="560">
        <f>+D166+C166</f>
        <v>2</v>
      </c>
      <c r="F166" s="559">
        <v>2</v>
      </c>
      <c r="G166" s="533" t="s">
        <v>22</v>
      </c>
      <c r="H166" s="584">
        <f>+F166/E166*100</f>
        <v>100</v>
      </c>
      <c r="I166" s="533">
        <v>9292</v>
      </c>
      <c r="J166" s="533">
        <v>9292</v>
      </c>
      <c r="K166" s="304"/>
    </row>
    <row r="167" spans="1:11" x14ac:dyDescent="0.2">
      <c r="A167" s="556">
        <v>3.4</v>
      </c>
      <c r="B167" s="2" t="s">
        <v>462</v>
      </c>
      <c r="C167" s="575"/>
      <c r="D167" s="576"/>
      <c r="E167" s="533"/>
      <c r="F167" s="559"/>
      <c r="G167" s="533"/>
      <c r="H167" s="559"/>
      <c r="I167" s="533"/>
      <c r="J167" s="533"/>
      <c r="K167" s="304"/>
    </row>
    <row r="168" spans="1:11" x14ac:dyDescent="0.2">
      <c r="A168" s="183"/>
      <c r="B168" s="48" t="s">
        <v>11</v>
      </c>
      <c r="C168" s="575">
        <v>8025</v>
      </c>
      <c r="D168" s="576" t="s">
        <v>22</v>
      </c>
      <c r="E168" s="577">
        <f>C168</f>
        <v>8025</v>
      </c>
      <c r="F168" s="559">
        <v>8025</v>
      </c>
      <c r="G168" s="533" t="s">
        <v>22</v>
      </c>
      <c r="H168" s="584">
        <f>+F168/E168*100</f>
        <v>100</v>
      </c>
      <c r="I168" s="533">
        <v>3968</v>
      </c>
      <c r="J168" s="533">
        <v>3968</v>
      </c>
      <c r="K168" s="304"/>
    </row>
    <row r="169" spans="1:11" x14ac:dyDescent="0.2">
      <c r="A169" s="183"/>
      <c r="B169" s="48" t="s">
        <v>21</v>
      </c>
      <c r="C169" s="575">
        <v>147000</v>
      </c>
      <c r="D169" s="576" t="s">
        <v>22</v>
      </c>
      <c r="E169" s="577">
        <f>C169</f>
        <v>147000</v>
      </c>
      <c r="F169" s="559">
        <v>147000</v>
      </c>
      <c r="G169" s="533" t="s">
        <v>22</v>
      </c>
      <c r="H169" s="584">
        <f>+F169/E169*100</f>
        <v>100</v>
      </c>
      <c r="I169" s="533" t="s">
        <v>22</v>
      </c>
      <c r="J169" s="533" t="s">
        <v>22</v>
      </c>
      <c r="K169" s="304"/>
    </row>
    <row r="170" spans="1:11" x14ac:dyDescent="0.2">
      <c r="A170" s="556">
        <v>3.5</v>
      </c>
      <c r="B170" s="2" t="s">
        <v>467</v>
      </c>
      <c r="C170" s="575"/>
      <c r="D170" s="576"/>
      <c r="E170" s="533"/>
      <c r="F170" s="559"/>
      <c r="G170" s="533"/>
      <c r="H170" s="559"/>
      <c r="I170" s="533"/>
      <c r="J170" s="533"/>
      <c r="K170" s="304"/>
    </row>
    <row r="171" spans="1:11" x14ac:dyDescent="0.2">
      <c r="A171" s="183"/>
      <c r="B171" s="48" t="s">
        <v>11</v>
      </c>
      <c r="C171" s="575">
        <v>22500</v>
      </c>
      <c r="D171" s="576">
        <v>-9209</v>
      </c>
      <c r="E171" s="560">
        <f>+D171+C171</f>
        <v>13291</v>
      </c>
      <c r="F171" s="559">
        <v>13291</v>
      </c>
      <c r="G171" s="533" t="s">
        <v>22</v>
      </c>
      <c r="H171" s="584">
        <f>+F171/E171*100</f>
        <v>100</v>
      </c>
      <c r="I171" s="533">
        <v>25147</v>
      </c>
      <c r="J171" s="533">
        <v>25147</v>
      </c>
      <c r="K171" s="304"/>
    </row>
    <row r="172" spans="1:11" x14ac:dyDescent="0.2">
      <c r="A172" s="183"/>
      <c r="B172" s="48" t="s">
        <v>21</v>
      </c>
      <c r="C172" s="575" t="s">
        <v>22</v>
      </c>
      <c r="D172" s="576" t="s">
        <v>22</v>
      </c>
      <c r="E172" s="533" t="s">
        <v>22</v>
      </c>
      <c r="F172" s="559" t="s">
        <v>22</v>
      </c>
      <c r="G172" s="533" t="s">
        <v>22</v>
      </c>
      <c r="H172" s="533" t="s">
        <v>22</v>
      </c>
      <c r="I172" s="533">
        <v>147000</v>
      </c>
      <c r="J172" s="533">
        <v>147000</v>
      </c>
      <c r="K172" s="304"/>
    </row>
    <row r="173" spans="1:11" x14ac:dyDescent="0.2">
      <c r="A173" s="58"/>
      <c r="B173" s="8" t="s">
        <v>222</v>
      </c>
      <c r="C173" s="589">
        <f>SUM(C161:C172)</f>
        <v>258159</v>
      </c>
      <c r="D173" s="589">
        <f>SUM(D161:D172)</f>
        <v>-5106</v>
      </c>
      <c r="E173" s="589">
        <f>SUM(E161:E172)</f>
        <v>253053</v>
      </c>
      <c r="F173" s="589">
        <f>SUM(F161:F172)</f>
        <v>253053</v>
      </c>
      <c r="G173" s="590" t="s">
        <v>22</v>
      </c>
      <c r="H173" s="551">
        <f>+F173/E173*100</f>
        <v>100</v>
      </c>
      <c r="I173" s="589">
        <f>SUM(I161:I172)</f>
        <v>257446</v>
      </c>
      <c r="J173" s="589">
        <f>SUM(J161:J172)</f>
        <v>257446</v>
      </c>
      <c r="K173" s="304"/>
    </row>
    <row r="174" spans="1:11" x14ac:dyDescent="0.2">
      <c r="A174" s="37"/>
      <c r="B174" s="8"/>
      <c r="C174" s="8"/>
      <c r="D174" s="8"/>
      <c r="E174" s="8"/>
      <c r="F174" s="8"/>
      <c r="G174" s="8"/>
      <c r="H174" s="8"/>
      <c r="I174" s="8"/>
      <c r="J174" s="8"/>
    </row>
    <row r="175" spans="1:11" x14ac:dyDescent="0.2">
      <c r="A175" s="52"/>
      <c r="B175" s="39"/>
      <c r="C175" s="682" t="s">
        <v>427</v>
      </c>
      <c r="D175" s="664"/>
      <c r="E175" s="664"/>
      <c r="F175" s="664"/>
      <c r="G175" s="664"/>
      <c r="H175" s="665"/>
      <c r="I175" s="679" t="s">
        <v>428</v>
      </c>
      <c r="J175" s="676"/>
    </row>
    <row r="176" spans="1:11" ht="12.75" customHeight="1" x14ac:dyDescent="0.2">
      <c r="A176" s="54"/>
      <c r="B176" s="687" t="s">
        <v>440</v>
      </c>
      <c r="C176" s="177" t="s">
        <v>446</v>
      </c>
      <c r="D176" s="49" t="s">
        <v>431</v>
      </c>
      <c r="E176" s="42" t="s">
        <v>447</v>
      </c>
      <c r="F176" s="42" t="s">
        <v>448</v>
      </c>
      <c r="G176" s="42" t="s">
        <v>449</v>
      </c>
      <c r="H176" s="680" t="s">
        <v>435</v>
      </c>
      <c r="I176" s="42" t="s">
        <v>447</v>
      </c>
      <c r="J176" s="177" t="s">
        <v>448</v>
      </c>
    </row>
    <row r="177" spans="1:10" ht="12.75" customHeight="1" x14ac:dyDescent="0.2">
      <c r="A177" s="54"/>
      <c r="B177" s="656"/>
      <c r="C177" s="178" t="s">
        <v>450</v>
      </c>
      <c r="D177" s="185" t="s">
        <v>77</v>
      </c>
      <c r="E177" s="43" t="s">
        <v>451</v>
      </c>
      <c r="F177" s="43" t="s">
        <v>112</v>
      </c>
      <c r="G177" s="43" t="s">
        <v>452</v>
      </c>
      <c r="H177" s="673"/>
      <c r="I177" s="43" t="s">
        <v>451</v>
      </c>
      <c r="J177" s="178" t="s">
        <v>112</v>
      </c>
    </row>
    <row r="178" spans="1:10" x14ac:dyDescent="0.2">
      <c r="A178" s="55"/>
      <c r="B178" s="650"/>
      <c r="C178" s="179" t="s">
        <v>77</v>
      </c>
      <c r="D178" s="46"/>
      <c r="E178" s="44" t="s">
        <v>77</v>
      </c>
      <c r="F178" s="44" t="s">
        <v>77</v>
      </c>
      <c r="G178" s="44" t="s">
        <v>77</v>
      </c>
      <c r="H178" s="669"/>
      <c r="I178" s="44" t="s">
        <v>77</v>
      </c>
      <c r="J178" s="179" t="s">
        <v>77</v>
      </c>
    </row>
    <row r="179" spans="1:10" x14ac:dyDescent="0.2">
      <c r="A179" s="52"/>
      <c r="B179" s="39" t="s">
        <v>11</v>
      </c>
      <c r="C179" s="591"/>
      <c r="D179" s="592"/>
      <c r="E179" s="593"/>
      <c r="F179" s="568"/>
      <c r="G179" s="593"/>
      <c r="H179" s="568"/>
      <c r="I179" s="593"/>
      <c r="J179" s="568"/>
    </row>
    <row r="180" spans="1:10" x14ac:dyDescent="0.2">
      <c r="A180" s="183"/>
      <c r="B180" s="48" t="s">
        <v>12</v>
      </c>
      <c r="C180" s="580">
        <v>61958</v>
      </c>
      <c r="D180" s="527">
        <f>-3131+1</f>
        <v>-3130</v>
      </c>
      <c r="E180" s="583">
        <f>+D180+C180</f>
        <v>58828</v>
      </c>
      <c r="F180" s="533">
        <f>58827+1</f>
        <v>58828</v>
      </c>
      <c r="G180" s="559" t="s">
        <v>22</v>
      </c>
      <c r="H180" s="584">
        <f>+F180/E180*100</f>
        <v>100</v>
      </c>
      <c r="I180" s="559">
        <v>54020</v>
      </c>
      <c r="J180" s="533">
        <v>54020</v>
      </c>
    </row>
    <row r="181" spans="1:10" x14ac:dyDescent="0.2">
      <c r="A181" s="183"/>
      <c r="B181" s="48" t="s">
        <v>17</v>
      </c>
      <c r="C181" s="580">
        <v>30525</v>
      </c>
      <c r="D181" s="527">
        <v>-9209</v>
      </c>
      <c r="E181" s="583">
        <f>+D181+C181</f>
        <v>21316</v>
      </c>
      <c r="F181" s="533">
        <v>21316</v>
      </c>
      <c r="G181" s="559" t="s">
        <v>22</v>
      </c>
      <c r="H181" s="584">
        <f>+F181/E181*100</f>
        <v>100</v>
      </c>
      <c r="I181" s="559">
        <v>29115</v>
      </c>
      <c r="J181" s="533">
        <v>29115</v>
      </c>
    </row>
    <row r="182" spans="1:10" x14ac:dyDescent="0.2">
      <c r="A182" s="183"/>
      <c r="B182" s="48" t="s">
        <v>106</v>
      </c>
      <c r="C182" s="580">
        <v>18676</v>
      </c>
      <c r="D182" s="527">
        <f>7234-1</f>
        <v>7233</v>
      </c>
      <c r="E182" s="583">
        <f>+D182+C182</f>
        <v>25909</v>
      </c>
      <c r="F182" s="533">
        <f>25910-1</f>
        <v>25909</v>
      </c>
      <c r="G182" s="559" t="s">
        <v>22</v>
      </c>
      <c r="H182" s="584">
        <f>+F182/E182*100</f>
        <v>100</v>
      </c>
      <c r="I182" s="559">
        <v>27311</v>
      </c>
      <c r="J182" s="533">
        <v>27311</v>
      </c>
    </row>
    <row r="183" spans="1:10" x14ac:dyDescent="0.2">
      <c r="A183" s="183"/>
      <c r="B183" s="21" t="s">
        <v>21</v>
      </c>
      <c r="C183" s="580"/>
      <c r="D183" s="527"/>
      <c r="E183" s="559"/>
      <c r="F183" s="533"/>
      <c r="G183" s="559"/>
      <c r="H183" s="533"/>
      <c r="I183" s="559"/>
      <c r="J183" s="533"/>
    </row>
    <row r="184" spans="1:10" x14ac:dyDescent="0.2">
      <c r="A184" s="183"/>
      <c r="B184" s="48" t="s">
        <v>17</v>
      </c>
      <c r="C184" s="580">
        <v>147000</v>
      </c>
      <c r="D184" s="527" t="s">
        <v>22</v>
      </c>
      <c r="E184" s="585">
        <f>C184</f>
        <v>147000</v>
      </c>
      <c r="F184" s="533">
        <v>147000</v>
      </c>
      <c r="G184" s="559" t="s">
        <v>22</v>
      </c>
      <c r="H184" s="584">
        <f>+F184/E184*100</f>
        <v>100</v>
      </c>
      <c r="I184" s="559">
        <v>147000</v>
      </c>
      <c r="J184" s="533">
        <v>147000</v>
      </c>
    </row>
    <row r="185" spans="1:10" s="72" customFormat="1" x14ac:dyDescent="0.2">
      <c r="A185" s="53"/>
      <c r="B185" s="8" t="s">
        <v>222</v>
      </c>
      <c r="C185" s="594">
        <f>SUM(C179:C184)</f>
        <v>258159</v>
      </c>
      <c r="D185" s="594">
        <f>SUM(D179:D184)</f>
        <v>-5106</v>
      </c>
      <c r="E185" s="594">
        <f>SUM(E179:E184)</f>
        <v>253053</v>
      </c>
      <c r="F185" s="594">
        <f>SUM(F179:F184)</f>
        <v>253053</v>
      </c>
      <c r="G185" s="595" t="s">
        <v>22</v>
      </c>
      <c r="H185" s="551">
        <f>+F185/E185*100</f>
        <v>100</v>
      </c>
      <c r="I185" s="594">
        <f>SUM(I179:I184)</f>
        <v>257446</v>
      </c>
      <c r="J185" s="594">
        <f>SUM(J179:J184)</f>
        <v>257446</v>
      </c>
    </row>
    <row r="186" spans="1:10" x14ac:dyDescent="0.2">
      <c r="A186" s="57"/>
      <c r="B186" s="187"/>
      <c r="C186" s="187"/>
      <c r="D186" s="187"/>
      <c r="E186" s="187"/>
      <c r="F186" s="187"/>
      <c r="G186" s="187"/>
      <c r="H186" s="187"/>
      <c r="I186" s="187"/>
      <c r="J186" s="187"/>
    </row>
    <row r="187" spans="1:10" x14ac:dyDescent="0.2">
      <c r="A187" s="52"/>
      <c r="B187" s="39"/>
      <c r="C187" s="682" t="s">
        <v>427</v>
      </c>
      <c r="D187" s="664"/>
      <c r="E187" s="664"/>
      <c r="F187" s="664"/>
      <c r="G187" s="664"/>
      <c r="H187" s="665"/>
      <c r="I187" s="682" t="s">
        <v>428</v>
      </c>
      <c r="J187" s="665"/>
    </row>
    <row r="188" spans="1:10" ht="12.75" customHeight="1" x14ac:dyDescent="0.2">
      <c r="A188" s="54"/>
      <c r="B188" s="681" t="s">
        <v>442</v>
      </c>
      <c r="C188" s="177" t="s">
        <v>446</v>
      </c>
      <c r="D188" s="42" t="s">
        <v>431</v>
      </c>
      <c r="E188" s="42" t="s">
        <v>447</v>
      </c>
      <c r="F188" s="42" t="s">
        <v>448</v>
      </c>
      <c r="G188" s="42" t="s">
        <v>449</v>
      </c>
      <c r="H188" s="680" t="s">
        <v>435</v>
      </c>
      <c r="I188" s="42" t="s">
        <v>447</v>
      </c>
      <c r="J188" s="177" t="s">
        <v>448</v>
      </c>
    </row>
    <row r="189" spans="1:10" ht="12.75" customHeight="1" x14ac:dyDescent="0.2">
      <c r="A189" s="54"/>
      <c r="B189" s="660"/>
      <c r="C189" s="178" t="s">
        <v>450</v>
      </c>
      <c r="D189" s="43" t="s">
        <v>77</v>
      </c>
      <c r="E189" s="43" t="s">
        <v>451</v>
      </c>
      <c r="F189" s="43" t="s">
        <v>112</v>
      </c>
      <c r="G189" s="43" t="s">
        <v>452</v>
      </c>
      <c r="H189" s="673"/>
      <c r="I189" s="43" t="s">
        <v>451</v>
      </c>
      <c r="J189" s="178" t="s">
        <v>112</v>
      </c>
    </row>
    <row r="190" spans="1:10" x14ac:dyDescent="0.2">
      <c r="A190" s="55"/>
      <c r="B190" s="662"/>
      <c r="C190" s="179" t="s">
        <v>77</v>
      </c>
      <c r="D190" s="46"/>
      <c r="E190" s="44" t="s">
        <v>77</v>
      </c>
      <c r="F190" s="44" t="s">
        <v>77</v>
      </c>
      <c r="G190" s="44" t="s">
        <v>77</v>
      </c>
      <c r="H190" s="669"/>
      <c r="I190" s="44" t="s">
        <v>77</v>
      </c>
      <c r="J190" s="179" t="s">
        <v>77</v>
      </c>
    </row>
    <row r="191" spans="1:10" x14ac:dyDescent="0.2">
      <c r="A191" s="183"/>
      <c r="B191" s="21" t="s">
        <v>12</v>
      </c>
      <c r="C191" s="580">
        <v>61958</v>
      </c>
      <c r="D191" s="527">
        <v>-3130</v>
      </c>
      <c r="E191" s="583">
        <f>+D191+C191</f>
        <v>58828</v>
      </c>
      <c r="F191" s="533">
        <v>58828</v>
      </c>
      <c r="G191" s="559" t="s">
        <v>22</v>
      </c>
      <c r="H191" s="584">
        <f t="shared" ref="H191:H197" si="3">+F191/E191*100</f>
        <v>100</v>
      </c>
      <c r="I191" s="559">
        <v>54020</v>
      </c>
      <c r="J191" s="533">
        <v>54020</v>
      </c>
    </row>
    <row r="192" spans="1:10" x14ac:dyDescent="0.2">
      <c r="A192" s="183"/>
      <c r="B192" s="21" t="s">
        <v>13</v>
      </c>
      <c r="C192" s="580">
        <v>676</v>
      </c>
      <c r="D192" s="527">
        <v>976</v>
      </c>
      <c r="E192" s="583">
        <f>+D192+C192</f>
        <v>1652</v>
      </c>
      <c r="F192" s="533">
        <v>1652</v>
      </c>
      <c r="G192" s="559" t="s">
        <v>22</v>
      </c>
      <c r="H192" s="584">
        <f t="shared" si="3"/>
        <v>100</v>
      </c>
      <c r="I192" s="559">
        <v>744</v>
      </c>
      <c r="J192" s="533">
        <v>744</v>
      </c>
    </row>
    <row r="193" spans="1:10" x14ac:dyDescent="0.2">
      <c r="A193" s="183"/>
      <c r="B193" s="21" t="s">
        <v>14</v>
      </c>
      <c r="C193" s="580" t="s">
        <v>22</v>
      </c>
      <c r="D193" s="527">
        <v>1</v>
      </c>
      <c r="E193" s="587">
        <f>+D193</f>
        <v>1</v>
      </c>
      <c r="F193" s="533">
        <v>1</v>
      </c>
      <c r="G193" s="559" t="s">
        <v>22</v>
      </c>
      <c r="H193" s="584">
        <f t="shared" si="3"/>
        <v>100</v>
      </c>
      <c r="I193" s="559">
        <v>27</v>
      </c>
      <c r="J193" s="533">
        <v>27</v>
      </c>
    </row>
    <row r="194" spans="1:10" x14ac:dyDescent="0.2">
      <c r="A194" s="183"/>
      <c r="B194" s="21" t="s">
        <v>296</v>
      </c>
      <c r="C194" s="580" t="s">
        <v>22</v>
      </c>
      <c r="D194" s="527">
        <v>1</v>
      </c>
      <c r="E194" s="587">
        <f>+D194</f>
        <v>1</v>
      </c>
      <c r="F194" s="533">
        <v>1</v>
      </c>
      <c r="G194" s="559" t="s">
        <v>22</v>
      </c>
      <c r="H194" s="584">
        <f t="shared" si="3"/>
        <v>100</v>
      </c>
      <c r="I194" s="559" t="s">
        <v>22</v>
      </c>
      <c r="J194" s="533" t="s">
        <v>22</v>
      </c>
    </row>
    <row r="195" spans="1:10" ht="25.5" customHeight="1" x14ac:dyDescent="0.2">
      <c r="A195" s="183"/>
      <c r="B195" s="21" t="s">
        <v>16</v>
      </c>
      <c r="C195" s="580">
        <v>18000</v>
      </c>
      <c r="D195" s="527">
        <v>6255</v>
      </c>
      <c r="E195" s="583">
        <f>+D195+C195</f>
        <v>24255</v>
      </c>
      <c r="F195" s="533">
        <v>24255</v>
      </c>
      <c r="G195" s="559" t="s">
        <v>22</v>
      </c>
      <c r="H195" s="584">
        <f t="shared" si="3"/>
        <v>100</v>
      </c>
      <c r="I195" s="559">
        <v>26540</v>
      </c>
      <c r="J195" s="533">
        <v>26540</v>
      </c>
    </row>
    <row r="196" spans="1:10" x14ac:dyDescent="0.2">
      <c r="A196" s="183"/>
      <c r="B196" s="21" t="s">
        <v>17</v>
      </c>
      <c r="C196" s="580">
        <v>177525</v>
      </c>
      <c r="D196" s="527">
        <v>-9209</v>
      </c>
      <c r="E196" s="583">
        <f>+D196+C196</f>
        <v>168316</v>
      </c>
      <c r="F196" s="533">
        <v>168316</v>
      </c>
      <c r="G196" s="559" t="s">
        <v>22</v>
      </c>
      <c r="H196" s="584">
        <f t="shared" si="3"/>
        <v>100</v>
      </c>
      <c r="I196" s="559">
        <v>176115</v>
      </c>
      <c r="J196" s="533">
        <v>176115</v>
      </c>
    </row>
    <row r="197" spans="1:10" s="72" customFormat="1" x14ac:dyDescent="0.2">
      <c r="A197" s="53"/>
      <c r="B197" s="8" t="s">
        <v>222</v>
      </c>
      <c r="C197" s="596">
        <f>SUM(C191:C196)</f>
        <v>258159</v>
      </c>
      <c r="D197" s="596">
        <f>SUM(D191:D196)</f>
        <v>-5106</v>
      </c>
      <c r="E197" s="596">
        <f>SUM(E191:E196)</f>
        <v>253053</v>
      </c>
      <c r="F197" s="596">
        <f>SUM(F191:F196)</f>
        <v>253053</v>
      </c>
      <c r="G197" s="595" t="s">
        <v>22</v>
      </c>
      <c r="H197" s="551">
        <f t="shared" si="3"/>
        <v>100</v>
      </c>
      <c r="I197" s="596">
        <f>SUM(I191:I196)</f>
        <v>257446</v>
      </c>
      <c r="J197" s="596">
        <f>SUM(J191:J196)</f>
        <v>257446</v>
      </c>
    </row>
    <row r="199" spans="1:10" x14ac:dyDescent="0.2">
      <c r="A199" s="631" t="s">
        <v>468</v>
      </c>
      <c r="B199" s="656"/>
      <c r="C199" s="656"/>
      <c r="D199" s="656"/>
      <c r="E199" s="656"/>
      <c r="F199" s="656"/>
      <c r="G199" s="656"/>
      <c r="H199" s="656"/>
      <c r="I199" s="656"/>
      <c r="J199" s="656"/>
    </row>
    <row r="200" spans="1:10" s="72" customFormat="1" x14ac:dyDescent="0.2">
      <c r="A200" s="631" t="s">
        <v>426</v>
      </c>
      <c r="B200" s="667"/>
      <c r="C200" s="667"/>
      <c r="D200" s="667"/>
      <c r="E200" s="667"/>
      <c r="F200" s="667"/>
      <c r="G200" s="667"/>
      <c r="H200" s="667"/>
      <c r="I200" s="667"/>
      <c r="J200" s="667"/>
    </row>
    <row r="202" spans="1:10" x14ac:dyDescent="0.2">
      <c r="A202" s="52"/>
      <c r="B202" s="39"/>
      <c r="C202" s="682" t="s">
        <v>427</v>
      </c>
      <c r="D202" s="664"/>
      <c r="E202" s="664"/>
      <c r="F202" s="664"/>
      <c r="G202" s="664"/>
      <c r="H202" s="665"/>
      <c r="I202" s="679" t="s">
        <v>428</v>
      </c>
      <c r="J202" s="676"/>
    </row>
    <row r="203" spans="1:10" ht="12.75" customHeight="1" x14ac:dyDescent="0.2">
      <c r="A203" s="54"/>
      <c r="B203" s="681" t="s">
        <v>445</v>
      </c>
      <c r="C203" s="42" t="s">
        <v>446</v>
      </c>
      <c r="D203" s="42" t="s">
        <v>431</v>
      </c>
      <c r="E203" s="42" t="s">
        <v>447</v>
      </c>
      <c r="F203" s="42" t="s">
        <v>448</v>
      </c>
      <c r="G203" s="42" t="s">
        <v>449</v>
      </c>
      <c r="H203" s="680" t="s">
        <v>435</v>
      </c>
      <c r="I203" s="42" t="s">
        <v>447</v>
      </c>
      <c r="J203" s="177" t="s">
        <v>448</v>
      </c>
    </row>
    <row r="204" spans="1:10" ht="12.75" customHeight="1" x14ac:dyDescent="0.2">
      <c r="A204" s="54"/>
      <c r="B204" s="660"/>
      <c r="C204" s="43" t="s">
        <v>450</v>
      </c>
      <c r="D204" s="43" t="s">
        <v>77</v>
      </c>
      <c r="E204" s="43" t="s">
        <v>451</v>
      </c>
      <c r="F204" s="43" t="s">
        <v>112</v>
      </c>
      <c r="G204" s="43" t="s">
        <v>452</v>
      </c>
      <c r="H204" s="673"/>
      <c r="I204" s="43" t="s">
        <v>451</v>
      </c>
      <c r="J204" s="178" t="s">
        <v>112</v>
      </c>
    </row>
    <row r="205" spans="1:10" x14ac:dyDescent="0.2">
      <c r="A205" s="55"/>
      <c r="B205" s="662"/>
      <c r="C205" s="44" t="s">
        <v>77</v>
      </c>
      <c r="D205" s="45"/>
      <c r="E205" s="44" t="s">
        <v>77</v>
      </c>
      <c r="F205" s="44" t="s">
        <v>77</v>
      </c>
      <c r="G205" s="44" t="s">
        <v>77</v>
      </c>
      <c r="H205" s="669"/>
      <c r="I205" s="44" t="s">
        <v>77</v>
      </c>
      <c r="J205" s="179" t="s">
        <v>77</v>
      </c>
    </row>
    <row r="206" spans="1:10" x14ac:dyDescent="0.2">
      <c r="A206" s="556">
        <v>4.0999999999999996</v>
      </c>
      <c r="B206" s="149" t="s">
        <v>455</v>
      </c>
      <c r="C206" s="87"/>
      <c r="E206" s="88"/>
      <c r="F206" s="89"/>
      <c r="G206" s="88"/>
      <c r="H206" s="89"/>
      <c r="I206" s="88"/>
      <c r="J206" s="88"/>
    </row>
    <row r="207" spans="1:10" x14ac:dyDescent="0.2">
      <c r="A207" s="183"/>
      <c r="B207" s="48" t="s">
        <v>11</v>
      </c>
      <c r="C207" s="575">
        <v>5890</v>
      </c>
      <c r="D207" s="576">
        <v>371</v>
      </c>
      <c r="E207" s="560">
        <f>+D207+C207</f>
        <v>6261</v>
      </c>
      <c r="F207" s="559">
        <v>6261</v>
      </c>
      <c r="G207" s="559" t="s">
        <v>22</v>
      </c>
      <c r="H207" s="584">
        <f>+F207/E207*100</f>
        <v>100</v>
      </c>
      <c r="I207" s="533">
        <v>3922</v>
      </c>
      <c r="J207" s="533">
        <v>4683</v>
      </c>
    </row>
    <row r="208" spans="1:10" x14ac:dyDescent="0.2">
      <c r="A208" s="183"/>
      <c r="B208" s="48" t="s">
        <v>21</v>
      </c>
      <c r="C208" s="575">
        <v>80</v>
      </c>
      <c r="D208" s="576">
        <v>31</v>
      </c>
      <c r="E208" s="560">
        <f>+D208+C208</f>
        <v>111</v>
      </c>
      <c r="F208" s="559">
        <v>111</v>
      </c>
      <c r="G208" s="559" t="s">
        <v>22</v>
      </c>
      <c r="H208" s="584">
        <f>+F208/E208*100</f>
        <v>100</v>
      </c>
      <c r="I208" s="533">
        <v>607</v>
      </c>
      <c r="J208" s="533">
        <v>603</v>
      </c>
    </row>
    <row r="209" spans="1:10" ht="25.5" customHeight="1" x14ac:dyDescent="0.2">
      <c r="A209" s="556">
        <v>4.2</v>
      </c>
      <c r="B209" s="2" t="s">
        <v>469</v>
      </c>
      <c r="C209" s="575"/>
      <c r="D209" s="576"/>
      <c r="E209" s="533"/>
      <c r="F209" s="559"/>
      <c r="G209" s="533"/>
      <c r="H209" s="559"/>
      <c r="I209" s="533"/>
      <c r="J209" s="533"/>
    </row>
    <row r="210" spans="1:10" x14ac:dyDescent="0.2">
      <c r="A210" s="183"/>
      <c r="B210" s="48" t="s">
        <v>11</v>
      </c>
      <c r="C210" s="575">
        <v>6113</v>
      </c>
      <c r="D210" s="576">
        <v>-700</v>
      </c>
      <c r="E210" s="560">
        <f>+D210+C210</f>
        <v>5413</v>
      </c>
      <c r="F210" s="559">
        <v>5413</v>
      </c>
      <c r="G210" s="559" t="s">
        <v>22</v>
      </c>
      <c r="H210" s="584">
        <f>+F210/E210*100</f>
        <v>100</v>
      </c>
      <c r="I210" s="533">
        <v>7563</v>
      </c>
      <c r="J210" s="533">
        <v>7221</v>
      </c>
    </row>
    <row r="211" spans="1:10" x14ac:dyDescent="0.2">
      <c r="A211" s="183"/>
      <c r="B211" s="48" t="s">
        <v>21</v>
      </c>
      <c r="C211" s="575">
        <v>146</v>
      </c>
      <c r="D211" s="576">
        <v>-124</v>
      </c>
      <c r="E211" s="560">
        <f>+D211+C211</f>
        <v>22</v>
      </c>
      <c r="F211" s="559">
        <v>22</v>
      </c>
      <c r="G211" s="559" t="s">
        <v>22</v>
      </c>
      <c r="H211" s="584">
        <f>+F211/E211*100</f>
        <v>100</v>
      </c>
      <c r="I211" s="559" t="s">
        <v>22</v>
      </c>
      <c r="J211" s="533">
        <v>66</v>
      </c>
    </row>
    <row r="212" spans="1:10" ht="25.5" customHeight="1" x14ac:dyDescent="0.2">
      <c r="A212" s="556">
        <v>4.3</v>
      </c>
      <c r="B212" s="2" t="s">
        <v>470</v>
      </c>
      <c r="C212" s="575"/>
      <c r="D212" s="576"/>
      <c r="E212" s="533"/>
      <c r="F212" s="559"/>
      <c r="G212" s="533"/>
      <c r="H212" s="559"/>
      <c r="I212" s="533"/>
      <c r="J212" s="533"/>
    </row>
    <row r="213" spans="1:10" x14ac:dyDescent="0.2">
      <c r="A213" s="183"/>
      <c r="B213" s="48" t="s">
        <v>11</v>
      </c>
      <c r="C213" s="575">
        <v>1955</v>
      </c>
      <c r="D213" s="576">
        <v>213</v>
      </c>
      <c r="E213" s="560">
        <f>+D213+C213</f>
        <v>2168</v>
      </c>
      <c r="F213" s="559">
        <v>2168</v>
      </c>
      <c r="G213" s="559" t="s">
        <v>22</v>
      </c>
      <c r="H213" s="584">
        <f>+F213/E213*100</f>
        <v>100</v>
      </c>
      <c r="I213" s="533">
        <v>1924</v>
      </c>
      <c r="J213" s="533">
        <v>1553</v>
      </c>
    </row>
    <row r="214" spans="1:10" x14ac:dyDescent="0.2">
      <c r="A214" s="183"/>
      <c r="B214" s="48" t="s">
        <v>21</v>
      </c>
      <c r="C214" s="575">
        <v>16</v>
      </c>
      <c r="D214" s="576">
        <v>60</v>
      </c>
      <c r="E214" s="560">
        <f>+D214+C214</f>
        <v>76</v>
      </c>
      <c r="F214" s="559">
        <v>76</v>
      </c>
      <c r="G214" s="559" t="s">
        <v>22</v>
      </c>
      <c r="H214" s="584">
        <f>+F214/E214*100</f>
        <v>100</v>
      </c>
      <c r="I214" s="559" t="s">
        <v>22</v>
      </c>
      <c r="J214" s="533">
        <v>32</v>
      </c>
    </row>
    <row r="215" spans="1:10" ht="51" customHeight="1" x14ac:dyDescent="0.2">
      <c r="A215" s="556">
        <v>4.4000000000000004</v>
      </c>
      <c r="B215" s="2" t="s">
        <v>471</v>
      </c>
      <c r="C215" s="575"/>
      <c r="D215" s="576"/>
      <c r="E215" s="533"/>
      <c r="F215" s="559"/>
      <c r="G215" s="533"/>
      <c r="H215" s="559"/>
      <c r="I215" s="533"/>
      <c r="J215" s="533"/>
    </row>
    <row r="216" spans="1:10" x14ac:dyDescent="0.2">
      <c r="A216" s="183"/>
      <c r="B216" s="48" t="s">
        <v>11</v>
      </c>
      <c r="C216" s="575">
        <v>2132</v>
      </c>
      <c r="D216" s="576">
        <v>304</v>
      </c>
      <c r="E216" s="560">
        <f>+D216+C216</f>
        <v>2436</v>
      </c>
      <c r="F216" s="559">
        <v>2436</v>
      </c>
      <c r="G216" s="559" t="s">
        <v>22</v>
      </c>
      <c r="H216" s="584">
        <f>+F216/E216*100</f>
        <v>100</v>
      </c>
      <c r="I216" s="533">
        <v>2014</v>
      </c>
      <c r="J216" s="533">
        <v>1895</v>
      </c>
    </row>
    <row r="217" spans="1:10" x14ac:dyDescent="0.2">
      <c r="A217" s="183"/>
      <c r="B217" s="48" t="s">
        <v>21</v>
      </c>
      <c r="C217" s="575">
        <v>15</v>
      </c>
      <c r="D217" s="576">
        <v>-1</v>
      </c>
      <c r="E217" s="560">
        <f>+D217+C217</f>
        <v>14</v>
      </c>
      <c r="F217" s="559">
        <v>14</v>
      </c>
      <c r="G217" s="559" t="s">
        <v>22</v>
      </c>
      <c r="H217" s="584">
        <f>+F217/E217*100</f>
        <v>100</v>
      </c>
      <c r="I217" s="559" t="s">
        <v>22</v>
      </c>
      <c r="J217" s="533">
        <v>28</v>
      </c>
    </row>
    <row r="218" spans="1:10" ht="25.5" customHeight="1" x14ac:dyDescent="0.2">
      <c r="A218" s="556">
        <v>4.5</v>
      </c>
      <c r="B218" s="2" t="s">
        <v>472</v>
      </c>
      <c r="C218" s="575"/>
      <c r="D218" s="576"/>
      <c r="E218" s="533"/>
      <c r="F218" s="559"/>
      <c r="G218" s="533"/>
      <c r="H218" s="559"/>
      <c r="I218" s="533"/>
      <c r="J218" s="533"/>
    </row>
    <row r="219" spans="1:10" x14ac:dyDescent="0.2">
      <c r="A219" s="183"/>
      <c r="B219" s="48" t="s">
        <v>11</v>
      </c>
      <c r="C219" s="575">
        <v>2638</v>
      </c>
      <c r="D219" s="576">
        <v>-1218</v>
      </c>
      <c r="E219" s="560">
        <f>+D219+C219</f>
        <v>1420</v>
      </c>
      <c r="F219" s="559">
        <v>1420</v>
      </c>
      <c r="G219" s="559" t="s">
        <v>22</v>
      </c>
      <c r="H219" s="584">
        <f>+F219/E219*100</f>
        <v>100</v>
      </c>
      <c r="I219" s="533">
        <v>1157</v>
      </c>
      <c r="J219" s="533">
        <v>1066</v>
      </c>
    </row>
    <row r="220" spans="1:10" x14ac:dyDescent="0.2">
      <c r="A220" s="183"/>
      <c r="B220" s="48" t="s">
        <v>21</v>
      </c>
      <c r="C220" s="575">
        <v>60</v>
      </c>
      <c r="D220" s="576">
        <v>110</v>
      </c>
      <c r="E220" s="560">
        <f>+D220+C220</f>
        <v>170</v>
      </c>
      <c r="F220" s="559">
        <v>170</v>
      </c>
      <c r="G220" s="559" t="s">
        <v>22</v>
      </c>
      <c r="H220" s="584">
        <f>+F220/E220*100</f>
        <v>100</v>
      </c>
      <c r="I220" s="559" t="s">
        <v>22</v>
      </c>
      <c r="J220" s="533">
        <v>40</v>
      </c>
    </row>
    <row r="221" spans="1:10" x14ac:dyDescent="0.2">
      <c r="A221" s="556">
        <v>4.5999999999999996</v>
      </c>
      <c r="B221" s="2" t="s">
        <v>473</v>
      </c>
      <c r="C221" s="575"/>
      <c r="D221" s="576"/>
      <c r="E221" s="533"/>
      <c r="F221" s="559"/>
      <c r="G221" s="533"/>
      <c r="H221" s="559"/>
      <c r="I221" s="533"/>
      <c r="J221" s="533"/>
    </row>
    <row r="222" spans="1:10" x14ac:dyDescent="0.2">
      <c r="A222" s="183"/>
      <c r="B222" s="48" t="s">
        <v>11</v>
      </c>
      <c r="C222" s="575">
        <v>150000</v>
      </c>
      <c r="D222" s="576">
        <v>334</v>
      </c>
      <c r="E222" s="560">
        <f>+D222+C222</f>
        <v>150334</v>
      </c>
      <c r="F222" s="559">
        <v>150334</v>
      </c>
      <c r="G222" s="559" t="s">
        <v>22</v>
      </c>
      <c r="H222" s="584">
        <f>+F222/E222*100</f>
        <v>100</v>
      </c>
      <c r="I222" s="533">
        <v>150000</v>
      </c>
      <c r="J222" s="533">
        <v>150000</v>
      </c>
    </row>
    <row r="223" spans="1:10" x14ac:dyDescent="0.2">
      <c r="A223" s="556">
        <v>4.7</v>
      </c>
      <c r="B223" s="2" t="s">
        <v>474</v>
      </c>
      <c r="C223" s="575"/>
      <c r="D223" s="576"/>
      <c r="E223" s="533"/>
      <c r="F223" s="559"/>
      <c r="G223" s="533"/>
      <c r="H223" s="559"/>
      <c r="I223" s="533"/>
      <c r="J223" s="533"/>
    </row>
    <row r="224" spans="1:10" x14ac:dyDescent="0.2">
      <c r="A224" s="183"/>
      <c r="B224" s="48" t="s">
        <v>11</v>
      </c>
      <c r="C224" s="575">
        <v>68668</v>
      </c>
      <c r="D224" s="576">
        <v>580</v>
      </c>
      <c r="E224" s="560">
        <f>+D224+C224</f>
        <v>69248</v>
      </c>
      <c r="F224" s="559">
        <v>69248</v>
      </c>
      <c r="G224" s="559" t="s">
        <v>22</v>
      </c>
      <c r="H224" s="584">
        <f>+F224/E224*100</f>
        <v>100</v>
      </c>
      <c r="I224" s="533">
        <v>67871</v>
      </c>
      <c r="J224" s="533">
        <v>67871</v>
      </c>
    </row>
    <row r="225" spans="1:10" x14ac:dyDescent="0.2">
      <c r="A225" s="556">
        <v>4.8</v>
      </c>
      <c r="B225" s="2" t="s">
        <v>475</v>
      </c>
      <c r="C225" s="575"/>
      <c r="D225" s="576"/>
      <c r="E225" s="533"/>
      <c r="F225" s="559"/>
      <c r="G225" s="533"/>
      <c r="H225" s="559"/>
      <c r="I225" s="533"/>
      <c r="J225" s="533"/>
    </row>
    <row r="226" spans="1:10" x14ac:dyDescent="0.2">
      <c r="A226" s="183"/>
      <c r="B226" s="48" t="s">
        <v>11</v>
      </c>
      <c r="C226" s="575">
        <v>66900</v>
      </c>
      <c r="D226" s="576">
        <v>29760</v>
      </c>
      <c r="E226" s="560">
        <f>+D226+C226</f>
        <v>96660</v>
      </c>
      <c r="F226" s="559">
        <v>96660</v>
      </c>
      <c r="G226" s="559" t="s">
        <v>22</v>
      </c>
      <c r="H226" s="584">
        <f>+F226/E226*100</f>
        <v>100</v>
      </c>
      <c r="I226" s="533">
        <v>93144</v>
      </c>
      <c r="J226" s="533">
        <v>93144</v>
      </c>
    </row>
    <row r="227" spans="1:10" x14ac:dyDescent="0.2">
      <c r="A227" s="58"/>
      <c r="B227" s="141" t="s">
        <v>222</v>
      </c>
      <c r="C227" s="597">
        <f>SUM(C206:C226)</f>
        <v>304613</v>
      </c>
      <c r="D227" s="597">
        <f>SUM(D206:D226)</f>
        <v>29720</v>
      </c>
      <c r="E227" s="597">
        <f>SUM(E206:E226)</f>
        <v>334333</v>
      </c>
      <c r="F227" s="597">
        <f>SUM(F206:F226)</f>
        <v>334333</v>
      </c>
      <c r="G227" s="590" t="s">
        <v>22</v>
      </c>
      <c r="H227" s="551">
        <f>+F227/E227*100</f>
        <v>100</v>
      </c>
      <c r="I227" s="597">
        <f>SUM(I206:I226)</f>
        <v>328202</v>
      </c>
      <c r="J227" s="597">
        <f>SUM(J206:J226)</f>
        <v>328202</v>
      </c>
    </row>
    <row r="228" spans="1:10" x14ac:dyDescent="0.2">
      <c r="A228" s="37"/>
      <c r="B228" s="8"/>
      <c r="C228" s="8"/>
      <c r="D228" s="8"/>
      <c r="E228" s="8"/>
      <c r="F228" s="8"/>
      <c r="G228" s="8"/>
      <c r="H228" s="8"/>
      <c r="I228" s="8"/>
      <c r="J228" s="8"/>
    </row>
    <row r="229" spans="1:10" x14ac:dyDescent="0.2">
      <c r="A229" s="52"/>
      <c r="B229" s="39"/>
      <c r="C229" s="682" t="s">
        <v>427</v>
      </c>
      <c r="D229" s="664"/>
      <c r="E229" s="664"/>
      <c r="F229" s="664"/>
      <c r="G229" s="664"/>
      <c r="H229" s="665"/>
      <c r="I229" s="679" t="s">
        <v>428</v>
      </c>
      <c r="J229" s="676"/>
    </row>
    <row r="230" spans="1:10" ht="12.75" customHeight="1" x14ac:dyDescent="0.2">
      <c r="A230" s="54"/>
      <c r="B230" s="687" t="s">
        <v>440</v>
      </c>
      <c r="C230" s="177" t="s">
        <v>446</v>
      </c>
      <c r="D230" s="49" t="s">
        <v>431</v>
      </c>
      <c r="E230" s="42" t="s">
        <v>447</v>
      </c>
      <c r="F230" s="42" t="s">
        <v>448</v>
      </c>
      <c r="G230" s="42" t="s">
        <v>449</v>
      </c>
      <c r="H230" s="680" t="s">
        <v>435</v>
      </c>
      <c r="I230" s="42" t="s">
        <v>447</v>
      </c>
      <c r="J230" s="177" t="s">
        <v>448</v>
      </c>
    </row>
    <row r="231" spans="1:10" ht="12.75" customHeight="1" x14ac:dyDescent="0.2">
      <c r="A231" s="54"/>
      <c r="B231" s="656"/>
      <c r="C231" s="178" t="s">
        <v>450</v>
      </c>
      <c r="D231" s="185"/>
      <c r="E231" s="43" t="s">
        <v>451</v>
      </c>
      <c r="F231" s="43" t="s">
        <v>112</v>
      </c>
      <c r="G231" s="43" t="s">
        <v>452</v>
      </c>
      <c r="H231" s="673"/>
      <c r="I231" s="43" t="s">
        <v>451</v>
      </c>
      <c r="J231" s="178" t="s">
        <v>112</v>
      </c>
    </row>
    <row r="232" spans="1:10" x14ac:dyDescent="0.2">
      <c r="A232" s="55"/>
      <c r="B232" s="650"/>
      <c r="C232" s="179" t="s">
        <v>77</v>
      </c>
      <c r="D232" s="185" t="s">
        <v>77</v>
      </c>
      <c r="E232" s="44" t="s">
        <v>77</v>
      </c>
      <c r="F232" s="44" t="s">
        <v>77</v>
      </c>
      <c r="G232" s="44" t="s">
        <v>77</v>
      </c>
      <c r="H232" s="669"/>
      <c r="I232" s="44" t="s">
        <v>77</v>
      </c>
      <c r="J232" s="179" t="s">
        <v>77</v>
      </c>
    </row>
    <row r="233" spans="1:10" x14ac:dyDescent="0.2">
      <c r="A233" s="52"/>
      <c r="B233" s="39" t="s">
        <v>11</v>
      </c>
      <c r="C233" s="591"/>
      <c r="D233" s="598"/>
      <c r="E233" s="599"/>
      <c r="F233" s="600"/>
      <c r="G233" s="599"/>
      <c r="H233" s="600"/>
      <c r="I233" s="599"/>
      <c r="J233" s="600"/>
    </row>
    <row r="234" spans="1:10" x14ac:dyDescent="0.2">
      <c r="A234" s="183"/>
      <c r="B234" s="48" t="s">
        <v>12</v>
      </c>
      <c r="C234" s="580">
        <v>8264</v>
      </c>
      <c r="D234" s="527">
        <v>-838</v>
      </c>
      <c r="E234" s="560">
        <f>+D234+C234</f>
        <v>7426</v>
      </c>
      <c r="F234" s="533">
        <v>7426</v>
      </c>
      <c r="G234" s="559" t="s">
        <v>22</v>
      </c>
      <c r="H234" s="584">
        <f>+F234/E234*100</f>
        <v>100</v>
      </c>
      <c r="I234" s="559">
        <v>4330</v>
      </c>
      <c r="J234" s="533">
        <v>4330</v>
      </c>
    </row>
    <row r="235" spans="1:10" x14ac:dyDescent="0.2">
      <c r="A235" s="183"/>
      <c r="B235" s="48" t="s">
        <v>17</v>
      </c>
      <c r="C235" s="580">
        <v>285568</v>
      </c>
      <c r="D235" s="527">
        <v>30674</v>
      </c>
      <c r="E235" s="560">
        <f>+D235+C235</f>
        <v>316242</v>
      </c>
      <c r="F235" s="533">
        <v>316242</v>
      </c>
      <c r="G235" s="559" t="s">
        <v>22</v>
      </c>
      <c r="H235" s="584">
        <f>+F235/E235*100</f>
        <v>100</v>
      </c>
      <c r="I235" s="559">
        <v>311015</v>
      </c>
      <c r="J235" s="533">
        <v>311016</v>
      </c>
    </row>
    <row r="236" spans="1:10" x14ac:dyDescent="0.2">
      <c r="A236" s="183"/>
      <c r="B236" s="48" t="s">
        <v>106</v>
      </c>
      <c r="C236" s="580">
        <v>10464</v>
      </c>
      <c r="D236" s="527">
        <v>-192</v>
      </c>
      <c r="E236" s="560">
        <f>+D236+C236</f>
        <v>10272</v>
      </c>
      <c r="F236" s="533">
        <v>10272</v>
      </c>
      <c r="G236" s="559" t="s">
        <v>22</v>
      </c>
      <c r="H236" s="584">
        <f>+F236/E236*100</f>
        <v>100</v>
      </c>
      <c r="I236" s="559">
        <v>12250</v>
      </c>
      <c r="J236" s="533">
        <v>12087</v>
      </c>
    </row>
    <row r="237" spans="1:10" x14ac:dyDescent="0.2">
      <c r="A237" s="183"/>
      <c r="B237" s="21" t="s">
        <v>21</v>
      </c>
      <c r="C237" s="580"/>
      <c r="D237" s="527"/>
      <c r="E237" s="559"/>
      <c r="F237" s="533"/>
      <c r="G237" s="559"/>
      <c r="H237" s="533"/>
      <c r="I237" s="559"/>
      <c r="J237" s="533"/>
    </row>
    <row r="238" spans="1:10" ht="12.75" customHeight="1" x14ac:dyDescent="0.2">
      <c r="A238" s="183"/>
      <c r="B238" s="48" t="s">
        <v>441</v>
      </c>
      <c r="C238" s="580">
        <v>317</v>
      </c>
      <c r="D238" s="527">
        <v>76</v>
      </c>
      <c r="E238" s="560">
        <f>+D238+C238</f>
        <v>393</v>
      </c>
      <c r="F238" s="533">
        <v>393</v>
      </c>
      <c r="G238" s="559" t="s">
        <v>22</v>
      </c>
      <c r="H238" s="584">
        <f>+F238/E238*100</f>
        <v>100</v>
      </c>
      <c r="I238" s="559">
        <v>607</v>
      </c>
      <c r="J238" s="533">
        <v>769</v>
      </c>
    </row>
    <row r="239" spans="1:10" x14ac:dyDescent="0.2">
      <c r="A239" s="53"/>
      <c r="B239" s="8" t="s">
        <v>222</v>
      </c>
      <c r="C239" s="601">
        <f>SUM(C233:C238)</f>
        <v>304613</v>
      </c>
      <c r="D239" s="601">
        <f>SUM(D233:D238)</f>
        <v>29720</v>
      </c>
      <c r="E239" s="601">
        <f>SUM(E233:E238)</f>
        <v>334333</v>
      </c>
      <c r="F239" s="601">
        <f>SUM(F233:F238)</f>
        <v>334333</v>
      </c>
      <c r="G239" s="595" t="s">
        <v>22</v>
      </c>
      <c r="H239" s="551">
        <f>+F239/E239*100</f>
        <v>100</v>
      </c>
      <c r="I239" s="601">
        <f>SUM(I233:I238)</f>
        <v>328202</v>
      </c>
      <c r="J239" s="601">
        <f>SUM(J233:J238)</f>
        <v>328202</v>
      </c>
    </row>
    <row r="240" spans="1:10" x14ac:dyDescent="0.2">
      <c r="A240" s="14"/>
      <c r="B240" s="1"/>
      <c r="D240" s="1"/>
      <c r="E240" s="1"/>
      <c r="F240" s="1"/>
      <c r="G240" s="1"/>
      <c r="H240" s="1"/>
      <c r="I240" s="1"/>
      <c r="J240" s="1"/>
    </row>
    <row r="241" spans="1:10" x14ac:dyDescent="0.2">
      <c r="A241" s="52"/>
      <c r="B241" s="39"/>
      <c r="C241" s="682" t="s">
        <v>427</v>
      </c>
      <c r="D241" s="664"/>
      <c r="E241" s="664"/>
      <c r="F241" s="664"/>
      <c r="G241" s="664"/>
      <c r="H241" s="665"/>
      <c r="I241" s="679" t="s">
        <v>428</v>
      </c>
      <c r="J241" s="676"/>
    </row>
    <row r="242" spans="1:10" ht="12.75" customHeight="1" x14ac:dyDescent="0.2">
      <c r="A242" s="54"/>
      <c r="B242" s="681" t="s">
        <v>442</v>
      </c>
      <c r="C242" s="177" t="s">
        <v>446</v>
      </c>
      <c r="D242" s="42" t="s">
        <v>431</v>
      </c>
      <c r="E242" s="42" t="s">
        <v>447</v>
      </c>
      <c r="F242" s="42" t="s">
        <v>448</v>
      </c>
      <c r="G242" s="42" t="s">
        <v>449</v>
      </c>
      <c r="H242" s="680" t="s">
        <v>435</v>
      </c>
      <c r="I242" s="42" t="s">
        <v>447</v>
      </c>
      <c r="J242" s="177" t="s">
        <v>448</v>
      </c>
    </row>
    <row r="243" spans="1:10" ht="12.75" customHeight="1" x14ac:dyDescent="0.2">
      <c r="A243" s="54"/>
      <c r="B243" s="660"/>
      <c r="C243" s="178" t="s">
        <v>450</v>
      </c>
      <c r="D243" s="43" t="s">
        <v>77</v>
      </c>
      <c r="E243" s="43" t="s">
        <v>451</v>
      </c>
      <c r="F243" s="43" t="s">
        <v>112</v>
      </c>
      <c r="G243" s="43" t="s">
        <v>452</v>
      </c>
      <c r="H243" s="673"/>
      <c r="I243" s="43" t="s">
        <v>451</v>
      </c>
      <c r="J243" s="178" t="s">
        <v>112</v>
      </c>
    </row>
    <row r="244" spans="1:10" x14ac:dyDescent="0.2">
      <c r="A244" s="55"/>
      <c r="B244" s="662"/>
      <c r="C244" s="179" t="s">
        <v>77</v>
      </c>
      <c r="D244" s="46"/>
      <c r="E244" s="44" t="s">
        <v>77</v>
      </c>
      <c r="F244" s="44" t="s">
        <v>77</v>
      </c>
      <c r="G244" s="44" t="s">
        <v>77</v>
      </c>
      <c r="H244" s="669"/>
      <c r="I244" s="44" t="s">
        <v>77</v>
      </c>
      <c r="J244" s="179" t="s">
        <v>77</v>
      </c>
    </row>
    <row r="245" spans="1:10" x14ac:dyDescent="0.2">
      <c r="A245" s="183"/>
      <c r="B245" s="21" t="s">
        <v>12</v>
      </c>
      <c r="C245" s="580">
        <v>8264</v>
      </c>
      <c r="D245" s="527">
        <v>-838</v>
      </c>
      <c r="E245" s="560">
        <f t="shared" ref="E245:E250" si="4">+D245+C245</f>
        <v>7426</v>
      </c>
      <c r="F245" s="533">
        <v>7426</v>
      </c>
      <c r="G245" s="559" t="s">
        <v>22</v>
      </c>
      <c r="H245" s="584">
        <f t="shared" ref="H245:H252" si="5">+F245/E245*100</f>
        <v>100</v>
      </c>
      <c r="I245" s="533">
        <v>4330</v>
      </c>
      <c r="J245" s="527">
        <v>4330</v>
      </c>
    </row>
    <row r="246" spans="1:10" x14ac:dyDescent="0.2">
      <c r="A246" s="183"/>
      <c r="B246" s="21" t="s">
        <v>13</v>
      </c>
      <c r="C246" s="580">
        <v>2784</v>
      </c>
      <c r="D246" s="527">
        <v>455</v>
      </c>
      <c r="E246" s="560">
        <f t="shared" si="4"/>
        <v>3239</v>
      </c>
      <c r="F246" s="533">
        <v>3239</v>
      </c>
      <c r="G246" s="559" t="s">
        <v>22</v>
      </c>
      <c r="H246" s="584">
        <f t="shared" si="5"/>
        <v>100</v>
      </c>
      <c r="I246" s="533">
        <v>1943</v>
      </c>
      <c r="J246" s="527">
        <v>1943</v>
      </c>
    </row>
    <row r="247" spans="1:10" x14ac:dyDescent="0.2">
      <c r="A247" s="183"/>
      <c r="B247" s="21" t="s">
        <v>14</v>
      </c>
      <c r="C247" s="580">
        <v>306</v>
      </c>
      <c r="D247" s="527">
        <v>93</v>
      </c>
      <c r="E247" s="560">
        <f t="shared" si="4"/>
        <v>399</v>
      </c>
      <c r="F247" s="533">
        <v>399</v>
      </c>
      <c r="G247" s="559" t="s">
        <v>22</v>
      </c>
      <c r="H247" s="584">
        <f t="shared" si="5"/>
        <v>100</v>
      </c>
      <c r="I247" s="533">
        <v>238</v>
      </c>
      <c r="J247" s="527">
        <v>238</v>
      </c>
    </row>
    <row r="248" spans="1:10" x14ac:dyDescent="0.2">
      <c r="A248" s="183"/>
      <c r="B248" s="21" t="s">
        <v>296</v>
      </c>
      <c r="C248" s="580">
        <v>383</v>
      </c>
      <c r="D248" s="527">
        <v>-2</v>
      </c>
      <c r="E248" s="560">
        <f t="shared" si="4"/>
        <v>381</v>
      </c>
      <c r="F248" s="533">
        <v>381</v>
      </c>
      <c r="G248" s="559" t="s">
        <v>22</v>
      </c>
      <c r="H248" s="584">
        <f t="shared" si="5"/>
        <v>100</v>
      </c>
      <c r="I248" s="533">
        <v>891</v>
      </c>
      <c r="J248" s="527">
        <v>891</v>
      </c>
    </row>
    <row r="249" spans="1:10" ht="25.5" customHeight="1" x14ac:dyDescent="0.2">
      <c r="A249" s="183"/>
      <c r="B249" s="21" t="s">
        <v>16</v>
      </c>
      <c r="C249" s="580">
        <v>7308</v>
      </c>
      <c r="D249" s="527">
        <v>-768</v>
      </c>
      <c r="E249" s="560">
        <f t="shared" si="4"/>
        <v>6540</v>
      </c>
      <c r="F249" s="533">
        <v>6540</v>
      </c>
      <c r="G249" s="559" t="s">
        <v>22</v>
      </c>
      <c r="H249" s="584">
        <f t="shared" si="5"/>
        <v>100</v>
      </c>
      <c r="I249" s="533">
        <v>9784</v>
      </c>
      <c r="J249" s="527">
        <v>9784</v>
      </c>
    </row>
    <row r="250" spans="1:10" x14ac:dyDescent="0.2">
      <c r="A250" s="183"/>
      <c r="B250" s="21" t="s">
        <v>17</v>
      </c>
      <c r="C250" s="580">
        <v>285568</v>
      </c>
      <c r="D250" s="527">
        <v>30674</v>
      </c>
      <c r="E250" s="560">
        <f t="shared" si="4"/>
        <v>316242</v>
      </c>
      <c r="F250" s="533">
        <v>316242</v>
      </c>
      <c r="G250" s="559" t="s">
        <v>22</v>
      </c>
      <c r="H250" s="584">
        <f t="shared" si="5"/>
        <v>100</v>
      </c>
      <c r="I250" s="533">
        <v>311016</v>
      </c>
      <c r="J250" s="527">
        <v>311016</v>
      </c>
    </row>
    <row r="251" spans="1:10" x14ac:dyDescent="0.2">
      <c r="A251" s="183"/>
      <c r="B251" s="21" t="s">
        <v>18</v>
      </c>
      <c r="C251" s="580" t="s">
        <v>22</v>
      </c>
      <c r="D251" s="527">
        <v>106</v>
      </c>
      <c r="E251" s="572">
        <f>+D251</f>
        <v>106</v>
      </c>
      <c r="F251" s="533">
        <v>106</v>
      </c>
      <c r="G251" s="559" t="s">
        <v>22</v>
      </c>
      <c r="H251" s="584">
        <f t="shared" si="5"/>
        <v>100</v>
      </c>
      <c r="I251" s="533" t="s">
        <v>22</v>
      </c>
      <c r="J251" s="527" t="s">
        <v>22</v>
      </c>
    </row>
    <row r="252" spans="1:10" x14ac:dyDescent="0.2">
      <c r="A252" s="53"/>
      <c r="B252" s="8" t="s">
        <v>222</v>
      </c>
      <c r="C252" s="602">
        <f>SUM(C245:C251)</f>
        <v>304613</v>
      </c>
      <c r="D252" s="602">
        <f>SUM(D245:D251)</f>
        <v>29720</v>
      </c>
      <c r="E252" s="602">
        <f>SUM(E245:E251)</f>
        <v>334333</v>
      </c>
      <c r="F252" s="602">
        <f>SUM(F245:F251)</f>
        <v>334333</v>
      </c>
      <c r="G252" s="595" t="s">
        <v>22</v>
      </c>
      <c r="H252" s="551">
        <f t="shared" si="5"/>
        <v>100</v>
      </c>
      <c r="I252" s="602">
        <f>SUM(I245:I251)</f>
        <v>328202</v>
      </c>
      <c r="J252" s="602">
        <f>SUM(J245:J251)</f>
        <v>328202</v>
      </c>
    </row>
    <row r="253" spans="1:10" x14ac:dyDescent="0.2">
      <c r="C253" s="304"/>
      <c r="D253" s="304"/>
      <c r="E253" s="304"/>
      <c r="F253" s="304"/>
      <c r="G253" s="304"/>
      <c r="H253" s="304"/>
      <c r="I253" s="304"/>
      <c r="J253" s="304"/>
    </row>
    <row r="254" spans="1:10" x14ac:dyDescent="0.2">
      <c r="A254" s="631" t="s">
        <v>476</v>
      </c>
      <c r="B254" s="656"/>
      <c r="C254" s="656"/>
      <c r="D254" s="656"/>
      <c r="E254" s="656"/>
      <c r="F254" s="656"/>
      <c r="G254" s="656"/>
      <c r="H254" s="656"/>
      <c r="I254" s="656"/>
      <c r="J254" s="656"/>
    </row>
    <row r="255" spans="1:10" s="72" customFormat="1" x14ac:dyDescent="0.2">
      <c r="A255" s="631" t="s">
        <v>426</v>
      </c>
      <c r="B255" s="667"/>
      <c r="C255" s="667"/>
      <c r="D255" s="667"/>
      <c r="E255" s="667"/>
      <c r="F255" s="667"/>
      <c r="G255" s="667"/>
      <c r="H255" s="667"/>
      <c r="I255" s="667"/>
      <c r="J255" s="667"/>
    </row>
    <row r="257" spans="1:12" x14ac:dyDescent="0.2">
      <c r="A257" s="52"/>
      <c r="B257" s="39"/>
      <c r="C257" s="682" t="s">
        <v>427</v>
      </c>
      <c r="D257" s="664"/>
      <c r="E257" s="664"/>
      <c r="F257" s="664"/>
      <c r="G257" s="664"/>
      <c r="H257" s="665"/>
      <c r="I257" s="679" t="s">
        <v>428</v>
      </c>
      <c r="J257" s="676"/>
    </row>
    <row r="258" spans="1:12" ht="12.75" customHeight="1" x14ac:dyDescent="0.2">
      <c r="A258" s="54"/>
      <c r="B258" s="681" t="s">
        <v>445</v>
      </c>
      <c r="C258" s="42" t="s">
        <v>446</v>
      </c>
      <c r="D258" s="42" t="s">
        <v>431</v>
      </c>
      <c r="E258" s="42" t="s">
        <v>447</v>
      </c>
      <c r="F258" s="42" t="s">
        <v>448</v>
      </c>
      <c r="G258" s="42" t="s">
        <v>449</v>
      </c>
      <c r="H258" s="680" t="s">
        <v>435</v>
      </c>
      <c r="I258" s="42" t="s">
        <v>447</v>
      </c>
      <c r="J258" s="177" t="s">
        <v>448</v>
      </c>
    </row>
    <row r="259" spans="1:12" ht="12.75" customHeight="1" x14ac:dyDescent="0.2">
      <c r="A259" s="54"/>
      <c r="B259" s="660"/>
      <c r="C259" s="43" t="s">
        <v>450</v>
      </c>
      <c r="D259" s="43" t="s">
        <v>77</v>
      </c>
      <c r="E259" s="43" t="s">
        <v>451</v>
      </c>
      <c r="F259" s="43" t="s">
        <v>112</v>
      </c>
      <c r="G259" s="43" t="s">
        <v>452</v>
      </c>
      <c r="H259" s="673"/>
      <c r="I259" s="43" t="s">
        <v>451</v>
      </c>
      <c r="J259" s="178" t="s">
        <v>112</v>
      </c>
    </row>
    <row r="260" spans="1:12" x14ac:dyDescent="0.2">
      <c r="A260" s="55"/>
      <c r="B260" s="662"/>
      <c r="C260" s="44" t="s">
        <v>77</v>
      </c>
      <c r="D260" s="45"/>
      <c r="E260" s="44" t="s">
        <v>77</v>
      </c>
      <c r="F260" s="44" t="s">
        <v>77</v>
      </c>
      <c r="G260" s="44" t="s">
        <v>77</v>
      </c>
      <c r="H260" s="669"/>
      <c r="I260" s="44" t="s">
        <v>77</v>
      </c>
      <c r="J260" s="179" t="s">
        <v>77</v>
      </c>
    </row>
    <row r="261" spans="1:12" x14ac:dyDescent="0.2">
      <c r="A261" s="603">
        <v>5.0999999999999996</v>
      </c>
      <c r="B261" s="149" t="s">
        <v>455</v>
      </c>
      <c r="C261" s="87"/>
      <c r="E261" s="88"/>
      <c r="F261" s="89"/>
      <c r="G261" s="88"/>
      <c r="H261" s="89"/>
      <c r="I261" s="600"/>
      <c r="J261" s="600"/>
    </row>
    <row r="262" spans="1:12" x14ac:dyDescent="0.2">
      <c r="A262" s="556"/>
      <c r="B262" s="48" t="s">
        <v>11</v>
      </c>
      <c r="C262" s="575">
        <v>5206</v>
      </c>
      <c r="D262" s="576">
        <v>-2011</v>
      </c>
      <c r="E262" s="560">
        <f>+D262+C262</f>
        <v>3195</v>
      </c>
      <c r="F262" s="559">
        <v>3195</v>
      </c>
      <c r="G262" s="559" t="s">
        <v>22</v>
      </c>
      <c r="H262" s="584">
        <f>+F262/E262*100</f>
        <v>100</v>
      </c>
      <c r="I262" s="533">
        <v>2028</v>
      </c>
      <c r="J262" s="533">
        <v>2028</v>
      </c>
      <c r="K262" s="304"/>
    </row>
    <row r="263" spans="1:12" x14ac:dyDescent="0.2">
      <c r="A263" s="556"/>
      <c r="B263" s="48" t="s">
        <v>21</v>
      </c>
      <c r="C263" s="575">
        <v>50</v>
      </c>
      <c r="D263" s="576">
        <v>7</v>
      </c>
      <c r="E263" s="560">
        <f>+D263+C263</f>
        <v>57</v>
      </c>
      <c r="F263" s="559">
        <v>57</v>
      </c>
      <c r="G263" s="559" t="s">
        <v>22</v>
      </c>
      <c r="H263" s="584">
        <f>+F263/E263*100</f>
        <v>100</v>
      </c>
      <c r="I263" s="533">
        <v>55</v>
      </c>
      <c r="J263" s="533">
        <v>459</v>
      </c>
      <c r="K263" s="304"/>
      <c r="L263" s="304"/>
    </row>
    <row r="264" spans="1:12" x14ac:dyDescent="0.2">
      <c r="A264" s="556">
        <v>5.2</v>
      </c>
      <c r="B264" s="2" t="s">
        <v>477</v>
      </c>
      <c r="C264" s="575"/>
      <c r="D264" s="576"/>
      <c r="E264" s="533"/>
      <c r="F264" s="559"/>
      <c r="G264" s="533"/>
      <c r="H264" s="533"/>
      <c r="I264" s="533"/>
      <c r="J264" s="533"/>
      <c r="K264" s="304"/>
    </row>
    <row r="265" spans="1:12" x14ac:dyDescent="0.2">
      <c r="A265" s="556"/>
      <c r="B265" s="48" t="s">
        <v>11</v>
      </c>
      <c r="C265" s="575">
        <v>2887</v>
      </c>
      <c r="D265" s="576">
        <v>384</v>
      </c>
      <c r="E265" s="560">
        <f>+D265+C265</f>
        <v>3271</v>
      </c>
      <c r="F265" s="559">
        <v>3271</v>
      </c>
      <c r="G265" s="559" t="s">
        <v>22</v>
      </c>
      <c r="H265" s="584">
        <f>+F265/E265*100</f>
        <v>100</v>
      </c>
      <c r="I265" s="533">
        <v>206</v>
      </c>
      <c r="J265" s="533">
        <v>206</v>
      </c>
      <c r="K265" s="304"/>
    </row>
    <row r="266" spans="1:12" x14ac:dyDescent="0.2">
      <c r="A266" s="556"/>
      <c r="B266" s="48" t="s">
        <v>21</v>
      </c>
      <c r="C266" s="575">
        <v>190</v>
      </c>
      <c r="D266" s="576">
        <v>-109</v>
      </c>
      <c r="E266" s="560">
        <f>+D266+C266</f>
        <v>81</v>
      </c>
      <c r="F266" s="559">
        <v>81</v>
      </c>
      <c r="G266" s="559" t="s">
        <v>22</v>
      </c>
      <c r="H266" s="584">
        <f>+F266/E266*100</f>
        <v>100</v>
      </c>
      <c r="I266" s="533" t="s">
        <v>22</v>
      </c>
      <c r="J266" s="533" t="s">
        <v>22</v>
      </c>
      <c r="K266" s="304"/>
    </row>
    <row r="267" spans="1:12" ht="38.25" customHeight="1" x14ac:dyDescent="0.2">
      <c r="A267" s="556">
        <v>5.3</v>
      </c>
      <c r="B267" s="2" t="s">
        <v>478</v>
      </c>
      <c r="C267" s="575"/>
      <c r="D267" s="576"/>
      <c r="E267" s="533"/>
      <c r="F267" s="559"/>
      <c r="G267" s="533"/>
      <c r="H267" s="533"/>
      <c r="I267" s="533"/>
      <c r="J267" s="533"/>
      <c r="K267" s="304"/>
    </row>
    <row r="268" spans="1:12" x14ac:dyDescent="0.2">
      <c r="A268" s="556"/>
      <c r="B268" s="48" t="s">
        <v>11</v>
      </c>
      <c r="C268" s="575">
        <v>12419</v>
      </c>
      <c r="D268" s="576">
        <v>-7186</v>
      </c>
      <c r="E268" s="560">
        <f>+D268+C268</f>
        <v>5233</v>
      </c>
      <c r="F268" s="559">
        <v>4326</v>
      </c>
      <c r="G268" s="586">
        <f>+E268-F268</f>
        <v>907</v>
      </c>
      <c r="H268" s="584">
        <f>+F268/E268*100</f>
        <v>82.667685839862415</v>
      </c>
      <c r="I268" s="533">
        <v>14004</v>
      </c>
      <c r="J268" s="533">
        <v>7278</v>
      </c>
      <c r="K268" s="304"/>
    </row>
    <row r="269" spans="1:12" x14ac:dyDescent="0.2">
      <c r="A269" s="556"/>
      <c r="B269" s="48" t="s">
        <v>21</v>
      </c>
      <c r="C269" s="575">
        <v>100</v>
      </c>
      <c r="D269" s="576">
        <v>-71</v>
      </c>
      <c r="E269" s="560">
        <f>+D269+C269</f>
        <v>29</v>
      </c>
      <c r="F269" s="559">
        <v>29</v>
      </c>
      <c r="G269" s="559" t="s">
        <v>22</v>
      </c>
      <c r="H269" s="584">
        <f>+F269/E269*100</f>
        <v>100</v>
      </c>
      <c r="I269" s="533">
        <v>2645</v>
      </c>
      <c r="J269" s="533">
        <v>137</v>
      </c>
      <c r="K269" s="304"/>
    </row>
    <row r="270" spans="1:12" x14ac:dyDescent="0.2">
      <c r="A270" s="556">
        <v>5.4</v>
      </c>
      <c r="B270" s="2" t="s">
        <v>479</v>
      </c>
      <c r="C270" s="575"/>
      <c r="D270" s="576"/>
      <c r="E270" s="533"/>
      <c r="F270" s="559"/>
      <c r="G270" s="533"/>
      <c r="H270" s="533"/>
      <c r="I270" s="533"/>
      <c r="J270" s="533"/>
      <c r="K270" s="304"/>
    </row>
    <row r="271" spans="1:12" x14ac:dyDescent="0.2">
      <c r="A271" s="556"/>
      <c r="B271" s="48" t="s">
        <v>11</v>
      </c>
      <c r="C271" s="575">
        <v>5896</v>
      </c>
      <c r="D271" s="576">
        <v>-2182</v>
      </c>
      <c r="E271" s="560">
        <f>+D271+C271</f>
        <v>3714</v>
      </c>
      <c r="F271" s="559">
        <v>3714</v>
      </c>
      <c r="G271" s="559" t="s">
        <v>22</v>
      </c>
      <c r="H271" s="584">
        <f>+F271/E271*100</f>
        <v>100</v>
      </c>
      <c r="I271" s="533">
        <v>3877</v>
      </c>
      <c r="J271" s="533">
        <v>3515</v>
      </c>
      <c r="K271" s="304"/>
    </row>
    <row r="272" spans="1:12" x14ac:dyDescent="0.2">
      <c r="A272" s="556"/>
      <c r="B272" s="48" t="s">
        <v>21</v>
      </c>
      <c r="C272" s="575">
        <v>180</v>
      </c>
      <c r="D272" s="576">
        <v>-152</v>
      </c>
      <c r="E272" s="560">
        <f>+D272+C272</f>
        <v>28</v>
      </c>
      <c r="F272" s="559">
        <v>28</v>
      </c>
      <c r="G272" s="559" t="s">
        <v>22</v>
      </c>
      <c r="H272" s="584">
        <f>+F272/E272*100</f>
        <v>100</v>
      </c>
      <c r="I272" s="533">
        <v>90</v>
      </c>
      <c r="J272" s="533">
        <v>137</v>
      </c>
      <c r="K272" s="304"/>
    </row>
    <row r="273" spans="1:11" ht="28.15" customHeight="1" x14ac:dyDescent="0.2">
      <c r="A273" s="556">
        <v>5.5</v>
      </c>
      <c r="B273" s="2" t="s">
        <v>480</v>
      </c>
      <c r="C273" s="575"/>
      <c r="D273" s="576"/>
      <c r="E273" s="533"/>
      <c r="F273" s="559"/>
      <c r="G273" s="533"/>
      <c r="H273" s="533"/>
      <c r="I273" s="533"/>
      <c r="J273" s="533"/>
      <c r="K273" s="304"/>
    </row>
    <row r="274" spans="1:11" x14ac:dyDescent="0.2">
      <c r="A274" s="556"/>
      <c r="B274" s="48" t="s">
        <v>11</v>
      </c>
      <c r="C274" s="575">
        <v>4124</v>
      </c>
      <c r="D274" s="576">
        <v>-424</v>
      </c>
      <c r="E274" s="560">
        <f>+D274+C274</f>
        <v>3700</v>
      </c>
      <c r="F274" s="559">
        <v>3700</v>
      </c>
      <c r="G274" s="559" t="s">
        <v>22</v>
      </c>
      <c r="H274" s="584">
        <f>+F274/E274*100</f>
        <v>100</v>
      </c>
      <c r="I274" s="533" t="s">
        <v>22</v>
      </c>
      <c r="J274" s="533" t="s">
        <v>22</v>
      </c>
      <c r="K274" s="304"/>
    </row>
    <row r="275" spans="1:11" x14ac:dyDescent="0.2">
      <c r="A275" s="556"/>
      <c r="B275" s="48" t="s">
        <v>21</v>
      </c>
      <c r="C275" s="575">
        <v>220</v>
      </c>
      <c r="D275" s="576">
        <v>-35</v>
      </c>
      <c r="E275" s="560">
        <f>+D275+C275</f>
        <v>185</v>
      </c>
      <c r="F275" s="559">
        <v>185</v>
      </c>
      <c r="G275" s="559" t="s">
        <v>22</v>
      </c>
      <c r="H275" s="584">
        <f>+F275/E275*100</f>
        <v>100</v>
      </c>
      <c r="I275" s="533" t="s">
        <v>22</v>
      </c>
      <c r="J275" s="533" t="s">
        <v>22</v>
      </c>
      <c r="K275" s="304"/>
    </row>
    <row r="276" spans="1:11" ht="25.5" customHeight="1" x14ac:dyDescent="0.2">
      <c r="A276" s="556">
        <v>5.6</v>
      </c>
      <c r="B276" s="2" t="s">
        <v>481</v>
      </c>
      <c r="C276" s="575"/>
      <c r="D276" s="576"/>
      <c r="E276" s="533"/>
      <c r="F276" s="559"/>
      <c r="G276" s="533"/>
      <c r="H276" s="533"/>
      <c r="I276" s="533"/>
      <c r="J276" s="533"/>
      <c r="K276" s="304"/>
    </row>
    <row r="277" spans="1:11" x14ac:dyDescent="0.2">
      <c r="A277" s="556"/>
      <c r="B277" s="48" t="s">
        <v>11</v>
      </c>
      <c r="C277" s="575">
        <v>750</v>
      </c>
      <c r="D277" s="576">
        <v>-360</v>
      </c>
      <c r="E277" s="560">
        <f>+D277+C277</f>
        <v>390</v>
      </c>
      <c r="F277" s="559">
        <v>390</v>
      </c>
      <c r="G277" s="559" t="s">
        <v>22</v>
      </c>
      <c r="H277" s="584">
        <f>+F277/E277*100</f>
        <v>100</v>
      </c>
      <c r="I277" s="533">
        <v>344</v>
      </c>
      <c r="J277" s="533">
        <v>344</v>
      </c>
      <c r="K277" s="304"/>
    </row>
    <row r="278" spans="1:11" x14ac:dyDescent="0.2">
      <c r="A278" s="556"/>
      <c r="B278" s="48" t="s">
        <v>21</v>
      </c>
      <c r="C278" s="575">
        <v>20</v>
      </c>
      <c r="D278" s="576">
        <v>2481</v>
      </c>
      <c r="E278" s="560">
        <f>+D278+C278</f>
        <v>2501</v>
      </c>
      <c r="F278" s="559">
        <v>1</v>
      </c>
      <c r="G278" s="586">
        <f>+E278-F278</f>
        <v>2500</v>
      </c>
      <c r="H278" s="533" t="s">
        <v>22</v>
      </c>
      <c r="I278" s="533">
        <v>20</v>
      </c>
      <c r="J278" s="533">
        <v>19</v>
      </c>
      <c r="K278" s="304"/>
    </row>
    <row r="279" spans="1:11" x14ac:dyDescent="0.2">
      <c r="A279" s="556">
        <v>5.7</v>
      </c>
      <c r="B279" s="2" t="s">
        <v>467</v>
      </c>
      <c r="C279" s="575"/>
      <c r="D279" s="576"/>
      <c r="E279" s="533"/>
      <c r="F279" s="559"/>
      <c r="G279" s="533"/>
      <c r="H279" s="533"/>
      <c r="I279" s="533"/>
      <c r="J279" s="533"/>
      <c r="K279" s="304"/>
    </row>
    <row r="280" spans="1:11" x14ac:dyDescent="0.2">
      <c r="A280" s="556"/>
      <c r="B280" s="48" t="s">
        <v>11</v>
      </c>
      <c r="C280" s="575">
        <v>20400</v>
      </c>
      <c r="D280" s="576">
        <v>-708</v>
      </c>
      <c r="E280" s="560">
        <f>+D280+C280</f>
        <v>19692</v>
      </c>
      <c r="F280" s="559">
        <v>19692</v>
      </c>
      <c r="G280" s="559" t="s">
        <v>22</v>
      </c>
      <c r="H280" s="584">
        <f>+F280/E280*100</f>
        <v>100</v>
      </c>
      <c r="I280" s="533">
        <v>33137</v>
      </c>
      <c r="J280" s="533">
        <v>33137</v>
      </c>
      <c r="K280" s="304"/>
    </row>
    <row r="281" spans="1:11" x14ac:dyDescent="0.2">
      <c r="A281" s="556">
        <v>5.8</v>
      </c>
      <c r="B281" s="2" t="s">
        <v>462</v>
      </c>
      <c r="C281" s="575"/>
      <c r="D281" s="576"/>
      <c r="E281" s="533"/>
      <c r="F281" s="559"/>
      <c r="G281" s="533"/>
      <c r="H281" s="533"/>
      <c r="I281" s="533"/>
      <c r="J281" s="533"/>
      <c r="K281" s="304"/>
    </row>
    <row r="282" spans="1:11" x14ac:dyDescent="0.2">
      <c r="A282" s="556"/>
      <c r="B282" s="48" t="s">
        <v>11</v>
      </c>
      <c r="C282" s="575">
        <v>78340</v>
      </c>
      <c r="D282" s="576">
        <v>1006</v>
      </c>
      <c r="E282" s="560">
        <f>+D282+C282</f>
        <v>79346</v>
      </c>
      <c r="F282" s="559">
        <v>79346</v>
      </c>
      <c r="G282" s="559" t="s">
        <v>22</v>
      </c>
      <c r="H282" s="584">
        <f>+F282/E282*100</f>
        <v>100</v>
      </c>
      <c r="I282" s="533">
        <v>80504</v>
      </c>
      <c r="J282" s="533">
        <f>80113+33+358</f>
        <v>80504</v>
      </c>
      <c r="K282" s="304"/>
    </row>
    <row r="283" spans="1:11" x14ac:dyDescent="0.2">
      <c r="A283" s="556"/>
      <c r="B283" s="48" t="s">
        <v>21</v>
      </c>
      <c r="C283" s="575" t="s">
        <v>22</v>
      </c>
      <c r="D283" s="576" t="s">
        <v>22</v>
      </c>
      <c r="E283" s="533" t="s">
        <v>22</v>
      </c>
      <c r="F283" s="559" t="s">
        <v>22</v>
      </c>
      <c r="G283" s="559" t="s">
        <v>22</v>
      </c>
      <c r="H283" s="533" t="s">
        <v>22</v>
      </c>
      <c r="I283" s="533">
        <v>416</v>
      </c>
      <c r="J283" s="533">
        <f>807-33-358</f>
        <v>416</v>
      </c>
      <c r="K283" s="304"/>
    </row>
    <row r="284" spans="1:11" x14ac:dyDescent="0.2">
      <c r="A284" s="58"/>
      <c r="B284" s="8" t="s">
        <v>222</v>
      </c>
      <c r="C284" s="604">
        <f>SUM(C261:C283)</f>
        <v>130782</v>
      </c>
      <c r="D284" s="605">
        <f>SUM(D261:D282)</f>
        <v>-9360</v>
      </c>
      <c r="E284" s="605">
        <f>SUM(E261:E282)</f>
        <v>121422</v>
      </c>
      <c r="F284" s="605">
        <f>SUM(F261:F282)</f>
        <v>118015</v>
      </c>
      <c r="G284" s="605">
        <f>SUM(G261:G282)</f>
        <v>3407</v>
      </c>
      <c r="H284" s="551">
        <f>+F284/E284*100</f>
        <v>97.194083444515826</v>
      </c>
      <c r="I284" s="604">
        <f>SUM(I261:I283)</f>
        <v>137326</v>
      </c>
      <c r="J284" s="604">
        <f>SUM(J261:J283)</f>
        <v>128180</v>
      </c>
      <c r="K284" s="304"/>
    </row>
    <row r="285" spans="1:11" x14ac:dyDescent="0.2">
      <c r="A285" s="37"/>
      <c r="B285" s="8"/>
      <c r="C285" s="8"/>
      <c r="D285" s="8"/>
      <c r="E285" s="8"/>
      <c r="F285" s="8"/>
      <c r="G285" s="8"/>
      <c r="H285" s="8"/>
      <c r="I285" s="8"/>
      <c r="J285" s="8"/>
    </row>
    <row r="286" spans="1:11" x14ac:dyDescent="0.2">
      <c r="A286" s="52"/>
      <c r="B286" s="39"/>
      <c r="C286" s="682" t="s">
        <v>427</v>
      </c>
      <c r="D286" s="664"/>
      <c r="E286" s="664"/>
      <c r="F286" s="664"/>
      <c r="G286" s="664"/>
      <c r="H286" s="665"/>
      <c r="I286" s="679" t="s">
        <v>428</v>
      </c>
      <c r="J286" s="676"/>
    </row>
    <row r="287" spans="1:11" ht="12.75" customHeight="1" x14ac:dyDescent="0.2">
      <c r="A287" s="54"/>
      <c r="B287" s="687" t="s">
        <v>440</v>
      </c>
      <c r="C287" s="177" t="s">
        <v>446</v>
      </c>
      <c r="D287" s="49" t="s">
        <v>431</v>
      </c>
      <c r="E287" s="42" t="s">
        <v>447</v>
      </c>
      <c r="F287" s="42" t="s">
        <v>448</v>
      </c>
      <c r="G287" s="42" t="s">
        <v>449</v>
      </c>
      <c r="H287" s="680" t="s">
        <v>435</v>
      </c>
      <c r="I287" s="42" t="s">
        <v>447</v>
      </c>
      <c r="J287" s="177" t="s">
        <v>448</v>
      </c>
    </row>
    <row r="288" spans="1:11" ht="12.75" customHeight="1" x14ac:dyDescent="0.2">
      <c r="A288" s="54"/>
      <c r="B288" s="656"/>
      <c r="C288" s="178" t="s">
        <v>450</v>
      </c>
      <c r="D288" s="185" t="s">
        <v>77</v>
      </c>
      <c r="E288" s="43" t="s">
        <v>451</v>
      </c>
      <c r="F288" s="43" t="s">
        <v>112</v>
      </c>
      <c r="G288" s="43" t="s">
        <v>452</v>
      </c>
      <c r="H288" s="673"/>
      <c r="I288" s="43" t="s">
        <v>451</v>
      </c>
      <c r="J288" s="178" t="s">
        <v>112</v>
      </c>
    </row>
    <row r="289" spans="1:10" x14ac:dyDescent="0.2">
      <c r="A289" s="55"/>
      <c r="B289" s="650"/>
      <c r="C289" s="179" t="s">
        <v>77</v>
      </c>
      <c r="D289" s="46"/>
      <c r="E289" s="44" t="s">
        <v>77</v>
      </c>
      <c r="F289" s="44" t="s">
        <v>77</v>
      </c>
      <c r="G289" s="44" t="s">
        <v>77</v>
      </c>
      <c r="H289" s="669"/>
      <c r="I289" s="44" t="s">
        <v>77</v>
      </c>
      <c r="J289" s="179" t="s">
        <v>77</v>
      </c>
    </row>
    <row r="290" spans="1:10" x14ac:dyDescent="0.2">
      <c r="A290" s="52"/>
      <c r="B290" s="39" t="s">
        <v>11</v>
      </c>
      <c r="C290" s="50"/>
      <c r="D290" s="90"/>
      <c r="E290" s="89"/>
      <c r="F290" s="88"/>
      <c r="G290" s="89"/>
      <c r="H290" s="88"/>
      <c r="I290" s="599"/>
      <c r="J290" s="600"/>
    </row>
    <row r="291" spans="1:10" x14ac:dyDescent="0.2">
      <c r="A291" s="183"/>
      <c r="B291" s="48" t="s">
        <v>12</v>
      </c>
      <c r="C291" s="580">
        <v>7637</v>
      </c>
      <c r="D291" s="527">
        <v>-1215</v>
      </c>
      <c r="E291" s="560">
        <f>+D291+C291</f>
        <v>6422</v>
      </c>
      <c r="F291" s="533">
        <v>6422</v>
      </c>
      <c r="G291" s="559" t="s">
        <v>22</v>
      </c>
      <c r="H291" s="584">
        <f>+F291/E291*100</f>
        <v>100</v>
      </c>
      <c r="I291" s="559">
        <v>19623</v>
      </c>
      <c r="J291" s="533">
        <v>19623</v>
      </c>
    </row>
    <row r="292" spans="1:10" x14ac:dyDescent="0.2">
      <c r="A292" s="183"/>
      <c r="B292" s="48" t="s">
        <v>17</v>
      </c>
      <c r="C292" s="580">
        <v>96646</v>
      </c>
      <c r="D292" s="527">
        <v>2392</v>
      </c>
      <c r="E292" s="560">
        <f>+D292+C292</f>
        <v>99038</v>
      </c>
      <c r="F292" s="533">
        <v>99038</v>
      </c>
      <c r="G292" s="559" t="s">
        <v>22</v>
      </c>
      <c r="H292" s="584">
        <f>+F292/E292*100</f>
        <v>100</v>
      </c>
      <c r="I292" s="559">
        <v>91258</v>
      </c>
      <c r="J292" s="533">
        <v>90976</v>
      </c>
    </row>
    <row r="293" spans="1:10" x14ac:dyDescent="0.2">
      <c r="A293" s="183"/>
      <c r="B293" s="48" t="s">
        <v>106</v>
      </c>
      <c r="C293" s="580">
        <v>25739</v>
      </c>
      <c r="D293" s="527">
        <v>-12660</v>
      </c>
      <c r="E293" s="560">
        <f>+D293+C293</f>
        <v>13079</v>
      </c>
      <c r="F293" s="533">
        <v>12172</v>
      </c>
      <c r="G293" s="586">
        <f>+E293-F293</f>
        <v>907</v>
      </c>
      <c r="H293" s="584">
        <f>+F293/E293*100</f>
        <v>93.065219053444451</v>
      </c>
      <c r="I293" s="559">
        <v>21447</v>
      </c>
      <c r="J293" s="533">
        <f>16022+33+358</f>
        <v>16413</v>
      </c>
    </row>
    <row r="294" spans="1:10" x14ac:dyDescent="0.2">
      <c r="A294" s="183"/>
      <c r="B294" s="21" t="s">
        <v>21</v>
      </c>
      <c r="C294" s="580"/>
      <c r="D294" s="527"/>
      <c r="E294" s="533"/>
      <c r="F294" s="533"/>
      <c r="G294" s="559"/>
      <c r="H294" s="533"/>
      <c r="I294" s="559"/>
      <c r="J294" s="533"/>
    </row>
    <row r="295" spans="1:10" ht="12.75" customHeight="1" x14ac:dyDescent="0.2">
      <c r="A295" s="183"/>
      <c r="B295" s="48" t="s">
        <v>441</v>
      </c>
      <c r="C295" s="580">
        <v>760</v>
      </c>
      <c r="D295" s="527">
        <v>2123</v>
      </c>
      <c r="E295" s="560">
        <f>+D295+C295</f>
        <v>2883</v>
      </c>
      <c r="F295" s="533">
        <v>383</v>
      </c>
      <c r="G295" s="586">
        <f>+E295-F295</f>
        <v>2500</v>
      </c>
      <c r="H295" s="584">
        <f>+F295/E295*100</f>
        <v>13.284772806104753</v>
      </c>
      <c r="I295" s="559">
        <v>4998</v>
      </c>
      <c r="J295" s="533">
        <f>1559-33-358</f>
        <v>1168</v>
      </c>
    </row>
    <row r="296" spans="1:10" x14ac:dyDescent="0.2">
      <c r="A296" s="53"/>
      <c r="B296" s="8" t="s">
        <v>222</v>
      </c>
      <c r="C296" s="606">
        <f>SUM(C290:C295)</f>
        <v>130782</v>
      </c>
      <c r="D296" s="606">
        <f>SUM(D290:D295)</f>
        <v>-9360</v>
      </c>
      <c r="E296" s="606">
        <f>SUM(E290:E295)</f>
        <v>121422</v>
      </c>
      <c r="F296" s="606">
        <f>SUM(F290:F295)</f>
        <v>118015</v>
      </c>
      <c r="G296" s="606">
        <f>SUM(G290:G295)</f>
        <v>3407</v>
      </c>
      <c r="H296" s="551">
        <f>+F296/E296*100</f>
        <v>97.194083444515826</v>
      </c>
      <c r="I296" s="606">
        <f>SUM(I290:I295)</f>
        <v>137326</v>
      </c>
      <c r="J296" s="606">
        <f>SUM(J290:J295)</f>
        <v>128180</v>
      </c>
    </row>
    <row r="297" spans="1:10" x14ac:dyDescent="0.2">
      <c r="A297" s="57"/>
      <c r="B297" s="187"/>
      <c r="C297" s="187"/>
      <c r="D297" s="187"/>
      <c r="E297" s="187"/>
      <c r="F297" s="187"/>
      <c r="G297" s="187"/>
      <c r="H297" s="187"/>
      <c r="I297" s="187"/>
      <c r="J297" s="187"/>
    </row>
    <row r="298" spans="1:10" x14ac:dyDescent="0.2">
      <c r="A298" s="52"/>
      <c r="B298" s="39"/>
      <c r="C298" s="682" t="s">
        <v>427</v>
      </c>
      <c r="D298" s="664"/>
      <c r="E298" s="664"/>
      <c r="F298" s="664"/>
      <c r="G298" s="664"/>
      <c r="H298" s="665"/>
      <c r="I298" s="679" t="s">
        <v>428</v>
      </c>
      <c r="J298" s="676"/>
    </row>
    <row r="299" spans="1:10" ht="12.75" customHeight="1" x14ac:dyDescent="0.2">
      <c r="A299" s="54"/>
      <c r="B299" s="681" t="s">
        <v>442</v>
      </c>
      <c r="C299" s="177" t="s">
        <v>446</v>
      </c>
      <c r="D299" s="42" t="s">
        <v>431</v>
      </c>
      <c r="E299" s="42" t="s">
        <v>447</v>
      </c>
      <c r="F299" s="42" t="s">
        <v>448</v>
      </c>
      <c r="G299" s="42" t="s">
        <v>449</v>
      </c>
      <c r="H299" s="680" t="s">
        <v>435</v>
      </c>
      <c r="I299" s="42" t="s">
        <v>447</v>
      </c>
      <c r="J299" s="177" t="s">
        <v>448</v>
      </c>
    </row>
    <row r="300" spans="1:10" ht="12.75" customHeight="1" x14ac:dyDescent="0.2">
      <c r="A300" s="54"/>
      <c r="B300" s="660"/>
      <c r="C300" s="178" t="s">
        <v>450</v>
      </c>
      <c r="D300" s="43" t="s">
        <v>77</v>
      </c>
      <c r="E300" s="43" t="s">
        <v>451</v>
      </c>
      <c r="F300" s="43" t="s">
        <v>112</v>
      </c>
      <c r="G300" s="43" t="s">
        <v>452</v>
      </c>
      <c r="H300" s="673"/>
      <c r="I300" s="43" t="s">
        <v>451</v>
      </c>
      <c r="J300" s="178" t="s">
        <v>112</v>
      </c>
    </row>
    <row r="301" spans="1:10" x14ac:dyDescent="0.2">
      <c r="A301" s="55"/>
      <c r="B301" s="662"/>
      <c r="C301" s="179" t="s">
        <v>77</v>
      </c>
      <c r="D301" s="46"/>
      <c r="E301" s="44" t="s">
        <v>77</v>
      </c>
      <c r="F301" s="44" t="s">
        <v>77</v>
      </c>
      <c r="G301" s="44" t="s">
        <v>77</v>
      </c>
      <c r="H301" s="669"/>
      <c r="I301" s="44" t="s">
        <v>77</v>
      </c>
      <c r="J301" s="179" t="s">
        <v>77</v>
      </c>
    </row>
    <row r="302" spans="1:10" x14ac:dyDescent="0.2">
      <c r="A302" s="183"/>
      <c r="B302" s="21" t="s">
        <v>12</v>
      </c>
      <c r="C302" s="580">
        <v>7637</v>
      </c>
      <c r="D302" s="527">
        <v>-1215</v>
      </c>
      <c r="E302" s="560">
        <f>+D302+C302</f>
        <v>6422</v>
      </c>
      <c r="F302" s="533">
        <v>6422</v>
      </c>
      <c r="G302" s="559" t="s">
        <v>22</v>
      </c>
      <c r="H302" s="584">
        <f>+F302/E302*100</f>
        <v>100</v>
      </c>
      <c r="I302" s="559">
        <v>19623</v>
      </c>
      <c r="J302" s="533">
        <v>19623</v>
      </c>
    </row>
    <row r="303" spans="1:10" x14ac:dyDescent="0.2">
      <c r="A303" s="183"/>
      <c r="B303" s="21" t="s">
        <v>13</v>
      </c>
      <c r="C303" s="580">
        <v>9159</v>
      </c>
      <c r="D303" s="527">
        <v>-4410</v>
      </c>
      <c r="E303" s="560">
        <f>+D303+C303</f>
        <v>4749</v>
      </c>
      <c r="F303" s="533">
        <v>4749</v>
      </c>
      <c r="G303" s="559" t="s">
        <v>22</v>
      </c>
      <c r="H303" s="584">
        <f>+F303/E303*100</f>
        <v>100</v>
      </c>
      <c r="I303" s="559">
        <v>7571</v>
      </c>
      <c r="J303" s="533">
        <v>7571</v>
      </c>
    </row>
    <row r="304" spans="1:10" x14ac:dyDescent="0.2">
      <c r="A304" s="183"/>
      <c r="B304" s="21" t="s">
        <v>14</v>
      </c>
      <c r="C304" s="580">
        <v>424</v>
      </c>
      <c r="D304" s="527">
        <v>-26</v>
      </c>
      <c r="E304" s="560">
        <f>+D304+C304</f>
        <v>398</v>
      </c>
      <c r="F304" s="533">
        <v>398</v>
      </c>
      <c r="G304" s="559" t="s">
        <v>22</v>
      </c>
      <c r="H304" s="584">
        <f>+F304/E304*100</f>
        <v>100</v>
      </c>
      <c r="I304" s="559">
        <v>3272</v>
      </c>
      <c r="J304" s="533">
        <v>3272</v>
      </c>
    </row>
    <row r="305" spans="1:10" x14ac:dyDescent="0.2">
      <c r="A305" s="183"/>
      <c r="B305" s="21" t="s">
        <v>296</v>
      </c>
      <c r="C305" s="580">
        <v>930</v>
      </c>
      <c r="D305" s="527">
        <v>-492</v>
      </c>
      <c r="E305" s="560">
        <f>+D305+C305</f>
        <v>438</v>
      </c>
      <c r="F305" s="533">
        <v>438</v>
      </c>
      <c r="G305" s="559" t="s">
        <v>22</v>
      </c>
      <c r="H305" s="584">
        <f>+F305/E305*100</f>
        <v>100</v>
      </c>
      <c r="I305" s="559">
        <v>2031</v>
      </c>
      <c r="J305" s="533">
        <v>2031</v>
      </c>
    </row>
    <row r="306" spans="1:10" x14ac:dyDescent="0.2">
      <c r="A306" s="183"/>
      <c r="B306" s="21" t="s">
        <v>23</v>
      </c>
      <c r="C306" s="580" t="s">
        <v>22</v>
      </c>
      <c r="D306" s="527">
        <v>2500</v>
      </c>
      <c r="E306" s="572">
        <f>+D306</f>
        <v>2500</v>
      </c>
      <c r="F306" s="533" t="s">
        <v>22</v>
      </c>
      <c r="G306" s="585">
        <f>+E306</f>
        <v>2500</v>
      </c>
      <c r="H306" s="533" t="s">
        <v>22</v>
      </c>
      <c r="I306" s="559">
        <v>2550</v>
      </c>
      <c r="J306" s="533" t="s">
        <v>22</v>
      </c>
    </row>
    <row r="307" spans="1:10" ht="25.5" customHeight="1" x14ac:dyDescent="0.2">
      <c r="A307" s="183"/>
      <c r="B307" s="21" t="s">
        <v>16</v>
      </c>
      <c r="C307" s="580">
        <v>15986</v>
      </c>
      <c r="D307" s="527">
        <v>-8109</v>
      </c>
      <c r="E307" s="560">
        <f>+D307+C307</f>
        <v>7877</v>
      </c>
      <c r="F307" s="533">
        <v>6970</v>
      </c>
      <c r="G307" s="586">
        <f>+E307-F307</f>
        <v>907</v>
      </c>
      <c r="H307" s="584">
        <f>+F307/E307*100</f>
        <v>88.485464009140529</v>
      </c>
      <c r="I307" s="559">
        <v>11005</v>
      </c>
      <c r="J307" s="533">
        <v>4691</v>
      </c>
    </row>
    <row r="308" spans="1:10" x14ac:dyDescent="0.2">
      <c r="A308" s="183"/>
      <c r="B308" s="21" t="s">
        <v>17</v>
      </c>
      <c r="C308" s="580">
        <v>96646</v>
      </c>
      <c r="D308" s="527">
        <v>2392</v>
      </c>
      <c r="E308" s="560">
        <f>+D308+C308</f>
        <v>99038</v>
      </c>
      <c r="F308" s="533">
        <v>99038</v>
      </c>
      <c r="G308" s="559" t="s">
        <v>22</v>
      </c>
      <c r="H308" s="584">
        <f>+F308/E308*100</f>
        <v>100</v>
      </c>
      <c r="I308" s="559">
        <v>91258</v>
      </c>
      <c r="J308" s="533">
        <v>90976</v>
      </c>
    </row>
    <row r="309" spans="1:10" x14ac:dyDescent="0.2">
      <c r="A309" s="183"/>
      <c r="B309" s="21" t="s">
        <v>18</v>
      </c>
      <c r="C309" s="580" t="s">
        <v>22</v>
      </c>
      <c r="D309" s="527" t="s">
        <v>22</v>
      </c>
      <c r="E309" s="533" t="s">
        <v>22</v>
      </c>
      <c r="F309" s="533" t="s">
        <v>22</v>
      </c>
      <c r="G309" s="559" t="s">
        <v>22</v>
      </c>
      <c r="H309" s="533" t="s">
        <v>22</v>
      </c>
      <c r="I309" s="559">
        <v>16</v>
      </c>
      <c r="J309" s="533">
        <v>16</v>
      </c>
    </row>
    <row r="310" spans="1:10" x14ac:dyDescent="0.2">
      <c r="A310" s="53"/>
      <c r="B310" s="8" t="s">
        <v>222</v>
      </c>
      <c r="C310" s="601">
        <f>SUM(C302:C309)</f>
        <v>130782</v>
      </c>
      <c r="D310" s="601">
        <f>SUM(D302:D309)</f>
        <v>-9360</v>
      </c>
      <c r="E310" s="601">
        <f>SUM(E302:E309)</f>
        <v>121422</v>
      </c>
      <c r="F310" s="601">
        <f>SUM(F302:F309)</f>
        <v>118015</v>
      </c>
      <c r="G310" s="601">
        <f>SUM(G302:G309)</f>
        <v>3407</v>
      </c>
      <c r="H310" s="551">
        <f>+F310/E310*100</f>
        <v>97.194083444515826</v>
      </c>
      <c r="I310" s="601">
        <f>SUM(I302:I309)</f>
        <v>137326</v>
      </c>
      <c r="J310" s="601">
        <f>SUM(J302:J309)</f>
        <v>128180</v>
      </c>
    </row>
    <row r="311" spans="1:10" x14ac:dyDescent="0.2">
      <c r="A311" s="169"/>
      <c r="B311" s="21"/>
      <c r="C311" s="607"/>
      <c r="D311" s="607"/>
      <c r="E311" s="607"/>
      <c r="F311" s="607"/>
      <c r="G311" s="607"/>
      <c r="H311" s="608"/>
      <c r="I311" s="607"/>
      <c r="J311" s="607"/>
    </row>
    <row r="312" spans="1:10" x14ac:dyDescent="0.2">
      <c r="A312" s="169"/>
      <c r="B312" s="21"/>
      <c r="C312" s="607"/>
      <c r="D312" s="607"/>
      <c r="E312" s="607"/>
      <c r="F312" s="607"/>
      <c r="G312" s="607"/>
      <c r="H312" s="608"/>
      <c r="I312" s="607"/>
      <c r="J312" s="607"/>
    </row>
    <row r="313" spans="1:10" x14ac:dyDescent="0.2">
      <c r="A313" s="169"/>
      <c r="B313" s="84" t="s">
        <v>482</v>
      </c>
      <c r="C313" s="607"/>
      <c r="D313" s="607"/>
      <c r="E313" s="607"/>
      <c r="F313" s="607"/>
      <c r="G313" s="607"/>
      <c r="H313" s="608"/>
      <c r="I313" s="607"/>
      <c r="J313" s="607"/>
    </row>
    <row r="314" spans="1:10" x14ac:dyDescent="0.2">
      <c r="A314" s="169"/>
      <c r="B314" s="84" t="s">
        <v>483</v>
      </c>
      <c r="C314" s="607"/>
      <c r="D314" s="607"/>
      <c r="E314" s="607"/>
      <c r="F314" s="607"/>
      <c r="G314" s="607"/>
      <c r="H314" s="608"/>
      <c r="I314" s="607"/>
      <c r="J314" s="607"/>
    </row>
    <row r="315" spans="1:10" x14ac:dyDescent="0.2">
      <c r="A315" s="169"/>
      <c r="B315" s="21"/>
      <c r="C315" s="607"/>
      <c r="D315" s="607"/>
      <c r="E315" s="607"/>
      <c r="F315" s="607"/>
      <c r="G315" s="607"/>
      <c r="H315" s="608"/>
      <c r="I315" s="607"/>
      <c r="J315" s="607"/>
    </row>
    <row r="317" spans="1:10" x14ac:dyDescent="0.2">
      <c r="A317" s="631" t="s">
        <v>484</v>
      </c>
      <c r="B317" s="656"/>
      <c r="C317" s="656"/>
      <c r="D317" s="656"/>
      <c r="E317" s="656"/>
      <c r="F317" s="656"/>
      <c r="G317" s="656"/>
      <c r="H317" s="656"/>
      <c r="I317" s="656"/>
      <c r="J317" s="656"/>
    </row>
    <row r="318" spans="1:10" s="72" customFormat="1" x14ac:dyDescent="0.2">
      <c r="A318" s="631" t="s">
        <v>426</v>
      </c>
      <c r="B318" s="667"/>
      <c r="C318" s="667"/>
      <c r="D318" s="667"/>
      <c r="E318" s="667"/>
      <c r="F318" s="667"/>
      <c r="G318" s="667"/>
      <c r="H318" s="667"/>
      <c r="I318" s="667"/>
      <c r="J318" s="667"/>
    </row>
    <row r="320" spans="1:10" x14ac:dyDescent="0.2">
      <c r="A320" s="52"/>
      <c r="B320" s="39"/>
      <c r="C320" s="682" t="s">
        <v>427</v>
      </c>
      <c r="D320" s="664"/>
      <c r="E320" s="664"/>
      <c r="F320" s="664"/>
      <c r="G320" s="664"/>
      <c r="H320" s="665"/>
      <c r="I320" s="679" t="s">
        <v>428</v>
      </c>
      <c r="J320" s="676"/>
    </row>
    <row r="321" spans="1:10" ht="12.75" customHeight="1" x14ac:dyDescent="0.2">
      <c r="A321" s="54"/>
      <c r="B321" s="681" t="s">
        <v>445</v>
      </c>
      <c r="C321" s="42" t="s">
        <v>446</v>
      </c>
      <c r="D321" s="42" t="s">
        <v>431</v>
      </c>
      <c r="E321" s="42" t="s">
        <v>447</v>
      </c>
      <c r="F321" s="42" t="s">
        <v>448</v>
      </c>
      <c r="G321" s="42" t="s">
        <v>449</v>
      </c>
      <c r="H321" s="680" t="s">
        <v>435</v>
      </c>
      <c r="I321" s="42" t="s">
        <v>447</v>
      </c>
      <c r="J321" s="177" t="s">
        <v>448</v>
      </c>
    </row>
    <row r="322" spans="1:10" ht="12.75" customHeight="1" x14ac:dyDescent="0.2">
      <c r="A322" s="54"/>
      <c r="B322" s="660"/>
      <c r="C322" s="43" t="s">
        <v>450</v>
      </c>
      <c r="D322" s="43" t="s">
        <v>77</v>
      </c>
      <c r="E322" s="43" t="s">
        <v>451</v>
      </c>
      <c r="F322" s="43" t="s">
        <v>112</v>
      </c>
      <c r="G322" s="43" t="s">
        <v>452</v>
      </c>
      <c r="H322" s="673"/>
      <c r="I322" s="43" t="s">
        <v>451</v>
      </c>
      <c r="J322" s="178" t="s">
        <v>112</v>
      </c>
    </row>
    <row r="323" spans="1:10" x14ac:dyDescent="0.2">
      <c r="A323" s="55"/>
      <c r="B323" s="662"/>
      <c r="C323" s="44" t="s">
        <v>77</v>
      </c>
      <c r="D323" s="45"/>
      <c r="E323" s="44" t="s">
        <v>77</v>
      </c>
      <c r="F323" s="44" t="s">
        <v>77</v>
      </c>
      <c r="G323" s="44" t="s">
        <v>77</v>
      </c>
      <c r="H323" s="669"/>
      <c r="I323" s="44" t="s">
        <v>77</v>
      </c>
      <c r="J323" s="179" t="s">
        <v>77</v>
      </c>
    </row>
    <row r="324" spans="1:10" x14ac:dyDescent="0.2">
      <c r="A324" s="556">
        <v>6.1</v>
      </c>
      <c r="B324" s="149" t="s">
        <v>455</v>
      </c>
      <c r="C324" s="50"/>
      <c r="E324" s="47"/>
      <c r="F324" s="41"/>
      <c r="G324" s="47"/>
      <c r="H324" s="41"/>
      <c r="I324" s="47"/>
      <c r="J324" s="47"/>
    </row>
    <row r="325" spans="1:10" x14ac:dyDescent="0.2">
      <c r="A325" s="4"/>
      <c r="B325" s="48" t="s">
        <v>11</v>
      </c>
      <c r="C325" s="580">
        <v>16266</v>
      </c>
      <c r="D325" s="576">
        <v>-116</v>
      </c>
      <c r="E325" s="560">
        <f>+D325+C325</f>
        <v>16150</v>
      </c>
      <c r="F325" s="559">
        <v>16150</v>
      </c>
      <c r="G325" s="533" t="s">
        <v>22</v>
      </c>
      <c r="H325" s="584">
        <f>+F325/E325*100</f>
        <v>100</v>
      </c>
      <c r="I325" s="533">
        <v>1166</v>
      </c>
      <c r="J325" s="533">
        <v>2253</v>
      </c>
    </row>
    <row r="326" spans="1:10" x14ac:dyDescent="0.2">
      <c r="A326" s="4"/>
      <c r="B326" s="48" t="s">
        <v>21</v>
      </c>
      <c r="C326" s="580">
        <v>352</v>
      </c>
      <c r="D326" s="576">
        <v>-243</v>
      </c>
      <c r="E326" s="560">
        <f>+D326+C326</f>
        <v>109</v>
      </c>
      <c r="F326" s="559">
        <v>109</v>
      </c>
      <c r="G326" s="533" t="s">
        <v>22</v>
      </c>
      <c r="H326" s="584">
        <f>+F326/E326*100</f>
        <v>100</v>
      </c>
      <c r="I326" s="533">
        <v>659</v>
      </c>
      <c r="J326" s="533">
        <v>568</v>
      </c>
    </row>
    <row r="327" spans="1:10" x14ac:dyDescent="0.2">
      <c r="A327" s="556">
        <v>6.2</v>
      </c>
      <c r="B327" s="153" t="s">
        <v>485</v>
      </c>
      <c r="C327" s="580"/>
      <c r="D327" s="576"/>
      <c r="E327" s="533"/>
      <c r="F327" s="559"/>
      <c r="G327" s="533"/>
      <c r="H327" s="559"/>
      <c r="I327" s="533"/>
      <c r="J327" s="533"/>
    </row>
    <row r="328" spans="1:10" x14ac:dyDescent="0.2">
      <c r="A328" s="4"/>
      <c r="B328" s="142" t="s">
        <v>11</v>
      </c>
      <c r="C328" s="580">
        <v>4630</v>
      </c>
      <c r="D328" s="576">
        <v>-704</v>
      </c>
      <c r="E328" s="560">
        <f>+D328+C328</f>
        <v>3926</v>
      </c>
      <c r="F328" s="559">
        <v>3926</v>
      </c>
      <c r="G328" s="533" t="s">
        <v>22</v>
      </c>
      <c r="H328" s="584">
        <f>+F328/E328*100</f>
        <v>100</v>
      </c>
      <c r="I328" s="533">
        <v>5432</v>
      </c>
      <c r="J328" s="533">
        <v>4811</v>
      </c>
    </row>
    <row r="329" spans="1:10" x14ac:dyDescent="0.2">
      <c r="A329" s="4"/>
      <c r="B329" s="142" t="s">
        <v>21</v>
      </c>
      <c r="C329" s="580">
        <v>100</v>
      </c>
      <c r="D329" s="576">
        <v>-55</v>
      </c>
      <c r="E329" s="560">
        <f>+D329+C329</f>
        <v>45</v>
      </c>
      <c r="F329" s="559">
        <v>45</v>
      </c>
      <c r="G329" s="533" t="s">
        <v>22</v>
      </c>
      <c r="H329" s="584">
        <f>+F329/E329*100</f>
        <v>100</v>
      </c>
      <c r="I329" s="533" t="s">
        <v>22</v>
      </c>
      <c r="J329" s="533">
        <v>166</v>
      </c>
    </row>
    <row r="330" spans="1:10" ht="38.25" customHeight="1" x14ac:dyDescent="0.2">
      <c r="A330" s="556">
        <v>6.3</v>
      </c>
      <c r="B330" s="2" t="s">
        <v>486</v>
      </c>
      <c r="C330" s="580"/>
      <c r="D330" s="576"/>
      <c r="E330" s="533"/>
      <c r="F330" s="559"/>
      <c r="G330" s="533"/>
      <c r="H330" s="559"/>
      <c r="I330" s="533"/>
      <c r="J330" s="533"/>
    </row>
    <row r="331" spans="1:10" x14ac:dyDescent="0.2">
      <c r="A331" s="4"/>
      <c r="B331" s="48" t="s">
        <v>11</v>
      </c>
      <c r="C331" s="580">
        <v>2638</v>
      </c>
      <c r="D331" s="576">
        <v>293</v>
      </c>
      <c r="E331" s="560">
        <f>+D331+C331</f>
        <v>2931</v>
      </c>
      <c r="F331" s="559">
        <v>2931</v>
      </c>
      <c r="G331" s="533" t="s">
        <v>22</v>
      </c>
      <c r="H331" s="584">
        <f>+F331/E331*100</f>
        <v>100</v>
      </c>
      <c r="I331" s="533">
        <v>2005</v>
      </c>
      <c r="J331" s="533">
        <v>1771</v>
      </c>
    </row>
    <row r="332" spans="1:10" x14ac:dyDescent="0.2">
      <c r="A332" s="4"/>
      <c r="B332" s="48" t="s">
        <v>21</v>
      </c>
      <c r="C332" s="580">
        <v>113</v>
      </c>
      <c r="D332" s="576">
        <v>25</v>
      </c>
      <c r="E332" s="560">
        <f>+D332+C332</f>
        <v>138</v>
      </c>
      <c r="F332" s="559">
        <v>138</v>
      </c>
      <c r="G332" s="533" t="s">
        <v>22</v>
      </c>
      <c r="H332" s="584">
        <f>+F332/E332*100</f>
        <v>100</v>
      </c>
      <c r="I332" s="533" t="s">
        <v>22</v>
      </c>
      <c r="J332" s="533">
        <v>77</v>
      </c>
    </row>
    <row r="333" spans="1:10" ht="25.5" customHeight="1" x14ac:dyDescent="0.2">
      <c r="A333" s="556">
        <v>6.4</v>
      </c>
      <c r="B333" s="2" t="s">
        <v>487</v>
      </c>
      <c r="C333" s="580"/>
      <c r="D333" s="576"/>
      <c r="E333" s="533"/>
      <c r="F333" s="559"/>
      <c r="G333" s="533"/>
      <c r="H333" s="559"/>
      <c r="I333" s="533"/>
      <c r="J333" s="533"/>
    </row>
    <row r="334" spans="1:10" x14ac:dyDescent="0.2">
      <c r="A334" s="4"/>
      <c r="B334" s="48" t="s">
        <v>11</v>
      </c>
      <c r="C334" s="580">
        <v>2586</v>
      </c>
      <c r="D334" s="576">
        <v>-243</v>
      </c>
      <c r="E334" s="560">
        <f>+D334+C334</f>
        <v>2343</v>
      </c>
      <c r="F334" s="559">
        <v>2343</v>
      </c>
      <c r="G334" s="533" t="s">
        <v>22</v>
      </c>
      <c r="H334" s="584">
        <f>+F334/E334*100</f>
        <v>100</v>
      </c>
      <c r="I334" s="533">
        <v>249</v>
      </c>
      <c r="J334" s="533">
        <v>88</v>
      </c>
    </row>
    <row r="335" spans="1:10" x14ac:dyDescent="0.2">
      <c r="A335" s="4"/>
      <c r="B335" s="48" t="s">
        <v>21</v>
      </c>
      <c r="C335" s="580">
        <v>180</v>
      </c>
      <c r="D335" s="576">
        <v>189</v>
      </c>
      <c r="E335" s="560">
        <f>+D335+C335</f>
        <v>369</v>
      </c>
      <c r="F335" s="559">
        <v>369</v>
      </c>
      <c r="G335" s="533" t="s">
        <v>22</v>
      </c>
      <c r="H335" s="584">
        <f>+F335/E335*100</f>
        <v>100</v>
      </c>
      <c r="I335" s="533" t="s">
        <v>22</v>
      </c>
      <c r="J335" s="533" t="s">
        <v>22</v>
      </c>
    </row>
    <row r="336" spans="1:10" x14ac:dyDescent="0.2">
      <c r="A336" s="556">
        <v>6.5</v>
      </c>
      <c r="B336" s="2" t="s">
        <v>488</v>
      </c>
      <c r="C336" s="580"/>
      <c r="D336" s="576"/>
      <c r="E336" s="533"/>
      <c r="F336" s="559"/>
      <c r="G336" s="533"/>
      <c r="H336" s="559"/>
      <c r="I336" s="533"/>
      <c r="J336" s="533"/>
    </row>
    <row r="337" spans="1:10" x14ac:dyDescent="0.2">
      <c r="A337" s="4"/>
      <c r="B337" s="48" t="s">
        <v>11</v>
      </c>
      <c r="C337" s="580">
        <v>2509</v>
      </c>
      <c r="D337" s="576">
        <v>-425</v>
      </c>
      <c r="E337" s="560">
        <f>+D337+C337</f>
        <v>2084</v>
      </c>
      <c r="F337" s="559">
        <v>2084</v>
      </c>
      <c r="G337" s="533" t="s">
        <v>22</v>
      </c>
      <c r="H337" s="584">
        <f>+F337/E337*100</f>
        <v>100</v>
      </c>
      <c r="I337" s="533">
        <v>1243</v>
      </c>
      <c r="J337" s="533">
        <v>739</v>
      </c>
    </row>
    <row r="338" spans="1:10" x14ac:dyDescent="0.2">
      <c r="A338" s="4"/>
      <c r="B338" s="48" t="s">
        <v>21</v>
      </c>
      <c r="C338" s="580">
        <v>257</v>
      </c>
      <c r="D338" s="576">
        <v>-57</v>
      </c>
      <c r="E338" s="560">
        <f>+D338+C338</f>
        <v>200</v>
      </c>
      <c r="F338" s="559">
        <v>200</v>
      </c>
      <c r="G338" s="533" t="s">
        <v>22</v>
      </c>
      <c r="H338" s="584">
        <f>+F338/E338*100</f>
        <v>100</v>
      </c>
      <c r="I338" s="533" t="s">
        <v>22</v>
      </c>
      <c r="J338" s="533" t="s">
        <v>22</v>
      </c>
    </row>
    <row r="339" spans="1:10" x14ac:dyDescent="0.2">
      <c r="A339" s="556">
        <v>6.6</v>
      </c>
      <c r="B339" s="153" t="s">
        <v>462</v>
      </c>
      <c r="C339" s="580"/>
      <c r="D339" s="576"/>
      <c r="E339" s="533"/>
      <c r="F339" s="559"/>
      <c r="G339" s="533"/>
      <c r="H339" s="559"/>
      <c r="I339" s="533"/>
      <c r="J339" s="533"/>
    </row>
    <row r="340" spans="1:10" x14ac:dyDescent="0.2">
      <c r="A340" s="4"/>
      <c r="B340" s="142" t="s">
        <v>11</v>
      </c>
      <c r="C340" s="580">
        <v>87122</v>
      </c>
      <c r="D340" s="576" t="s">
        <v>22</v>
      </c>
      <c r="E340" s="577">
        <f>C340</f>
        <v>87122</v>
      </c>
      <c r="F340" s="559">
        <v>86842</v>
      </c>
      <c r="G340" s="578">
        <f>+E340-F340</f>
        <v>280</v>
      </c>
      <c r="H340" s="584">
        <f>+F340/E340*100</f>
        <v>99.678611602121165</v>
      </c>
      <c r="I340" s="533">
        <v>116134</v>
      </c>
      <c r="J340" s="533">
        <v>116134</v>
      </c>
    </row>
    <row r="341" spans="1:10" x14ac:dyDescent="0.2">
      <c r="A341" s="4"/>
      <c r="B341" s="142" t="s">
        <v>21</v>
      </c>
      <c r="C341" s="580">
        <v>83500</v>
      </c>
      <c r="D341" s="576" t="s">
        <v>22</v>
      </c>
      <c r="E341" s="577">
        <f>C341</f>
        <v>83500</v>
      </c>
      <c r="F341" s="559">
        <v>83500</v>
      </c>
      <c r="G341" s="533" t="s">
        <v>22</v>
      </c>
      <c r="H341" s="584">
        <f>+F341/E341*100</f>
        <v>100</v>
      </c>
      <c r="I341" s="533">
        <v>25000</v>
      </c>
      <c r="J341" s="533">
        <v>25000</v>
      </c>
    </row>
    <row r="342" spans="1:10" x14ac:dyDescent="0.2">
      <c r="A342" s="556">
        <v>6.7</v>
      </c>
      <c r="B342" s="2" t="s">
        <v>467</v>
      </c>
      <c r="C342" s="580"/>
      <c r="D342" s="576"/>
      <c r="E342" s="533"/>
      <c r="F342" s="559"/>
      <c r="G342" s="533"/>
      <c r="H342" s="559"/>
      <c r="I342" s="533"/>
      <c r="J342" s="533"/>
    </row>
    <row r="343" spans="1:10" x14ac:dyDescent="0.2">
      <c r="A343" s="4"/>
      <c r="B343" s="48" t="s">
        <v>11</v>
      </c>
      <c r="C343" s="580">
        <v>116200</v>
      </c>
      <c r="D343" s="576">
        <v>-19843</v>
      </c>
      <c r="E343" s="560">
        <f>+D343+C343</f>
        <v>96357</v>
      </c>
      <c r="F343" s="559">
        <v>96357</v>
      </c>
      <c r="G343" s="533" t="s">
        <v>22</v>
      </c>
      <c r="H343" s="584">
        <f>+F343/E343*100</f>
        <v>100</v>
      </c>
      <c r="I343" s="533">
        <v>45330</v>
      </c>
      <c r="J343" s="533">
        <v>45330</v>
      </c>
    </row>
    <row r="344" spans="1:10" x14ac:dyDescent="0.2">
      <c r="A344" s="9"/>
      <c r="B344" s="8" t="s">
        <v>222</v>
      </c>
      <c r="C344" s="609">
        <f>SUM(C324:C343)</f>
        <v>316453</v>
      </c>
      <c r="D344" s="609">
        <f>SUM(D324:D343)</f>
        <v>-21179</v>
      </c>
      <c r="E344" s="609">
        <f>SUM(E324:E343)</f>
        <v>295274</v>
      </c>
      <c r="F344" s="609">
        <f>SUM(F324:F343)</f>
        <v>294994</v>
      </c>
      <c r="G344" s="609">
        <f>SUM(G324:G343)</f>
        <v>280</v>
      </c>
      <c r="H344" s="551">
        <f>+F344/E344*100</f>
        <v>99.905172822530943</v>
      </c>
      <c r="I344" s="609">
        <f>SUM(I324:I343)</f>
        <v>197218</v>
      </c>
      <c r="J344" s="609">
        <f>SUM(J324:J343)</f>
        <v>196937</v>
      </c>
    </row>
    <row r="345" spans="1:10" x14ac:dyDescent="0.2">
      <c r="A345" s="8"/>
      <c r="B345" s="8"/>
      <c r="C345" s="8"/>
      <c r="D345" s="8"/>
      <c r="E345" s="8"/>
      <c r="F345" s="8"/>
      <c r="G345" s="8"/>
      <c r="H345" s="8"/>
      <c r="I345" s="8"/>
      <c r="J345" s="8"/>
    </row>
    <row r="346" spans="1:10" x14ac:dyDescent="0.2">
      <c r="A346" s="52"/>
      <c r="B346" s="39"/>
      <c r="C346" s="682" t="s">
        <v>427</v>
      </c>
      <c r="D346" s="664"/>
      <c r="E346" s="664"/>
      <c r="F346" s="664"/>
      <c r="G346" s="664"/>
      <c r="H346" s="665"/>
      <c r="I346" s="679" t="s">
        <v>428</v>
      </c>
      <c r="J346" s="676"/>
    </row>
    <row r="347" spans="1:10" ht="12.75" customHeight="1" x14ac:dyDescent="0.2">
      <c r="A347" s="54"/>
      <c r="B347" s="687" t="s">
        <v>440</v>
      </c>
      <c r="C347" s="177" t="s">
        <v>446</v>
      </c>
      <c r="D347" s="49" t="s">
        <v>431</v>
      </c>
      <c r="E347" s="42" t="s">
        <v>447</v>
      </c>
      <c r="F347" s="42" t="s">
        <v>448</v>
      </c>
      <c r="G347" s="42" t="s">
        <v>449</v>
      </c>
      <c r="H347" s="680" t="s">
        <v>435</v>
      </c>
      <c r="I347" s="42" t="s">
        <v>447</v>
      </c>
      <c r="J347" s="177" t="s">
        <v>448</v>
      </c>
    </row>
    <row r="348" spans="1:10" ht="12.75" customHeight="1" x14ac:dyDescent="0.2">
      <c r="A348" s="54"/>
      <c r="B348" s="656"/>
      <c r="C348" s="178" t="s">
        <v>450</v>
      </c>
      <c r="D348" s="185" t="s">
        <v>77</v>
      </c>
      <c r="E348" s="43" t="s">
        <v>451</v>
      </c>
      <c r="F348" s="43" t="s">
        <v>112</v>
      </c>
      <c r="G348" s="43" t="s">
        <v>452</v>
      </c>
      <c r="H348" s="673"/>
      <c r="I348" s="43" t="s">
        <v>451</v>
      </c>
      <c r="J348" s="178" t="s">
        <v>112</v>
      </c>
    </row>
    <row r="349" spans="1:10" x14ac:dyDescent="0.2">
      <c r="A349" s="55"/>
      <c r="B349" s="650"/>
      <c r="C349" s="179" t="s">
        <v>77</v>
      </c>
      <c r="D349" s="46"/>
      <c r="E349" s="44" t="s">
        <v>77</v>
      </c>
      <c r="F349" s="44" t="s">
        <v>77</v>
      </c>
      <c r="G349" s="44" t="s">
        <v>77</v>
      </c>
      <c r="H349" s="669"/>
      <c r="I349" s="44" t="s">
        <v>77</v>
      </c>
      <c r="J349" s="179" t="s">
        <v>77</v>
      </c>
    </row>
    <row r="350" spans="1:10" x14ac:dyDescent="0.2">
      <c r="A350" s="3"/>
      <c r="B350" s="39" t="s">
        <v>11</v>
      </c>
      <c r="C350" s="610"/>
      <c r="D350" s="592"/>
      <c r="E350" s="593"/>
      <c r="F350" s="568"/>
      <c r="G350" s="611"/>
      <c r="H350" s="568"/>
      <c r="I350" s="593"/>
      <c r="J350" s="568"/>
    </row>
    <row r="351" spans="1:10" x14ac:dyDescent="0.2">
      <c r="A351" s="4"/>
      <c r="B351" s="48" t="s">
        <v>12</v>
      </c>
      <c r="C351" s="580">
        <v>7978</v>
      </c>
      <c r="D351" s="527">
        <v>-10</v>
      </c>
      <c r="E351" s="560">
        <f>+D351+C351</f>
        <v>7968</v>
      </c>
      <c r="F351" s="533">
        <v>7968</v>
      </c>
      <c r="G351" s="533" t="s">
        <v>22</v>
      </c>
      <c r="H351" s="612">
        <f>+F351/E351*100</f>
        <v>100</v>
      </c>
      <c r="I351" s="559">
        <v>4292</v>
      </c>
      <c r="J351" s="533">
        <v>4292</v>
      </c>
    </row>
    <row r="352" spans="1:10" x14ac:dyDescent="0.2">
      <c r="A352" s="4"/>
      <c r="B352" s="48" t="s">
        <v>17</v>
      </c>
      <c r="C352" s="580">
        <v>203322</v>
      </c>
      <c r="D352" s="527">
        <v>-19843</v>
      </c>
      <c r="E352" s="560">
        <f>+D352+C352</f>
        <v>183479</v>
      </c>
      <c r="F352" s="533">
        <v>183199</v>
      </c>
      <c r="G352" s="578">
        <f>+E352-F352</f>
        <v>280</v>
      </c>
      <c r="H352" s="612">
        <f>+F352/E352*100</f>
        <v>99.847393979692498</v>
      </c>
      <c r="I352" s="559">
        <v>161464</v>
      </c>
      <c r="J352" s="533">
        <v>161464</v>
      </c>
    </row>
    <row r="353" spans="1:10" x14ac:dyDescent="0.2">
      <c r="A353" s="4"/>
      <c r="B353" s="48" t="s">
        <v>106</v>
      </c>
      <c r="C353" s="580">
        <v>20651</v>
      </c>
      <c r="D353" s="527">
        <v>-1185</v>
      </c>
      <c r="E353" s="560">
        <f>+D353+C353</f>
        <v>19466</v>
      </c>
      <c r="F353" s="533">
        <v>19466</v>
      </c>
      <c r="G353" s="533" t="s">
        <v>22</v>
      </c>
      <c r="H353" s="612">
        <f>+F353/E353*100</f>
        <v>100</v>
      </c>
      <c r="I353" s="559">
        <v>5802</v>
      </c>
      <c r="J353" s="533">
        <v>5370</v>
      </c>
    </row>
    <row r="354" spans="1:10" x14ac:dyDescent="0.2">
      <c r="A354" s="4"/>
      <c r="B354" s="21" t="s">
        <v>21</v>
      </c>
      <c r="C354" s="580"/>
      <c r="D354" s="527"/>
      <c r="E354" s="559"/>
      <c r="F354" s="533"/>
      <c r="G354" s="569"/>
      <c r="H354" s="525"/>
      <c r="I354" s="559"/>
      <c r="J354" s="533"/>
    </row>
    <row r="355" spans="1:10" x14ac:dyDescent="0.2">
      <c r="A355" s="4"/>
      <c r="B355" s="48" t="s">
        <v>17</v>
      </c>
      <c r="C355" s="580">
        <v>83500</v>
      </c>
      <c r="D355" s="527" t="s">
        <v>22</v>
      </c>
      <c r="E355" s="577">
        <f>C355</f>
        <v>83500</v>
      </c>
      <c r="F355" s="533">
        <v>83500</v>
      </c>
      <c r="G355" s="533" t="s">
        <v>22</v>
      </c>
      <c r="H355" s="612">
        <f>+F355/E355*100</f>
        <v>100</v>
      </c>
      <c r="I355" s="559">
        <v>25001</v>
      </c>
      <c r="J355" s="533">
        <v>25000</v>
      </c>
    </row>
    <row r="356" spans="1:10" ht="12.75" customHeight="1" x14ac:dyDescent="0.2">
      <c r="A356" s="4"/>
      <c r="B356" s="48" t="s">
        <v>441</v>
      </c>
      <c r="C356" s="580">
        <v>1002</v>
      </c>
      <c r="D356" s="527">
        <v>-141</v>
      </c>
      <c r="E356" s="560">
        <f>+D356+C356</f>
        <v>861</v>
      </c>
      <c r="F356" s="533">
        <v>861</v>
      </c>
      <c r="G356" s="533" t="s">
        <v>22</v>
      </c>
      <c r="H356" s="612">
        <f>+F356/E356*100</f>
        <v>100</v>
      </c>
      <c r="I356" s="559">
        <v>659</v>
      </c>
      <c r="J356" s="533">
        <v>811</v>
      </c>
    </row>
    <row r="357" spans="1:10" x14ac:dyDescent="0.2">
      <c r="A357" s="9"/>
      <c r="B357" s="8" t="s">
        <v>222</v>
      </c>
      <c r="C357" s="613">
        <f>SUM(C350:C356)</f>
        <v>316453</v>
      </c>
      <c r="D357" s="613">
        <f>SUM(D350:D356)</f>
        <v>-21179</v>
      </c>
      <c r="E357" s="613">
        <f>SUM(E350:E356)</f>
        <v>295274</v>
      </c>
      <c r="F357" s="613">
        <f>SUM(F350:F356)</f>
        <v>294994</v>
      </c>
      <c r="G357" s="613">
        <f>SUM(G350:G356)</f>
        <v>280</v>
      </c>
      <c r="H357" s="547">
        <f>+F357/E357*100</f>
        <v>99.905172822530943</v>
      </c>
      <c r="I357" s="613">
        <f>SUM(I350:I356)</f>
        <v>197218</v>
      </c>
      <c r="J357" s="613">
        <f>SUM(J350:J356)</f>
        <v>196937</v>
      </c>
    </row>
    <row r="358" spans="1:10" x14ac:dyDescent="0.2">
      <c r="A358" s="2"/>
      <c r="B358" s="2"/>
      <c r="C358" s="2"/>
      <c r="D358" s="2"/>
      <c r="E358" s="2"/>
      <c r="F358" s="2"/>
      <c r="G358" s="2"/>
      <c r="H358" s="2"/>
      <c r="I358" s="2"/>
      <c r="J358" s="2"/>
    </row>
    <row r="359" spans="1:10" x14ac:dyDescent="0.2">
      <c r="A359" s="52"/>
      <c r="B359" s="39"/>
      <c r="C359" s="682" t="s">
        <v>427</v>
      </c>
      <c r="D359" s="664"/>
      <c r="E359" s="664"/>
      <c r="F359" s="664"/>
      <c r="G359" s="664"/>
      <c r="H359" s="665"/>
      <c r="I359" s="679" t="s">
        <v>428</v>
      </c>
      <c r="J359" s="676"/>
    </row>
    <row r="360" spans="1:10" ht="12.75" customHeight="1" x14ac:dyDescent="0.2">
      <c r="A360" s="54"/>
      <c r="B360" s="681" t="s">
        <v>442</v>
      </c>
      <c r="C360" s="177" t="s">
        <v>446</v>
      </c>
      <c r="D360" s="42" t="s">
        <v>431</v>
      </c>
      <c r="E360" s="42" t="s">
        <v>447</v>
      </c>
      <c r="F360" s="42" t="s">
        <v>448</v>
      </c>
      <c r="G360" s="42" t="s">
        <v>449</v>
      </c>
      <c r="H360" s="680" t="s">
        <v>435</v>
      </c>
      <c r="I360" s="42" t="s">
        <v>447</v>
      </c>
      <c r="J360" s="177" t="s">
        <v>448</v>
      </c>
    </row>
    <row r="361" spans="1:10" ht="12.75" customHeight="1" x14ac:dyDescent="0.2">
      <c r="A361" s="54"/>
      <c r="B361" s="660"/>
      <c r="C361" s="178" t="s">
        <v>450</v>
      </c>
      <c r="D361" s="43" t="s">
        <v>77</v>
      </c>
      <c r="E361" s="43" t="s">
        <v>451</v>
      </c>
      <c r="F361" s="43" t="s">
        <v>112</v>
      </c>
      <c r="G361" s="43" t="s">
        <v>452</v>
      </c>
      <c r="H361" s="673"/>
      <c r="I361" s="43" t="s">
        <v>451</v>
      </c>
      <c r="J361" s="178" t="s">
        <v>112</v>
      </c>
    </row>
    <row r="362" spans="1:10" x14ac:dyDescent="0.2">
      <c r="A362" s="55"/>
      <c r="B362" s="662"/>
      <c r="C362" s="179" t="s">
        <v>77</v>
      </c>
      <c r="D362" s="46"/>
      <c r="E362" s="44" t="s">
        <v>77</v>
      </c>
      <c r="F362" s="44" t="s">
        <v>77</v>
      </c>
      <c r="G362" s="44" t="s">
        <v>77</v>
      </c>
      <c r="H362" s="669"/>
      <c r="I362" s="44" t="s">
        <v>77</v>
      </c>
      <c r="J362" s="179" t="s">
        <v>77</v>
      </c>
    </row>
    <row r="363" spans="1:10" x14ac:dyDescent="0.2">
      <c r="A363" s="4"/>
      <c r="B363" s="21" t="s">
        <v>12</v>
      </c>
      <c r="C363" s="580">
        <v>7978</v>
      </c>
      <c r="D363" s="527">
        <v>-10</v>
      </c>
      <c r="E363" s="560">
        <f t="shared" ref="E363:E368" si="6">+D363+C363</f>
        <v>7968</v>
      </c>
      <c r="F363" s="533">
        <v>7968</v>
      </c>
      <c r="G363" s="533" t="s">
        <v>22</v>
      </c>
      <c r="H363" s="584">
        <f t="shared" ref="H363:H368" si="7">+F363/E363*100</f>
        <v>100</v>
      </c>
      <c r="I363" s="559">
        <v>4292</v>
      </c>
      <c r="J363" s="533">
        <v>4292</v>
      </c>
    </row>
    <row r="364" spans="1:10" x14ac:dyDescent="0.2">
      <c r="A364" s="4"/>
      <c r="B364" s="21" t="s">
        <v>13</v>
      </c>
      <c r="C364" s="580">
        <v>4274</v>
      </c>
      <c r="D364" s="527">
        <v>2923</v>
      </c>
      <c r="E364" s="560">
        <f t="shared" si="6"/>
        <v>7197</v>
      </c>
      <c r="F364" s="533">
        <v>7197</v>
      </c>
      <c r="G364" s="533" t="s">
        <v>22</v>
      </c>
      <c r="H364" s="584">
        <f t="shared" si="7"/>
        <v>100</v>
      </c>
      <c r="I364" s="559">
        <v>3375</v>
      </c>
      <c r="J364" s="533">
        <v>3375</v>
      </c>
    </row>
    <row r="365" spans="1:10" x14ac:dyDescent="0.2">
      <c r="A365" s="4"/>
      <c r="B365" s="21" t="s">
        <v>14</v>
      </c>
      <c r="C365" s="580">
        <v>436</v>
      </c>
      <c r="D365" s="527">
        <v>453</v>
      </c>
      <c r="E365" s="560">
        <f t="shared" si="6"/>
        <v>889</v>
      </c>
      <c r="F365" s="533">
        <v>889</v>
      </c>
      <c r="G365" s="533" t="s">
        <v>22</v>
      </c>
      <c r="H365" s="584">
        <f t="shared" si="7"/>
        <v>100</v>
      </c>
      <c r="I365" s="559">
        <v>154</v>
      </c>
      <c r="J365" s="533">
        <v>154</v>
      </c>
    </row>
    <row r="366" spans="1:10" x14ac:dyDescent="0.2">
      <c r="A366" s="4"/>
      <c r="B366" s="21" t="s">
        <v>296</v>
      </c>
      <c r="C366" s="580">
        <v>1179</v>
      </c>
      <c r="D366" s="527">
        <v>-259</v>
      </c>
      <c r="E366" s="560">
        <f t="shared" si="6"/>
        <v>920</v>
      </c>
      <c r="F366" s="533">
        <v>920</v>
      </c>
      <c r="G366" s="533" t="s">
        <v>22</v>
      </c>
      <c r="H366" s="584">
        <f t="shared" si="7"/>
        <v>100</v>
      </c>
      <c r="I366" s="559">
        <v>841</v>
      </c>
      <c r="J366" s="533">
        <v>841</v>
      </c>
    </row>
    <row r="367" spans="1:10" ht="25.5" customHeight="1" x14ac:dyDescent="0.2">
      <c r="A367" s="4"/>
      <c r="B367" s="21" t="s">
        <v>16</v>
      </c>
      <c r="C367" s="580">
        <v>15764</v>
      </c>
      <c r="D367" s="527">
        <v>-4443</v>
      </c>
      <c r="E367" s="560">
        <f t="shared" si="6"/>
        <v>11321</v>
      </c>
      <c r="F367" s="533">
        <v>11321</v>
      </c>
      <c r="G367" s="533" t="s">
        <v>22</v>
      </c>
      <c r="H367" s="584">
        <f t="shared" si="7"/>
        <v>100</v>
      </c>
      <c r="I367" s="559">
        <v>1992</v>
      </c>
      <c r="J367" s="533">
        <v>1711</v>
      </c>
    </row>
    <row r="368" spans="1:10" x14ac:dyDescent="0.2">
      <c r="A368" s="4"/>
      <c r="B368" s="21" t="s">
        <v>17</v>
      </c>
      <c r="C368" s="580">
        <v>286822</v>
      </c>
      <c r="D368" s="527">
        <v>-19843</v>
      </c>
      <c r="E368" s="560">
        <f t="shared" si="6"/>
        <v>266979</v>
      </c>
      <c r="F368" s="533">
        <v>266699</v>
      </c>
      <c r="G368" s="578">
        <f>+E368-F368</f>
        <v>280</v>
      </c>
      <c r="H368" s="584">
        <f t="shared" si="7"/>
        <v>99.895122837376732</v>
      </c>
      <c r="I368" s="559">
        <v>186464</v>
      </c>
      <c r="J368" s="533">
        <v>186464</v>
      </c>
    </row>
    <row r="369" spans="1:10" x14ac:dyDescent="0.2">
      <c r="A369" s="4"/>
      <c r="B369" s="21" t="s">
        <v>18</v>
      </c>
      <c r="C369" s="580" t="s">
        <v>22</v>
      </c>
      <c r="D369" s="527" t="s">
        <v>22</v>
      </c>
      <c r="E369" s="533" t="s">
        <v>22</v>
      </c>
      <c r="F369" s="533" t="s">
        <v>22</v>
      </c>
      <c r="G369" s="533" t="s">
        <v>22</v>
      </c>
      <c r="H369" s="533" t="s">
        <v>22</v>
      </c>
      <c r="I369" s="559">
        <v>100</v>
      </c>
      <c r="J369" s="533">
        <v>100</v>
      </c>
    </row>
    <row r="370" spans="1:10" x14ac:dyDescent="0.2">
      <c r="A370" s="9"/>
      <c r="B370" s="8" t="s">
        <v>222</v>
      </c>
      <c r="C370" s="614">
        <f>SUM(C363:C369)</f>
        <v>316453</v>
      </c>
      <c r="D370" s="614">
        <f>SUM(D363:D369)</f>
        <v>-21179</v>
      </c>
      <c r="E370" s="614">
        <f>SUM(E363:E369)</f>
        <v>295274</v>
      </c>
      <c r="F370" s="614">
        <f>SUM(F363:F369)</f>
        <v>294994</v>
      </c>
      <c r="G370" s="614">
        <f>SUM(G363:G369)</f>
        <v>280</v>
      </c>
      <c r="H370" s="551">
        <f>+F370/E370*100</f>
        <v>99.905172822530943</v>
      </c>
      <c r="I370" s="614">
        <f>SUM(I363:I369)</f>
        <v>197218</v>
      </c>
      <c r="J370" s="614">
        <f>SUM(J363:J369)</f>
        <v>196937</v>
      </c>
    </row>
    <row r="371" spans="1:10" x14ac:dyDescent="0.2">
      <c r="C371" s="72"/>
    </row>
    <row r="372" spans="1:10" x14ac:dyDescent="0.2">
      <c r="A372" s="631" t="s">
        <v>489</v>
      </c>
      <c r="B372" s="656"/>
      <c r="C372" s="656"/>
      <c r="D372" s="656"/>
      <c r="E372" s="656"/>
      <c r="F372" s="656"/>
      <c r="G372" s="656"/>
      <c r="H372" s="656"/>
      <c r="I372" s="656"/>
      <c r="J372" s="656"/>
    </row>
    <row r="373" spans="1:10" x14ac:dyDescent="0.2">
      <c r="A373" s="631" t="s">
        <v>426</v>
      </c>
      <c r="B373" s="656"/>
      <c r="C373" s="656"/>
      <c r="D373" s="656"/>
      <c r="E373" s="656"/>
      <c r="F373" s="656"/>
      <c r="G373" s="656"/>
      <c r="H373" s="656"/>
      <c r="I373" s="656"/>
      <c r="J373" s="656"/>
    </row>
    <row r="374" spans="1:10" x14ac:dyDescent="0.2">
      <c r="A374" s="186"/>
      <c r="B374" s="186"/>
      <c r="C374" s="186"/>
      <c r="D374" s="186"/>
      <c r="E374" s="186"/>
      <c r="F374" s="186"/>
      <c r="G374" s="186"/>
      <c r="H374" s="186"/>
      <c r="I374" s="186"/>
      <c r="J374" s="186"/>
    </row>
    <row r="375" spans="1:10" x14ac:dyDescent="0.2">
      <c r="A375" s="52"/>
      <c r="B375" s="39"/>
      <c r="C375" s="682" t="s">
        <v>427</v>
      </c>
      <c r="D375" s="664"/>
      <c r="E375" s="664"/>
      <c r="F375" s="664"/>
      <c r="G375" s="664"/>
      <c r="H375" s="665"/>
      <c r="I375" s="679" t="s">
        <v>428</v>
      </c>
      <c r="J375" s="676"/>
    </row>
    <row r="376" spans="1:10" x14ac:dyDescent="0.2">
      <c r="A376" s="54"/>
      <c r="B376" s="681" t="s">
        <v>445</v>
      </c>
      <c r="C376" s="42" t="s">
        <v>446</v>
      </c>
      <c r="D376" s="42" t="s">
        <v>431</v>
      </c>
      <c r="E376" s="42" t="s">
        <v>447</v>
      </c>
      <c r="F376" s="42" t="s">
        <v>448</v>
      </c>
      <c r="G376" s="42" t="s">
        <v>449</v>
      </c>
      <c r="H376" s="680" t="s">
        <v>435</v>
      </c>
      <c r="I376" s="42" t="s">
        <v>447</v>
      </c>
      <c r="J376" s="177" t="s">
        <v>448</v>
      </c>
    </row>
    <row r="377" spans="1:10" x14ac:dyDescent="0.2">
      <c r="A377" s="54"/>
      <c r="B377" s="660"/>
      <c r="C377" s="43" t="s">
        <v>450</v>
      </c>
      <c r="D377" s="43" t="s">
        <v>77</v>
      </c>
      <c r="E377" s="43" t="s">
        <v>451</v>
      </c>
      <c r="F377" s="43" t="s">
        <v>112</v>
      </c>
      <c r="G377" s="43" t="s">
        <v>452</v>
      </c>
      <c r="H377" s="673"/>
      <c r="I377" s="43" t="s">
        <v>451</v>
      </c>
      <c r="J377" s="178" t="s">
        <v>112</v>
      </c>
    </row>
    <row r="378" spans="1:10" x14ac:dyDescent="0.2">
      <c r="A378" s="55"/>
      <c r="B378" s="662"/>
      <c r="C378" s="44" t="s">
        <v>77</v>
      </c>
      <c r="D378" s="45"/>
      <c r="E378" s="44" t="s">
        <v>77</v>
      </c>
      <c r="F378" s="44" t="s">
        <v>77</v>
      </c>
      <c r="G378" s="44" t="s">
        <v>77</v>
      </c>
      <c r="H378" s="669"/>
      <c r="I378" s="44" t="s">
        <v>77</v>
      </c>
      <c r="J378" s="179" t="s">
        <v>77</v>
      </c>
    </row>
    <row r="379" spans="1:10" ht="25.5" customHeight="1" x14ac:dyDescent="0.2">
      <c r="A379" s="556">
        <v>7.1</v>
      </c>
      <c r="B379" s="39" t="s">
        <v>490</v>
      </c>
      <c r="C379" s="615"/>
      <c r="D379" s="616"/>
      <c r="E379" s="617"/>
      <c r="F379" s="618"/>
      <c r="G379" s="617"/>
      <c r="H379" s="599"/>
      <c r="I379" s="600"/>
      <c r="J379" s="600"/>
    </row>
    <row r="380" spans="1:10" x14ac:dyDescent="0.2">
      <c r="A380" s="4"/>
      <c r="B380" s="48" t="s">
        <v>11</v>
      </c>
      <c r="C380" s="580">
        <v>19027</v>
      </c>
      <c r="D380" s="576">
        <v>6053</v>
      </c>
      <c r="E380" s="560">
        <f>+D380+C380</f>
        <v>25080</v>
      </c>
      <c r="F380" s="559">
        <v>25080</v>
      </c>
      <c r="G380" s="533" t="s">
        <v>22</v>
      </c>
      <c r="H380" s="584">
        <f>+F380/E380*100</f>
        <v>100</v>
      </c>
      <c r="I380" s="533">
        <v>24216</v>
      </c>
      <c r="J380" s="533">
        <v>23701</v>
      </c>
    </row>
    <row r="381" spans="1:10" x14ac:dyDescent="0.2">
      <c r="A381" s="4"/>
      <c r="B381" s="48" t="s">
        <v>21</v>
      </c>
      <c r="C381" s="580">
        <v>31205</v>
      </c>
      <c r="D381" s="576">
        <v>-1087</v>
      </c>
      <c r="E381" s="560">
        <f>+D381+C381</f>
        <v>30118</v>
      </c>
      <c r="F381" s="559">
        <v>119</v>
      </c>
      <c r="G381" s="578">
        <f>+E381-F381</f>
        <v>29999</v>
      </c>
      <c r="H381" s="533" t="s">
        <v>22</v>
      </c>
      <c r="I381" s="533" t="s">
        <v>22</v>
      </c>
      <c r="J381" s="533">
        <v>806</v>
      </c>
    </row>
    <row r="382" spans="1:10" ht="25.5" customHeight="1" x14ac:dyDescent="0.2">
      <c r="A382" s="556">
        <v>7.2</v>
      </c>
      <c r="B382" s="21" t="s">
        <v>491</v>
      </c>
      <c r="C382" s="580"/>
      <c r="D382" s="576"/>
      <c r="E382" s="533"/>
      <c r="F382" s="559"/>
      <c r="G382" s="533"/>
      <c r="H382" s="559"/>
      <c r="I382" s="533"/>
      <c r="J382" s="533"/>
    </row>
    <row r="383" spans="1:10" x14ac:dyDescent="0.2">
      <c r="A383" s="4"/>
      <c r="B383" s="48" t="s">
        <v>21</v>
      </c>
      <c r="C383" s="580">
        <v>2</v>
      </c>
      <c r="D383" s="576">
        <v>-1</v>
      </c>
      <c r="E383" s="560">
        <f>+D383+C383</f>
        <v>1</v>
      </c>
      <c r="F383" s="559" t="s">
        <v>22</v>
      </c>
      <c r="G383" s="577">
        <f>+E383</f>
        <v>1</v>
      </c>
      <c r="H383" s="533" t="s">
        <v>22</v>
      </c>
      <c r="I383" s="533">
        <v>2</v>
      </c>
      <c r="J383" s="533" t="s">
        <v>22</v>
      </c>
    </row>
    <row r="384" spans="1:10" ht="25.5" customHeight="1" x14ac:dyDescent="0.2">
      <c r="A384" s="556">
        <v>7.3</v>
      </c>
      <c r="B384" s="21" t="s">
        <v>492</v>
      </c>
      <c r="C384" s="580"/>
      <c r="D384" s="576"/>
      <c r="E384" s="533"/>
      <c r="F384" s="559"/>
      <c r="G384" s="533"/>
      <c r="H384" s="559"/>
      <c r="I384" s="533"/>
      <c r="J384" s="533"/>
    </row>
    <row r="385" spans="1:10" x14ac:dyDescent="0.2">
      <c r="A385" s="4"/>
      <c r="B385" s="48" t="s">
        <v>21</v>
      </c>
      <c r="C385" s="580">
        <v>7764</v>
      </c>
      <c r="D385" s="576">
        <v>-2500</v>
      </c>
      <c r="E385" s="560">
        <f>+D385+C385</f>
        <v>5264</v>
      </c>
      <c r="F385" s="559">
        <v>5305</v>
      </c>
      <c r="G385" s="578">
        <f>+E385-F385</f>
        <v>-41</v>
      </c>
      <c r="H385" s="584">
        <f>+F385/E385*100</f>
        <v>100.77887537993921</v>
      </c>
      <c r="I385" s="533">
        <v>2398</v>
      </c>
      <c r="J385" s="533">
        <v>800</v>
      </c>
    </row>
    <row r="386" spans="1:10" x14ac:dyDescent="0.2">
      <c r="A386" s="40"/>
      <c r="B386" s="8" t="s">
        <v>222</v>
      </c>
      <c r="C386" s="619">
        <f>SUM(C379:C385)</f>
        <v>57998</v>
      </c>
      <c r="D386" s="619">
        <f>SUM(D379:D385)</f>
        <v>2465</v>
      </c>
      <c r="E386" s="619">
        <f>SUM(E379:E385)</f>
        <v>60463</v>
      </c>
      <c r="F386" s="619">
        <f>SUM(F379:F385)</f>
        <v>30504</v>
      </c>
      <c r="G386" s="619">
        <f>SUM(G379:G385)</f>
        <v>29959</v>
      </c>
      <c r="H386" s="620">
        <f>+F386/E386*100</f>
        <v>50.450688851032865</v>
      </c>
      <c r="I386" s="619">
        <f>SUM(I379:I385)</f>
        <v>26616</v>
      </c>
      <c r="J386" s="619">
        <f>SUM(J379:J385)</f>
        <v>25307</v>
      </c>
    </row>
    <row r="387" spans="1:10" x14ac:dyDescent="0.2">
      <c r="A387" s="8"/>
      <c r="B387" s="8"/>
      <c r="C387" s="8"/>
      <c r="D387" s="8"/>
      <c r="E387" s="8"/>
      <c r="F387" s="8"/>
      <c r="G387" s="8"/>
      <c r="H387" s="8"/>
      <c r="I387" s="8"/>
      <c r="J387" s="8"/>
    </row>
    <row r="388" spans="1:10" x14ac:dyDescent="0.2">
      <c r="A388" s="52"/>
      <c r="B388" s="39"/>
      <c r="C388" s="682" t="s">
        <v>427</v>
      </c>
      <c r="D388" s="664"/>
      <c r="E388" s="664"/>
      <c r="F388" s="664"/>
      <c r="G388" s="664"/>
      <c r="H388" s="665"/>
      <c r="I388" s="679" t="s">
        <v>428</v>
      </c>
      <c r="J388" s="676"/>
    </row>
    <row r="389" spans="1:10" x14ac:dyDescent="0.2">
      <c r="A389" s="54"/>
      <c r="B389" s="687" t="s">
        <v>440</v>
      </c>
      <c r="C389" s="177" t="s">
        <v>446</v>
      </c>
      <c r="D389" s="49" t="s">
        <v>431</v>
      </c>
      <c r="E389" s="42" t="s">
        <v>447</v>
      </c>
      <c r="F389" s="42" t="s">
        <v>448</v>
      </c>
      <c r="G389" s="42" t="s">
        <v>449</v>
      </c>
      <c r="H389" s="680" t="s">
        <v>435</v>
      </c>
      <c r="I389" s="42" t="s">
        <v>447</v>
      </c>
      <c r="J389" s="177" t="s">
        <v>448</v>
      </c>
    </row>
    <row r="390" spans="1:10" x14ac:dyDescent="0.2">
      <c r="A390" s="54"/>
      <c r="B390" s="656"/>
      <c r="C390" s="178" t="s">
        <v>450</v>
      </c>
      <c r="D390" s="185" t="s">
        <v>77</v>
      </c>
      <c r="E390" s="43" t="s">
        <v>451</v>
      </c>
      <c r="F390" s="43" t="s">
        <v>112</v>
      </c>
      <c r="G390" s="43" t="s">
        <v>452</v>
      </c>
      <c r="H390" s="673"/>
      <c r="I390" s="43" t="s">
        <v>451</v>
      </c>
      <c r="J390" s="178" t="s">
        <v>112</v>
      </c>
    </row>
    <row r="391" spans="1:10" x14ac:dyDescent="0.2">
      <c r="A391" s="55"/>
      <c r="B391" s="650"/>
      <c r="C391" s="179" t="s">
        <v>77</v>
      </c>
      <c r="D391" s="46"/>
      <c r="E391" s="44" t="s">
        <v>77</v>
      </c>
      <c r="F391" s="44" t="s">
        <v>77</v>
      </c>
      <c r="G391" s="44" t="s">
        <v>77</v>
      </c>
      <c r="H391" s="669"/>
      <c r="I391" s="44" t="s">
        <v>77</v>
      </c>
      <c r="J391" s="179" t="s">
        <v>77</v>
      </c>
    </row>
    <row r="392" spans="1:10" x14ac:dyDescent="0.2">
      <c r="A392" s="3"/>
      <c r="B392" s="39" t="s">
        <v>11</v>
      </c>
      <c r="C392" s="50"/>
      <c r="D392" s="38"/>
      <c r="E392" s="41"/>
      <c r="F392" s="47"/>
      <c r="G392" s="41"/>
      <c r="H392" s="47"/>
      <c r="I392" s="41"/>
      <c r="J392" s="47"/>
    </row>
    <row r="393" spans="1:10" x14ac:dyDescent="0.2">
      <c r="A393" s="4"/>
      <c r="B393" s="48" t="s">
        <v>12</v>
      </c>
      <c r="C393" s="580">
        <v>8206</v>
      </c>
      <c r="D393" s="527">
        <v>-1402</v>
      </c>
      <c r="E393" s="583">
        <f>+D393+C393</f>
        <v>6804</v>
      </c>
      <c r="F393" s="533">
        <v>6804</v>
      </c>
      <c r="G393" s="559" t="s">
        <v>22</v>
      </c>
      <c r="H393" s="584">
        <f>+F393/E393*100</f>
        <v>100</v>
      </c>
      <c r="I393" s="559">
        <v>6997</v>
      </c>
      <c r="J393" s="533">
        <v>6997</v>
      </c>
    </row>
    <row r="394" spans="1:10" x14ac:dyDescent="0.2">
      <c r="A394" s="4"/>
      <c r="B394" s="48" t="s">
        <v>106</v>
      </c>
      <c r="C394" s="580">
        <v>10821</v>
      </c>
      <c r="D394" s="527">
        <v>7455</v>
      </c>
      <c r="E394" s="583">
        <f>+D394+C394</f>
        <v>18276</v>
      </c>
      <c r="F394" s="533">
        <v>18276</v>
      </c>
      <c r="G394" s="559" t="s">
        <v>22</v>
      </c>
      <c r="H394" s="584">
        <f>+F394/E394*100</f>
        <v>100</v>
      </c>
      <c r="I394" s="559">
        <v>17219</v>
      </c>
      <c r="J394" s="533">
        <v>16703</v>
      </c>
    </row>
    <row r="395" spans="1:10" x14ac:dyDescent="0.2">
      <c r="A395" s="4"/>
      <c r="B395" s="21" t="s">
        <v>21</v>
      </c>
      <c r="C395" s="580"/>
      <c r="D395" s="527"/>
      <c r="E395" s="559"/>
      <c r="F395" s="533"/>
      <c r="G395" s="559"/>
      <c r="H395" s="559"/>
      <c r="I395" s="559"/>
      <c r="J395" s="533"/>
    </row>
    <row r="396" spans="1:10" x14ac:dyDescent="0.2">
      <c r="A396" s="4"/>
      <c r="B396" s="48" t="s">
        <v>17</v>
      </c>
      <c r="C396" s="580">
        <v>1</v>
      </c>
      <c r="D396" s="527" t="s">
        <v>22</v>
      </c>
      <c r="E396" s="585">
        <f>C396</f>
        <v>1</v>
      </c>
      <c r="F396" s="533" t="s">
        <v>22</v>
      </c>
      <c r="G396" s="585">
        <f>+E396</f>
        <v>1</v>
      </c>
      <c r="H396" s="533" t="s">
        <v>22</v>
      </c>
      <c r="I396" s="559" t="s">
        <v>22</v>
      </c>
      <c r="J396" s="533" t="s">
        <v>22</v>
      </c>
    </row>
    <row r="397" spans="1:10" ht="12.75" customHeight="1" x14ac:dyDescent="0.2">
      <c r="A397" s="4"/>
      <c r="B397" s="48" t="s">
        <v>441</v>
      </c>
      <c r="C397" s="580">
        <v>38970</v>
      </c>
      <c r="D397" s="527">
        <v>-3588</v>
      </c>
      <c r="E397" s="583">
        <f>+D397+C397</f>
        <v>35382</v>
      </c>
      <c r="F397" s="533">
        <v>5424</v>
      </c>
      <c r="G397" s="586">
        <f>+E397-F397</f>
        <v>29958</v>
      </c>
      <c r="H397" s="584">
        <f>+F397/E397*100</f>
        <v>15.329828726471087</v>
      </c>
      <c r="I397" s="559">
        <v>2400</v>
      </c>
      <c r="J397" s="533">
        <v>1607</v>
      </c>
    </row>
    <row r="398" spans="1:10" x14ac:dyDescent="0.2">
      <c r="A398" s="9"/>
      <c r="B398" s="141" t="s">
        <v>222</v>
      </c>
      <c r="C398" s="621">
        <f>SUM(C392:C397)</f>
        <v>57998</v>
      </c>
      <c r="D398" s="621">
        <f>SUM(D392:D397)</f>
        <v>2465</v>
      </c>
      <c r="E398" s="621">
        <f>SUM(E392:E397)</f>
        <v>60463</v>
      </c>
      <c r="F398" s="621">
        <f>SUM(F392:F397)</f>
        <v>30504</v>
      </c>
      <c r="G398" s="621">
        <f>SUM(G392:G397)</f>
        <v>29959</v>
      </c>
      <c r="H398" s="620">
        <f>+F398/E398*100</f>
        <v>50.450688851032865</v>
      </c>
      <c r="I398" s="621">
        <f>SUM(I392:I397)</f>
        <v>26616</v>
      </c>
      <c r="J398" s="621">
        <f>SUM(J392:J397)</f>
        <v>25307</v>
      </c>
    </row>
    <row r="399" spans="1:10" x14ac:dyDescent="0.2">
      <c r="A399" s="2"/>
      <c r="B399" s="2"/>
      <c r="D399" s="2"/>
      <c r="E399" s="2"/>
      <c r="F399" s="2"/>
      <c r="G399" s="2"/>
      <c r="H399" s="2"/>
      <c r="I399" s="2"/>
      <c r="J399" s="2"/>
    </row>
    <row r="400" spans="1:10" x14ac:dyDescent="0.2">
      <c r="A400" s="52"/>
      <c r="B400" s="39"/>
      <c r="C400" s="682" t="s">
        <v>427</v>
      </c>
      <c r="D400" s="664"/>
      <c r="E400" s="664"/>
      <c r="F400" s="664"/>
      <c r="G400" s="664"/>
      <c r="H400" s="665"/>
      <c r="I400" s="679" t="s">
        <v>428</v>
      </c>
      <c r="J400" s="676"/>
    </row>
    <row r="401" spans="1:10" x14ac:dyDescent="0.2">
      <c r="A401" s="54"/>
      <c r="B401" s="681" t="s">
        <v>442</v>
      </c>
      <c r="C401" s="177" t="s">
        <v>446</v>
      </c>
      <c r="D401" s="42" t="s">
        <v>431</v>
      </c>
      <c r="E401" s="42" t="s">
        <v>447</v>
      </c>
      <c r="F401" s="42" t="s">
        <v>448</v>
      </c>
      <c r="G401" s="42" t="s">
        <v>449</v>
      </c>
      <c r="H401" s="680" t="s">
        <v>435</v>
      </c>
      <c r="I401" s="42" t="s">
        <v>447</v>
      </c>
      <c r="J401" s="177" t="s">
        <v>448</v>
      </c>
    </row>
    <row r="402" spans="1:10" x14ac:dyDescent="0.2">
      <c r="A402" s="54"/>
      <c r="B402" s="660"/>
      <c r="C402" s="178" t="s">
        <v>450</v>
      </c>
      <c r="D402" s="43" t="s">
        <v>77</v>
      </c>
      <c r="E402" s="43" t="s">
        <v>451</v>
      </c>
      <c r="F402" s="43" t="s">
        <v>112</v>
      </c>
      <c r="G402" s="43" t="s">
        <v>452</v>
      </c>
      <c r="H402" s="673"/>
      <c r="I402" s="43" t="s">
        <v>451</v>
      </c>
      <c r="J402" s="178" t="s">
        <v>112</v>
      </c>
    </row>
    <row r="403" spans="1:10" x14ac:dyDescent="0.2">
      <c r="A403" s="55"/>
      <c r="B403" s="662"/>
      <c r="C403" s="179" t="s">
        <v>77</v>
      </c>
      <c r="D403" s="46"/>
      <c r="E403" s="44" t="s">
        <v>77</v>
      </c>
      <c r="F403" s="44" t="s">
        <v>77</v>
      </c>
      <c r="G403" s="44" t="s">
        <v>77</v>
      </c>
      <c r="H403" s="669"/>
      <c r="I403" s="44" t="s">
        <v>77</v>
      </c>
      <c r="J403" s="179" t="s">
        <v>77</v>
      </c>
    </row>
    <row r="404" spans="1:10" x14ac:dyDescent="0.2">
      <c r="A404" s="4"/>
      <c r="B404" s="21" t="s">
        <v>12</v>
      </c>
      <c r="C404" s="580">
        <v>8206</v>
      </c>
      <c r="D404" s="527">
        <v>-1402</v>
      </c>
      <c r="E404" s="583">
        <f t="shared" ref="E404:E409" si="8">+D404+C404</f>
        <v>6804</v>
      </c>
      <c r="F404" s="533">
        <v>6804</v>
      </c>
      <c r="G404" s="559" t="s">
        <v>22</v>
      </c>
      <c r="H404" s="584">
        <f t="shared" ref="H404:H409" si="9">+F404/E404*100</f>
        <v>100</v>
      </c>
      <c r="I404" s="559">
        <v>6997</v>
      </c>
      <c r="J404" s="533">
        <v>6997</v>
      </c>
    </row>
    <row r="405" spans="1:10" x14ac:dyDescent="0.2">
      <c r="A405" s="4"/>
      <c r="B405" s="21" t="s">
        <v>13</v>
      </c>
      <c r="C405" s="580">
        <v>1470</v>
      </c>
      <c r="D405" s="527">
        <v>-669</v>
      </c>
      <c r="E405" s="583">
        <f t="shared" si="8"/>
        <v>801</v>
      </c>
      <c r="F405" s="533">
        <v>801</v>
      </c>
      <c r="G405" s="559" t="s">
        <v>22</v>
      </c>
      <c r="H405" s="584">
        <f t="shared" si="9"/>
        <v>100</v>
      </c>
      <c r="I405" s="559">
        <v>1362</v>
      </c>
      <c r="J405" s="533">
        <v>1362</v>
      </c>
    </row>
    <row r="406" spans="1:10" x14ac:dyDescent="0.2">
      <c r="A406" s="4"/>
      <c r="B406" s="21" t="s">
        <v>14</v>
      </c>
      <c r="C406" s="580">
        <v>2100</v>
      </c>
      <c r="D406" s="527">
        <v>955</v>
      </c>
      <c r="E406" s="583">
        <f t="shared" si="8"/>
        <v>3055</v>
      </c>
      <c r="F406" s="533">
        <v>3055</v>
      </c>
      <c r="G406" s="559" t="s">
        <v>22</v>
      </c>
      <c r="H406" s="584">
        <f t="shared" si="9"/>
        <v>100</v>
      </c>
      <c r="I406" s="559">
        <v>3464</v>
      </c>
      <c r="J406" s="533">
        <v>3464</v>
      </c>
    </row>
    <row r="407" spans="1:10" x14ac:dyDescent="0.2">
      <c r="A407" s="4"/>
      <c r="B407" s="21" t="s">
        <v>296</v>
      </c>
      <c r="C407" s="580">
        <v>1356</v>
      </c>
      <c r="D407" s="527">
        <v>-703</v>
      </c>
      <c r="E407" s="583">
        <f t="shared" si="8"/>
        <v>653</v>
      </c>
      <c r="F407" s="533">
        <v>653</v>
      </c>
      <c r="G407" s="559" t="s">
        <v>22</v>
      </c>
      <c r="H407" s="584">
        <f t="shared" si="9"/>
        <v>100</v>
      </c>
      <c r="I407" s="559">
        <v>497</v>
      </c>
      <c r="J407" s="533">
        <v>496</v>
      </c>
    </row>
    <row r="408" spans="1:10" x14ac:dyDescent="0.2">
      <c r="A408" s="4"/>
      <c r="B408" s="21" t="s">
        <v>23</v>
      </c>
      <c r="C408" s="580">
        <v>7764</v>
      </c>
      <c r="D408" s="527">
        <v>-2500</v>
      </c>
      <c r="E408" s="583">
        <f t="shared" si="8"/>
        <v>5264</v>
      </c>
      <c r="F408" s="533">
        <v>5169</v>
      </c>
      <c r="G408" s="586">
        <f>+E408-F408</f>
        <v>95</v>
      </c>
      <c r="H408" s="584">
        <f t="shared" si="9"/>
        <v>98.195288753799389</v>
      </c>
      <c r="I408" s="559">
        <v>2108</v>
      </c>
      <c r="J408" s="533">
        <v>800</v>
      </c>
    </row>
    <row r="409" spans="1:10" ht="25.5" customHeight="1" x14ac:dyDescent="0.2">
      <c r="A409" s="4"/>
      <c r="B409" s="21" t="s">
        <v>16</v>
      </c>
      <c r="C409" s="580">
        <v>37101</v>
      </c>
      <c r="D409" s="527">
        <v>6784</v>
      </c>
      <c r="E409" s="583">
        <f t="shared" si="8"/>
        <v>43885</v>
      </c>
      <c r="F409" s="533">
        <v>14022</v>
      </c>
      <c r="G409" s="586">
        <f>+E409-F409</f>
        <v>29863</v>
      </c>
      <c r="H409" s="584">
        <f t="shared" si="9"/>
        <v>31.951691922069042</v>
      </c>
      <c r="I409" s="559">
        <v>12188</v>
      </c>
      <c r="J409" s="533">
        <v>12188</v>
      </c>
    </row>
    <row r="410" spans="1:10" x14ac:dyDescent="0.2">
      <c r="A410" s="4"/>
      <c r="B410" s="21" t="s">
        <v>17</v>
      </c>
      <c r="C410" s="580">
        <v>1</v>
      </c>
      <c r="D410" s="527" t="s">
        <v>22</v>
      </c>
      <c r="E410" s="585">
        <f>C410</f>
        <v>1</v>
      </c>
      <c r="F410" s="533" t="s">
        <v>22</v>
      </c>
      <c r="G410" s="585">
        <f>+E410</f>
        <v>1</v>
      </c>
      <c r="H410" s="533" t="s">
        <v>22</v>
      </c>
      <c r="I410" s="559" t="s">
        <v>22</v>
      </c>
      <c r="J410" s="533" t="s">
        <v>22</v>
      </c>
    </row>
    <row r="411" spans="1:10" x14ac:dyDescent="0.2">
      <c r="A411" s="9"/>
      <c r="B411" s="8" t="s">
        <v>222</v>
      </c>
      <c r="C411" s="622">
        <f>SUM(C404:C410)</f>
        <v>57998</v>
      </c>
      <c r="D411" s="622">
        <f>SUM(D404:D410)</f>
        <v>2465</v>
      </c>
      <c r="E411" s="622">
        <f>SUM(E404:E410)</f>
        <v>60463</v>
      </c>
      <c r="F411" s="622">
        <f>SUM(F404:F410)</f>
        <v>30504</v>
      </c>
      <c r="G411" s="622">
        <f>SUM(G404:G410)</f>
        <v>29959</v>
      </c>
      <c r="H411" s="620">
        <f>+F411/E411*100</f>
        <v>50.450688851032865</v>
      </c>
      <c r="I411" s="622">
        <f>SUM(I404:I410)</f>
        <v>26616</v>
      </c>
      <c r="J411" s="622">
        <f>SUM(J404:J410)</f>
        <v>25307</v>
      </c>
    </row>
    <row r="412" spans="1:10" x14ac:dyDescent="0.2">
      <c r="C412" s="170"/>
    </row>
    <row r="413" spans="1:10" x14ac:dyDescent="0.2">
      <c r="C413" s="170"/>
    </row>
    <row r="414" spans="1:10" x14ac:dyDescent="0.2">
      <c r="A414" s="631"/>
      <c r="B414" s="656"/>
      <c r="C414" s="656"/>
      <c r="D414" s="656"/>
      <c r="E414" s="656"/>
      <c r="F414" s="656"/>
      <c r="G414" s="656"/>
      <c r="H414" s="656"/>
      <c r="I414" s="656"/>
      <c r="J414" s="656"/>
    </row>
    <row r="415" spans="1:10" s="72" customFormat="1" x14ac:dyDescent="0.2">
      <c r="A415" s="631"/>
      <c r="B415" s="667"/>
      <c r="C415" s="667"/>
      <c r="D415" s="667"/>
      <c r="E415" s="667"/>
      <c r="F415" s="667"/>
      <c r="G415" s="667"/>
      <c r="H415" s="667"/>
      <c r="I415" s="667"/>
      <c r="J415" s="667"/>
    </row>
    <row r="417" spans="1:11" x14ac:dyDescent="0.2">
      <c r="A417" s="169"/>
      <c r="B417" s="21"/>
      <c r="C417" s="686"/>
      <c r="D417" s="656"/>
      <c r="E417" s="656"/>
      <c r="F417" s="656"/>
      <c r="G417" s="656"/>
      <c r="H417" s="656"/>
      <c r="I417" s="686"/>
      <c r="J417" s="656"/>
    </row>
    <row r="418" spans="1:11" ht="12.75" customHeight="1" x14ac:dyDescent="0.2">
      <c r="A418" s="180"/>
      <c r="B418" s="637"/>
      <c r="C418" s="185"/>
      <c r="D418" s="185"/>
      <c r="E418" s="185"/>
      <c r="F418" s="185"/>
      <c r="G418" s="185"/>
      <c r="H418" s="685"/>
      <c r="I418" s="185"/>
      <c r="J418" s="185"/>
    </row>
    <row r="419" spans="1:11" ht="12.75" customHeight="1" x14ac:dyDescent="0.2">
      <c r="A419" s="180"/>
      <c r="B419" s="656"/>
      <c r="C419" s="185"/>
      <c r="D419" s="185"/>
      <c r="E419" s="185"/>
      <c r="F419" s="185"/>
      <c r="G419" s="185"/>
      <c r="H419" s="656"/>
      <c r="I419" s="185"/>
      <c r="J419" s="185"/>
    </row>
    <row r="420" spans="1:11" x14ac:dyDescent="0.2">
      <c r="A420" s="180"/>
      <c r="B420" s="656"/>
      <c r="C420" s="185"/>
      <c r="D420" s="48"/>
      <c r="E420" s="185"/>
      <c r="F420" s="185"/>
      <c r="G420" s="185"/>
      <c r="H420" s="656"/>
      <c r="I420" s="185"/>
      <c r="J420" s="185"/>
    </row>
    <row r="421" spans="1:11" x14ac:dyDescent="0.2">
      <c r="A421" s="623"/>
      <c r="B421" s="51"/>
      <c r="C421" s="616"/>
      <c r="D421" s="616"/>
      <c r="E421" s="624"/>
      <c r="F421" s="624"/>
      <c r="G421" s="624"/>
      <c r="H421" s="625"/>
      <c r="I421" s="625"/>
      <c r="J421" s="625"/>
    </row>
    <row r="422" spans="1:11" x14ac:dyDescent="0.2">
      <c r="A422" s="2"/>
      <c r="B422" s="158"/>
      <c r="C422" s="576"/>
      <c r="D422" s="576"/>
      <c r="E422" s="569"/>
      <c r="F422" s="569"/>
      <c r="G422" s="569"/>
      <c r="H422" s="569"/>
      <c r="I422" s="569"/>
      <c r="J422" s="569"/>
      <c r="K422" s="304"/>
    </row>
    <row r="423" spans="1:11" x14ac:dyDescent="0.2">
      <c r="A423" s="21"/>
      <c r="B423" s="51"/>
      <c r="C423" s="607"/>
      <c r="D423" s="607"/>
      <c r="E423" s="607"/>
      <c r="F423" s="607"/>
      <c r="G423" s="607"/>
      <c r="H423" s="255"/>
      <c r="I423" s="607"/>
      <c r="J423" s="607"/>
      <c r="K423" s="304"/>
    </row>
    <row r="424" spans="1:11" x14ac:dyDescent="0.2">
      <c r="A424" s="21"/>
      <c r="B424" s="21"/>
      <c r="C424" s="21"/>
      <c r="D424" s="21"/>
      <c r="E424" s="21"/>
      <c r="F424" s="21"/>
      <c r="G424" s="21"/>
      <c r="H424" s="21"/>
      <c r="I424" s="21"/>
      <c r="J424" s="21"/>
    </row>
    <row r="425" spans="1:11" x14ac:dyDescent="0.2">
      <c r="A425" s="169"/>
      <c r="B425" s="21"/>
      <c r="C425" s="686"/>
      <c r="D425" s="656"/>
      <c r="E425" s="656"/>
      <c r="F425" s="656"/>
      <c r="G425" s="656"/>
      <c r="H425" s="656"/>
      <c r="I425" s="686"/>
      <c r="J425" s="656"/>
    </row>
    <row r="426" spans="1:11" ht="12.75" customHeight="1" x14ac:dyDescent="0.2">
      <c r="A426" s="180"/>
      <c r="B426" s="637"/>
      <c r="C426" s="185"/>
      <c r="D426" s="185"/>
      <c r="E426" s="185"/>
      <c r="F426" s="185"/>
      <c r="G426" s="185"/>
      <c r="H426" s="685"/>
      <c r="I426" s="185"/>
      <c r="J426" s="185"/>
    </row>
    <row r="427" spans="1:11" ht="12.75" customHeight="1" x14ac:dyDescent="0.2">
      <c r="A427" s="180"/>
      <c r="B427" s="656"/>
      <c r="C427" s="185"/>
      <c r="D427" s="185"/>
      <c r="E427" s="185"/>
      <c r="F427" s="185"/>
      <c r="G427" s="185"/>
      <c r="H427" s="656"/>
      <c r="I427" s="185"/>
      <c r="J427" s="185"/>
    </row>
    <row r="428" spans="1:11" x14ac:dyDescent="0.2">
      <c r="A428" s="180"/>
      <c r="B428" s="656"/>
      <c r="C428" s="185"/>
      <c r="D428" s="48"/>
      <c r="E428" s="185"/>
      <c r="F428" s="185"/>
      <c r="G428" s="185"/>
      <c r="H428" s="656"/>
      <c r="I428" s="185"/>
      <c r="J428" s="185"/>
    </row>
    <row r="429" spans="1:11" x14ac:dyDescent="0.2">
      <c r="A429" s="2"/>
      <c r="B429" s="51"/>
      <c r="D429" s="51"/>
      <c r="E429" s="21"/>
      <c r="F429" s="21"/>
      <c r="G429" s="21"/>
      <c r="H429" s="21"/>
      <c r="I429" s="21"/>
      <c r="J429" s="21"/>
    </row>
    <row r="430" spans="1:11" x14ac:dyDescent="0.2">
      <c r="A430" s="2"/>
      <c r="B430" s="158"/>
      <c r="C430" s="576"/>
      <c r="D430" s="569"/>
      <c r="E430" s="569"/>
      <c r="F430" s="569"/>
      <c r="G430" s="569"/>
      <c r="H430" s="569"/>
      <c r="I430" s="569"/>
      <c r="J430" s="569"/>
    </row>
    <row r="431" spans="1:11" x14ac:dyDescent="0.2">
      <c r="A431" s="2"/>
      <c r="B431" s="51"/>
      <c r="C431" s="607"/>
      <c r="D431" s="607"/>
      <c r="E431" s="607"/>
      <c r="F431" s="607"/>
      <c r="G431" s="607"/>
      <c r="H431" s="255"/>
      <c r="I431" s="607"/>
      <c r="J431" s="607"/>
    </row>
    <row r="432" spans="1:11" x14ac:dyDescent="0.2">
      <c r="A432" s="2"/>
      <c r="B432" s="2"/>
      <c r="D432" s="2"/>
      <c r="E432" s="2"/>
      <c r="F432" s="2"/>
      <c r="G432" s="2"/>
      <c r="H432" s="2"/>
      <c r="I432" s="2"/>
      <c r="J432" s="2"/>
    </row>
    <row r="433" spans="1:10" x14ac:dyDescent="0.2">
      <c r="A433" s="169"/>
      <c r="B433" s="21"/>
      <c r="C433" s="686"/>
      <c r="D433" s="656"/>
      <c r="E433" s="656"/>
      <c r="F433" s="656"/>
      <c r="G433" s="656"/>
      <c r="H433" s="656"/>
      <c r="I433" s="686"/>
      <c r="J433" s="656"/>
    </row>
    <row r="434" spans="1:10" ht="12.75" customHeight="1" x14ac:dyDescent="0.2">
      <c r="A434" s="180"/>
      <c r="B434" s="637"/>
      <c r="C434" s="185"/>
      <c r="D434" s="185"/>
      <c r="E434" s="185"/>
      <c r="F434" s="185"/>
      <c r="G434" s="185"/>
      <c r="H434" s="685"/>
      <c r="I434" s="185"/>
      <c r="J434" s="185"/>
    </row>
    <row r="435" spans="1:10" ht="12.75" customHeight="1" x14ac:dyDescent="0.2">
      <c r="A435" s="180"/>
      <c r="B435" s="656"/>
      <c r="C435" s="185"/>
      <c r="D435" s="185"/>
      <c r="E435" s="185"/>
      <c r="F435" s="185"/>
      <c r="G435" s="185"/>
      <c r="H435" s="656"/>
      <c r="I435" s="185"/>
      <c r="J435" s="185"/>
    </row>
    <row r="436" spans="1:10" x14ac:dyDescent="0.2">
      <c r="A436" s="180"/>
      <c r="B436" s="656"/>
      <c r="C436" s="185"/>
      <c r="D436" s="48"/>
      <c r="E436" s="185"/>
      <c r="F436" s="185"/>
      <c r="G436" s="185"/>
      <c r="H436" s="656"/>
      <c r="I436" s="185"/>
      <c r="J436" s="185"/>
    </row>
    <row r="437" spans="1:10" x14ac:dyDescent="0.2">
      <c r="A437" s="2"/>
      <c r="B437" s="51"/>
      <c r="C437" s="576"/>
      <c r="D437" s="569"/>
      <c r="E437" s="569"/>
      <c r="F437" s="569"/>
      <c r="G437" s="569"/>
      <c r="H437" s="569"/>
      <c r="I437" s="569"/>
      <c r="J437" s="569"/>
    </row>
    <row r="438" spans="1:10" x14ac:dyDescent="0.2">
      <c r="A438" s="2"/>
      <c r="B438" s="51"/>
      <c r="C438" s="607"/>
      <c r="D438" s="607"/>
      <c r="E438" s="607"/>
      <c r="F438" s="607"/>
      <c r="G438" s="607"/>
      <c r="H438" s="255"/>
      <c r="I438" s="607"/>
      <c r="J438" s="607"/>
    </row>
    <row r="684" spans="1:1" x14ac:dyDescent="0.2">
      <c r="A684" t="s">
        <v>493</v>
      </c>
    </row>
  </sheetData>
  <mergeCells count="130">
    <mergeCell ref="H107:H109"/>
    <mergeCell ref="B107:B109"/>
    <mergeCell ref="I106:J106"/>
    <mergeCell ref="A104:J104"/>
    <mergeCell ref="C129:H129"/>
    <mergeCell ref="B142:B144"/>
    <mergeCell ref="H142:H144"/>
    <mergeCell ref="A318:J318"/>
    <mergeCell ref="C202:H202"/>
    <mergeCell ref="B287:B289"/>
    <mergeCell ref="H287:H289"/>
    <mergeCell ref="C286:H286"/>
    <mergeCell ref="A317:J317"/>
    <mergeCell ref="I129:J129"/>
    <mergeCell ref="C187:H187"/>
    <mergeCell ref="I141:J141"/>
    <mergeCell ref="A199:J199"/>
    <mergeCell ref="H188:H190"/>
    <mergeCell ref="I47:J47"/>
    <mergeCell ref="C47:H47"/>
    <mergeCell ref="B158:B160"/>
    <mergeCell ref="B188:B190"/>
    <mergeCell ref="A155:J155"/>
    <mergeCell ref="C175:H175"/>
    <mergeCell ref="I175:J175"/>
    <mergeCell ref="C91:H91"/>
    <mergeCell ref="C141:H141"/>
    <mergeCell ref="B92:B94"/>
    <mergeCell ref="I187:J187"/>
    <mergeCell ref="B130:B132"/>
    <mergeCell ref="H130:H132"/>
    <mergeCell ref="H176:H178"/>
    <mergeCell ref="A154:J154"/>
    <mergeCell ref="C157:H157"/>
    <mergeCell ref="I157:J157"/>
    <mergeCell ref="B176:B178"/>
    <mergeCell ref="H158:H160"/>
    <mergeCell ref="C106:H106"/>
    <mergeCell ref="H92:H94"/>
    <mergeCell ref="H81:H83"/>
    <mergeCell ref="I91:J91"/>
    <mergeCell ref="A103:J103"/>
    <mergeCell ref="B347:B349"/>
    <mergeCell ref="C320:H320"/>
    <mergeCell ref="I320:J320"/>
    <mergeCell ref="A200:J200"/>
    <mergeCell ref="I202:J202"/>
    <mergeCell ref="B230:B232"/>
    <mergeCell ref="B299:B301"/>
    <mergeCell ref="C229:H229"/>
    <mergeCell ref="B418:B420"/>
    <mergeCell ref="C241:H241"/>
    <mergeCell ref="A255:J255"/>
    <mergeCell ref="C257:H257"/>
    <mergeCell ref="I229:J229"/>
    <mergeCell ref="B258:B260"/>
    <mergeCell ref="H258:H260"/>
    <mergeCell ref="H230:H232"/>
    <mergeCell ref="H203:H205"/>
    <mergeCell ref="B203:B205"/>
    <mergeCell ref="C298:H298"/>
    <mergeCell ref="I298:J298"/>
    <mergeCell ref="B242:B244"/>
    <mergeCell ref="H242:H244"/>
    <mergeCell ref="A254:J254"/>
    <mergeCell ref="H347:H349"/>
    <mergeCell ref="C417:H417"/>
    <mergeCell ref="I417:J417"/>
    <mergeCell ref="C346:H346"/>
    <mergeCell ref="B81:B83"/>
    <mergeCell ref="I286:J286"/>
    <mergeCell ref="I241:J241"/>
    <mergeCell ref="H299:H301"/>
    <mergeCell ref="B321:B323"/>
    <mergeCell ref="H321:H323"/>
    <mergeCell ref="I257:J257"/>
    <mergeCell ref="A414:J414"/>
    <mergeCell ref="I346:J346"/>
    <mergeCell ref="I359:J359"/>
    <mergeCell ref="B360:B362"/>
    <mergeCell ref="C359:H359"/>
    <mergeCell ref="A415:J415"/>
    <mergeCell ref="C400:H400"/>
    <mergeCell ref="C375:H375"/>
    <mergeCell ref="I375:J375"/>
    <mergeCell ref="B376:B378"/>
    <mergeCell ref="H376:H378"/>
    <mergeCell ref="I400:J400"/>
    <mergeCell ref="B401:B403"/>
    <mergeCell ref="H434:H436"/>
    <mergeCell ref="H418:H420"/>
    <mergeCell ref="B434:B436"/>
    <mergeCell ref="C425:H425"/>
    <mergeCell ref="H426:H428"/>
    <mergeCell ref="C433:H433"/>
    <mergeCell ref="B426:B428"/>
    <mergeCell ref="H360:H362"/>
    <mergeCell ref="A372:J372"/>
    <mergeCell ref="A373:J373"/>
    <mergeCell ref="I433:J433"/>
    <mergeCell ref="I425:J425"/>
    <mergeCell ref="H401:H403"/>
    <mergeCell ref="C388:H388"/>
    <mergeCell ref="I388:J388"/>
    <mergeCell ref="B389:B391"/>
    <mergeCell ref="H389:H391"/>
    <mergeCell ref="A1:J1"/>
    <mergeCell ref="A2:J2"/>
    <mergeCell ref="A32:J32"/>
    <mergeCell ref="A33:J33"/>
    <mergeCell ref="C4:H4"/>
    <mergeCell ref="I4:J4"/>
    <mergeCell ref="H48:H49"/>
    <mergeCell ref="I80:J80"/>
    <mergeCell ref="A61:J61"/>
    <mergeCell ref="H65:H67"/>
    <mergeCell ref="B65:B67"/>
    <mergeCell ref="I64:J64"/>
    <mergeCell ref="A62:J62"/>
    <mergeCell ref="C64:H64"/>
    <mergeCell ref="C80:H80"/>
    <mergeCell ref="B47:B49"/>
    <mergeCell ref="A5:A6"/>
    <mergeCell ref="B5:B6"/>
    <mergeCell ref="H5:H6"/>
    <mergeCell ref="A46:J46"/>
    <mergeCell ref="B35:B37"/>
    <mergeCell ref="C35:H35"/>
    <mergeCell ref="H36:H37"/>
    <mergeCell ref="I35:J35"/>
  </mergeCells>
  <phoneticPr fontId="17" type="noConversion"/>
  <printOptions horizontalCentered="1"/>
  <pageMargins left="0.21" right="0.2" top="0.98425196850393704" bottom="0.98425196850393704" header="0.511811023622047" footer="0.511811023622047"/>
  <pageSetup scale="60" fitToHeight="17" orientation="portrait" verticalDpi="1200" r:id="rId1"/>
  <headerFooter alignWithMargins="0">
    <oddHeader>&amp;C&amp;"Arial,Bold"DEPARTMENT OF ENVIRONMENTAL AFFAIRS AND TOURISM
VOTE 27</oddHeader>
  </headerFooter>
  <rowBreaks count="9" manualBreakCount="9">
    <brk id="31" max="9" man="1"/>
    <brk id="60" max="16383" man="1"/>
    <brk id="102" max="16383" man="1"/>
    <brk id="153" max="9" man="1"/>
    <brk id="198" max="16383" man="1"/>
    <brk id="253" max="16383" man="1"/>
    <brk id="316" max="16383" man="1"/>
    <brk id="371" max="9" man="1"/>
    <brk id="413" max="16383" man="1"/>
  </rowBreak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3:H580"/>
  <sheetViews>
    <sheetView tabSelected="1" zoomScaleNormal="100" workbookViewId="0">
      <selection activeCell="D40" sqref="D40"/>
    </sheetView>
  </sheetViews>
  <sheetFormatPr defaultRowHeight="12.75" x14ac:dyDescent="0.2"/>
  <cols>
    <col min="1" max="1" width="6.28515625" style="27" customWidth="1"/>
    <col min="2" max="2" width="6.85546875" style="70" customWidth="1"/>
    <col min="3" max="3" width="22.140625" style="70" customWidth="1"/>
    <col min="4" max="5" width="9.140625" style="70" customWidth="1"/>
    <col min="6" max="6" width="13.5703125" style="70" bestFit="1" customWidth="1"/>
    <col min="7" max="8" width="15.7109375" style="70" customWidth="1"/>
    <col min="9" max="9" width="9.140625" style="70" customWidth="1"/>
    <col min="10" max="16384" width="9.140625" style="70"/>
  </cols>
  <sheetData>
    <row r="3" spans="1:8" ht="33" customHeight="1" x14ac:dyDescent="0.2">
      <c r="A3" s="124" t="s">
        <v>70</v>
      </c>
      <c r="B3" s="689" t="s">
        <v>494</v>
      </c>
      <c r="C3" s="632"/>
      <c r="D3" s="632"/>
      <c r="E3" s="632"/>
      <c r="F3" s="632"/>
      <c r="G3" s="632"/>
      <c r="H3" s="632"/>
    </row>
    <row r="4" spans="1:8" ht="27.75" customHeight="1" x14ac:dyDescent="0.2">
      <c r="B4" s="636" t="s">
        <v>495</v>
      </c>
      <c r="C4" s="632"/>
      <c r="D4" s="632"/>
      <c r="E4" s="632"/>
      <c r="F4" s="632"/>
      <c r="G4" s="632"/>
      <c r="H4" s="632"/>
    </row>
    <row r="5" spans="1:8" x14ac:dyDescent="0.2">
      <c r="B5" s="2"/>
      <c r="C5" s="2"/>
      <c r="F5" s="101"/>
      <c r="G5" s="101"/>
      <c r="H5" s="101"/>
    </row>
    <row r="6" spans="1:8" ht="33.75" customHeight="1" x14ac:dyDescent="0.2">
      <c r="A6" s="124" t="s">
        <v>101</v>
      </c>
      <c r="B6" s="689" t="s">
        <v>496</v>
      </c>
      <c r="C6" s="632"/>
      <c r="D6" s="632"/>
      <c r="E6" s="632"/>
      <c r="F6" s="632"/>
      <c r="G6" s="632"/>
      <c r="H6" s="632"/>
    </row>
    <row r="7" spans="1:8" ht="26.25" customHeight="1" x14ac:dyDescent="0.2">
      <c r="B7" s="636" t="s">
        <v>497</v>
      </c>
      <c r="C7" s="632"/>
      <c r="D7" s="632"/>
      <c r="E7" s="632"/>
      <c r="F7" s="632"/>
      <c r="G7" s="632"/>
      <c r="H7" s="632"/>
    </row>
    <row r="8" spans="1:8" x14ac:dyDescent="0.2">
      <c r="B8" s="2"/>
      <c r="C8" s="2"/>
      <c r="F8" s="2"/>
      <c r="G8" s="2"/>
      <c r="H8" s="2"/>
    </row>
    <row r="9" spans="1:8" ht="15.75" customHeight="1" x14ac:dyDescent="0.2">
      <c r="A9" s="124" t="s">
        <v>107</v>
      </c>
      <c r="B9" s="689" t="s">
        <v>498</v>
      </c>
      <c r="C9" s="632"/>
      <c r="D9" s="632"/>
      <c r="E9" s="632"/>
      <c r="F9" s="632"/>
      <c r="G9" s="632"/>
      <c r="H9" s="632"/>
    </row>
    <row r="10" spans="1:8" ht="25.5" customHeight="1" x14ac:dyDescent="0.2">
      <c r="B10" s="636" t="s">
        <v>499</v>
      </c>
      <c r="C10" s="632"/>
      <c r="D10" s="632"/>
      <c r="E10" s="632"/>
      <c r="F10" s="632"/>
      <c r="G10" s="632"/>
      <c r="H10" s="632"/>
    </row>
    <row r="11" spans="1:8" x14ac:dyDescent="0.2">
      <c r="A11" s="146"/>
      <c r="B11" s="160"/>
      <c r="C11" s="160"/>
      <c r="D11" s="160"/>
      <c r="E11" s="160"/>
      <c r="F11" s="160"/>
      <c r="G11" s="160"/>
      <c r="H11" s="160"/>
    </row>
    <row r="12" spans="1:8" ht="15.75" customHeight="1" x14ac:dyDescent="0.2">
      <c r="A12" s="124" t="s">
        <v>131</v>
      </c>
      <c r="B12" s="689" t="s">
        <v>500</v>
      </c>
      <c r="C12" s="632"/>
      <c r="D12" s="632"/>
      <c r="E12" s="632"/>
      <c r="F12" s="632"/>
      <c r="G12" s="632"/>
      <c r="H12" s="632"/>
    </row>
    <row r="13" spans="1:8" x14ac:dyDescent="0.2">
      <c r="A13" s="30">
        <v>4.0999999999999996</v>
      </c>
      <c r="B13" s="19" t="s">
        <v>501</v>
      </c>
      <c r="C13" s="2"/>
      <c r="D13" s="2"/>
      <c r="E13" s="2"/>
      <c r="F13" s="101"/>
      <c r="G13" s="101"/>
      <c r="H13" s="101"/>
    </row>
    <row r="14" spans="1:8" x14ac:dyDescent="0.2">
      <c r="A14" s="30"/>
      <c r="B14" s="19"/>
      <c r="C14" s="2"/>
      <c r="D14" s="2"/>
      <c r="E14" s="2"/>
      <c r="F14" s="101"/>
      <c r="G14" s="101"/>
      <c r="H14" s="101"/>
    </row>
    <row r="15" spans="1:8" x14ac:dyDescent="0.2">
      <c r="A15" s="30"/>
      <c r="B15" s="23" t="s">
        <v>90</v>
      </c>
      <c r="C15" s="2"/>
      <c r="D15" s="2"/>
      <c r="E15" s="2"/>
      <c r="F15" s="101"/>
      <c r="G15" s="101"/>
      <c r="H15" s="101"/>
    </row>
    <row r="16" spans="1:8" x14ac:dyDescent="0.2">
      <c r="A16" s="30"/>
      <c r="B16" s="23" t="s">
        <v>502</v>
      </c>
      <c r="C16" s="2"/>
      <c r="D16" s="2"/>
      <c r="E16" s="2"/>
      <c r="F16" s="101"/>
      <c r="G16" s="101"/>
      <c r="H16" s="101"/>
    </row>
    <row r="17" spans="1:8" x14ac:dyDescent="0.2">
      <c r="A17" s="30"/>
      <c r="B17" s="23"/>
      <c r="C17" s="2"/>
      <c r="D17" s="2"/>
      <c r="E17" s="2"/>
      <c r="F17" s="101"/>
      <c r="G17" s="101"/>
      <c r="H17" s="101"/>
    </row>
    <row r="18" spans="1:8" x14ac:dyDescent="0.2">
      <c r="B18" s="23" t="s">
        <v>96</v>
      </c>
      <c r="C18" s="160"/>
    </row>
    <row r="19" spans="1:8" x14ac:dyDescent="0.2">
      <c r="B19" s="23" t="s">
        <v>503</v>
      </c>
      <c r="C19" s="160"/>
    </row>
    <row r="20" spans="1:8" x14ac:dyDescent="0.2">
      <c r="B20" s="23" t="s">
        <v>504</v>
      </c>
      <c r="C20" s="160"/>
    </row>
    <row r="21" spans="1:8" x14ac:dyDescent="0.2">
      <c r="B21" s="23"/>
      <c r="C21" s="160"/>
    </row>
    <row r="22" spans="1:8" x14ac:dyDescent="0.2">
      <c r="A22" s="30">
        <v>4.2</v>
      </c>
      <c r="B22" s="19" t="s">
        <v>505</v>
      </c>
      <c r="C22" s="2"/>
      <c r="G22" s="12"/>
      <c r="H22" s="12"/>
    </row>
    <row r="23" spans="1:8" x14ac:dyDescent="0.2">
      <c r="B23" s="23"/>
      <c r="C23" s="160"/>
    </row>
    <row r="24" spans="1:8" x14ac:dyDescent="0.2">
      <c r="B24" s="23" t="s">
        <v>23</v>
      </c>
      <c r="C24" s="160"/>
    </row>
    <row r="25" spans="1:8" x14ac:dyDescent="0.2">
      <c r="B25" s="23" t="s">
        <v>502</v>
      </c>
      <c r="C25" s="160"/>
    </row>
    <row r="26" spans="1:8" x14ac:dyDescent="0.2">
      <c r="B26" s="23"/>
      <c r="C26" s="160"/>
    </row>
    <row r="27" spans="1:8" x14ac:dyDescent="0.2">
      <c r="B27" s="23" t="s">
        <v>16</v>
      </c>
      <c r="C27" s="160"/>
    </row>
    <row r="28" spans="1:8" x14ac:dyDescent="0.2">
      <c r="B28" s="23" t="s">
        <v>503</v>
      </c>
      <c r="C28" s="160"/>
      <c r="F28" s="164"/>
      <c r="G28" s="12"/>
      <c r="H28" s="12"/>
    </row>
    <row r="29" spans="1:8" x14ac:dyDescent="0.2">
      <c r="B29" s="23" t="s">
        <v>504</v>
      </c>
      <c r="C29" s="160"/>
      <c r="F29" s="164"/>
      <c r="G29" s="12"/>
      <c r="H29" s="12"/>
    </row>
    <row r="30" spans="1:8" x14ac:dyDescent="0.2">
      <c r="B30" s="23"/>
      <c r="C30" s="160"/>
      <c r="F30" s="164"/>
      <c r="G30" s="12"/>
      <c r="H30" s="12"/>
    </row>
    <row r="31" spans="1:8" ht="15.75" customHeight="1" x14ac:dyDescent="0.2">
      <c r="A31" s="124" t="s">
        <v>139</v>
      </c>
      <c r="B31" s="59" t="s">
        <v>506</v>
      </c>
      <c r="C31" s="59"/>
      <c r="F31" s="20"/>
      <c r="G31" s="165"/>
      <c r="H31" s="165"/>
    </row>
    <row r="32" spans="1:8" s="84" customFormat="1" x14ac:dyDescent="0.2">
      <c r="A32" s="61"/>
      <c r="B32" s="61"/>
      <c r="C32" s="61"/>
      <c r="F32" s="20"/>
      <c r="G32" s="165"/>
      <c r="H32" s="165"/>
    </row>
    <row r="33" spans="1:8" ht="25.5" customHeight="1" x14ac:dyDescent="0.2">
      <c r="B33" s="23"/>
      <c r="C33" s="23"/>
      <c r="F33" s="20"/>
      <c r="G33" s="73" t="s">
        <v>1</v>
      </c>
      <c r="H33" s="73" t="s">
        <v>2</v>
      </c>
    </row>
    <row r="34" spans="1:8" x14ac:dyDescent="0.2">
      <c r="B34" s="23" t="s">
        <v>507</v>
      </c>
      <c r="C34" s="23"/>
      <c r="F34" s="20"/>
      <c r="G34" s="205">
        <v>1366585742.0799999</v>
      </c>
      <c r="H34" s="208">
        <v>1067565</v>
      </c>
    </row>
    <row r="35" spans="1:8" ht="13.15" customHeight="1" x14ac:dyDescent="0.2">
      <c r="B35" s="160" t="s">
        <v>508</v>
      </c>
      <c r="C35" s="690" t="s">
        <v>509</v>
      </c>
      <c r="D35" s="632"/>
      <c r="E35" s="632"/>
      <c r="F35" s="632"/>
      <c r="G35" s="205">
        <f>'NOTES TO FS'!E60+561579.95+1000</f>
        <v>53882431</v>
      </c>
      <c r="H35" s="208">
        <v>29525</v>
      </c>
    </row>
    <row r="36" spans="1:8" ht="13.15" customHeight="1" thickBot="1" x14ac:dyDescent="0.25">
      <c r="B36" s="23" t="s">
        <v>510</v>
      </c>
      <c r="C36" s="23"/>
      <c r="F36" s="20"/>
      <c r="G36" s="626">
        <f>SUM(G34:G35)</f>
        <v>1420468173.0799999</v>
      </c>
      <c r="H36" s="627">
        <f>SUM(H34:H35)</f>
        <v>1097090</v>
      </c>
    </row>
    <row r="37" spans="1:8" ht="13.5" customHeight="1" thickTop="1" x14ac:dyDescent="0.2">
      <c r="F37" s="20"/>
      <c r="G37" s="12"/>
      <c r="H37" s="12"/>
    </row>
    <row r="38" spans="1:8" x14ac:dyDescent="0.2">
      <c r="F38" s="20"/>
      <c r="G38" s="12"/>
      <c r="H38" s="12"/>
    </row>
    <row r="39" spans="1:8" x14ac:dyDescent="0.2">
      <c r="F39" s="20"/>
      <c r="G39" s="12"/>
      <c r="H39" s="12"/>
    </row>
    <row r="40" spans="1:8" x14ac:dyDescent="0.2">
      <c r="B40" s="23"/>
      <c r="C40" s="23"/>
      <c r="F40" s="20"/>
      <c r="G40" s="12"/>
      <c r="H40" s="12"/>
    </row>
    <row r="41" spans="1:8" x14ac:dyDescent="0.2">
      <c r="B41" s="23"/>
      <c r="C41" s="23"/>
      <c r="F41" s="20"/>
      <c r="G41" s="12"/>
      <c r="H41" s="12"/>
    </row>
    <row r="42" spans="1:8" x14ac:dyDescent="0.2">
      <c r="B42" s="23"/>
      <c r="C42" s="23"/>
      <c r="F42" s="20"/>
    </row>
    <row r="43" spans="1:8" x14ac:dyDescent="0.2">
      <c r="B43" s="23"/>
      <c r="C43" s="23"/>
    </row>
    <row r="44" spans="1:8" ht="15.75" customHeight="1" x14ac:dyDescent="0.25">
      <c r="A44" s="13"/>
      <c r="B44" s="175"/>
      <c r="C44" s="175"/>
      <c r="F44" s="20"/>
    </row>
    <row r="45" spans="1:8" x14ac:dyDescent="0.2">
      <c r="B45" s="61"/>
      <c r="C45" s="61"/>
      <c r="F45" s="164"/>
      <c r="G45" s="73"/>
      <c r="H45" s="73"/>
    </row>
    <row r="46" spans="1:8" x14ac:dyDescent="0.2">
      <c r="B46" s="61"/>
      <c r="C46" s="61"/>
      <c r="F46" s="68"/>
      <c r="G46" s="164"/>
      <c r="H46" s="164"/>
    </row>
    <row r="47" spans="1:8" x14ac:dyDescent="0.2">
      <c r="B47" s="23"/>
      <c r="C47" s="23"/>
      <c r="F47" s="68"/>
      <c r="G47" s="165"/>
      <c r="H47" s="165"/>
    </row>
    <row r="48" spans="1:8" x14ac:dyDescent="0.2">
      <c r="B48" s="23"/>
      <c r="C48" s="23"/>
      <c r="F48" s="68"/>
      <c r="G48" s="165"/>
      <c r="H48" s="165"/>
    </row>
    <row r="49" spans="1:8" x14ac:dyDescent="0.2">
      <c r="B49" s="23"/>
      <c r="C49" s="23"/>
      <c r="F49" s="68"/>
      <c r="G49" s="165"/>
      <c r="H49" s="165"/>
    </row>
    <row r="50" spans="1:8" x14ac:dyDescent="0.2">
      <c r="B50" s="165"/>
      <c r="C50" s="165"/>
      <c r="F50" s="20"/>
      <c r="G50" s="165"/>
      <c r="H50" s="165"/>
    </row>
    <row r="51" spans="1:8" x14ac:dyDescent="0.2">
      <c r="A51" s="164"/>
      <c r="B51" s="61"/>
      <c r="C51" s="61"/>
      <c r="D51" s="12"/>
      <c r="E51" s="12"/>
      <c r="F51" s="12"/>
      <c r="G51" s="165"/>
      <c r="H51" s="165"/>
    </row>
    <row r="52" spans="1:8" x14ac:dyDescent="0.2">
      <c r="B52" s="169"/>
      <c r="C52" s="169"/>
      <c r="D52" s="169"/>
      <c r="E52" s="169"/>
      <c r="F52" s="169"/>
      <c r="G52" s="12"/>
      <c r="H52" s="12"/>
    </row>
    <row r="53" spans="1:8" x14ac:dyDescent="0.2">
      <c r="B53" s="169"/>
      <c r="C53" s="169"/>
      <c r="D53" s="169"/>
      <c r="E53" s="169"/>
      <c r="F53" s="169"/>
      <c r="G53" s="12"/>
      <c r="H53" s="12"/>
    </row>
    <row r="54" spans="1:8" x14ac:dyDescent="0.2">
      <c r="B54" s="23"/>
      <c r="C54" s="23"/>
      <c r="F54" s="20"/>
      <c r="G54" s="12"/>
      <c r="H54" s="12"/>
    </row>
    <row r="55" spans="1:8" x14ac:dyDescent="0.2">
      <c r="B55" s="23"/>
      <c r="C55" s="23"/>
      <c r="F55" s="20"/>
      <c r="G55" s="12"/>
      <c r="H55" s="12"/>
    </row>
    <row r="56" spans="1:8" x14ac:dyDescent="0.2">
      <c r="B56" s="23"/>
      <c r="C56" s="23"/>
      <c r="F56" s="20"/>
      <c r="G56" s="12"/>
      <c r="H56" s="12"/>
    </row>
    <row r="57" spans="1:8" x14ac:dyDescent="0.2">
      <c r="B57" s="23"/>
      <c r="C57" s="23"/>
      <c r="F57" s="20"/>
      <c r="G57" s="60"/>
      <c r="H57" s="60"/>
    </row>
    <row r="58" spans="1:8" x14ac:dyDescent="0.2">
      <c r="A58" s="164"/>
      <c r="B58" s="61"/>
      <c r="C58" s="61"/>
      <c r="D58" s="12"/>
      <c r="E58" s="61"/>
      <c r="F58" s="12"/>
      <c r="G58" s="165"/>
      <c r="H58" s="165"/>
    </row>
    <row r="59" spans="1:8" x14ac:dyDescent="0.2">
      <c r="B59" s="72"/>
      <c r="C59" s="72"/>
      <c r="G59" s="2"/>
      <c r="H59" s="2"/>
    </row>
    <row r="60" spans="1:8" x14ac:dyDescent="0.2">
      <c r="B60" s="169"/>
      <c r="C60" s="169"/>
      <c r="D60" s="169"/>
      <c r="E60" s="169"/>
      <c r="F60" s="169"/>
      <c r="G60" s="2"/>
      <c r="H60" s="2"/>
    </row>
    <row r="61" spans="1:8" x14ac:dyDescent="0.2">
      <c r="B61" s="23"/>
      <c r="C61" s="23"/>
      <c r="F61" s="20"/>
      <c r="G61" s="2"/>
      <c r="H61" s="2"/>
    </row>
    <row r="62" spans="1:8" x14ac:dyDescent="0.2">
      <c r="B62" s="23"/>
      <c r="C62" s="23"/>
      <c r="F62" s="20"/>
      <c r="G62" s="2"/>
      <c r="H62" s="2"/>
    </row>
    <row r="63" spans="1:8" x14ac:dyDescent="0.2">
      <c r="B63" s="23"/>
      <c r="C63" s="23"/>
      <c r="F63" s="20"/>
    </row>
    <row r="64" spans="1:8" ht="15.75" customHeight="1" x14ac:dyDescent="0.25">
      <c r="A64" s="13"/>
      <c r="B64" s="175"/>
      <c r="C64" s="175"/>
    </row>
    <row r="65" spans="1:8" x14ac:dyDescent="0.2">
      <c r="A65" s="164"/>
      <c r="B65" s="12"/>
      <c r="C65" s="12"/>
      <c r="D65" s="167"/>
      <c r="E65" s="167"/>
      <c r="F65" s="167"/>
      <c r="G65" s="167"/>
      <c r="H65" s="167"/>
    </row>
    <row r="66" spans="1:8" x14ac:dyDescent="0.2">
      <c r="A66" s="164"/>
      <c r="B66" s="66"/>
      <c r="C66" s="66"/>
      <c r="D66" s="167"/>
      <c r="E66" s="167"/>
      <c r="F66" s="167"/>
      <c r="G66" s="167"/>
      <c r="H66" s="167"/>
    </row>
    <row r="67" spans="1:8" x14ac:dyDescent="0.2">
      <c r="A67" s="31"/>
      <c r="B67" s="12"/>
      <c r="C67" s="12"/>
      <c r="D67" s="165"/>
      <c r="E67" s="165"/>
      <c r="F67" s="165"/>
      <c r="G67" s="165"/>
      <c r="H67" s="165"/>
    </row>
    <row r="68" spans="1:8" x14ac:dyDescent="0.2">
      <c r="A68" s="31"/>
      <c r="B68" s="23"/>
      <c r="C68" s="23"/>
      <c r="D68" s="165"/>
      <c r="E68" s="165"/>
      <c r="F68" s="165"/>
      <c r="G68" s="165"/>
      <c r="H68" s="165"/>
    </row>
    <row r="69" spans="1:8" x14ac:dyDescent="0.2">
      <c r="A69" s="31"/>
      <c r="B69" s="23"/>
      <c r="C69" s="23"/>
      <c r="D69" s="165"/>
      <c r="E69" s="165"/>
      <c r="F69" s="165"/>
      <c r="G69" s="165"/>
      <c r="H69" s="165"/>
    </row>
    <row r="70" spans="1:8" x14ac:dyDescent="0.2">
      <c r="A70" s="31"/>
      <c r="B70" s="23"/>
      <c r="C70" s="23"/>
      <c r="D70" s="165"/>
      <c r="E70" s="165"/>
      <c r="F70" s="165"/>
      <c r="G70" s="165"/>
      <c r="H70" s="165"/>
    </row>
    <row r="71" spans="1:8" x14ac:dyDescent="0.2">
      <c r="A71" s="31"/>
      <c r="B71" s="12"/>
      <c r="C71" s="12"/>
      <c r="D71" s="165"/>
      <c r="E71" s="165"/>
      <c r="F71" s="165"/>
      <c r="G71" s="165"/>
      <c r="H71" s="165"/>
    </row>
    <row r="72" spans="1:8" x14ac:dyDescent="0.2">
      <c r="A72" s="31"/>
      <c r="B72" s="23"/>
      <c r="C72" s="23"/>
      <c r="D72" s="165"/>
      <c r="E72" s="165"/>
      <c r="F72" s="165"/>
      <c r="G72" s="165"/>
      <c r="H72" s="165"/>
    </row>
    <row r="73" spans="1:8" x14ac:dyDescent="0.2">
      <c r="A73" s="31"/>
      <c r="B73" s="23"/>
      <c r="C73" s="23"/>
      <c r="D73" s="165"/>
      <c r="E73" s="165"/>
      <c r="F73" s="165"/>
      <c r="G73" s="165"/>
      <c r="H73" s="165"/>
    </row>
    <row r="74" spans="1:8" x14ac:dyDescent="0.2">
      <c r="A74" s="31"/>
      <c r="B74" s="23"/>
      <c r="C74" s="23"/>
      <c r="D74" s="165"/>
      <c r="E74" s="165"/>
      <c r="F74" s="165"/>
      <c r="G74" s="165"/>
      <c r="H74" s="165"/>
    </row>
    <row r="75" spans="1:8" x14ac:dyDescent="0.2">
      <c r="A75" s="31"/>
      <c r="B75" s="23"/>
      <c r="C75" s="23"/>
      <c r="D75" s="165"/>
      <c r="E75" s="165"/>
      <c r="F75" s="165"/>
      <c r="G75" s="165"/>
      <c r="H75" s="165"/>
    </row>
    <row r="76" spans="1:8" x14ac:dyDescent="0.2">
      <c r="A76" s="31"/>
      <c r="B76" s="23"/>
      <c r="C76" s="23"/>
      <c r="D76" s="20"/>
      <c r="E76" s="20"/>
      <c r="F76" s="20"/>
      <c r="G76" s="20"/>
      <c r="H76" s="20"/>
    </row>
    <row r="77" spans="1:8" x14ac:dyDescent="0.2">
      <c r="A77" s="31"/>
      <c r="B77" s="11"/>
      <c r="C77" s="11"/>
      <c r="D77" s="12"/>
      <c r="E77" s="12"/>
      <c r="F77" s="12"/>
      <c r="G77" s="73"/>
      <c r="H77" s="73"/>
    </row>
    <row r="78" spans="1:8" x14ac:dyDescent="0.2">
      <c r="A78" s="31"/>
      <c r="B78" s="23"/>
      <c r="C78" s="23"/>
      <c r="D78" s="165"/>
      <c r="E78" s="165"/>
      <c r="F78" s="165"/>
      <c r="G78" s="165"/>
    </row>
    <row r="79" spans="1:8" x14ac:dyDescent="0.2">
      <c r="A79" s="31"/>
      <c r="B79" s="23"/>
      <c r="C79" s="23"/>
      <c r="D79" s="165"/>
      <c r="E79" s="165"/>
      <c r="F79" s="165"/>
      <c r="G79" s="165"/>
    </row>
    <row r="80" spans="1:8" x14ac:dyDescent="0.2">
      <c r="A80" s="31"/>
      <c r="B80" s="23"/>
      <c r="C80" s="23"/>
      <c r="D80" s="165"/>
      <c r="E80" s="165"/>
      <c r="F80" s="165"/>
      <c r="G80" s="165"/>
    </row>
    <row r="81" spans="1:8" x14ac:dyDescent="0.2">
      <c r="A81" s="31"/>
      <c r="B81" s="23"/>
      <c r="C81" s="23"/>
      <c r="D81" s="165"/>
      <c r="E81" s="165"/>
      <c r="F81" s="165"/>
      <c r="G81" s="165"/>
    </row>
    <row r="82" spans="1:8" x14ac:dyDescent="0.2">
      <c r="A82" s="31"/>
      <c r="B82" s="23"/>
      <c r="C82" s="23"/>
      <c r="D82" s="165"/>
      <c r="E82" s="165"/>
      <c r="F82" s="165"/>
      <c r="G82" s="165"/>
      <c r="H82" s="165"/>
    </row>
    <row r="83" spans="1:8" x14ac:dyDescent="0.2">
      <c r="A83" s="31"/>
      <c r="B83" s="23"/>
      <c r="C83" s="23"/>
      <c r="D83" s="165"/>
      <c r="E83" s="165"/>
      <c r="F83" s="165"/>
      <c r="G83" s="165"/>
      <c r="H83" s="165"/>
    </row>
    <row r="84" spans="1:8" x14ac:dyDescent="0.2">
      <c r="A84" s="31"/>
      <c r="B84" s="23"/>
      <c r="C84" s="23"/>
      <c r="D84" s="165"/>
      <c r="E84" s="165"/>
      <c r="F84" s="165"/>
      <c r="G84" s="165"/>
      <c r="H84" s="165"/>
    </row>
    <row r="85" spans="1:8" x14ac:dyDescent="0.2">
      <c r="A85" s="31"/>
      <c r="B85" s="165"/>
      <c r="C85" s="165"/>
      <c r="D85" s="165"/>
      <c r="E85" s="165"/>
      <c r="F85" s="165"/>
      <c r="G85" s="165"/>
      <c r="H85" s="165"/>
    </row>
    <row r="86" spans="1:8" x14ac:dyDescent="0.2">
      <c r="A86" s="164"/>
      <c r="B86" s="12"/>
      <c r="C86" s="12"/>
      <c r="D86" s="12"/>
      <c r="E86" s="12"/>
      <c r="F86" s="12"/>
      <c r="G86" s="73"/>
      <c r="H86" s="73"/>
    </row>
    <row r="87" spans="1:8" x14ac:dyDescent="0.2">
      <c r="B87" s="19"/>
      <c r="C87" s="19"/>
      <c r="D87" s="12"/>
      <c r="E87" s="12"/>
      <c r="F87" s="12"/>
      <c r="G87" s="12"/>
      <c r="H87" s="164"/>
    </row>
    <row r="88" spans="1:8" x14ac:dyDescent="0.2">
      <c r="B88" s="19"/>
      <c r="C88" s="19"/>
      <c r="D88" s="12"/>
      <c r="E88" s="12"/>
      <c r="F88" s="12"/>
      <c r="G88" s="12"/>
      <c r="H88" s="164"/>
    </row>
    <row r="89" spans="1:8" x14ac:dyDescent="0.2">
      <c r="A89" s="31"/>
      <c r="B89" s="19"/>
      <c r="C89" s="19"/>
      <c r="D89" s="12"/>
      <c r="E89" s="12"/>
      <c r="F89" s="12"/>
      <c r="G89" s="12"/>
      <c r="H89" s="165"/>
    </row>
    <row r="90" spans="1:8" x14ac:dyDescent="0.2">
      <c r="A90" s="31"/>
      <c r="B90" s="23"/>
      <c r="C90" s="23"/>
      <c r="D90" s="165"/>
      <c r="E90" s="165"/>
      <c r="F90" s="165"/>
      <c r="G90" s="165"/>
      <c r="H90" s="165"/>
    </row>
    <row r="91" spans="1:8" x14ac:dyDescent="0.2">
      <c r="A91" s="31"/>
      <c r="B91" s="23"/>
      <c r="C91" s="23"/>
      <c r="D91" s="165"/>
      <c r="E91" s="165"/>
      <c r="F91" s="165"/>
      <c r="G91" s="165"/>
      <c r="H91" s="165"/>
    </row>
    <row r="92" spans="1:8" x14ac:dyDescent="0.2">
      <c r="A92" s="31"/>
      <c r="B92" s="23"/>
      <c r="C92" s="23"/>
      <c r="D92" s="165"/>
      <c r="E92" s="165"/>
      <c r="F92" s="165"/>
      <c r="G92" s="165"/>
      <c r="H92" s="165"/>
    </row>
    <row r="93" spans="1:8" x14ac:dyDescent="0.2">
      <c r="A93" s="31"/>
      <c r="B93" s="23"/>
      <c r="C93" s="23"/>
      <c r="D93" s="165"/>
      <c r="E93" s="165"/>
      <c r="F93" s="165"/>
      <c r="G93" s="165"/>
      <c r="H93" s="165"/>
    </row>
    <row r="94" spans="1:8" x14ac:dyDescent="0.2">
      <c r="A94" s="28"/>
      <c r="B94" s="23"/>
      <c r="C94" s="23"/>
      <c r="D94" s="173"/>
      <c r="E94" s="173"/>
      <c r="F94" s="173"/>
      <c r="G94" s="173"/>
      <c r="H94" s="173"/>
    </row>
    <row r="95" spans="1:8" x14ac:dyDescent="0.2">
      <c r="B95" s="23"/>
      <c r="C95" s="23"/>
    </row>
    <row r="96" spans="1:8" x14ac:dyDescent="0.2">
      <c r="A96" s="25"/>
      <c r="B96" s="23"/>
      <c r="C96" s="23"/>
    </row>
    <row r="97" spans="1:8" x14ac:dyDescent="0.2">
      <c r="A97" s="164"/>
      <c r="B97" s="23"/>
      <c r="C97" s="23"/>
      <c r="D97" s="73"/>
      <c r="E97" s="73"/>
    </row>
    <row r="98" spans="1:8" x14ac:dyDescent="0.2">
      <c r="B98" s="19"/>
      <c r="C98" s="19"/>
      <c r="D98" s="164"/>
      <c r="E98" s="164"/>
    </row>
    <row r="99" spans="1:8" x14ac:dyDescent="0.2">
      <c r="A99" s="68"/>
      <c r="B99" s="23"/>
      <c r="C99" s="23"/>
      <c r="D99" s="165"/>
      <c r="E99" s="165"/>
    </row>
    <row r="100" spans="1:8" x14ac:dyDescent="0.2">
      <c r="A100" s="68"/>
      <c r="B100" s="23"/>
      <c r="C100" s="23"/>
      <c r="D100" s="165"/>
      <c r="E100" s="165"/>
    </row>
    <row r="101" spans="1:8" x14ac:dyDescent="0.2">
      <c r="A101" s="68"/>
      <c r="B101" s="23"/>
      <c r="C101" s="23"/>
      <c r="E101" s="165"/>
      <c r="G101" s="165"/>
      <c r="H101" s="165"/>
    </row>
    <row r="102" spans="1:8" x14ac:dyDescent="0.2">
      <c r="A102" s="68"/>
      <c r="B102" s="23"/>
      <c r="C102" s="23"/>
      <c r="E102" s="165"/>
      <c r="G102" s="165"/>
      <c r="H102" s="165"/>
    </row>
    <row r="103" spans="1:8" x14ac:dyDescent="0.2">
      <c r="A103" s="68"/>
      <c r="B103" s="23"/>
      <c r="C103" s="23"/>
      <c r="D103" s="165"/>
      <c r="E103" s="165"/>
    </row>
    <row r="104" spans="1:8" x14ac:dyDescent="0.2">
      <c r="B104" s="19"/>
      <c r="C104" s="19"/>
      <c r="E104" s="165"/>
      <c r="H104" s="165"/>
    </row>
    <row r="106" spans="1:8" ht="15.75" customHeight="1" x14ac:dyDescent="0.25">
      <c r="A106" s="13"/>
      <c r="B106" s="5"/>
      <c r="C106" s="5"/>
    </row>
    <row r="107" spans="1:8" x14ac:dyDescent="0.2">
      <c r="A107" s="25"/>
      <c r="B107" s="19"/>
      <c r="C107" s="19"/>
      <c r="D107" s="164"/>
      <c r="E107" s="164"/>
    </row>
    <row r="108" spans="1:8" x14ac:dyDescent="0.2">
      <c r="A108" s="31"/>
      <c r="B108" s="23"/>
      <c r="C108" s="23"/>
      <c r="D108" s="165"/>
      <c r="E108" s="165"/>
    </row>
    <row r="109" spans="1:8" x14ac:dyDescent="0.2">
      <c r="A109" s="31"/>
      <c r="B109" s="23"/>
      <c r="C109" s="23"/>
      <c r="D109" s="165"/>
      <c r="E109" s="165"/>
    </row>
    <row r="110" spans="1:8" x14ac:dyDescent="0.2">
      <c r="A110" s="31"/>
      <c r="B110" s="23"/>
      <c r="C110" s="23"/>
      <c r="D110" s="165"/>
      <c r="E110" s="165"/>
    </row>
    <row r="111" spans="1:8" x14ac:dyDescent="0.2">
      <c r="A111" s="31"/>
      <c r="B111" s="23"/>
      <c r="C111" s="23"/>
      <c r="D111" s="165"/>
      <c r="E111" s="165"/>
    </row>
    <row r="112" spans="1:8" x14ac:dyDescent="0.2">
      <c r="A112" s="31"/>
      <c r="B112" s="23"/>
      <c r="C112" s="23"/>
      <c r="G112" s="165"/>
      <c r="H112" s="165"/>
    </row>
    <row r="113" spans="1:8" x14ac:dyDescent="0.2">
      <c r="A113" s="31"/>
      <c r="B113" s="23"/>
      <c r="C113" s="23"/>
      <c r="G113" s="165"/>
      <c r="H113" s="165"/>
    </row>
    <row r="114" spans="1:8" x14ac:dyDescent="0.2">
      <c r="A114" s="31"/>
      <c r="B114" s="23"/>
      <c r="C114" s="23"/>
      <c r="D114" s="165"/>
      <c r="E114" s="165"/>
    </row>
    <row r="115" spans="1:8" x14ac:dyDescent="0.2">
      <c r="A115" s="31"/>
      <c r="B115" s="23"/>
      <c r="C115" s="23"/>
      <c r="D115" s="165"/>
      <c r="E115" s="165"/>
    </row>
    <row r="116" spans="1:8" x14ac:dyDescent="0.2">
      <c r="A116" s="31"/>
      <c r="B116" s="23"/>
      <c r="C116" s="23"/>
      <c r="D116" s="164"/>
      <c r="E116" s="164"/>
    </row>
    <row r="117" spans="1:8" x14ac:dyDescent="0.2">
      <c r="A117" s="25"/>
      <c r="B117" s="19"/>
      <c r="C117" s="19"/>
      <c r="D117" s="164"/>
      <c r="E117" s="164"/>
    </row>
    <row r="118" spans="1:8" x14ac:dyDescent="0.2">
      <c r="A118" s="31"/>
      <c r="B118" s="23"/>
      <c r="C118" s="23"/>
      <c r="D118" s="165"/>
      <c r="E118" s="165"/>
    </row>
    <row r="119" spans="1:8" x14ac:dyDescent="0.2">
      <c r="A119" s="31"/>
      <c r="B119" s="23"/>
      <c r="C119" s="23"/>
      <c r="D119" s="165"/>
      <c r="E119" s="165"/>
    </row>
    <row r="120" spans="1:8" x14ac:dyDescent="0.2">
      <c r="A120" s="31"/>
      <c r="B120" s="23"/>
      <c r="C120" s="23"/>
      <c r="D120" s="165"/>
      <c r="E120" s="165"/>
    </row>
    <row r="121" spans="1:8" x14ac:dyDescent="0.2">
      <c r="A121" s="31"/>
      <c r="B121" s="23"/>
      <c r="C121" s="23"/>
      <c r="D121" s="165"/>
      <c r="E121" s="165"/>
    </row>
    <row r="122" spans="1:8" x14ac:dyDescent="0.2">
      <c r="A122" s="31"/>
      <c r="B122" s="23"/>
      <c r="C122" s="23"/>
      <c r="G122" s="165"/>
      <c r="H122" s="165"/>
    </row>
    <row r="123" spans="1:8" x14ac:dyDescent="0.2">
      <c r="A123" s="31"/>
      <c r="B123" s="23"/>
      <c r="C123" s="23"/>
      <c r="G123" s="165"/>
      <c r="H123" s="165"/>
    </row>
    <row r="124" spans="1:8" x14ac:dyDescent="0.2">
      <c r="A124" s="31"/>
      <c r="B124" s="23"/>
      <c r="C124" s="23"/>
      <c r="G124" s="165"/>
      <c r="H124" s="165"/>
    </row>
    <row r="125" spans="1:8" x14ac:dyDescent="0.2">
      <c r="A125" s="31"/>
      <c r="B125" s="23"/>
      <c r="C125" s="23"/>
      <c r="G125" s="165"/>
      <c r="H125" s="165"/>
    </row>
    <row r="126" spans="1:8" x14ac:dyDescent="0.2">
      <c r="A126" s="31"/>
      <c r="B126" s="23"/>
      <c r="C126" s="23"/>
      <c r="G126" s="165"/>
      <c r="H126" s="165"/>
    </row>
    <row r="127" spans="1:8" x14ac:dyDescent="0.2">
      <c r="A127" s="31"/>
      <c r="B127" s="12"/>
      <c r="C127" s="12"/>
      <c r="G127" s="165"/>
      <c r="H127" s="165"/>
    </row>
    <row r="133" spans="1:8" ht="15.75" customHeight="1" x14ac:dyDescent="0.25">
      <c r="A133" s="7"/>
      <c r="B133" s="5"/>
      <c r="C133" s="5"/>
      <c r="G133" s="73"/>
      <c r="H133" s="73"/>
    </row>
    <row r="134" spans="1:8" x14ac:dyDescent="0.2">
      <c r="A134" s="25"/>
      <c r="B134" s="19"/>
      <c r="C134" s="19"/>
      <c r="D134" s="25"/>
      <c r="E134" s="164"/>
      <c r="F134" s="164"/>
    </row>
    <row r="135" spans="1:8" x14ac:dyDescent="0.2">
      <c r="A135" s="25"/>
      <c r="B135" s="19"/>
      <c r="C135" s="19"/>
      <c r="D135" s="25"/>
      <c r="E135" s="164"/>
      <c r="F135" s="164"/>
    </row>
    <row r="136" spans="1:8" x14ac:dyDescent="0.2">
      <c r="A136" s="25"/>
      <c r="B136" s="23"/>
      <c r="C136" s="23"/>
      <c r="D136" s="25"/>
      <c r="E136" s="164"/>
      <c r="F136" s="164"/>
    </row>
    <row r="137" spans="1:8" x14ac:dyDescent="0.2">
      <c r="A137" s="21"/>
      <c r="B137" s="23"/>
      <c r="C137" s="23"/>
      <c r="D137" s="25"/>
      <c r="E137" s="164"/>
      <c r="F137" s="165"/>
    </row>
    <row r="138" spans="1:8" x14ac:dyDescent="0.2">
      <c r="A138" s="21"/>
      <c r="B138" s="23"/>
      <c r="C138" s="23"/>
      <c r="D138" s="25"/>
      <c r="E138" s="164"/>
      <c r="F138" s="165"/>
    </row>
    <row r="139" spans="1:8" x14ac:dyDescent="0.2">
      <c r="A139" s="21"/>
      <c r="B139" s="23"/>
      <c r="C139" s="23"/>
      <c r="D139" s="25"/>
      <c r="E139" s="164"/>
      <c r="G139" s="165"/>
      <c r="H139" s="165"/>
    </row>
    <row r="140" spans="1:8" x14ac:dyDescent="0.2">
      <c r="A140" s="21"/>
      <c r="B140" s="23"/>
      <c r="C140" s="23"/>
      <c r="D140" s="25"/>
      <c r="E140" s="164"/>
      <c r="F140" s="165"/>
    </row>
    <row r="141" spans="1:8" x14ac:dyDescent="0.2">
      <c r="A141" s="25"/>
      <c r="B141" s="19"/>
      <c r="C141" s="19"/>
      <c r="D141" s="25"/>
      <c r="E141" s="164"/>
      <c r="F141" s="164"/>
    </row>
    <row r="142" spans="1:8" x14ac:dyDescent="0.2">
      <c r="A142" s="25"/>
      <c r="B142" s="19"/>
      <c r="C142" s="19"/>
      <c r="D142" s="25"/>
      <c r="E142" s="164"/>
      <c r="F142" s="164"/>
    </row>
    <row r="143" spans="1:8" x14ac:dyDescent="0.2">
      <c r="A143" s="25"/>
      <c r="B143" s="23"/>
      <c r="C143" s="23"/>
      <c r="D143" s="25"/>
      <c r="E143" s="164"/>
      <c r="F143" s="164"/>
    </row>
    <row r="144" spans="1:8" x14ac:dyDescent="0.2">
      <c r="A144" s="21"/>
      <c r="B144" s="23"/>
      <c r="C144" s="23"/>
      <c r="D144" s="25"/>
      <c r="E144" s="164"/>
      <c r="F144" s="165"/>
    </row>
    <row r="145" spans="1:8" x14ac:dyDescent="0.2">
      <c r="A145" s="21"/>
      <c r="B145" s="23"/>
      <c r="C145" s="23"/>
      <c r="D145" s="25"/>
      <c r="E145" s="164"/>
      <c r="F145" s="165"/>
    </row>
    <row r="146" spans="1:8" x14ac:dyDescent="0.2">
      <c r="A146" s="21"/>
      <c r="B146" s="23"/>
      <c r="C146" s="23"/>
      <c r="D146" s="25"/>
      <c r="E146" s="164"/>
      <c r="G146" s="165"/>
      <c r="H146" s="165"/>
    </row>
    <row r="147" spans="1:8" x14ac:dyDescent="0.2">
      <c r="A147" s="21"/>
      <c r="B147" s="23"/>
      <c r="C147" s="23"/>
      <c r="D147" s="25"/>
      <c r="E147" s="164"/>
      <c r="G147" s="165"/>
      <c r="H147" s="165"/>
    </row>
    <row r="148" spans="1:8" x14ac:dyDescent="0.2">
      <c r="A148" s="21"/>
      <c r="B148" s="23"/>
      <c r="C148" s="23"/>
      <c r="D148" s="25"/>
      <c r="E148" s="164"/>
      <c r="G148" s="165"/>
      <c r="H148" s="165"/>
    </row>
    <row r="149" spans="1:8" x14ac:dyDescent="0.2">
      <c r="A149" s="21"/>
      <c r="B149" s="19"/>
      <c r="C149" s="19"/>
      <c r="D149" s="25"/>
      <c r="G149" s="165"/>
      <c r="H149" s="165"/>
    </row>
    <row r="150" spans="1:8" x14ac:dyDescent="0.2">
      <c r="A150" s="21"/>
      <c r="B150" s="165"/>
      <c r="C150" s="165"/>
      <c r="D150" s="165"/>
      <c r="E150" s="165"/>
      <c r="F150" s="165"/>
    </row>
    <row r="151" spans="1:8" x14ac:dyDescent="0.2">
      <c r="A151" s="21"/>
      <c r="B151" s="19"/>
      <c r="C151" s="19"/>
      <c r="E151" s="165"/>
      <c r="F151" s="164"/>
    </row>
    <row r="152" spans="1:8" x14ac:dyDescent="0.2">
      <c r="A152" s="21"/>
      <c r="B152" s="19"/>
      <c r="C152" s="19"/>
      <c r="E152" s="165"/>
      <c r="F152" s="164"/>
    </row>
    <row r="153" spans="1:8" x14ac:dyDescent="0.2">
      <c r="A153" s="21"/>
      <c r="B153" s="22"/>
      <c r="C153" s="22"/>
      <c r="E153" s="165"/>
      <c r="F153" s="164"/>
    </row>
    <row r="154" spans="1:8" x14ac:dyDescent="0.2">
      <c r="A154" s="21"/>
      <c r="B154" s="23"/>
      <c r="C154" s="23"/>
      <c r="D154" s="23"/>
      <c r="E154" s="165"/>
      <c r="F154" s="165"/>
    </row>
    <row r="155" spans="1:8" x14ac:dyDescent="0.2">
      <c r="A155" s="21"/>
      <c r="B155" s="23"/>
      <c r="C155" s="23"/>
      <c r="D155" s="23"/>
      <c r="E155" s="165"/>
      <c r="F155" s="165"/>
    </row>
    <row r="156" spans="1:8" x14ac:dyDescent="0.2">
      <c r="A156" s="21"/>
      <c r="B156" s="23"/>
      <c r="C156" s="23"/>
      <c r="D156" s="23"/>
      <c r="E156" s="165"/>
      <c r="F156" s="165"/>
    </row>
    <row r="157" spans="1:8" x14ac:dyDescent="0.2">
      <c r="A157" s="21"/>
      <c r="B157" s="23"/>
      <c r="C157" s="23"/>
      <c r="D157" s="23"/>
      <c r="G157" s="165"/>
      <c r="H157" s="165"/>
    </row>
    <row r="158" spans="1:8" x14ac:dyDescent="0.2">
      <c r="B158" s="23"/>
      <c r="C158" s="23"/>
      <c r="D158" s="23"/>
    </row>
    <row r="159" spans="1:8" ht="15.75" customHeight="1" x14ac:dyDescent="0.25">
      <c r="A159" s="7"/>
      <c r="B159" s="175"/>
      <c r="C159" s="175"/>
    </row>
    <row r="160" spans="1:8" x14ac:dyDescent="0.2">
      <c r="A160" s="21"/>
      <c r="B160" s="23"/>
      <c r="C160" s="23"/>
      <c r="F160" s="164"/>
      <c r="G160" s="73"/>
      <c r="H160" s="73"/>
    </row>
    <row r="161" spans="1:8" x14ac:dyDescent="0.2">
      <c r="A161" s="21"/>
      <c r="B161" s="23"/>
      <c r="C161" s="23"/>
      <c r="F161" s="164"/>
      <c r="G161" s="165"/>
      <c r="H161" s="165"/>
    </row>
    <row r="162" spans="1:8" x14ac:dyDescent="0.2">
      <c r="A162" s="21"/>
      <c r="B162" s="23"/>
      <c r="C162" s="23"/>
      <c r="F162" s="164"/>
      <c r="G162" s="165"/>
      <c r="H162" s="165"/>
    </row>
    <row r="163" spans="1:8" x14ac:dyDescent="0.2">
      <c r="A163" s="21"/>
      <c r="B163" s="23"/>
      <c r="C163" s="23"/>
      <c r="F163" s="68"/>
      <c r="G163" s="165"/>
      <c r="H163" s="165"/>
    </row>
    <row r="164" spans="1:8" x14ac:dyDescent="0.2">
      <c r="A164" s="21"/>
      <c r="B164" s="23"/>
      <c r="C164" s="23"/>
      <c r="F164" s="164"/>
      <c r="G164" s="165"/>
      <c r="H164" s="165"/>
    </row>
    <row r="165" spans="1:8" x14ac:dyDescent="0.2">
      <c r="A165" s="628"/>
      <c r="B165" s="19"/>
      <c r="C165" s="19"/>
      <c r="D165" s="25"/>
      <c r="E165" s="26"/>
      <c r="F165" s="164"/>
    </row>
    <row r="166" spans="1:8" x14ac:dyDescent="0.2">
      <c r="A166" s="21"/>
      <c r="B166" s="23"/>
      <c r="C166" s="23"/>
      <c r="D166" s="23"/>
      <c r="F166" s="27"/>
      <c r="G166" s="165"/>
      <c r="H166" s="165"/>
    </row>
    <row r="167" spans="1:8" x14ac:dyDescent="0.2">
      <c r="A167" s="21"/>
      <c r="B167" s="23"/>
      <c r="C167" s="23"/>
      <c r="D167" s="23"/>
      <c r="F167" s="27"/>
      <c r="G167" s="165"/>
      <c r="H167" s="165"/>
    </row>
    <row r="168" spans="1:8" x14ac:dyDescent="0.2">
      <c r="A168" s="21"/>
      <c r="B168" s="23"/>
      <c r="C168" s="23"/>
      <c r="D168" s="23"/>
      <c r="F168" s="27"/>
      <c r="G168" s="165"/>
      <c r="H168" s="165"/>
    </row>
    <row r="169" spans="1:8" x14ac:dyDescent="0.2">
      <c r="A169" s="21"/>
      <c r="B169" s="23"/>
      <c r="C169" s="23"/>
      <c r="D169" s="23"/>
      <c r="F169" s="27"/>
      <c r="G169" s="165"/>
      <c r="H169" s="165"/>
    </row>
    <row r="170" spans="1:8" x14ac:dyDescent="0.2">
      <c r="A170" s="21"/>
      <c r="B170" s="23"/>
      <c r="C170" s="23"/>
      <c r="D170" s="23"/>
      <c r="F170" s="27"/>
      <c r="G170" s="165"/>
      <c r="H170" s="165"/>
    </row>
    <row r="171" spans="1:8" x14ac:dyDescent="0.2">
      <c r="A171" s="173"/>
      <c r="B171" s="23"/>
      <c r="C171" s="23"/>
      <c r="D171" s="23"/>
      <c r="E171" s="173"/>
      <c r="F171" s="28"/>
    </row>
    <row r="172" spans="1:8" ht="15.75" customHeight="1" x14ac:dyDescent="0.25">
      <c r="A172" s="7"/>
      <c r="B172" s="5"/>
      <c r="C172" s="5"/>
      <c r="F172" s="27"/>
      <c r="G172" s="73"/>
      <c r="H172" s="73"/>
    </row>
    <row r="173" spans="1:8" x14ac:dyDescent="0.2">
      <c r="A173" s="21"/>
      <c r="B173" s="23"/>
      <c r="C173" s="23"/>
      <c r="F173" s="164"/>
      <c r="G173" s="164"/>
      <c r="H173" s="164"/>
    </row>
    <row r="174" spans="1:8" x14ac:dyDescent="0.2">
      <c r="A174" s="21"/>
      <c r="B174" s="23"/>
      <c r="C174" s="23"/>
      <c r="F174" s="164"/>
      <c r="G174" s="165"/>
      <c r="H174" s="165"/>
    </row>
    <row r="175" spans="1:8" x14ac:dyDescent="0.2">
      <c r="A175" s="21"/>
      <c r="B175" s="23"/>
      <c r="C175" s="23"/>
      <c r="F175" s="164"/>
      <c r="G175" s="165"/>
      <c r="H175" s="165"/>
    </row>
    <row r="176" spans="1:8" x14ac:dyDescent="0.2">
      <c r="A176" s="21"/>
      <c r="B176" s="23"/>
      <c r="C176" s="23"/>
      <c r="F176" s="164"/>
      <c r="G176" s="165"/>
      <c r="H176" s="165"/>
    </row>
    <row r="177" spans="1:8" x14ac:dyDescent="0.2">
      <c r="A177" s="21"/>
      <c r="B177" s="23"/>
      <c r="C177" s="23"/>
      <c r="F177" s="164"/>
      <c r="G177" s="165"/>
      <c r="H177" s="165"/>
    </row>
    <row r="178" spans="1:8" x14ac:dyDescent="0.2">
      <c r="A178" s="21"/>
      <c r="B178" s="23"/>
      <c r="C178" s="23"/>
      <c r="F178" s="164"/>
      <c r="G178" s="165"/>
      <c r="H178" s="165"/>
    </row>
    <row r="179" spans="1:8" x14ac:dyDescent="0.2">
      <c r="A179" s="21"/>
      <c r="B179" s="23"/>
      <c r="C179" s="23"/>
      <c r="F179" s="68"/>
      <c r="G179" s="165"/>
      <c r="H179" s="165"/>
    </row>
    <row r="180" spans="1:8" x14ac:dyDescent="0.2">
      <c r="A180" s="21"/>
      <c r="B180" s="23"/>
      <c r="C180" s="23"/>
      <c r="F180" s="164"/>
      <c r="G180" s="165"/>
      <c r="H180" s="165"/>
    </row>
    <row r="181" spans="1:8" ht="15" customHeight="1" x14ac:dyDescent="0.2">
      <c r="A181" s="21"/>
      <c r="B181" s="166"/>
      <c r="C181" s="166"/>
      <c r="D181" s="166"/>
      <c r="E181" s="12"/>
      <c r="F181" s="12"/>
    </row>
    <row r="182" spans="1:8" x14ac:dyDescent="0.2">
      <c r="A182" s="72"/>
      <c r="B182" s="72"/>
      <c r="C182" s="72"/>
      <c r="D182" s="25"/>
      <c r="E182" s="26"/>
      <c r="F182" s="26"/>
      <c r="G182" s="73"/>
      <c r="H182" s="73"/>
    </row>
    <row r="183" spans="1:8" x14ac:dyDescent="0.2">
      <c r="A183" s="21"/>
      <c r="B183" s="23"/>
      <c r="C183" s="23"/>
      <c r="D183" s="23"/>
      <c r="E183" s="165"/>
      <c r="F183" s="165"/>
    </row>
    <row r="184" spans="1:8" x14ac:dyDescent="0.2">
      <c r="A184" s="21"/>
      <c r="B184" s="23"/>
      <c r="C184" s="23"/>
      <c r="D184" s="23"/>
      <c r="E184" s="165"/>
      <c r="F184" s="165"/>
    </row>
    <row r="185" spans="1:8" x14ac:dyDescent="0.2">
      <c r="A185" s="21"/>
      <c r="B185" s="23"/>
      <c r="C185" s="23"/>
      <c r="D185" s="23"/>
      <c r="E185" s="165"/>
      <c r="F185" s="165"/>
    </row>
    <row r="186" spans="1:8" x14ac:dyDescent="0.2">
      <c r="A186" s="21"/>
      <c r="B186" s="23"/>
      <c r="C186" s="23"/>
      <c r="D186" s="23"/>
      <c r="E186" s="165"/>
      <c r="F186" s="165"/>
    </row>
    <row r="187" spans="1:8" x14ac:dyDescent="0.2">
      <c r="A187" s="21"/>
      <c r="B187" s="23"/>
      <c r="C187" s="23"/>
      <c r="D187" s="23"/>
      <c r="G187" s="165"/>
      <c r="H187" s="165"/>
    </row>
    <row r="188" spans="1:8" x14ac:dyDescent="0.2">
      <c r="A188" s="21"/>
      <c r="B188" s="23"/>
      <c r="C188" s="23"/>
      <c r="D188" s="23"/>
      <c r="G188" s="165"/>
      <c r="H188" s="165"/>
    </row>
    <row r="189" spans="1:8" x14ac:dyDescent="0.2">
      <c r="A189" s="173"/>
      <c r="B189" s="23"/>
      <c r="C189" s="23"/>
      <c r="D189" s="23"/>
      <c r="E189" s="173"/>
      <c r="F189" s="173"/>
    </row>
    <row r="190" spans="1:8" ht="15.75" customHeight="1" x14ac:dyDescent="0.25">
      <c r="A190" s="175"/>
      <c r="B190" s="5"/>
      <c r="C190" s="5"/>
    </row>
    <row r="191" spans="1:8" x14ac:dyDescent="0.2">
      <c r="A191" s="21"/>
      <c r="B191" s="23"/>
      <c r="C191" s="23"/>
      <c r="D191" s="171"/>
      <c r="F191" s="164"/>
      <c r="G191" s="164"/>
      <c r="H191" s="164"/>
    </row>
    <row r="192" spans="1:8" x14ac:dyDescent="0.2">
      <c r="A192" s="21"/>
      <c r="B192" s="23"/>
      <c r="C192" s="23"/>
      <c r="D192" s="171"/>
      <c r="F192" s="164"/>
      <c r="G192" s="165"/>
      <c r="H192" s="165"/>
    </row>
    <row r="193" spans="1:8" x14ac:dyDescent="0.2">
      <c r="A193" s="21"/>
      <c r="B193" s="23"/>
      <c r="C193" s="23"/>
      <c r="D193" s="171"/>
      <c r="F193" s="164"/>
      <c r="G193" s="165"/>
      <c r="H193" s="165"/>
    </row>
    <row r="194" spans="1:8" x14ac:dyDescent="0.2">
      <c r="A194" s="21"/>
      <c r="B194" s="23"/>
      <c r="C194" s="23"/>
      <c r="D194" s="171"/>
      <c r="F194" s="68"/>
      <c r="G194" s="165"/>
      <c r="H194" s="165"/>
    </row>
    <row r="195" spans="1:8" x14ac:dyDescent="0.2">
      <c r="A195" s="21"/>
      <c r="B195" s="23"/>
      <c r="C195" s="23"/>
      <c r="F195" s="164"/>
      <c r="G195" s="165"/>
      <c r="H195" s="165"/>
    </row>
    <row r="196" spans="1:8" x14ac:dyDescent="0.2">
      <c r="A196" s="21"/>
      <c r="B196" s="23"/>
      <c r="C196" s="23"/>
      <c r="D196" s="171"/>
      <c r="E196" s="12"/>
      <c r="F196" s="12"/>
    </row>
    <row r="197" spans="1:8" x14ac:dyDescent="0.2">
      <c r="A197" s="628"/>
      <c r="B197" s="19"/>
      <c r="C197" s="19"/>
      <c r="D197" s="25"/>
      <c r="E197" s="26"/>
      <c r="F197" s="26"/>
    </row>
    <row r="198" spans="1:8" x14ac:dyDescent="0.2">
      <c r="A198" s="21"/>
      <c r="B198" s="23"/>
      <c r="C198" s="23"/>
      <c r="D198" s="171"/>
      <c r="E198" s="165"/>
      <c r="F198" s="165"/>
    </row>
    <row r="199" spans="1:8" x14ac:dyDescent="0.2">
      <c r="A199" s="21"/>
      <c r="B199" s="23"/>
      <c r="C199" s="23"/>
      <c r="D199" s="171"/>
      <c r="E199" s="165"/>
      <c r="F199" s="165"/>
    </row>
    <row r="200" spans="1:8" x14ac:dyDescent="0.2">
      <c r="A200" s="21"/>
      <c r="B200" s="23"/>
      <c r="C200" s="23"/>
      <c r="D200" s="171"/>
      <c r="E200" s="165"/>
      <c r="F200" s="165"/>
    </row>
    <row r="201" spans="1:8" x14ac:dyDescent="0.2">
      <c r="A201" s="21"/>
      <c r="B201" s="23"/>
      <c r="C201" s="23"/>
      <c r="D201" s="171"/>
      <c r="E201" s="165"/>
      <c r="F201" s="165"/>
    </row>
    <row r="202" spans="1:8" x14ac:dyDescent="0.2">
      <c r="A202" s="21"/>
      <c r="B202" s="23"/>
      <c r="C202" s="23"/>
      <c r="D202" s="171"/>
      <c r="G202" s="165"/>
      <c r="H202" s="165"/>
    </row>
    <row r="203" spans="1:8" x14ac:dyDescent="0.2">
      <c r="A203" s="21"/>
      <c r="B203" s="23"/>
      <c r="C203" s="23"/>
      <c r="D203" s="171"/>
      <c r="G203" s="165"/>
      <c r="H203" s="165"/>
    </row>
    <row r="204" spans="1:8" x14ac:dyDescent="0.2">
      <c r="B204" s="23"/>
      <c r="C204" s="23"/>
    </row>
    <row r="205" spans="1:8" ht="15.75" customHeight="1" x14ac:dyDescent="0.25">
      <c r="A205" s="175"/>
      <c r="B205" s="175"/>
      <c r="C205" s="175"/>
    </row>
    <row r="206" spans="1:8" x14ac:dyDescent="0.2">
      <c r="A206" s="628"/>
      <c r="B206" s="19"/>
      <c r="C206" s="19"/>
      <c r="D206" s="73"/>
      <c r="E206" s="73"/>
    </row>
    <row r="207" spans="1:8" x14ac:dyDescent="0.2">
      <c r="A207" s="21"/>
      <c r="B207" s="23"/>
      <c r="C207" s="23"/>
      <c r="D207" s="165"/>
      <c r="E207" s="165"/>
    </row>
    <row r="208" spans="1:8" x14ac:dyDescent="0.2">
      <c r="A208" s="21"/>
      <c r="B208" s="23"/>
      <c r="C208" s="23"/>
      <c r="D208" s="165"/>
      <c r="E208" s="165"/>
    </row>
    <row r="209" spans="1:8" x14ac:dyDescent="0.2">
      <c r="A209" s="21"/>
      <c r="B209" s="23"/>
      <c r="C209" s="23"/>
      <c r="D209" s="165"/>
      <c r="E209" s="165"/>
    </row>
    <row r="210" spans="1:8" x14ac:dyDescent="0.2">
      <c r="A210" s="21"/>
      <c r="B210" s="23"/>
      <c r="C210" s="23"/>
      <c r="D210" s="165"/>
      <c r="E210" s="165"/>
    </row>
    <row r="211" spans="1:8" x14ac:dyDescent="0.2">
      <c r="A211" s="21"/>
      <c r="B211" s="23"/>
      <c r="C211" s="23"/>
      <c r="G211" s="165"/>
      <c r="H211" s="165"/>
    </row>
    <row r="212" spans="1:8" x14ac:dyDescent="0.2">
      <c r="A212" s="21"/>
      <c r="B212" s="23"/>
      <c r="C212" s="23"/>
      <c r="G212" s="165"/>
      <c r="H212" s="165"/>
    </row>
    <row r="213" spans="1:8" x14ac:dyDescent="0.2">
      <c r="A213" s="72"/>
      <c r="B213" s="23"/>
      <c r="C213" s="23"/>
    </row>
    <row r="214" spans="1:8" x14ac:dyDescent="0.2">
      <c r="A214" s="628"/>
      <c r="B214" s="19"/>
      <c r="C214" s="19"/>
      <c r="D214" s="164"/>
      <c r="E214" s="164"/>
    </row>
    <row r="215" spans="1:8" x14ac:dyDescent="0.2">
      <c r="A215" s="21"/>
      <c r="B215" s="23"/>
      <c r="C215" s="23"/>
      <c r="D215" s="165"/>
      <c r="E215" s="165"/>
    </row>
    <row r="216" spans="1:8" x14ac:dyDescent="0.2">
      <c r="A216" s="21"/>
      <c r="B216" s="23"/>
      <c r="C216" s="23"/>
      <c r="D216" s="165"/>
      <c r="E216" s="165"/>
    </row>
    <row r="217" spans="1:8" x14ac:dyDescent="0.2">
      <c r="A217" s="21"/>
      <c r="B217" s="23"/>
      <c r="C217" s="23"/>
      <c r="D217" s="165"/>
      <c r="E217" s="165"/>
    </row>
    <row r="218" spans="1:8" x14ac:dyDescent="0.2">
      <c r="A218" s="21"/>
      <c r="B218" s="23"/>
      <c r="C218" s="23"/>
      <c r="D218" s="165"/>
      <c r="E218" s="165"/>
    </row>
    <row r="219" spans="1:8" x14ac:dyDescent="0.2">
      <c r="A219" s="21"/>
      <c r="B219" s="23"/>
      <c r="C219" s="23"/>
      <c r="D219" s="165"/>
      <c r="E219" s="165"/>
    </row>
    <row r="220" spans="1:8" x14ac:dyDescent="0.2">
      <c r="A220" s="21"/>
      <c r="B220" s="23"/>
      <c r="C220" s="23"/>
      <c r="G220" s="165"/>
      <c r="H220" s="165"/>
    </row>
    <row r="221" spans="1:8" x14ac:dyDescent="0.2">
      <c r="A221" s="21"/>
      <c r="B221" s="23"/>
      <c r="C221" s="23"/>
      <c r="G221" s="165"/>
      <c r="H221" s="165"/>
    </row>
    <row r="222" spans="1:8" x14ac:dyDescent="0.2">
      <c r="A222" s="21"/>
      <c r="B222" s="23"/>
      <c r="C222" s="23"/>
      <c r="G222" s="165"/>
      <c r="H222" s="165"/>
    </row>
    <row r="223" spans="1:8" x14ac:dyDescent="0.2">
      <c r="A223" s="628"/>
      <c r="B223" s="19"/>
      <c r="C223" s="19"/>
      <c r="D223" s="73"/>
      <c r="E223" s="73"/>
    </row>
    <row r="229" spans="1:8" ht="15.75" customHeight="1" x14ac:dyDescent="0.25">
      <c r="A229" s="5"/>
      <c r="B229" s="5"/>
      <c r="C229" s="5"/>
      <c r="G229" s="73"/>
      <c r="H229" s="73"/>
    </row>
    <row r="230" spans="1:8" x14ac:dyDescent="0.2">
      <c r="A230" s="628"/>
      <c r="B230" s="19"/>
      <c r="C230" s="19"/>
      <c r="D230" s="164"/>
      <c r="E230" s="164"/>
      <c r="F230" s="164"/>
    </row>
    <row r="231" spans="1:8" x14ac:dyDescent="0.2">
      <c r="A231" s="21"/>
      <c r="B231" s="19"/>
      <c r="C231" s="19"/>
      <c r="D231" s="164"/>
      <c r="E231" s="164"/>
      <c r="F231" s="164"/>
    </row>
    <row r="232" spans="1:8" x14ac:dyDescent="0.2">
      <c r="A232" s="21"/>
      <c r="B232" s="23"/>
      <c r="C232" s="23"/>
      <c r="D232" s="164"/>
      <c r="E232" s="164"/>
      <c r="F232" s="164"/>
    </row>
    <row r="233" spans="1:8" x14ac:dyDescent="0.2">
      <c r="A233" s="21"/>
      <c r="B233" s="23"/>
      <c r="C233" s="23"/>
      <c r="D233" s="164"/>
      <c r="E233" s="164"/>
      <c r="F233" s="164"/>
    </row>
    <row r="234" spans="1:8" x14ac:dyDescent="0.2">
      <c r="A234" s="21"/>
      <c r="B234" s="23"/>
      <c r="C234" s="23"/>
      <c r="D234" s="164"/>
      <c r="E234" s="164"/>
      <c r="F234" s="164"/>
    </row>
    <row r="235" spans="1:8" x14ac:dyDescent="0.2">
      <c r="A235" s="21"/>
      <c r="B235" s="23"/>
      <c r="C235" s="23"/>
      <c r="D235" s="164"/>
      <c r="E235" s="164"/>
      <c r="F235" s="164"/>
    </row>
    <row r="236" spans="1:8" x14ac:dyDescent="0.2">
      <c r="A236" s="21"/>
      <c r="B236" s="169"/>
      <c r="C236" s="169"/>
      <c r="E236" s="19"/>
      <c r="F236" s="169"/>
    </row>
    <row r="237" spans="1:8" x14ac:dyDescent="0.2">
      <c r="A237" s="21"/>
      <c r="B237" s="23"/>
      <c r="C237" s="23"/>
      <c r="D237" s="164"/>
      <c r="E237" s="164"/>
      <c r="F237" s="164"/>
    </row>
    <row r="238" spans="1:8" x14ac:dyDescent="0.2">
      <c r="A238" s="21"/>
      <c r="B238" s="23"/>
      <c r="C238" s="23"/>
      <c r="D238" s="164"/>
      <c r="E238" s="164"/>
      <c r="F238" s="164"/>
    </row>
    <row r="239" spans="1:8" x14ac:dyDescent="0.2">
      <c r="A239" s="21"/>
      <c r="B239" s="23"/>
      <c r="C239" s="23"/>
      <c r="D239" s="164"/>
      <c r="E239" s="164"/>
      <c r="F239" s="164"/>
    </row>
    <row r="240" spans="1:8" x14ac:dyDescent="0.2">
      <c r="A240" s="21"/>
      <c r="B240" s="23"/>
      <c r="C240" s="23"/>
      <c r="D240" s="164"/>
      <c r="G240" s="164"/>
      <c r="H240" s="164"/>
    </row>
    <row r="241" spans="1:8" x14ac:dyDescent="0.2">
      <c r="A241" s="21"/>
      <c r="B241" s="19"/>
      <c r="C241" s="19"/>
      <c r="D241" s="164"/>
      <c r="E241" s="164"/>
      <c r="F241" s="164"/>
    </row>
    <row r="242" spans="1:8" x14ac:dyDescent="0.2">
      <c r="A242" s="21"/>
      <c r="B242" s="12"/>
      <c r="C242" s="12"/>
      <c r="D242" s="164"/>
      <c r="E242" s="164"/>
      <c r="F242" s="164"/>
    </row>
    <row r="243" spans="1:8" x14ac:dyDescent="0.2">
      <c r="A243" s="628"/>
      <c r="B243" s="19"/>
      <c r="C243" s="19"/>
      <c r="D243" s="164"/>
      <c r="E243" s="164"/>
      <c r="F243" s="164"/>
    </row>
    <row r="244" spans="1:8" x14ac:dyDescent="0.2">
      <c r="A244" s="21"/>
      <c r="B244" s="19"/>
      <c r="C244" s="19"/>
      <c r="D244" s="164"/>
      <c r="E244" s="164"/>
      <c r="F244" s="164"/>
    </row>
    <row r="245" spans="1:8" x14ac:dyDescent="0.2">
      <c r="A245" s="21"/>
      <c r="B245" s="23"/>
      <c r="C245" s="23"/>
      <c r="D245" s="164"/>
      <c r="E245" s="164"/>
      <c r="F245" s="164"/>
    </row>
    <row r="246" spans="1:8" x14ac:dyDescent="0.2">
      <c r="A246" s="21"/>
      <c r="B246" s="23"/>
      <c r="C246" s="23"/>
      <c r="D246" s="164"/>
      <c r="E246" s="164"/>
      <c r="F246" s="164"/>
    </row>
    <row r="247" spans="1:8" x14ac:dyDescent="0.2">
      <c r="A247" s="21"/>
      <c r="B247" s="23"/>
      <c r="C247" s="23"/>
      <c r="D247" s="164"/>
      <c r="E247" s="164"/>
      <c r="F247" s="164"/>
    </row>
    <row r="248" spans="1:8" x14ac:dyDescent="0.2">
      <c r="A248" s="21"/>
      <c r="B248" s="169"/>
      <c r="C248" s="169"/>
      <c r="E248" s="19"/>
      <c r="F248" s="19"/>
    </row>
    <row r="249" spans="1:8" x14ac:dyDescent="0.2">
      <c r="A249" s="21"/>
      <c r="B249" s="23"/>
      <c r="C249" s="23"/>
      <c r="D249" s="164"/>
      <c r="E249" s="164"/>
      <c r="F249" s="164"/>
    </row>
    <row r="250" spans="1:8" x14ac:dyDescent="0.2">
      <c r="A250" s="21"/>
      <c r="B250" s="23"/>
      <c r="C250" s="23"/>
      <c r="D250" s="164"/>
      <c r="E250" s="164"/>
      <c r="F250" s="164"/>
    </row>
    <row r="251" spans="1:8" x14ac:dyDescent="0.2">
      <c r="A251" s="21"/>
      <c r="B251" s="23"/>
      <c r="C251" s="23"/>
      <c r="D251" s="164"/>
      <c r="E251" s="164"/>
      <c r="F251" s="164"/>
    </row>
    <row r="252" spans="1:8" x14ac:dyDescent="0.2">
      <c r="A252" s="21"/>
      <c r="B252" s="23"/>
      <c r="C252" s="23"/>
      <c r="D252" s="164"/>
      <c r="G252" s="164"/>
      <c r="H252" s="164"/>
    </row>
    <row r="253" spans="1:8" x14ac:dyDescent="0.2">
      <c r="A253" s="21"/>
      <c r="B253" s="19"/>
      <c r="C253" s="19"/>
      <c r="D253" s="164"/>
      <c r="G253" s="164"/>
      <c r="H253" s="164"/>
    </row>
    <row r="254" spans="1:8" x14ac:dyDescent="0.2">
      <c r="A254" s="21"/>
      <c r="B254" s="164"/>
      <c r="C254" s="164"/>
      <c r="D254" s="164"/>
      <c r="G254" s="164"/>
      <c r="H254" s="164"/>
    </row>
    <row r="255" spans="1:8" x14ac:dyDescent="0.2">
      <c r="A255" s="21"/>
      <c r="B255" s="169"/>
      <c r="C255" s="169"/>
      <c r="D255" s="164"/>
      <c r="G255" s="164"/>
      <c r="H255" s="164"/>
    </row>
    <row r="257" spans="1:8" ht="15.75" customHeight="1" x14ac:dyDescent="0.25">
      <c r="A257" s="5"/>
      <c r="B257" s="5"/>
      <c r="C257" s="5"/>
      <c r="F257" s="27"/>
    </row>
    <row r="258" spans="1:8" x14ac:dyDescent="0.2">
      <c r="A258" s="629"/>
      <c r="B258" s="72"/>
      <c r="C258" s="72"/>
      <c r="D258" s="73"/>
      <c r="E258" s="73"/>
      <c r="F258" s="164"/>
    </row>
    <row r="259" spans="1:8" x14ac:dyDescent="0.2">
      <c r="B259" s="23"/>
      <c r="C259" s="23"/>
      <c r="D259" s="23"/>
      <c r="E259" s="23"/>
      <c r="F259" s="68"/>
    </row>
    <row r="260" spans="1:8" x14ac:dyDescent="0.2">
      <c r="B260" s="23"/>
      <c r="C260" s="23"/>
      <c r="D260" s="23"/>
      <c r="E260" s="23"/>
      <c r="F260" s="68"/>
    </row>
    <row r="261" spans="1:8" x14ac:dyDescent="0.2">
      <c r="B261" s="23"/>
      <c r="C261" s="23"/>
      <c r="D261" s="23"/>
      <c r="E261" s="23"/>
      <c r="F261" s="164"/>
    </row>
    <row r="262" spans="1:8" x14ac:dyDescent="0.2">
      <c r="B262" s="23"/>
      <c r="C262" s="23"/>
      <c r="D262" s="23"/>
      <c r="E262" s="23"/>
      <c r="F262" s="164"/>
      <c r="G262" s="165"/>
      <c r="H262" s="165"/>
    </row>
    <row r="263" spans="1:8" x14ac:dyDescent="0.2">
      <c r="A263" s="165"/>
      <c r="B263" s="23"/>
      <c r="C263" s="23"/>
      <c r="D263" s="23"/>
      <c r="E263" s="23"/>
      <c r="F263" s="27"/>
    </row>
    <row r="264" spans="1:8" x14ac:dyDescent="0.2">
      <c r="A264" s="629"/>
      <c r="B264" s="72"/>
      <c r="C264" s="72"/>
      <c r="D264" s="12"/>
      <c r="E264" s="12"/>
      <c r="F264" s="27"/>
    </row>
    <row r="265" spans="1:8" x14ac:dyDescent="0.2">
      <c r="B265" s="23"/>
      <c r="C265" s="23"/>
      <c r="D265" s="23"/>
      <c r="E265" s="23"/>
      <c r="F265" s="68"/>
    </row>
    <row r="266" spans="1:8" x14ac:dyDescent="0.2">
      <c r="B266" s="23"/>
      <c r="C266" s="23"/>
      <c r="D266" s="23"/>
      <c r="E266" s="23"/>
      <c r="F266" s="27"/>
    </row>
    <row r="267" spans="1:8" x14ac:dyDescent="0.2">
      <c r="B267" s="23"/>
      <c r="C267" s="23"/>
      <c r="D267" s="23"/>
      <c r="E267" s="23"/>
      <c r="G267" s="165"/>
      <c r="H267" s="165"/>
    </row>
    <row r="268" spans="1:8" x14ac:dyDescent="0.2">
      <c r="B268" s="23"/>
      <c r="C268" s="23"/>
      <c r="D268" s="23"/>
      <c r="E268" s="23"/>
      <c r="G268" s="165"/>
      <c r="H268" s="165"/>
    </row>
    <row r="269" spans="1:8" x14ac:dyDescent="0.2">
      <c r="A269" s="165"/>
      <c r="B269" s="23"/>
      <c r="C269" s="23"/>
      <c r="D269" s="23"/>
      <c r="E269" s="23"/>
      <c r="G269" s="165"/>
      <c r="H269" s="165"/>
    </row>
    <row r="270" spans="1:8" x14ac:dyDescent="0.2">
      <c r="A270" s="165"/>
      <c r="B270" s="23"/>
      <c r="C270" s="23"/>
      <c r="D270" s="23"/>
      <c r="E270" s="23"/>
      <c r="G270" s="165"/>
      <c r="H270" s="165"/>
    </row>
    <row r="271" spans="1:8" x14ac:dyDescent="0.2">
      <c r="B271" s="19"/>
      <c r="C271" s="19"/>
      <c r="G271" s="165"/>
      <c r="H271" s="165"/>
    </row>
    <row r="272" spans="1:8" x14ac:dyDescent="0.2">
      <c r="A272" s="165"/>
      <c r="B272" s="23"/>
      <c r="C272" s="23"/>
      <c r="D272" s="165"/>
      <c r="E272" s="165"/>
    </row>
    <row r="273" spans="1:8" x14ac:dyDescent="0.2">
      <c r="A273" s="165"/>
      <c r="B273" s="23"/>
      <c r="C273" s="23"/>
      <c r="D273" s="165"/>
      <c r="E273" s="165"/>
    </row>
    <row r="274" spans="1:8" x14ac:dyDescent="0.2">
      <c r="A274" s="165"/>
      <c r="B274" s="23"/>
      <c r="C274" s="23"/>
      <c r="D274" s="165"/>
      <c r="E274" s="165"/>
    </row>
    <row r="275" spans="1:8" x14ac:dyDescent="0.2">
      <c r="A275" s="630"/>
      <c r="B275" s="72"/>
      <c r="C275" s="72"/>
      <c r="G275" s="73"/>
      <c r="H275" s="73"/>
    </row>
    <row r="276" spans="1:8" x14ac:dyDescent="0.2">
      <c r="B276" s="19"/>
      <c r="C276" s="19"/>
      <c r="D276" s="164"/>
    </row>
    <row r="277" spans="1:8" x14ac:dyDescent="0.2">
      <c r="B277" s="23"/>
      <c r="C277" s="23"/>
      <c r="D277" s="164"/>
    </row>
    <row r="278" spans="1:8" x14ac:dyDescent="0.2">
      <c r="A278" s="2"/>
      <c r="B278" s="23"/>
      <c r="C278" s="23"/>
      <c r="D278" s="2"/>
    </row>
    <row r="279" spans="1:8" x14ac:dyDescent="0.2">
      <c r="A279" s="2"/>
      <c r="B279" s="23"/>
      <c r="C279" s="23"/>
      <c r="D279" s="2"/>
    </row>
    <row r="280" spans="1:8" x14ac:dyDescent="0.2">
      <c r="A280" s="2"/>
      <c r="B280" s="23"/>
      <c r="C280" s="23"/>
      <c r="G280" s="2"/>
      <c r="H280" s="2"/>
    </row>
    <row r="281" spans="1:8" x14ac:dyDescent="0.2">
      <c r="A281" s="6"/>
      <c r="B281" s="23"/>
      <c r="C281" s="23"/>
    </row>
    <row r="282" spans="1:8" x14ac:dyDescent="0.2">
      <c r="A282" s="385"/>
      <c r="B282" s="180"/>
      <c r="C282" s="180"/>
      <c r="D282" s="29"/>
      <c r="E282" s="29"/>
      <c r="F282" s="29"/>
    </row>
    <row r="283" spans="1:8" x14ac:dyDescent="0.2">
      <c r="B283" s="19"/>
      <c r="C283" s="19"/>
      <c r="D283" s="164"/>
    </row>
    <row r="284" spans="1:8" x14ac:dyDescent="0.2">
      <c r="B284" s="23"/>
      <c r="C284" s="23"/>
      <c r="D284" s="164"/>
    </row>
    <row r="285" spans="1:8" x14ac:dyDescent="0.2">
      <c r="A285" s="2"/>
      <c r="B285" s="23"/>
      <c r="C285" s="23"/>
      <c r="D285" s="2"/>
    </row>
    <row r="286" spans="1:8" x14ac:dyDescent="0.2">
      <c r="A286" s="2"/>
      <c r="B286" s="23"/>
      <c r="C286" s="23"/>
      <c r="D286" s="2"/>
    </row>
    <row r="287" spans="1:8" x14ac:dyDescent="0.2">
      <c r="A287" s="2"/>
      <c r="B287" s="23"/>
      <c r="C287" s="23"/>
      <c r="G287" s="2"/>
      <c r="H287" s="2"/>
    </row>
    <row r="288" spans="1:8" x14ac:dyDescent="0.2">
      <c r="A288" s="2"/>
      <c r="B288" s="23"/>
      <c r="C288" s="23"/>
      <c r="G288" s="2"/>
      <c r="H288" s="2"/>
    </row>
    <row r="289" spans="1:8" x14ac:dyDescent="0.2">
      <c r="A289" s="6"/>
      <c r="B289" s="23"/>
      <c r="C289" s="23"/>
    </row>
    <row r="290" spans="1:8" x14ac:dyDescent="0.2">
      <c r="A290" s="630"/>
      <c r="B290" s="180"/>
      <c r="C290" s="180"/>
      <c r="D290" s="29"/>
      <c r="E290" s="29"/>
      <c r="F290" s="29"/>
    </row>
    <row r="291" spans="1:8" x14ac:dyDescent="0.2">
      <c r="B291" s="19"/>
      <c r="C291" s="19"/>
      <c r="D291" s="164"/>
    </row>
    <row r="292" spans="1:8" x14ac:dyDescent="0.2">
      <c r="B292" s="23"/>
      <c r="C292" s="23"/>
      <c r="D292" s="164"/>
    </row>
    <row r="293" spans="1:8" x14ac:dyDescent="0.2">
      <c r="A293" s="2"/>
      <c r="B293" s="23"/>
      <c r="C293" s="23"/>
      <c r="D293" s="2"/>
    </row>
    <row r="294" spans="1:8" x14ac:dyDescent="0.2">
      <c r="A294" s="2"/>
      <c r="B294" s="23"/>
      <c r="C294" s="23"/>
      <c r="D294" s="2"/>
    </row>
    <row r="295" spans="1:8" x14ac:dyDescent="0.2">
      <c r="A295" s="2"/>
      <c r="B295" s="23"/>
      <c r="C295" s="23"/>
      <c r="G295" s="2"/>
      <c r="H295" s="2"/>
    </row>
    <row r="296" spans="1:8" x14ac:dyDescent="0.2">
      <c r="A296" s="2"/>
      <c r="B296" s="23"/>
      <c r="C296" s="23"/>
      <c r="G296" s="2"/>
      <c r="H296" s="2"/>
    </row>
    <row r="297" spans="1:8" x14ac:dyDescent="0.2">
      <c r="B297" s="23"/>
      <c r="C297" s="23"/>
    </row>
    <row r="298" spans="1:8" ht="15.75" customHeight="1" x14ac:dyDescent="0.25">
      <c r="A298" s="5"/>
      <c r="B298" s="175"/>
      <c r="C298" s="175"/>
    </row>
    <row r="299" spans="1:8" ht="15.75" customHeight="1" x14ac:dyDescent="0.25">
      <c r="A299" s="5"/>
      <c r="B299" s="175"/>
      <c r="C299" s="175"/>
      <c r="F299" s="164"/>
    </row>
    <row r="300" spans="1:8" x14ac:dyDescent="0.2">
      <c r="B300" s="23"/>
      <c r="C300" s="23"/>
      <c r="D300" s="165"/>
      <c r="E300" s="165"/>
      <c r="F300" s="68"/>
    </row>
    <row r="301" spans="1:8" x14ac:dyDescent="0.2">
      <c r="B301" s="23"/>
      <c r="C301" s="23"/>
      <c r="D301" s="165"/>
      <c r="E301" s="165"/>
      <c r="F301" s="68"/>
    </row>
    <row r="302" spans="1:8" x14ac:dyDescent="0.2">
      <c r="B302" s="23"/>
      <c r="C302" s="23"/>
      <c r="F302" s="68"/>
      <c r="G302" s="165"/>
      <c r="H302" s="165"/>
    </row>
    <row r="303" spans="1:8" x14ac:dyDescent="0.2">
      <c r="A303" s="165"/>
      <c r="B303" s="101"/>
      <c r="C303" s="101"/>
      <c r="G303" s="165"/>
      <c r="H303" s="165"/>
    </row>
    <row r="304" spans="1:8" x14ac:dyDescent="0.2">
      <c r="A304" s="630"/>
      <c r="B304" s="19"/>
      <c r="C304" s="19"/>
    </row>
    <row r="305" spans="1:8" x14ac:dyDescent="0.2">
      <c r="B305" s="12"/>
      <c r="C305" s="12"/>
      <c r="D305" s="12"/>
    </row>
    <row r="306" spans="1:8" x14ac:dyDescent="0.2">
      <c r="B306" s="23"/>
      <c r="C306" s="23"/>
      <c r="D306" s="12"/>
    </row>
    <row r="307" spans="1:8" x14ac:dyDescent="0.2">
      <c r="A307" s="2"/>
      <c r="B307" s="23"/>
      <c r="C307" s="23"/>
      <c r="D307" s="2"/>
    </row>
    <row r="308" spans="1:8" x14ac:dyDescent="0.2">
      <c r="A308" s="2"/>
      <c r="B308" s="23"/>
      <c r="C308" s="23"/>
      <c r="G308" s="2"/>
      <c r="H308" s="2"/>
    </row>
    <row r="309" spans="1:8" x14ac:dyDescent="0.2">
      <c r="A309" s="2"/>
      <c r="B309" s="23"/>
      <c r="C309" s="23"/>
      <c r="G309" s="2"/>
      <c r="H309" s="2"/>
    </row>
    <row r="310" spans="1:8" x14ac:dyDescent="0.2">
      <c r="A310" s="6"/>
      <c r="B310" s="23"/>
      <c r="C310" s="23"/>
    </row>
    <row r="311" spans="1:8" x14ac:dyDescent="0.2">
      <c r="A311" s="385"/>
      <c r="B311" s="180"/>
      <c r="C311" s="180"/>
      <c r="D311" s="29"/>
      <c r="E311" s="29"/>
      <c r="F311" s="29"/>
    </row>
    <row r="312" spans="1:8" x14ac:dyDescent="0.2">
      <c r="B312" s="12"/>
      <c r="C312" s="12"/>
      <c r="D312" s="73"/>
    </row>
    <row r="313" spans="1:8" x14ac:dyDescent="0.2">
      <c r="B313" s="23"/>
      <c r="C313" s="23"/>
      <c r="D313" s="164"/>
    </row>
    <row r="314" spans="1:8" x14ac:dyDescent="0.2">
      <c r="A314" s="2"/>
      <c r="B314" s="23"/>
      <c r="C314" s="23"/>
      <c r="D314" s="2"/>
    </row>
    <row r="315" spans="1:8" x14ac:dyDescent="0.2">
      <c r="A315" s="2"/>
      <c r="B315" s="23"/>
      <c r="C315" s="23"/>
      <c r="G315" s="2"/>
      <c r="H315" s="2"/>
    </row>
    <row r="316" spans="1:8" x14ac:dyDescent="0.2">
      <c r="A316" s="2"/>
      <c r="B316" s="23"/>
      <c r="C316" s="23"/>
      <c r="G316" s="2"/>
      <c r="H316" s="2"/>
    </row>
    <row r="317" spans="1:8" x14ac:dyDescent="0.2">
      <c r="A317" s="6"/>
      <c r="B317" s="23"/>
      <c r="C317" s="23"/>
    </row>
    <row r="318" spans="1:8" x14ac:dyDescent="0.2">
      <c r="A318" s="6"/>
      <c r="B318" s="23"/>
      <c r="C318" s="23"/>
    </row>
    <row r="319" spans="1:8" x14ac:dyDescent="0.2">
      <c r="A319" s="6"/>
      <c r="B319" s="23"/>
      <c r="C319" s="23"/>
    </row>
    <row r="320" spans="1:8" x14ac:dyDescent="0.2">
      <c r="A320" s="385"/>
      <c r="B320" s="180"/>
      <c r="C320" s="180"/>
      <c r="D320" s="29"/>
      <c r="E320" s="29"/>
      <c r="F320" s="29"/>
    </row>
    <row r="321" spans="1:8" x14ac:dyDescent="0.2">
      <c r="B321" s="12"/>
      <c r="C321" s="12"/>
      <c r="D321" s="101"/>
      <c r="E321" s="101"/>
      <c r="F321" s="101"/>
      <c r="G321" s="73"/>
      <c r="H321" s="73"/>
    </row>
    <row r="322" spans="1:8" x14ac:dyDescent="0.2">
      <c r="A322" s="12"/>
      <c r="B322" s="2"/>
      <c r="C322" s="2"/>
      <c r="D322" s="123"/>
      <c r="E322" s="123"/>
      <c r="F322" s="164"/>
      <c r="G322" s="164"/>
      <c r="H322" s="164"/>
    </row>
    <row r="323" spans="1:8" x14ac:dyDescent="0.2">
      <c r="B323" s="23"/>
      <c r="C323" s="23"/>
      <c r="D323" s="101"/>
      <c r="E323" s="101"/>
      <c r="F323" s="2"/>
    </row>
    <row r="324" spans="1:8" x14ac:dyDescent="0.2">
      <c r="A324" s="2"/>
      <c r="B324" s="23"/>
      <c r="C324" s="23"/>
      <c r="D324" s="101"/>
      <c r="E324" s="101"/>
      <c r="F324" s="2"/>
    </row>
    <row r="325" spans="1:8" x14ac:dyDescent="0.2">
      <c r="A325" s="2"/>
      <c r="B325" s="23"/>
      <c r="C325" s="23"/>
      <c r="D325" s="101"/>
      <c r="E325" s="101"/>
      <c r="F325" s="2"/>
    </row>
    <row r="326" spans="1:8" x14ac:dyDescent="0.2">
      <c r="A326" s="2"/>
      <c r="B326" s="23"/>
      <c r="C326" s="23"/>
      <c r="D326" s="123"/>
      <c r="E326" s="123"/>
      <c r="F326" s="2"/>
      <c r="G326" s="2"/>
      <c r="H326" s="2"/>
    </row>
    <row r="327" spans="1:8" x14ac:dyDescent="0.2">
      <c r="A327" s="6"/>
      <c r="B327" s="23"/>
      <c r="C327" s="23"/>
    </row>
    <row r="328" spans="1:8" x14ac:dyDescent="0.2">
      <c r="A328" s="385"/>
      <c r="B328" s="6"/>
      <c r="C328" s="6"/>
    </row>
    <row r="329" spans="1:8" x14ac:dyDescent="0.2">
      <c r="B329" s="12"/>
      <c r="C329" s="12"/>
      <c r="D329" s="164"/>
    </row>
    <row r="330" spans="1:8" x14ac:dyDescent="0.2">
      <c r="B330" s="23"/>
      <c r="C330" s="23"/>
      <c r="D330" s="164"/>
    </row>
    <row r="331" spans="1:8" x14ac:dyDescent="0.2">
      <c r="A331" s="2"/>
      <c r="B331" s="23"/>
      <c r="C331" s="23"/>
      <c r="D331" s="2"/>
    </row>
    <row r="332" spans="1:8" x14ac:dyDescent="0.2">
      <c r="A332" s="2"/>
      <c r="B332" s="23"/>
      <c r="C332" s="23"/>
      <c r="D332" s="2"/>
    </row>
    <row r="333" spans="1:8" x14ac:dyDescent="0.2">
      <c r="A333" s="60"/>
      <c r="B333" s="23"/>
      <c r="C333" s="23"/>
      <c r="G333" s="2"/>
      <c r="H333" s="2"/>
    </row>
    <row r="334" spans="1:8" x14ac:dyDescent="0.2">
      <c r="A334" s="2"/>
      <c r="B334" s="23"/>
      <c r="C334" s="23"/>
      <c r="G334" s="2"/>
      <c r="H334" s="2"/>
    </row>
    <row r="335" spans="1:8" x14ac:dyDescent="0.2">
      <c r="A335" s="6"/>
      <c r="B335" s="23"/>
      <c r="C335" s="23"/>
    </row>
    <row r="336" spans="1:8" x14ac:dyDescent="0.2">
      <c r="A336" s="385"/>
      <c r="B336" s="30"/>
      <c r="C336" s="30"/>
    </row>
    <row r="337" spans="1:8" x14ac:dyDescent="0.2">
      <c r="B337" s="12"/>
      <c r="C337" s="12"/>
      <c r="D337" s="164"/>
    </row>
    <row r="338" spans="1:8" x14ac:dyDescent="0.2">
      <c r="A338" s="2"/>
      <c r="B338" s="23"/>
      <c r="C338" s="23"/>
      <c r="D338" s="2"/>
    </row>
    <row r="339" spans="1:8" x14ac:dyDescent="0.2">
      <c r="A339" s="2"/>
      <c r="B339" s="23"/>
      <c r="C339" s="23"/>
      <c r="D339" s="2"/>
    </row>
    <row r="340" spans="1:8" x14ac:dyDescent="0.2">
      <c r="A340" s="2"/>
      <c r="B340" s="23"/>
      <c r="C340" s="23"/>
      <c r="G340" s="2"/>
      <c r="H340" s="2"/>
    </row>
    <row r="341" spans="1:8" x14ac:dyDescent="0.2">
      <c r="A341" s="2"/>
      <c r="B341" s="23"/>
      <c r="C341" s="23"/>
      <c r="G341" s="2"/>
      <c r="H341" s="2"/>
    </row>
    <row r="342" spans="1:8" x14ac:dyDescent="0.2">
      <c r="B342" s="23"/>
      <c r="C342" s="23"/>
    </row>
    <row r="343" spans="1:8" ht="15.75" customHeight="1" x14ac:dyDescent="0.25">
      <c r="A343" s="17"/>
      <c r="B343" s="168"/>
      <c r="C343" s="168"/>
      <c r="D343" s="168"/>
      <c r="E343" s="168"/>
      <c r="F343" s="168"/>
    </row>
    <row r="344" spans="1:8" x14ac:dyDescent="0.2">
      <c r="B344" s="12"/>
      <c r="C344" s="12"/>
      <c r="D344" s="12"/>
    </row>
    <row r="345" spans="1:8" x14ac:dyDescent="0.2">
      <c r="B345" s="23"/>
      <c r="C345" s="23"/>
      <c r="D345" s="12"/>
    </row>
    <row r="346" spans="1:8" x14ac:dyDescent="0.2">
      <c r="A346" s="2"/>
      <c r="B346" s="23"/>
      <c r="C346" s="23"/>
      <c r="D346" s="2"/>
    </row>
    <row r="347" spans="1:8" x14ac:dyDescent="0.2">
      <c r="A347" s="60"/>
      <c r="B347" s="23"/>
      <c r="C347" s="23"/>
      <c r="D347" s="2"/>
    </row>
    <row r="348" spans="1:8" x14ac:dyDescent="0.2">
      <c r="A348" s="2"/>
      <c r="B348" s="23"/>
      <c r="C348" s="23"/>
      <c r="G348" s="2"/>
      <c r="H348" s="2"/>
    </row>
    <row r="349" spans="1:8" x14ac:dyDescent="0.2">
      <c r="A349" s="2"/>
      <c r="B349" s="23"/>
      <c r="C349" s="23"/>
      <c r="G349" s="2"/>
      <c r="H349" s="2"/>
    </row>
    <row r="350" spans="1:8" x14ac:dyDescent="0.2">
      <c r="B350" s="23"/>
      <c r="C350" s="23"/>
    </row>
    <row r="351" spans="1:8" ht="15.75" customHeight="1" x14ac:dyDescent="0.25">
      <c r="A351" s="17"/>
      <c r="B351" s="168"/>
      <c r="C351" s="168"/>
      <c r="D351" s="168"/>
      <c r="E351" s="168"/>
      <c r="F351" s="168"/>
    </row>
    <row r="352" spans="1:8" x14ac:dyDescent="0.2">
      <c r="A352" s="12"/>
      <c r="F352" s="164"/>
      <c r="G352" s="12"/>
      <c r="H352" s="12"/>
    </row>
    <row r="353" spans="1:8" x14ac:dyDescent="0.2">
      <c r="B353" s="23"/>
      <c r="C353" s="23"/>
      <c r="F353" s="68"/>
      <c r="G353" s="165"/>
      <c r="H353" s="165"/>
    </row>
    <row r="354" spans="1:8" x14ac:dyDescent="0.2">
      <c r="B354" s="23"/>
      <c r="C354" s="23"/>
      <c r="F354" s="68"/>
      <c r="G354" s="165"/>
      <c r="H354" s="165"/>
    </row>
    <row r="355" spans="1:8" x14ac:dyDescent="0.2">
      <c r="A355" s="165"/>
      <c r="B355" s="23"/>
      <c r="C355" s="23"/>
      <c r="F355" s="101"/>
      <c r="G355" s="165"/>
      <c r="H355" s="165"/>
    </row>
    <row r="356" spans="1:8" x14ac:dyDescent="0.2">
      <c r="A356" s="12"/>
      <c r="B356" s="12"/>
      <c r="C356" s="12"/>
      <c r="D356" s="12"/>
      <c r="E356" s="21"/>
    </row>
    <row r="357" spans="1:8" x14ac:dyDescent="0.2">
      <c r="A357" s="385"/>
      <c r="B357" s="30"/>
      <c r="C357" s="30"/>
      <c r="D357" s="164"/>
    </row>
    <row r="358" spans="1:8" x14ac:dyDescent="0.2">
      <c r="B358" s="23"/>
      <c r="C358" s="23"/>
      <c r="D358" s="165"/>
    </row>
    <row r="359" spans="1:8" x14ac:dyDescent="0.2">
      <c r="B359" s="23"/>
      <c r="C359" s="23"/>
      <c r="D359" s="165"/>
    </row>
    <row r="360" spans="1:8" x14ac:dyDescent="0.2">
      <c r="B360" s="23"/>
      <c r="C360" s="23"/>
      <c r="D360" s="165"/>
    </row>
    <row r="361" spans="1:8" x14ac:dyDescent="0.2">
      <c r="B361" s="23"/>
      <c r="C361" s="23"/>
      <c r="D361" s="165"/>
    </row>
    <row r="362" spans="1:8" x14ac:dyDescent="0.2">
      <c r="B362" s="23"/>
      <c r="C362" s="23"/>
      <c r="G362" s="165"/>
      <c r="H362" s="165"/>
    </row>
    <row r="363" spans="1:8" x14ac:dyDescent="0.2">
      <c r="B363" s="23"/>
      <c r="C363" s="23"/>
      <c r="G363" s="165"/>
      <c r="H363" s="165"/>
    </row>
    <row r="364" spans="1:8" x14ac:dyDescent="0.2">
      <c r="A364" s="169"/>
      <c r="B364" s="12"/>
      <c r="C364" s="12"/>
      <c r="D364" s="12"/>
    </row>
    <row r="365" spans="1:8" x14ac:dyDescent="0.2">
      <c r="A365" s="12"/>
      <c r="B365" s="12"/>
      <c r="C365" s="12"/>
      <c r="D365" s="12"/>
      <c r="E365" s="73"/>
      <c r="F365" s="73"/>
    </row>
    <row r="366" spans="1:8" x14ac:dyDescent="0.2">
      <c r="A366" s="385"/>
      <c r="B366" s="30"/>
      <c r="C366" s="30"/>
      <c r="D366" s="385"/>
      <c r="E366" s="164"/>
      <c r="F366" s="164"/>
    </row>
    <row r="367" spans="1:8" x14ac:dyDescent="0.2">
      <c r="B367" s="385"/>
      <c r="C367" s="385"/>
      <c r="D367" s="169"/>
      <c r="E367" s="169"/>
      <c r="F367" s="169"/>
      <c r="G367" s="73"/>
      <c r="H367" s="73"/>
    </row>
    <row r="368" spans="1:8" x14ac:dyDescent="0.2">
      <c r="B368" s="23"/>
      <c r="C368" s="23"/>
      <c r="D368" s="171"/>
      <c r="E368" s="171"/>
      <c r="F368" s="171"/>
    </row>
    <row r="369" spans="1:8" x14ac:dyDescent="0.2">
      <c r="B369" s="23"/>
      <c r="C369" s="23"/>
      <c r="D369" s="171"/>
      <c r="E369" s="171"/>
      <c r="F369" s="171"/>
    </row>
    <row r="370" spans="1:8" x14ac:dyDescent="0.2">
      <c r="B370" s="23"/>
      <c r="C370" s="23"/>
      <c r="D370" s="171"/>
      <c r="E370" s="171"/>
      <c r="F370" s="171"/>
      <c r="G370" s="165"/>
      <c r="H370" s="165"/>
    </row>
    <row r="371" spans="1:8" x14ac:dyDescent="0.2">
      <c r="B371" s="23"/>
      <c r="C371" s="23"/>
      <c r="G371" s="165"/>
      <c r="H371" s="165"/>
    </row>
    <row r="372" spans="1:8" x14ac:dyDescent="0.2">
      <c r="B372" s="23"/>
      <c r="C372" s="23"/>
      <c r="E372" s="12"/>
      <c r="F372" s="12"/>
    </row>
    <row r="373" spans="1:8" x14ac:dyDescent="0.2">
      <c r="A373" s="30"/>
      <c r="B373" s="30"/>
      <c r="C373" s="30"/>
      <c r="D373" s="30"/>
      <c r="E373" s="12"/>
      <c r="F373" s="12"/>
    </row>
    <row r="374" spans="1:8" x14ac:dyDescent="0.2">
      <c r="B374" s="23"/>
      <c r="C374" s="23"/>
      <c r="D374" s="165"/>
      <c r="G374" s="165"/>
      <c r="H374" s="165"/>
    </row>
    <row r="375" spans="1:8" x14ac:dyDescent="0.2">
      <c r="B375" s="23"/>
      <c r="C375" s="23"/>
      <c r="D375" s="165"/>
      <c r="G375" s="165"/>
      <c r="H375" s="165"/>
    </row>
    <row r="376" spans="1:8" x14ac:dyDescent="0.2">
      <c r="B376" s="23"/>
      <c r="C376" s="23"/>
      <c r="D376" s="165"/>
      <c r="G376" s="165"/>
      <c r="H376" s="165"/>
    </row>
    <row r="377" spans="1:8" x14ac:dyDescent="0.2">
      <c r="B377" s="23"/>
      <c r="C377" s="23"/>
      <c r="D377" s="165"/>
      <c r="G377" s="165"/>
      <c r="H377" s="165"/>
    </row>
    <row r="378" spans="1:8" x14ac:dyDescent="0.2">
      <c r="B378" s="23"/>
      <c r="C378" s="23"/>
      <c r="D378" s="165"/>
      <c r="G378" s="165"/>
      <c r="H378" s="165"/>
    </row>
    <row r="379" spans="1:8" x14ac:dyDescent="0.2">
      <c r="A379" s="165"/>
      <c r="B379" s="165"/>
      <c r="C379" s="165"/>
      <c r="D379" s="165"/>
      <c r="E379" s="165"/>
      <c r="F379" s="165"/>
    </row>
    <row r="380" spans="1:8" x14ac:dyDescent="0.2">
      <c r="A380" s="12"/>
      <c r="B380" s="12"/>
      <c r="C380" s="12"/>
      <c r="D380" s="12"/>
      <c r="E380" s="12"/>
      <c r="F380" s="12"/>
    </row>
    <row r="381" spans="1:8" x14ac:dyDescent="0.2">
      <c r="B381" s="12"/>
      <c r="C381" s="12"/>
      <c r="D381" s="169"/>
      <c r="E381" s="169"/>
      <c r="F381" s="169"/>
    </row>
    <row r="382" spans="1:8" x14ac:dyDescent="0.2">
      <c r="A382" s="12"/>
      <c r="B382" s="23"/>
      <c r="C382" s="23"/>
      <c r="D382" s="169"/>
      <c r="E382" s="12"/>
      <c r="F382" s="12"/>
    </row>
    <row r="383" spans="1:8" x14ac:dyDescent="0.2">
      <c r="A383" s="165"/>
      <c r="B383" s="23"/>
      <c r="C383" s="23"/>
      <c r="D383" s="165"/>
      <c r="E383" s="68"/>
      <c r="F383" s="165"/>
    </row>
    <row r="384" spans="1:8" x14ac:dyDescent="0.2">
      <c r="B384" s="23"/>
      <c r="C384" s="23"/>
    </row>
    <row r="385" spans="1:8" x14ac:dyDescent="0.2">
      <c r="B385" s="23"/>
      <c r="C385" s="23"/>
    </row>
    <row r="386" spans="1:8" x14ac:dyDescent="0.2">
      <c r="B386" s="23"/>
      <c r="C386" s="23"/>
    </row>
    <row r="387" spans="1:8" ht="15.75" customHeight="1" x14ac:dyDescent="0.25">
      <c r="A387" s="5"/>
      <c r="B387" s="5"/>
      <c r="C387" s="5"/>
    </row>
    <row r="388" spans="1:8" x14ac:dyDescent="0.2">
      <c r="B388" s="23"/>
      <c r="C388" s="23"/>
      <c r="D388" s="165"/>
    </row>
    <row r="389" spans="1:8" x14ac:dyDescent="0.2">
      <c r="B389" s="114"/>
      <c r="C389" s="114"/>
    </row>
    <row r="390" spans="1:8" x14ac:dyDescent="0.2">
      <c r="B390" s="114"/>
      <c r="C390" s="114"/>
    </row>
    <row r="391" spans="1:8" x14ac:dyDescent="0.2">
      <c r="B391" s="23"/>
      <c r="C391" s="23"/>
      <c r="D391" s="165"/>
    </row>
    <row r="392" spans="1:8" x14ac:dyDescent="0.2">
      <c r="B392" s="23"/>
      <c r="C392" s="23"/>
      <c r="D392" s="165"/>
    </row>
    <row r="393" spans="1:8" x14ac:dyDescent="0.2">
      <c r="A393" s="165"/>
      <c r="B393" s="165"/>
      <c r="C393" s="165"/>
      <c r="D393" s="165"/>
    </row>
    <row r="394" spans="1:8" ht="15.75" customHeight="1" x14ac:dyDescent="0.25">
      <c r="A394" s="5"/>
      <c r="B394" s="175"/>
      <c r="C394" s="175"/>
    </row>
    <row r="395" spans="1:8" x14ac:dyDescent="0.2">
      <c r="B395" s="23"/>
      <c r="C395" s="23"/>
      <c r="D395" s="165"/>
    </row>
    <row r="396" spans="1:8" x14ac:dyDescent="0.2">
      <c r="B396" s="23"/>
      <c r="C396" s="23"/>
      <c r="D396" s="165"/>
    </row>
    <row r="397" spans="1:8" x14ac:dyDescent="0.2">
      <c r="B397" s="23"/>
      <c r="C397" s="23"/>
      <c r="D397" s="165"/>
    </row>
    <row r="398" spans="1:8" x14ac:dyDescent="0.2">
      <c r="B398" s="23"/>
      <c r="C398" s="23"/>
      <c r="D398" s="165"/>
    </row>
    <row r="399" spans="1:8" x14ac:dyDescent="0.2">
      <c r="B399" s="23"/>
      <c r="C399" s="23"/>
      <c r="D399" s="165"/>
    </row>
    <row r="400" spans="1:8" x14ac:dyDescent="0.2">
      <c r="A400" s="165"/>
      <c r="B400" s="23"/>
      <c r="C400" s="23"/>
      <c r="G400" s="165"/>
      <c r="H400" s="165"/>
    </row>
    <row r="401" spans="1:8" x14ac:dyDescent="0.2">
      <c r="A401" s="165"/>
      <c r="G401" s="165"/>
      <c r="H401" s="165"/>
    </row>
    <row r="402" spans="1:8" ht="15.75" customHeight="1" x14ac:dyDescent="0.25">
      <c r="A402" s="5"/>
      <c r="B402" s="175"/>
      <c r="C402" s="175"/>
    </row>
    <row r="403" spans="1:8" x14ac:dyDescent="0.2">
      <c r="A403" s="165"/>
      <c r="B403" s="23"/>
      <c r="C403" s="23"/>
      <c r="F403" s="164"/>
      <c r="G403" s="165"/>
      <c r="H403" s="165"/>
    </row>
    <row r="404" spans="1:8" x14ac:dyDescent="0.2">
      <c r="B404" s="23"/>
      <c r="C404" s="23"/>
      <c r="F404" s="164"/>
      <c r="G404" s="165"/>
      <c r="H404" s="165"/>
    </row>
    <row r="405" spans="1:8" x14ac:dyDescent="0.2">
      <c r="B405" s="23"/>
      <c r="C405" s="23"/>
      <c r="F405" s="68"/>
      <c r="G405" s="165"/>
      <c r="H405" s="165"/>
    </row>
    <row r="406" spans="1:8" x14ac:dyDescent="0.2">
      <c r="B406" s="23"/>
      <c r="C406" s="23"/>
      <c r="F406" s="68"/>
      <c r="G406" s="165"/>
      <c r="H406" s="165"/>
    </row>
    <row r="407" spans="1:8" x14ac:dyDescent="0.2">
      <c r="B407" s="23"/>
      <c r="C407" s="23"/>
      <c r="F407" s="68"/>
      <c r="G407" s="165"/>
      <c r="H407" s="165"/>
    </row>
    <row r="408" spans="1:8" x14ac:dyDescent="0.2">
      <c r="A408" s="165"/>
      <c r="B408" s="23"/>
      <c r="C408" s="23"/>
      <c r="F408" s="101"/>
      <c r="G408" s="165"/>
      <c r="H408" s="165"/>
    </row>
    <row r="409" spans="1:8" x14ac:dyDescent="0.2">
      <c r="A409" s="16"/>
    </row>
    <row r="410" spans="1:8" x14ac:dyDescent="0.2">
      <c r="A410" s="12"/>
      <c r="B410" s="169"/>
      <c r="C410" s="169"/>
      <c r="D410" s="169"/>
      <c r="E410" s="169"/>
      <c r="F410" s="169"/>
      <c r="G410" s="169"/>
      <c r="H410" s="169"/>
    </row>
    <row r="411" spans="1:8" x14ac:dyDescent="0.2">
      <c r="A411" s="12"/>
      <c r="B411" s="12"/>
      <c r="C411" s="12"/>
      <c r="D411" s="73"/>
      <c r="E411" s="73"/>
    </row>
    <row r="412" spans="1:8" x14ac:dyDescent="0.2">
      <c r="A412" s="11"/>
      <c r="B412" s="30"/>
      <c r="C412" s="30"/>
      <c r="D412" s="164"/>
      <c r="E412" s="164"/>
      <c r="G412" s="73"/>
      <c r="H412" s="73"/>
    </row>
    <row r="413" spans="1:8" x14ac:dyDescent="0.2">
      <c r="A413" s="21"/>
      <c r="B413" s="23"/>
      <c r="C413" s="23"/>
      <c r="D413" s="165"/>
      <c r="E413" s="165"/>
    </row>
    <row r="414" spans="1:8" x14ac:dyDescent="0.2">
      <c r="A414" s="21"/>
      <c r="B414" s="23"/>
      <c r="C414" s="23"/>
      <c r="D414" s="165"/>
      <c r="E414" s="165"/>
    </row>
    <row r="415" spans="1:8" x14ac:dyDescent="0.2">
      <c r="A415" s="21"/>
      <c r="B415" s="23"/>
      <c r="C415" s="23"/>
      <c r="D415" s="165"/>
      <c r="E415" s="165"/>
    </row>
    <row r="416" spans="1:8" x14ac:dyDescent="0.2">
      <c r="A416" s="21"/>
      <c r="B416" s="23"/>
      <c r="C416" s="23"/>
      <c r="G416" s="165"/>
      <c r="H416" s="165"/>
    </row>
    <row r="417" spans="1:8" x14ac:dyDescent="0.2">
      <c r="A417" s="173"/>
      <c r="B417" s="23"/>
      <c r="C417" s="23"/>
      <c r="D417" s="173"/>
      <c r="E417" s="173"/>
    </row>
    <row r="418" spans="1:8" x14ac:dyDescent="0.2">
      <c r="A418" s="6"/>
      <c r="B418" s="23"/>
      <c r="C418" s="23"/>
    </row>
    <row r="419" spans="1:8" x14ac:dyDescent="0.2">
      <c r="A419" s="6"/>
      <c r="B419" s="6"/>
      <c r="C419" s="6"/>
    </row>
    <row r="420" spans="1:8" x14ac:dyDescent="0.2">
      <c r="B420" s="23"/>
      <c r="C420" s="23"/>
      <c r="D420" s="12"/>
    </row>
    <row r="421" spans="1:8" x14ac:dyDescent="0.2">
      <c r="A421" s="165"/>
      <c r="B421" s="23"/>
      <c r="C421" s="23"/>
      <c r="D421" s="165"/>
    </row>
    <row r="422" spans="1:8" x14ac:dyDescent="0.2">
      <c r="A422" s="165"/>
      <c r="B422" s="23"/>
      <c r="C422" s="23"/>
      <c r="D422" s="165"/>
    </row>
    <row r="423" spans="1:8" x14ac:dyDescent="0.2">
      <c r="A423" s="165"/>
      <c r="B423" s="23"/>
      <c r="C423" s="23"/>
      <c r="G423" s="165"/>
      <c r="H423" s="165"/>
    </row>
    <row r="424" spans="1:8" x14ac:dyDescent="0.2">
      <c r="A424" s="6"/>
      <c r="B424" s="23"/>
      <c r="C424" s="23"/>
    </row>
    <row r="425" spans="1:8" x14ac:dyDescent="0.2">
      <c r="A425" s="6"/>
      <c r="B425" s="6"/>
      <c r="C425" s="6"/>
    </row>
    <row r="426" spans="1:8" x14ac:dyDescent="0.2">
      <c r="B426" s="23"/>
      <c r="C426" s="23"/>
      <c r="D426" s="12"/>
    </row>
    <row r="427" spans="1:8" x14ac:dyDescent="0.2">
      <c r="A427" s="165"/>
      <c r="B427" s="23"/>
      <c r="C427" s="23"/>
      <c r="D427" s="165"/>
    </row>
    <row r="428" spans="1:8" x14ac:dyDescent="0.2">
      <c r="A428" s="165"/>
      <c r="B428" s="23"/>
      <c r="C428" s="23"/>
      <c r="D428" s="165"/>
    </row>
    <row r="429" spans="1:8" x14ac:dyDescent="0.2">
      <c r="A429" s="165"/>
      <c r="B429" s="23"/>
      <c r="C429" s="23"/>
      <c r="D429" s="165"/>
    </row>
    <row r="430" spans="1:8" x14ac:dyDescent="0.2">
      <c r="A430" s="165"/>
      <c r="B430" s="23"/>
      <c r="C430" s="23"/>
      <c r="G430" s="165"/>
      <c r="H430" s="165"/>
    </row>
    <row r="431" spans="1:8" x14ac:dyDescent="0.2">
      <c r="A431" s="6"/>
      <c r="B431" s="23"/>
      <c r="C431" s="23"/>
    </row>
    <row r="432" spans="1:8" x14ac:dyDescent="0.2">
      <c r="A432" s="6"/>
      <c r="B432" s="6"/>
      <c r="C432" s="6"/>
    </row>
    <row r="433" spans="1:8" x14ac:dyDescent="0.2">
      <c r="B433" s="12"/>
      <c r="C433" s="12"/>
      <c r="D433" s="12"/>
    </row>
    <row r="434" spans="1:8" x14ac:dyDescent="0.2">
      <c r="B434" s="23"/>
      <c r="C434" s="23"/>
      <c r="D434" s="12"/>
    </row>
    <row r="435" spans="1:8" x14ac:dyDescent="0.2">
      <c r="A435" s="165"/>
      <c r="B435" s="23"/>
      <c r="C435" s="23"/>
      <c r="D435" s="165"/>
    </row>
    <row r="436" spans="1:8" x14ac:dyDescent="0.2">
      <c r="A436" s="165"/>
      <c r="B436" s="23"/>
      <c r="C436" s="23"/>
      <c r="D436" s="165"/>
    </row>
    <row r="437" spans="1:8" x14ac:dyDescent="0.2">
      <c r="A437" s="165"/>
      <c r="B437" s="23"/>
      <c r="C437" s="23"/>
      <c r="D437" s="165"/>
    </row>
    <row r="438" spans="1:8" x14ac:dyDescent="0.2">
      <c r="A438" s="165"/>
      <c r="B438" s="23"/>
      <c r="C438" s="23"/>
      <c r="G438" s="165"/>
      <c r="H438" s="165"/>
    </row>
    <row r="439" spans="1:8" x14ac:dyDescent="0.2">
      <c r="B439" s="23"/>
      <c r="C439" s="23"/>
    </row>
    <row r="440" spans="1:8" ht="15.75" customHeight="1" x14ac:dyDescent="0.25">
      <c r="A440" s="5"/>
      <c r="B440" s="5"/>
      <c r="C440" s="5"/>
    </row>
    <row r="441" spans="1:8" x14ac:dyDescent="0.2">
      <c r="A441" s="21"/>
      <c r="B441" s="180"/>
      <c r="C441" s="180"/>
      <c r="F441" s="31"/>
      <c r="G441" s="164"/>
      <c r="H441" s="164"/>
    </row>
    <row r="442" spans="1:8" x14ac:dyDescent="0.2">
      <c r="A442" s="21"/>
      <c r="B442" s="23"/>
      <c r="C442" s="23"/>
      <c r="F442" s="68"/>
      <c r="G442" s="165"/>
      <c r="H442" s="165"/>
    </row>
    <row r="443" spans="1:8" x14ac:dyDescent="0.2">
      <c r="A443" s="21"/>
      <c r="B443" s="23"/>
      <c r="C443" s="23"/>
      <c r="F443" s="101"/>
      <c r="G443" s="165"/>
      <c r="H443" s="165"/>
    </row>
    <row r="444" spans="1:8" x14ac:dyDescent="0.2">
      <c r="A444" s="21"/>
      <c r="B444" s="23"/>
      <c r="C444" s="23"/>
      <c r="F444" s="101"/>
      <c r="G444" s="165"/>
      <c r="H444" s="165"/>
    </row>
    <row r="445" spans="1:8" x14ac:dyDescent="0.2">
      <c r="A445" s="21"/>
      <c r="B445" s="23"/>
      <c r="C445" s="23"/>
      <c r="F445" s="101"/>
      <c r="G445" s="165"/>
      <c r="H445" s="165"/>
    </row>
    <row r="446" spans="1:8" x14ac:dyDescent="0.2">
      <c r="A446" s="21"/>
      <c r="B446" s="165"/>
      <c r="C446" s="165"/>
      <c r="F446" s="101"/>
      <c r="G446" s="165"/>
      <c r="H446" s="165"/>
    </row>
    <row r="447" spans="1:8" x14ac:dyDescent="0.2">
      <c r="A447" s="21"/>
      <c r="B447" s="165"/>
      <c r="C447" s="165"/>
      <c r="D447" s="101"/>
      <c r="E447" s="165"/>
      <c r="F447" s="165"/>
    </row>
    <row r="448" spans="1:8" x14ac:dyDescent="0.2">
      <c r="A448" s="12"/>
      <c r="B448" s="161"/>
      <c r="C448" s="161"/>
      <c r="D448" s="173"/>
      <c r="E448" s="173"/>
      <c r="F448" s="173"/>
      <c r="G448" s="173"/>
      <c r="H448" s="173"/>
    </row>
    <row r="449" spans="1:8" x14ac:dyDescent="0.2">
      <c r="A449" s="165"/>
      <c r="B449" s="165"/>
      <c r="C449" s="165"/>
      <c r="D449" s="165"/>
      <c r="E449" s="165"/>
      <c r="F449" s="165"/>
    </row>
    <row r="450" spans="1:8" x14ac:dyDescent="0.2">
      <c r="A450" s="173"/>
      <c r="B450" s="173"/>
      <c r="C450" s="173"/>
      <c r="D450" s="173"/>
      <c r="E450" s="173"/>
      <c r="F450" s="173"/>
    </row>
    <row r="451" spans="1:8" x14ac:dyDescent="0.2">
      <c r="A451" s="173"/>
      <c r="B451" s="173"/>
      <c r="C451" s="173"/>
      <c r="D451" s="173"/>
      <c r="E451" s="173"/>
      <c r="F451" s="173"/>
    </row>
    <row r="452" spans="1:8" x14ac:dyDescent="0.2">
      <c r="A452" s="173"/>
      <c r="B452" s="173"/>
      <c r="C452" s="173"/>
      <c r="D452" s="173"/>
      <c r="E452" s="173"/>
      <c r="F452" s="173"/>
    </row>
    <row r="453" spans="1:8" x14ac:dyDescent="0.2">
      <c r="A453" s="173"/>
      <c r="B453" s="173"/>
      <c r="C453" s="173"/>
      <c r="D453" s="173"/>
      <c r="E453" s="173"/>
      <c r="F453" s="173"/>
    </row>
    <row r="454" spans="1:8" ht="15.75" customHeight="1" x14ac:dyDescent="0.25">
      <c r="A454" s="5"/>
      <c r="B454" s="5"/>
      <c r="C454" s="5"/>
    </row>
    <row r="455" spans="1:8" x14ac:dyDescent="0.2">
      <c r="B455" s="180"/>
      <c r="C455" s="180"/>
      <c r="D455" s="30"/>
      <c r="E455" s="30"/>
      <c r="F455" s="30"/>
      <c r="G455" s="73"/>
      <c r="H455" s="73"/>
    </row>
    <row r="456" spans="1:8" x14ac:dyDescent="0.2">
      <c r="A456" s="160"/>
      <c r="B456" s="23"/>
      <c r="C456" s="23"/>
      <c r="D456" s="165"/>
      <c r="E456" s="165"/>
    </row>
    <row r="457" spans="1:8" x14ac:dyDescent="0.2">
      <c r="A457" s="160"/>
      <c r="B457" s="23"/>
      <c r="C457" s="23"/>
      <c r="D457" s="165"/>
      <c r="E457" s="165"/>
    </row>
    <row r="458" spans="1:8" x14ac:dyDescent="0.2">
      <c r="A458" s="160"/>
      <c r="B458" s="23"/>
      <c r="C458" s="23"/>
      <c r="G458" s="165"/>
      <c r="H458" s="165"/>
    </row>
    <row r="459" spans="1:8" x14ac:dyDescent="0.2">
      <c r="A459" s="160"/>
      <c r="B459" s="23"/>
      <c r="C459" s="23"/>
      <c r="G459" s="165"/>
      <c r="H459" s="165"/>
    </row>
    <row r="460" spans="1:8" x14ac:dyDescent="0.2">
      <c r="A460" s="6"/>
      <c r="B460" s="23"/>
      <c r="C460" s="23"/>
    </row>
    <row r="461" spans="1:8" ht="15.75" customHeight="1" x14ac:dyDescent="0.25">
      <c r="A461" s="5"/>
      <c r="B461" s="175"/>
      <c r="C461" s="175"/>
    </row>
    <row r="462" spans="1:8" x14ac:dyDescent="0.2">
      <c r="B462" s="180"/>
      <c r="C462" s="180"/>
      <c r="D462" s="180"/>
      <c r="E462" s="180"/>
      <c r="F462" s="73"/>
    </row>
    <row r="463" spans="1:8" x14ac:dyDescent="0.2">
      <c r="B463" s="23"/>
      <c r="C463" s="23"/>
      <c r="D463" s="180"/>
      <c r="E463" s="164"/>
      <c r="F463" s="164"/>
    </row>
    <row r="464" spans="1:8" x14ac:dyDescent="0.2">
      <c r="A464" s="160"/>
      <c r="B464" s="23"/>
      <c r="C464" s="23"/>
      <c r="D464" s="165"/>
      <c r="E464" s="165"/>
      <c r="F464" s="165"/>
    </row>
    <row r="465" spans="1:8" x14ac:dyDescent="0.2">
      <c r="A465" s="160"/>
      <c r="B465" s="23"/>
      <c r="C465" s="23"/>
      <c r="D465" s="165"/>
      <c r="E465" s="165"/>
      <c r="F465" s="165"/>
    </row>
    <row r="466" spans="1:8" x14ac:dyDescent="0.2">
      <c r="A466" s="160"/>
      <c r="B466" s="23"/>
      <c r="C466" s="23"/>
      <c r="D466" s="165"/>
      <c r="G466" s="165"/>
      <c r="H466" s="165"/>
    </row>
    <row r="467" spans="1:8" x14ac:dyDescent="0.2">
      <c r="A467" s="160"/>
      <c r="B467" s="23"/>
      <c r="C467" s="23"/>
      <c r="D467" s="165"/>
      <c r="G467" s="165"/>
      <c r="H467" s="165"/>
    </row>
    <row r="468" spans="1:8" x14ac:dyDescent="0.2">
      <c r="A468" s="160"/>
      <c r="B468" s="23"/>
      <c r="C468" s="23"/>
      <c r="D468" s="165"/>
      <c r="G468" s="165"/>
      <c r="H468" s="165"/>
    </row>
    <row r="469" spans="1:8" ht="15.75" customHeight="1" x14ac:dyDescent="0.25">
      <c r="A469" s="5"/>
      <c r="B469" s="175"/>
      <c r="C469" s="175"/>
    </row>
    <row r="470" spans="1:8" x14ac:dyDescent="0.2">
      <c r="B470" s="12"/>
      <c r="C470" s="12"/>
    </row>
    <row r="471" spans="1:8" x14ac:dyDescent="0.2">
      <c r="B471" s="23"/>
      <c r="C471" s="23"/>
    </row>
    <row r="472" spans="1:8" x14ac:dyDescent="0.2">
      <c r="A472" s="165"/>
      <c r="B472" s="23"/>
      <c r="C472" s="23"/>
      <c r="D472" s="165"/>
    </row>
    <row r="473" spans="1:8" x14ac:dyDescent="0.2">
      <c r="A473" s="165"/>
      <c r="B473" s="23"/>
      <c r="C473" s="23"/>
      <c r="D473" s="165"/>
    </row>
    <row r="474" spans="1:8" x14ac:dyDescent="0.2">
      <c r="A474" s="165"/>
      <c r="B474" s="23"/>
      <c r="C474" s="23"/>
      <c r="D474" s="165"/>
    </row>
    <row r="475" spans="1:8" x14ac:dyDescent="0.2">
      <c r="B475" s="23"/>
      <c r="C475" s="23"/>
    </row>
    <row r="476" spans="1:8" x14ac:dyDescent="0.2">
      <c r="B476" s="23"/>
      <c r="C476" s="23"/>
    </row>
    <row r="477" spans="1:8" ht="15.75" customHeight="1" x14ac:dyDescent="0.25">
      <c r="A477" s="5"/>
      <c r="B477" s="5"/>
      <c r="C477" s="5"/>
    </row>
    <row r="478" spans="1:8" x14ac:dyDescent="0.2">
      <c r="B478" s="12"/>
      <c r="C478" s="12"/>
      <c r="D478" s="12"/>
    </row>
    <row r="479" spans="1:8" x14ac:dyDescent="0.2">
      <c r="B479" s="23"/>
      <c r="C479" s="23"/>
      <c r="D479" s="12"/>
    </row>
    <row r="480" spans="1:8" x14ac:dyDescent="0.2">
      <c r="A480" s="165"/>
      <c r="B480" s="23"/>
      <c r="C480" s="23"/>
      <c r="D480" s="165"/>
    </row>
    <row r="481" spans="1:8" x14ac:dyDescent="0.2">
      <c r="A481" s="165"/>
      <c r="B481" s="23"/>
      <c r="C481" s="23"/>
      <c r="D481" s="165"/>
    </row>
    <row r="482" spans="1:8" x14ac:dyDescent="0.2">
      <c r="A482" s="165"/>
      <c r="B482" s="23"/>
      <c r="C482" s="23"/>
      <c r="G482" s="165"/>
      <c r="H482" s="165"/>
    </row>
    <row r="483" spans="1:8" x14ac:dyDescent="0.2">
      <c r="A483" s="165"/>
      <c r="B483" s="23"/>
      <c r="C483" s="23"/>
      <c r="G483" s="165"/>
      <c r="H483" s="165"/>
    </row>
    <row r="484" spans="1:8" x14ac:dyDescent="0.2">
      <c r="A484" s="165"/>
      <c r="B484" s="23"/>
      <c r="C484" s="23"/>
      <c r="G484" s="165"/>
      <c r="H484" s="165"/>
    </row>
    <row r="485" spans="1:8" ht="15.75" customHeight="1" x14ac:dyDescent="0.25">
      <c r="A485" s="5"/>
      <c r="B485" s="175"/>
      <c r="C485" s="175"/>
    </row>
    <row r="486" spans="1:8" x14ac:dyDescent="0.2">
      <c r="A486" s="12"/>
      <c r="B486" s="23"/>
      <c r="C486" s="23"/>
      <c r="D486" s="164"/>
      <c r="E486" s="164"/>
      <c r="F486" s="164"/>
    </row>
    <row r="487" spans="1:8" x14ac:dyDescent="0.2">
      <c r="B487" s="23"/>
      <c r="C487" s="23"/>
      <c r="D487" s="165"/>
      <c r="E487" s="165"/>
    </row>
    <row r="488" spans="1:8" x14ac:dyDescent="0.2">
      <c r="B488" s="23"/>
      <c r="C488" s="23"/>
      <c r="D488" s="165"/>
      <c r="E488" s="165"/>
    </row>
    <row r="489" spans="1:8" x14ac:dyDescent="0.2">
      <c r="B489" s="23"/>
      <c r="C489" s="23"/>
      <c r="D489" s="165"/>
      <c r="E489" s="165"/>
    </row>
    <row r="490" spans="1:8" x14ac:dyDescent="0.2">
      <c r="B490" s="23"/>
      <c r="C490" s="23"/>
      <c r="G490" s="165"/>
      <c r="H490" s="165"/>
    </row>
    <row r="491" spans="1:8" x14ac:dyDescent="0.2">
      <c r="B491" s="23"/>
      <c r="C491" s="23"/>
      <c r="G491" s="165"/>
      <c r="H491" s="165"/>
    </row>
    <row r="492" spans="1:8" x14ac:dyDescent="0.2">
      <c r="B492" s="23"/>
      <c r="C492" s="23"/>
      <c r="G492" s="165"/>
      <c r="H492" s="165"/>
    </row>
    <row r="493" spans="1:8" ht="15.75" customHeight="1" x14ac:dyDescent="0.25">
      <c r="A493" s="5"/>
      <c r="B493" s="175"/>
      <c r="C493" s="175"/>
    </row>
    <row r="494" spans="1:8" x14ac:dyDescent="0.2">
      <c r="A494" s="12"/>
      <c r="B494" s="23"/>
      <c r="C494" s="23"/>
      <c r="D494" s="12"/>
      <c r="E494" s="12"/>
      <c r="F494" s="101"/>
    </row>
    <row r="495" spans="1:8" x14ac:dyDescent="0.2">
      <c r="B495" s="23"/>
      <c r="C495" s="23"/>
      <c r="D495" s="165"/>
      <c r="E495" s="165"/>
    </row>
    <row r="496" spans="1:8" x14ac:dyDescent="0.2">
      <c r="B496" s="23"/>
      <c r="C496" s="23"/>
      <c r="D496" s="165"/>
      <c r="E496" s="165"/>
    </row>
    <row r="497" spans="1:8" x14ac:dyDescent="0.2">
      <c r="B497" s="23"/>
      <c r="C497" s="23"/>
      <c r="D497" s="165"/>
      <c r="E497" s="165"/>
    </row>
    <row r="498" spans="1:8" x14ac:dyDescent="0.2">
      <c r="B498" s="23"/>
      <c r="C498" s="23"/>
      <c r="D498" s="165"/>
      <c r="E498" s="165"/>
    </row>
    <row r="499" spans="1:8" x14ac:dyDescent="0.2">
      <c r="B499" s="23"/>
      <c r="C499" s="23"/>
      <c r="G499" s="165"/>
      <c r="H499" s="165"/>
    </row>
    <row r="500" spans="1:8" x14ac:dyDescent="0.2">
      <c r="B500" s="23"/>
      <c r="C500" s="23"/>
      <c r="G500" s="165"/>
      <c r="H500" s="165"/>
    </row>
    <row r="501" spans="1:8" ht="15.75" customHeight="1" x14ac:dyDescent="0.25">
      <c r="A501" s="5"/>
      <c r="B501" s="5"/>
      <c r="C501" s="5"/>
      <c r="G501" s="73"/>
      <c r="H501" s="73"/>
    </row>
    <row r="502" spans="1:8" x14ac:dyDescent="0.2">
      <c r="B502" s="23"/>
      <c r="C502" s="23"/>
      <c r="G502" s="2"/>
      <c r="H502" s="2"/>
    </row>
    <row r="503" spans="1:8" x14ac:dyDescent="0.2">
      <c r="B503" s="23"/>
      <c r="C503" s="23"/>
      <c r="G503" s="2"/>
      <c r="H503" s="2"/>
    </row>
    <row r="504" spans="1:8" ht="15.75" customHeight="1" x14ac:dyDescent="0.25">
      <c r="A504" s="5"/>
      <c r="B504" s="5"/>
      <c r="C504" s="5"/>
    </row>
    <row r="505" spans="1:8" x14ac:dyDescent="0.2">
      <c r="B505" s="180"/>
      <c r="C505" s="180"/>
      <c r="D505" s="31"/>
      <c r="E505" s="31"/>
      <c r="F505" s="31"/>
    </row>
    <row r="506" spans="1:8" x14ac:dyDescent="0.2">
      <c r="B506" s="23"/>
      <c r="C506" s="23"/>
      <c r="D506" s="165"/>
      <c r="E506" s="165"/>
      <c r="F506" s="27"/>
    </row>
    <row r="507" spans="1:8" x14ac:dyDescent="0.2">
      <c r="B507" s="23"/>
      <c r="C507" s="23"/>
      <c r="D507" s="165"/>
      <c r="E507" s="165"/>
      <c r="F507" s="68"/>
    </row>
    <row r="508" spans="1:8" x14ac:dyDescent="0.2">
      <c r="B508" s="23"/>
      <c r="C508" s="23"/>
      <c r="D508" s="165"/>
      <c r="E508" s="165"/>
      <c r="F508" s="68"/>
    </row>
    <row r="509" spans="1:8" x14ac:dyDescent="0.2">
      <c r="A509" s="165"/>
      <c r="B509" s="23"/>
      <c r="C509" s="23"/>
      <c r="G509" s="165"/>
      <c r="H509" s="165"/>
    </row>
    <row r="510" spans="1:8" x14ac:dyDescent="0.2">
      <c r="A510" s="165"/>
      <c r="B510" s="23"/>
      <c r="C510" s="23"/>
      <c r="G510" s="165"/>
      <c r="H510" s="165"/>
    </row>
    <row r="511" spans="1:8" x14ac:dyDescent="0.2">
      <c r="A511" s="12"/>
      <c r="B511" s="72"/>
      <c r="C511" s="72"/>
    </row>
    <row r="512" spans="1:8" x14ac:dyDescent="0.2">
      <c r="B512" s="23"/>
      <c r="C512" s="23"/>
      <c r="D512" s="12"/>
    </row>
    <row r="513" spans="1:8" x14ac:dyDescent="0.2">
      <c r="A513" s="165"/>
      <c r="B513" s="23"/>
      <c r="C513" s="23"/>
      <c r="D513" s="165"/>
    </row>
    <row r="514" spans="1:8" x14ac:dyDescent="0.2">
      <c r="A514" s="165"/>
      <c r="B514" s="23"/>
      <c r="C514" s="23"/>
      <c r="D514" s="165"/>
    </row>
    <row r="515" spans="1:8" x14ac:dyDescent="0.2">
      <c r="A515" s="165"/>
      <c r="B515" s="23"/>
      <c r="C515" s="23"/>
      <c r="D515" s="165"/>
    </row>
    <row r="516" spans="1:8" x14ac:dyDescent="0.2">
      <c r="A516" s="165"/>
      <c r="B516" s="23"/>
      <c r="C516" s="23"/>
      <c r="G516" s="165"/>
      <c r="H516" s="165"/>
    </row>
    <row r="517" spans="1:8" x14ac:dyDescent="0.2">
      <c r="A517" s="165"/>
      <c r="B517" s="23"/>
      <c r="C517" s="23"/>
      <c r="G517" s="165"/>
      <c r="H517" s="165"/>
    </row>
    <row r="518" spans="1:8" x14ac:dyDescent="0.2">
      <c r="A518" s="12"/>
      <c r="B518" s="30"/>
      <c r="C518" s="30"/>
    </row>
    <row r="519" spans="1:8" x14ac:dyDescent="0.2">
      <c r="A519" s="165"/>
      <c r="B519" s="23"/>
      <c r="C519" s="23"/>
      <c r="D519" s="73"/>
    </row>
    <row r="520" spans="1:8" x14ac:dyDescent="0.2">
      <c r="B520" s="23"/>
      <c r="C520" s="23"/>
      <c r="D520" s="164"/>
    </row>
    <row r="521" spans="1:8" x14ac:dyDescent="0.2">
      <c r="A521" s="165"/>
      <c r="B521" s="23"/>
      <c r="C521" s="23"/>
      <c r="D521" s="165"/>
    </row>
    <row r="522" spans="1:8" x14ac:dyDescent="0.2">
      <c r="A522" s="165"/>
      <c r="B522" s="23"/>
      <c r="C522" s="23"/>
      <c r="D522" s="165"/>
    </row>
    <row r="523" spans="1:8" x14ac:dyDescent="0.2">
      <c r="A523" s="165"/>
      <c r="B523" s="23"/>
      <c r="C523" s="23"/>
      <c r="D523" s="165"/>
    </row>
    <row r="524" spans="1:8" x14ac:dyDescent="0.2">
      <c r="A524" s="165"/>
      <c r="B524" s="23"/>
      <c r="C524" s="23"/>
      <c r="G524" s="165"/>
      <c r="H524" s="165"/>
    </row>
    <row r="525" spans="1:8" x14ac:dyDescent="0.2">
      <c r="A525" s="165"/>
      <c r="G525" s="165"/>
      <c r="H525" s="165"/>
    </row>
    <row r="526" spans="1:8" ht="15.75" customHeight="1" x14ac:dyDescent="0.25">
      <c r="A526" s="5"/>
      <c r="B526" s="175"/>
      <c r="C526" s="175"/>
    </row>
    <row r="527" spans="1:8" x14ac:dyDescent="0.2">
      <c r="B527" s="23"/>
      <c r="C527" s="23"/>
      <c r="D527" s="12"/>
    </row>
    <row r="528" spans="1:8" x14ac:dyDescent="0.2">
      <c r="B528" s="23"/>
      <c r="C528" s="23"/>
      <c r="D528" s="12"/>
    </row>
    <row r="529" spans="1:8" x14ac:dyDescent="0.2">
      <c r="A529" s="165"/>
      <c r="B529" s="23"/>
      <c r="C529" s="23"/>
      <c r="D529" s="165"/>
    </row>
    <row r="530" spans="1:8" x14ac:dyDescent="0.2">
      <c r="A530" s="165"/>
      <c r="B530" s="23"/>
      <c r="C530" s="23"/>
      <c r="D530" s="165"/>
    </row>
    <row r="531" spans="1:8" x14ac:dyDescent="0.2">
      <c r="A531" s="165"/>
      <c r="B531" s="23"/>
      <c r="C531" s="23"/>
      <c r="D531" s="165"/>
    </row>
    <row r="532" spans="1:8" x14ac:dyDescent="0.2">
      <c r="A532" s="165"/>
      <c r="B532" s="23"/>
      <c r="C532" s="23"/>
      <c r="G532" s="165"/>
      <c r="H532" s="165"/>
    </row>
    <row r="533" spans="1:8" x14ac:dyDescent="0.2">
      <c r="A533" s="165"/>
      <c r="G533" s="165"/>
      <c r="H533" s="165"/>
    </row>
    <row r="534" spans="1:8" ht="15.75" customHeight="1" x14ac:dyDescent="0.25">
      <c r="A534" s="5"/>
      <c r="B534" s="175"/>
      <c r="C534" s="175"/>
    </row>
    <row r="535" spans="1:8" x14ac:dyDescent="0.2">
      <c r="B535" s="165"/>
      <c r="C535" s="165"/>
      <c r="D535" s="165"/>
    </row>
    <row r="536" spans="1:8" x14ac:dyDescent="0.2">
      <c r="A536" s="165"/>
      <c r="B536" s="23"/>
      <c r="C536" s="23"/>
      <c r="D536" s="165"/>
    </row>
    <row r="537" spans="1:8" x14ac:dyDescent="0.2">
      <c r="A537" s="165"/>
      <c r="B537" s="23"/>
      <c r="C537" s="23"/>
      <c r="D537" s="165"/>
    </row>
    <row r="538" spans="1:8" x14ac:dyDescent="0.2">
      <c r="A538" s="165"/>
      <c r="B538" s="23"/>
      <c r="C538" s="23"/>
      <c r="G538" s="165"/>
      <c r="H538" s="165"/>
    </row>
    <row r="539" spans="1:8" x14ac:dyDescent="0.2">
      <c r="A539" s="165"/>
      <c r="B539" s="23"/>
      <c r="C539" s="23"/>
      <c r="G539" s="165"/>
      <c r="H539" s="165"/>
    </row>
    <row r="540" spans="1:8" x14ac:dyDescent="0.2">
      <c r="A540" s="165"/>
      <c r="G540" s="165"/>
      <c r="H540" s="165"/>
    </row>
    <row r="541" spans="1:8" ht="15.75" customHeight="1" x14ac:dyDescent="0.25">
      <c r="A541" s="5"/>
      <c r="B541" s="175"/>
      <c r="C541" s="175"/>
    </row>
    <row r="542" spans="1:8" x14ac:dyDescent="0.2">
      <c r="B542" s="165"/>
      <c r="C542" s="165"/>
      <c r="D542" s="164"/>
    </row>
    <row r="543" spans="1:8" x14ac:dyDescent="0.2">
      <c r="A543" s="165"/>
      <c r="B543" s="23"/>
      <c r="C543" s="23"/>
      <c r="D543" s="165"/>
    </row>
    <row r="544" spans="1:8" x14ac:dyDescent="0.2">
      <c r="A544" s="165"/>
      <c r="B544" s="23"/>
      <c r="C544" s="23"/>
      <c r="D544" s="165"/>
    </row>
    <row r="545" spans="1:8" x14ac:dyDescent="0.2">
      <c r="A545" s="165"/>
      <c r="B545" s="23"/>
      <c r="C545" s="23"/>
      <c r="G545" s="165"/>
      <c r="H545" s="165"/>
    </row>
    <row r="546" spans="1:8" x14ac:dyDescent="0.2">
      <c r="A546" s="165"/>
      <c r="G546" s="165"/>
      <c r="H546" s="165"/>
    </row>
    <row r="547" spans="1:8" x14ac:dyDescent="0.2">
      <c r="A547" s="165"/>
      <c r="G547" s="165"/>
      <c r="H547" s="165"/>
    </row>
    <row r="548" spans="1:8" ht="15.75" customHeight="1" x14ac:dyDescent="0.25">
      <c r="A548" s="5"/>
      <c r="B548" s="175"/>
      <c r="C548" s="175"/>
    </row>
    <row r="549" spans="1:8" x14ac:dyDescent="0.2">
      <c r="A549" s="12"/>
      <c r="B549" s="23"/>
      <c r="C549" s="23"/>
      <c r="D549" s="12"/>
      <c r="E549" s="12"/>
      <c r="F549" s="164"/>
    </row>
    <row r="550" spans="1:8" x14ac:dyDescent="0.2">
      <c r="B550" s="23"/>
      <c r="C550" s="23"/>
      <c r="D550" s="165"/>
      <c r="E550" s="165"/>
    </row>
    <row r="551" spans="1:8" x14ac:dyDescent="0.2">
      <c r="A551" s="165"/>
      <c r="B551" s="23"/>
      <c r="C551" s="23"/>
      <c r="D551" s="165"/>
      <c r="E551" s="165"/>
    </row>
    <row r="552" spans="1:8" x14ac:dyDescent="0.2">
      <c r="B552" s="23"/>
      <c r="C552" s="23"/>
      <c r="D552" s="165"/>
      <c r="E552" s="165"/>
    </row>
    <row r="553" spans="1:8" x14ac:dyDescent="0.2">
      <c r="B553" s="23"/>
      <c r="C553" s="23"/>
      <c r="G553" s="165"/>
      <c r="H553" s="165"/>
    </row>
    <row r="554" spans="1:8" x14ac:dyDescent="0.2">
      <c r="B554" s="23"/>
      <c r="C554" s="23"/>
      <c r="G554" s="165"/>
      <c r="H554" s="165"/>
    </row>
    <row r="555" spans="1:8" x14ac:dyDescent="0.2">
      <c r="B555" s="23"/>
      <c r="C555" s="23"/>
      <c r="G555" s="165"/>
      <c r="H555" s="165"/>
    </row>
    <row r="556" spans="1:8" x14ac:dyDescent="0.2">
      <c r="B556" s="23"/>
      <c r="C556" s="23"/>
      <c r="G556" s="165"/>
      <c r="H556" s="165"/>
    </row>
    <row r="557" spans="1:8" x14ac:dyDescent="0.2">
      <c r="B557" s="23"/>
      <c r="C557" s="23"/>
      <c r="G557" s="165"/>
      <c r="H557" s="165"/>
    </row>
    <row r="558" spans="1:8" x14ac:dyDescent="0.2">
      <c r="B558" s="23"/>
      <c r="C558" s="23"/>
      <c r="G558" s="165"/>
      <c r="H558" s="165"/>
    </row>
    <row r="559" spans="1:8" x14ac:dyDescent="0.2">
      <c r="B559" s="23"/>
      <c r="C559" s="23"/>
      <c r="G559" s="165"/>
      <c r="H559" s="165"/>
    </row>
    <row r="560" spans="1:8" x14ac:dyDescent="0.2">
      <c r="B560" s="23"/>
      <c r="C560" s="23"/>
      <c r="G560" s="165"/>
      <c r="H560" s="165"/>
    </row>
    <row r="561" spans="1:8" x14ac:dyDescent="0.2">
      <c r="B561" s="23"/>
      <c r="C561" s="23"/>
      <c r="D561" s="165"/>
      <c r="E561" s="165"/>
    </row>
    <row r="562" spans="1:8" x14ac:dyDescent="0.2">
      <c r="B562" s="23"/>
      <c r="C562" s="23"/>
      <c r="D562" s="165"/>
      <c r="E562" s="165"/>
    </row>
    <row r="563" spans="1:8" x14ac:dyDescent="0.2">
      <c r="B563" s="23"/>
      <c r="C563" s="23"/>
      <c r="G563" s="165"/>
      <c r="H563" s="165"/>
    </row>
    <row r="564" spans="1:8" x14ac:dyDescent="0.2">
      <c r="B564" s="23"/>
      <c r="C564" s="23"/>
      <c r="G564" s="165"/>
      <c r="H564" s="165"/>
    </row>
    <row r="565" spans="1:8" x14ac:dyDescent="0.2">
      <c r="B565" s="165"/>
      <c r="C565" s="165"/>
      <c r="G565" s="165"/>
      <c r="H565" s="165"/>
    </row>
    <row r="566" spans="1:8" ht="15.75" customHeight="1" x14ac:dyDescent="0.25">
      <c r="A566" s="5"/>
      <c r="B566" s="175"/>
      <c r="C566" s="175"/>
    </row>
    <row r="567" spans="1:8" x14ac:dyDescent="0.2">
      <c r="B567" s="23"/>
      <c r="C567" s="23"/>
      <c r="D567" s="165"/>
    </row>
    <row r="568" spans="1:8" x14ac:dyDescent="0.2">
      <c r="B568" s="23"/>
      <c r="C568" s="23"/>
      <c r="D568" s="165"/>
    </row>
    <row r="569" spans="1:8" x14ac:dyDescent="0.2">
      <c r="B569" s="23"/>
      <c r="C569" s="23"/>
      <c r="D569" s="165"/>
    </row>
    <row r="570" spans="1:8" x14ac:dyDescent="0.2">
      <c r="B570" s="23"/>
      <c r="C570" s="23"/>
      <c r="D570" s="165"/>
    </row>
    <row r="571" spans="1:8" x14ac:dyDescent="0.2">
      <c r="B571" s="23"/>
      <c r="C571" s="23"/>
      <c r="D571" s="165"/>
    </row>
    <row r="572" spans="1:8" x14ac:dyDescent="0.2">
      <c r="B572" s="23"/>
      <c r="C572" s="23"/>
      <c r="D572" s="165"/>
    </row>
    <row r="573" spans="1:8" x14ac:dyDescent="0.2">
      <c r="A573" s="165"/>
      <c r="B573" s="165"/>
      <c r="C573" s="165"/>
      <c r="D573" s="165"/>
    </row>
    <row r="574" spans="1:8" x14ac:dyDescent="0.2">
      <c r="A574" s="165"/>
      <c r="B574" s="165"/>
      <c r="C574" s="165"/>
      <c r="D574" s="165"/>
    </row>
    <row r="575" spans="1:8" ht="15.75" customHeight="1" x14ac:dyDescent="0.25">
      <c r="A575" s="5"/>
      <c r="B575" s="175"/>
      <c r="C575" s="175"/>
    </row>
    <row r="576" spans="1:8" x14ac:dyDescent="0.2">
      <c r="A576" s="165"/>
      <c r="D576" s="12"/>
      <c r="E576" s="12"/>
      <c r="F576" s="164"/>
    </row>
    <row r="577" spans="1:8" x14ac:dyDescent="0.2">
      <c r="B577" s="23"/>
      <c r="C577" s="23"/>
      <c r="D577" s="165"/>
      <c r="E577" s="165"/>
    </row>
    <row r="578" spans="1:8" x14ac:dyDescent="0.2">
      <c r="B578" s="23"/>
      <c r="C578" s="23"/>
      <c r="G578" s="165"/>
      <c r="H578" s="165"/>
    </row>
    <row r="579" spans="1:8" x14ac:dyDescent="0.2">
      <c r="A579" s="165"/>
      <c r="B579" s="101"/>
      <c r="C579" s="101"/>
      <c r="G579" s="165"/>
      <c r="H579" s="165"/>
    </row>
    <row r="580" spans="1:8" x14ac:dyDescent="0.2">
      <c r="A580" t="s">
        <v>30</v>
      </c>
    </row>
  </sheetData>
  <mergeCells count="8">
    <mergeCell ref="B3:H3"/>
    <mergeCell ref="B6:H6"/>
    <mergeCell ref="B9:H9"/>
    <mergeCell ref="C35:F35"/>
    <mergeCell ref="B12:H12"/>
    <mergeCell ref="B4:H4"/>
    <mergeCell ref="B10:H10"/>
    <mergeCell ref="B7:H7"/>
  </mergeCells>
  <phoneticPr fontId="17" type="noConversion"/>
  <pageMargins left="0.74803149606299213" right="0.39370078740157483" top="1.5748031496062991" bottom="0.98425196850393704" header="0.51181102362204722" footer="0.51181102362204722"/>
  <pageSetup paperSize="9" scale="86" orientation="portrait" verticalDpi="300"/>
  <headerFooter alignWithMargins="0">
    <oddHeader>&amp;C&amp;"Arial,Bold"DEPARTMENT OF ENVIRONMENTAL AFFAIRS AND TOURISM
VOTE 27
NOTES TO THE APPROPRIATION STATEMENT
for the year ended 31 MARCH 2003</oddHead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39"/>
  <sheetViews>
    <sheetView topLeftCell="B1" zoomScaleNormal="100" workbookViewId="0">
      <selection activeCell="A13" sqref="A13"/>
    </sheetView>
  </sheetViews>
  <sheetFormatPr defaultColWidth="19.7109375" defaultRowHeight="12.75" x14ac:dyDescent="0.2"/>
  <cols>
    <col min="1" max="1" width="60.7109375" style="70" customWidth="1"/>
    <col min="2" max="2" width="5.28515625" style="27" bestFit="1" customWidth="1"/>
    <col min="3" max="3" width="13.7109375" style="70" customWidth="1"/>
    <col min="4" max="4" width="11.7109375" style="70" customWidth="1"/>
    <col min="5" max="5" width="10.7109375" style="70" customWidth="1"/>
    <col min="6" max="7" width="5.7109375" style="70" customWidth="1"/>
  </cols>
  <sheetData>
    <row r="1" spans="1:4" x14ac:dyDescent="0.2">
      <c r="A1" s="631"/>
      <c r="B1" s="633"/>
      <c r="C1" s="632"/>
      <c r="D1" s="632"/>
    </row>
    <row r="2" spans="1:4" x14ac:dyDescent="0.2">
      <c r="C2" s="188"/>
      <c r="D2" s="84"/>
    </row>
    <row r="3" spans="1:4" x14ac:dyDescent="0.2">
      <c r="A3" s="72"/>
      <c r="C3" s="188"/>
      <c r="D3" s="84"/>
    </row>
    <row r="4" spans="1:4" x14ac:dyDescent="0.2">
      <c r="A4" s="72"/>
      <c r="C4" s="188"/>
      <c r="D4" s="84"/>
    </row>
    <row r="5" spans="1:4" x14ac:dyDescent="0.2">
      <c r="A5" s="631"/>
      <c r="B5" s="633"/>
      <c r="C5" s="632"/>
      <c r="D5" s="632"/>
    </row>
    <row r="6" spans="1:4" ht="25.5" customHeight="1" x14ac:dyDescent="0.2">
      <c r="A6" s="11" t="s">
        <v>31</v>
      </c>
      <c r="B6" s="164" t="s">
        <v>0</v>
      </c>
      <c r="C6" s="73" t="s">
        <v>1</v>
      </c>
      <c r="D6" s="73" t="s">
        <v>2</v>
      </c>
    </row>
    <row r="7" spans="1:4" x14ac:dyDescent="0.2">
      <c r="A7" s="12"/>
      <c r="B7" s="68"/>
      <c r="C7" s="2"/>
      <c r="D7" s="2"/>
    </row>
    <row r="8" spans="1:4" x14ac:dyDescent="0.2">
      <c r="A8" s="12" t="s">
        <v>32</v>
      </c>
      <c r="B8" s="68"/>
      <c r="C8" s="229">
        <f>SUM(C9:C12)</f>
        <v>81691742.329999983</v>
      </c>
      <c r="D8" s="230">
        <f>SUM(D9:D12)</f>
        <v>32103</v>
      </c>
    </row>
    <row r="9" spans="1:4" x14ac:dyDescent="0.2">
      <c r="A9" s="115" t="s">
        <v>33</v>
      </c>
      <c r="B9" s="68">
        <v>12</v>
      </c>
      <c r="C9" s="231">
        <f>'NOTES TO FS'!F230</f>
        <v>772666.73999999987</v>
      </c>
      <c r="D9" s="232">
        <f>'NOTES TO FS'!G230</f>
        <v>773</v>
      </c>
    </row>
    <row r="10" spans="1:4" x14ac:dyDescent="0.2">
      <c r="A10" s="114" t="s">
        <v>34</v>
      </c>
      <c r="B10" s="68">
        <v>14</v>
      </c>
      <c r="C10" s="233">
        <f>'NOTES TO FS'!F262</f>
        <v>17000</v>
      </c>
      <c r="D10" s="234">
        <f>'NOTES TO FS'!G263</f>
        <v>26379</v>
      </c>
    </row>
    <row r="11" spans="1:4" x14ac:dyDescent="0.2">
      <c r="A11" s="114" t="s">
        <v>35</v>
      </c>
      <c r="B11" s="68">
        <v>15</v>
      </c>
      <c r="C11" s="233">
        <f>'NOTES TO FS'!F274</f>
        <v>72707950.209999993</v>
      </c>
      <c r="D11" s="234">
        <f>'NOTES TO FS'!G274</f>
        <v>4951</v>
      </c>
    </row>
    <row r="12" spans="1:4" ht="13.15" customHeight="1" x14ac:dyDescent="0.2">
      <c r="A12" s="114" t="s">
        <v>36</v>
      </c>
      <c r="B12" s="68">
        <v>3</v>
      </c>
      <c r="C12" s="235">
        <f>-'NOTES TO FS'!G60</f>
        <v>8194125.3799999999</v>
      </c>
      <c r="D12" s="236" t="s">
        <v>22</v>
      </c>
    </row>
    <row r="13" spans="1:4" ht="13.15" customHeight="1" x14ac:dyDescent="0.2">
      <c r="A13" s="2"/>
      <c r="B13" s="68"/>
      <c r="C13" s="237"/>
      <c r="D13" s="238"/>
    </row>
    <row r="14" spans="1:4" x14ac:dyDescent="0.2">
      <c r="A14" s="12" t="s">
        <v>37</v>
      </c>
      <c r="B14" s="68"/>
      <c r="C14" s="239">
        <f>SUM(C8)</f>
        <v>81691742.329999983</v>
      </c>
      <c r="D14" s="240">
        <f>SUM(D8)</f>
        <v>32103</v>
      </c>
    </row>
    <row r="15" spans="1:4" x14ac:dyDescent="0.2">
      <c r="A15" s="2"/>
      <c r="B15" s="68"/>
      <c r="C15" s="241"/>
      <c r="D15" s="146"/>
    </row>
    <row r="16" spans="1:4" x14ac:dyDescent="0.2">
      <c r="A16" s="12" t="s">
        <v>38</v>
      </c>
      <c r="B16" s="68"/>
      <c r="C16" s="241"/>
      <c r="D16" s="146"/>
    </row>
    <row r="17" spans="1:4" x14ac:dyDescent="0.2">
      <c r="A17" s="2"/>
      <c r="B17" s="68"/>
      <c r="C17" s="241"/>
      <c r="D17" s="146"/>
    </row>
    <row r="18" spans="1:4" x14ac:dyDescent="0.2">
      <c r="A18" s="12" t="s">
        <v>39</v>
      </c>
      <c r="B18" s="68"/>
      <c r="C18" s="242">
        <f>SUM(C19:C22)</f>
        <v>81659440.25</v>
      </c>
      <c r="D18" s="243">
        <f>SUM(D19:D22)</f>
        <v>12432</v>
      </c>
    </row>
    <row r="19" spans="1:4" x14ac:dyDescent="0.2">
      <c r="A19" s="114" t="s">
        <v>40</v>
      </c>
      <c r="B19" s="68">
        <v>16</v>
      </c>
      <c r="C19" s="231">
        <f>'NOTES TO FS'!F321</f>
        <v>34000457.920000002</v>
      </c>
      <c r="D19" s="232">
        <f>'NOTES TO FS'!G321</f>
        <v>11562</v>
      </c>
    </row>
    <row r="20" spans="1:4" x14ac:dyDescent="0.2">
      <c r="A20" s="114" t="s">
        <v>41</v>
      </c>
      <c r="B20" s="68">
        <v>14</v>
      </c>
      <c r="C20" s="233">
        <f>-'NOTES TO FS'!F261</f>
        <v>26925953.23</v>
      </c>
      <c r="D20" s="234" t="s">
        <v>22</v>
      </c>
    </row>
    <row r="21" spans="1:4" x14ac:dyDescent="0.2">
      <c r="A21" s="114" t="s">
        <v>42</v>
      </c>
      <c r="B21" s="68">
        <v>17</v>
      </c>
      <c r="C21" s="233">
        <f>'NOTES TO FS'!F331</f>
        <v>231437.64000000013</v>
      </c>
      <c r="D21" s="234">
        <f>'NOTES TO FS'!G331</f>
        <v>38</v>
      </c>
    </row>
    <row r="22" spans="1:4" x14ac:dyDescent="0.2">
      <c r="A22" s="114" t="s">
        <v>43</v>
      </c>
      <c r="B22" s="68">
        <v>18.100000000000001</v>
      </c>
      <c r="C22" s="235">
        <f>'NOTES TO FS'!F338</f>
        <v>20501591.460000001</v>
      </c>
      <c r="D22" s="236">
        <f>'NOTES TO FS'!G339</f>
        <v>832</v>
      </c>
    </row>
    <row r="23" spans="1:4" x14ac:dyDescent="0.2">
      <c r="A23" s="2"/>
      <c r="B23" s="68"/>
      <c r="C23" s="244"/>
      <c r="D23" s="245"/>
    </row>
    <row r="24" spans="1:4" x14ac:dyDescent="0.2">
      <c r="A24" s="12" t="s">
        <v>44</v>
      </c>
      <c r="B24" s="68"/>
      <c r="C24" s="246">
        <f>SUM(C18)</f>
        <v>81659440.25</v>
      </c>
      <c r="D24" s="247">
        <f>SUM(D18)</f>
        <v>12432</v>
      </c>
    </row>
    <row r="25" spans="1:4" x14ac:dyDescent="0.2">
      <c r="A25" s="2"/>
      <c r="B25" s="68"/>
      <c r="C25" s="244"/>
      <c r="D25" s="245"/>
    </row>
    <row r="26" spans="1:4" ht="13.5" customHeight="1" thickBot="1" x14ac:dyDescent="0.25">
      <c r="A26" s="12" t="s">
        <v>45</v>
      </c>
      <c r="B26" s="68"/>
      <c r="C26" s="248">
        <f>SUM(C14,-C24)+500</f>
        <v>32802.079999983311</v>
      </c>
      <c r="D26" s="249">
        <f>SUM(D14,-D24)</f>
        <v>19671</v>
      </c>
    </row>
    <row r="27" spans="1:4" ht="13.5" customHeight="1" thickTop="1" x14ac:dyDescent="0.2">
      <c r="A27" s="2"/>
      <c r="B27" s="68"/>
      <c r="C27" s="241"/>
      <c r="D27" s="238"/>
    </row>
    <row r="28" spans="1:4" x14ac:dyDescent="0.2">
      <c r="A28" s="12" t="s">
        <v>46</v>
      </c>
      <c r="B28" s="68"/>
      <c r="C28" s="206">
        <f>SUM(C29:C30)</f>
        <v>32502.080000000002</v>
      </c>
      <c r="D28" s="207">
        <f>SUM(D29:D30)</f>
        <v>19671</v>
      </c>
    </row>
    <row r="29" spans="1:4" x14ac:dyDescent="0.2">
      <c r="A29" s="114" t="s">
        <v>47</v>
      </c>
      <c r="B29" s="68"/>
      <c r="C29" s="231">
        <f>'CHANGES IN EQUITY'!C12</f>
        <v>32502.080000000002</v>
      </c>
      <c r="D29" s="232">
        <f>'CHANGES IN EQUITY'!D12</f>
        <v>62</v>
      </c>
    </row>
    <row r="30" spans="1:4" x14ac:dyDescent="0.2">
      <c r="A30" s="114" t="s">
        <v>48</v>
      </c>
      <c r="B30" s="68">
        <v>3</v>
      </c>
      <c r="C30" s="250" t="s">
        <v>22</v>
      </c>
      <c r="D30" s="251">
        <v>19609</v>
      </c>
    </row>
    <row r="31" spans="1:4" x14ac:dyDescent="0.2">
      <c r="A31" s="114"/>
      <c r="B31" s="68"/>
      <c r="C31" s="205"/>
      <c r="D31" s="226"/>
    </row>
    <row r="32" spans="1:4" ht="13.5" customHeight="1" thickBot="1" x14ac:dyDescent="0.25">
      <c r="A32" s="12" t="s">
        <v>49</v>
      </c>
      <c r="B32" s="68"/>
      <c r="C32" s="252">
        <f>SUM(C28)</f>
        <v>32502.080000000002</v>
      </c>
      <c r="D32" s="253">
        <f>SUM(D29:D30)</f>
        <v>19671</v>
      </c>
    </row>
    <row r="33" spans="1:4" ht="13.5" customHeight="1" thickTop="1" x14ac:dyDescent="0.2"/>
    <row r="34" spans="1:4" x14ac:dyDescent="0.2">
      <c r="C34" s="254"/>
      <c r="D34" s="105"/>
    </row>
    <row r="35" spans="1:4" x14ac:dyDescent="0.2">
      <c r="C35" s="254"/>
      <c r="D35" s="105"/>
    </row>
    <row r="36" spans="1:4" x14ac:dyDescent="0.2">
      <c r="C36" s="254"/>
      <c r="D36" s="105"/>
    </row>
    <row r="38" spans="1:4" x14ac:dyDescent="0.2">
      <c r="D38" s="105"/>
    </row>
    <row r="39" spans="1:4" x14ac:dyDescent="0.2">
      <c r="A39" t="s">
        <v>30</v>
      </c>
    </row>
  </sheetData>
  <mergeCells count="2">
    <mergeCell ref="A1:D1"/>
    <mergeCell ref="A5:D5"/>
  </mergeCells>
  <phoneticPr fontId="17" type="noConversion"/>
  <pageMargins left="0.75" right="0.75" top="1" bottom="1" header="0.5" footer="0.5"/>
  <pageSetup scale="88" orientation="portrait" verticalDpi="300"/>
  <headerFooter alignWithMargins="0">
    <oddHeader>&amp;C&amp;"Arial,Bold"DEPARTMENT OF ENVIRONMENTAL AFFAIRS AND TOURISM
VOTE 27
BALANCE SHEET (STATEMENT OF FINANCIAL POSITION)
at 31 MARCH 2003</oddHead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3:D26"/>
  <sheetViews>
    <sheetView zoomScaleNormal="100" workbookViewId="0"/>
  </sheetViews>
  <sheetFormatPr defaultRowHeight="12.75" x14ac:dyDescent="0.2"/>
  <cols>
    <col min="1" max="1" width="60.7109375" style="70" customWidth="1"/>
    <col min="2" max="2" width="5.140625" style="123" bestFit="1" customWidth="1"/>
    <col min="3" max="4" width="15.7109375" style="70" customWidth="1"/>
  </cols>
  <sheetData>
    <row r="3" spans="1:4" x14ac:dyDescent="0.2">
      <c r="A3" s="631"/>
      <c r="B3" s="634"/>
      <c r="C3" s="632"/>
      <c r="D3" s="632"/>
    </row>
    <row r="4" spans="1:4" x14ac:dyDescent="0.2">
      <c r="A4" s="631"/>
      <c r="B4" s="634"/>
      <c r="C4" s="632"/>
      <c r="D4" s="632"/>
    </row>
    <row r="5" spans="1:4" x14ac:dyDescent="0.2">
      <c r="A5" s="635"/>
      <c r="B5" s="634"/>
      <c r="C5" s="632"/>
      <c r="D5" s="632"/>
    </row>
    <row r="6" spans="1:4" ht="25.5" customHeight="1" x14ac:dyDescent="0.2">
      <c r="A6" s="12"/>
      <c r="B6" s="101" t="s">
        <v>0</v>
      </c>
      <c r="C6" s="73" t="s">
        <v>1</v>
      </c>
      <c r="D6" s="73" t="s">
        <v>2</v>
      </c>
    </row>
    <row r="7" spans="1:4" x14ac:dyDescent="0.2">
      <c r="A7" s="165"/>
      <c r="B7" s="20"/>
      <c r="C7" s="165"/>
      <c r="D7" s="224"/>
    </row>
    <row r="8" spans="1:4" x14ac:dyDescent="0.2">
      <c r="A8" s="12" t="s">
        <v>47</v>
      </c>
      <c r="B8" s="20"/>
      <c r="C8" s="2"/>
      <c r="D8" s="255"/>
    </row>
    <row r="9" spans="1:4" x14ac:dyDescent="0.2">
      <c r="A9" s="165" t="s">
        <v>50</v>
      </c>
      <c r="B9" s="20"/>
      <c r="C9" s="205">
        <f>61205.55+300</f>
        <v>61505.55</v>
      </c>
      <c r="D9" s="226">
        <v>133</v>
      </c>
    </row>
    <row r="10" spans="1:4" x14ac:dyDescent="0.2">
      <c r="A10" s="165" t="s">
        <v>51</v>
      </c>
      <c r="B10" s="20"/>
      <c r="C10" s="205">
        <f>54273.72+800</f>
        <v>55073.72</v>
      </c>
      <c r="D10" s="226">
        <v>86</v>
      </c>
    </row>
    <row r="11" spans="1:4" x14ac:dyDescent="0.2">
      <c r="A11" s="165" t="s">
        <v>52</v>
      </c>
      <c r="B11" s="20"/>
      <c r="C11" s="205">
        <f>26470.25</f>
        <v>26470.25</v>
      </c>
      <c r="D11" s="226">
        <v>15</v>
      </c>
    </row>
    <row r="12" spans="1:4" ht="13.5" customHeight="1" thickBot="1" x14ac:dyDescent="0.25">
      <c r="A12" s="165" t="s">
        <v>53</v>
      </c>
      <c r="B12" s="20"/>
      <c r="C12" s="256">
        <f>SUM(C9-C10+C11)-400</f>
        <v>32502.080000000002</v>
      </c>
      <c r="D12" s="257">
        <f>SUM(D9-D10+D11)</f>
        <v>62</v>
      </c>
    </row>
    <row r="13" spans="1:4" ht="13.5" customHeight="1" thickTop="1" x14ac:dyDescent="0.2">
      <c r="A13" s="2"/>
      <c r="B13" s="20"/>
      <c r="C13" s="237"/>
      <c r="D13" s="238"/>
    </row>
    <row r="14" spans="1:4" x14ac:dyDescent="0.2">
      <c r="A14" s="12" t="s">
        <v>48</v>
      </c>
      <c r="B14" s="20"/>
      <c r="C14" s="237"/>
      <c r="D14" s="238"/>
    </row>
    <row r="15" spans="1:4" x14ac:dyDescent="0.2">
      <c r="A15" s="165" t="s">
        <v>50</v>
      </c>
      <c r="B15" s="20">
        <v>3</v>
      </c>
      <c r="C15" s="205">
        <f>'NOTES TO FS'!C60</f>
        <v>19609399.890000001</v>
      </c>
      <c r="D15" s="226">
        <v>5981</v>
      </c>
    </row>
    <row r="16" spans="1:4" x14ac:dyDescent="0.2">
      <c r="A16" s="165" t="s">
        <v>54</v>
      </c>
      <c r="B16" s="20">
        <v>3</v>
      </c>
      <c r="C16" s="205">
        <f>'NOTES TO FS'!D60</f>
        <v>26078905.729999997</v>
      </c>
      <c r="D16" s="226">
        <v>43153</v>
      </c>
    </row>
    <row r="17" spans="1:4" x14ac:dyDescent="0.2">
      <c r="A17" s="165" t="s">
        <v>55</v>
      </c>
      <c r="B17" s="20"/>
      <c r="C17" s="258">
        <v>-45688308.619999997</v>
      </c>
      <c r="D17" s="259">
        <v>-29525</v>
      </c>
    </row>
    <row r="18" spans="1:4" ht="13.5" customHeight="1" thickBot="1" x14ac:dyDescent="0.25">
      <c r="A18" s="165" t="s">
        <v>53</v>
      </c>
      <c r="B18" s="20"/>
      <c r="C18" s="260" t="s">
        <v>22</v>
      </c>
      <c r="D18" s="261">
        <f>SUM(D15:D17)</f>
        <v>19609</v>
      </c>
    </row>
    <row r="19" spans="1:4" ht="13.5" customHeight="1" thickTop="1" x14ac:dyDescent="0.2">
      <c r="A19" s="165"/>
      <c r="B19" s="20"/>
      <c r="C19" s="205"/>
      <c r="D19" s="226"/>
    </row>
    <row r="20" spans="1:4" ht="13.5" customHeight="1" thickBot="1" x14ac:dyDescent="0.25">
      <c r="A20" s="12" t="s">
        <v>49</v>
      </c>
      <c r="B20" s="20"/>
      <c r="C20" s="262">
        <f>SUM(C12,C18)</f>
        <v>32502.080000000002</v>
      </c>
      <c r="D20" s="263">
        <f>SUM(D12,D18)</f>
        <v>19671</v>
      </c>
    </row>
    <row r="21" spans="1:4" ht="13.5" customHeight="1" thickTop="1" x14ac:dyDescent="0.2"/>
    <row r="22" spans="1:4" x14ac:dyDescent="0.2">
      <c r="C22" s="105"/>
    </row>
    <row r="23" spans="1:4" x14ac:dyDescent="0.2">
      <c r="C23" s="111"/>
      <c r="D23" s="264"/>
    </row>
    <row r="24" spans="1:4" x14ac:dyDescent="0.2">
      <c r="C24" s="105"/>
    </row>
    <row r="25" spans="1:4" x14ac:dyDescent="0.2">
      <c r="C25" s="254"/>
    </row>
    <row r="26" spans="1:4" x14ac:dyDescent="0.2">
      <c r="A26" t="s">
        <v>30</v>
      </c>
    </row>
  </sheetData>
  <mergeCells count="3">
    <mergeCell ref="A3:D3"/>
    <mergeCell ref="A4:D4"/>
    <mergeCell ref="A5:D5"/>
  </mergeCells>
  <phoneticPr fontId="17" type="noConversion"/>
  <pageMargins left="0.75" right="0.75" top="1" bottom="1" header="0.5" footer="0.5"/>
  <pageSetup scale="87" orientation="portrait" verticalDpi="300"/>
  <headerFooter alignWithMargins="0">
    <oddHeader>&amp;C&amp;"Arial,Bold"DEPARTMENT OF ENVIRONMENTAL AFFAIRS AND TOURISM
VOTE 27
STATEMENT OF CHANGES IN NET ASSETS/EQUITY
for the year ended 31 MARCH 2003</oddHead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7"/>
  <sheetViews>
    <sheetView zoomScaleNormal="100" workbookViewId="0"/>
  </sheetViews>
  <sheetFormatPr defaultRowHeight="12.75" x14ac:dyDescent="0.2"/>
  <cols>
    <col min="1" max="1" width="67" style="70" customWidth="1"/>
    <col min="2" max="2" width="5.28515625" style="70" bestFit="1" customWidth="1"/>
    <col min="3" max="3" width="20.7109375" style="70" customWidth="1"/>
    <col min="4" max="4" width="18.7109375" style="70" customWidth="1"/>
  </cols>
  <sheetData>
    <row r="1" spans="1:6" x14ac:dyDescent="0.2">
      <c r="A1" s="72"/>
    </row>
    <row r="3" spans="1:6" x14ac:dyDescent="0.2">
      <c r="A3" s="631"/>
      <c r="B3" s="632"/>
      <c r="C3" s="632"/>
      <c r="D3" s="632"/>
    </row>
    <row r="4" spans="1:6" x14ac:dyDescent="0.2">
      <c r="A4" s="631"/>
      <c r="B4" s="632"/>
      <c r="C4" s="632"/>
      <c r="D4" s="632"/>
    </row>
    <row r="5" spans="1:6" x14ac:dyDescent="0.2">
      <c r="A5" s="631"/>
      <c r="B5" s="632"/>
      <c r="C5" s="632"/>
      <c r="D5" s="632"/>
    </row>
    <row r="6" spans="1:6" ht="25.5" customHeight="1" x14ac:dyDescent="0.2">
      <c r="A6" s="12"/>
      <c r="B6" s="101" t="s">
        <v>0</v>
      </c>
      <c r="C6" s="73" t="s">
        <v>1</v>
      </c>
      <c r="D6" s="73" t="s">
        <v>2</v>
      </c>
    </row>
    <row r="7" spans="1:6" x14ac:dyDescent="0.2">
      <c r="A7" s="12" t="s">
        <v>56</v>
      </c>
      <c r="B7" s="68"/>
      <c r="C7" s="2"/>
      <c r="D7" s="2"/>
    </row>
    <row r="8" spans="1:6" x14ac:dyDescent="0.2">
      <c r="A8" s="165" t="s">
        <v>57</v>
      </c>
      <c r="B8" s="68">
        <v>19</v>
      </c>
      <c r="C8" s="225">
        <f>'NOTES TO FS'!F359</f>
        <v>249488578.68000001</v>
      </c>
      <c r="D8" s="265">
        <f>'NOTES TO FS'!G359</f>
        <v>215260</v>
      </c>
    </row>
    <row r="9" spans="1:6" x14ac:dyDescent="0.2">
      <c r="A9" s="165" t="s">
        <v>58</v>
      </c>
      <c r="B9" s="68">
        <v>20</v>
      </c>
      <c r="C9" s="266">
        <f>'NOTES TO FS'!F365</f>
        <v>-48116085.900000013</v>
      </c>
      <c r="D9" s="265">
        <f>'NOTES TO FS'!G365</f>
        <v>-7057</v>
      </c>
    </row>
    <row r="10" spans="1:6" x14ac:dyDescent="0.2">
      <c r="A10" s="165" t="s">
        <v>59</v>
      </c>
      <c r="B10" s="68">
        <v>21</v>
      </c>
      <c r="C10" s="266">
        <f>-'NOTES TO FS'!F373</f>
        <v>-13426832.489999998</v>
      </c>
      <c r="D10" s="265">
        <f>-'NOTES TO FS'!G373</f>
        <v>-45370</v>
      </c>
    </row>
    <row r="11" spans="1:6" x14ac:dyDescent="0.2">
      <c r="A11" s="12" t="s">
        <v>60</v>
      </c>
      <c r="B11" s="68"/>
      <c r="C11" s="267">
        <f>SUM(C8:C10)</f>
        <v>187945660.28999999</v>
      </c>
      <c r="D11" s="268">
        <f>SUM(D8:D10)</f>
        <v>162833</v>
      </c>
      <c r="F11" t="s">
        <v>61</v>
      </c>
    </row>
    <row r="12" spans="1:6" x14ac:dyDescent="0.2">
      <c r="A12" s="2"/>
      <c r="B12" s="68"/>
      <c r="C12" s="269"/>
      <c r="D12" s="238"/>
    </row>
    <row r="13" spans="1:6" x14ac:dyDescent="0.2">
      <c r="A13" s="12" t="s">
        <v>62</v>
      </c>
      <c r="B13" s="68"/>
      <c r="C13" s="270">
        <f>SUM(C14:C17)</f>
        <v>-241233853.43000001</v>
      </c>
      <c r="D13" s="243">
        <f>SUM(D14:D17)</f>
        <v>-181709</v>
      </c>
    </row>
    <row r="14" spans="1:6" x14ac:dyDescent="0.2">
      <c r="A14" s="114" t="s">
        <v>63</v>
      </c>
      <c r="B14" s="68"/>
      <c r="C14" s="271">
        <f>-'NOTES TO FS'!F357</f>
        <v>-241256664.91</v>
      </c>
      <c r="D14" s="232">
        <f>-'NOTES TO FS'!G357</f>
        <v>-182223</v>
      </c>
    </row>
    <row r="15" spans="1:6" x14ac:dyDescent="0.2">
      <c r="A15" s="114" t="s">
        <v>64</v>
      </c>
      <c r="B15" s="68">
        <v>2</v>
      </c>
      <c r="C15" s="233">
        <f>-'NOTES TO FS'!F355</f>
        <v>22811.48</v>
      </c>
      <c r="D15" s="234" t="s">
        <v>22</v>
      </c>
    </row>
    <row r="16" spans="1:6" x14ac:dyDescent="0.2">
      <c r="A16" s="114" t="s">
        <v>65</v>
      </c>
      <c r="B16" s="68"/>
      <c r="C16" s="235" t="s">
        <v>22</v>
      </c>
      <c r="D16" s="236">
        <f>-'NOTES TO FS'!G356</f>
        <v>514</v>
      </c>
    </row>
    <row r="17" spans="1:4" x14ac:dyDescent="0.2">
      <c r="A17" s="12"/>
      <c r="B17" s="68"/>
      <c r="C17" s="146"/>
      <c r="D17" s="238"/>
    </row>
    <row r="18" spans="1:4" x14ac:dyDescent="0.2">
      <c r="A18" s="12" t="s">
        <v>66</v>
      </c>
      <c r="B18" s="68"/>
      <c r="C18" s="272">
        <f>SUM(C11,C13)</f>
        <v>-53288193.140000015</v>
      </c>
      <c r="D18" s="240">
        <f>SUM(D11,D13)</f>
        <v>-18876</v>
      </c>
    </row>
    <row r="19" spans="1:4" x14ac:dyDescent="0.2">
      <c r="A19" s="165"/>
      <c r="B19" s="68"/>
      <c r="C19" s="273"/>
      <c r="D19" s="238"/>
    </row>
    <row r="20" spans="1:4" x14ac:dyDescent="0.2">
      <c r="A20" s="12" t="s">
        <v>67</v>
      </c>
      <c r="B20" s="68"/>
      <c r="C20" s="274">
        <f>SUM(C18)</f>
        <v>-53288193.140000015</v>
      </c>
      <c r="D20" s="275">
        <f>SUM(D18)</f>
        <v>-18876</v>
      </c>
    </row>
    <row r="21" spans="1:4" x14ac:dyDescent="0.2">
      <c r="A21" s="12" t="s">
        <v>68</v>
      </c>
      <c r="B21" s="68"/>
      <c r="C21" s="205">
        <v>26379122.969999999</v>
      </c>
      <c r="D21" s="226">
        <v>45255</v>
      </c>
    </row>
    <row r="22" spans="1:4" ht="13.5" customHeight="1" thickBot="1" x14ac:dyDescent="0.25">
      <c r="A22" s="12" t="s">
        <v>69</v>
      </c>
      <c r="B22" s="68">
        <v>14</v>
      </c>
      <c r="C22" s="276">
        <f>SUM(C20,C21)</f>
        <v>-26909070.170000017</v>
      </c>
      <c r="D22" s="277">
        <f>SUM(D20,D21)</f>
        <v>26379</v>
      </c>
    </row>
    <row r="23" spans="1:4" ht="13.5" customHeight="1" thickTop="1" x14ac:dyDescent="0.2">
      <c r="B23" s="84"/>
      <c r="C23" s="84"/>
      <c r="D23" s="84"/>
    </row>
    <row r="24" spans="1:4" x14ac:dyDescent="0.2">
      <c r="C24" s="105"/>
    </row>
    <row r="25" spans="1:4" x14ac:dyDescent="0.2">
      <c r="C25" s="105"/>
    </row>
    <row r="26" spans="1:4" x14ac:dyDescent="0.2">
      <c r="C26" s="105"/>
    </row>
    <row r="27" spans="1:4" x14ac:dyDescent="0.2">
      <c r="A27" t="s">
        <v>30</v>
      </c>
    </row>
  </sheetData>
  <mergeCells count="3">
    <mergeCell ref="A3:D3"/>
    <mergeCell ref="A4:D4"/>
    <mergeCell ref="A5:D5"/>
  </mergeCells>
  <phoneticPr fontId="17" type="noConversion"/>
  <pageMargins left="0.75" right="0.75" top="1" bottom="1" header="0.5" footer="0.5"/>
  <pageSetup scale="81" orientation="portrait" verticalDpi="300"/>
  <headerFooter alignWithMargins="0">
    <oddHeader>&amp;C&amp;"Arial,Bold"DEPARTMENT OF ENVIRONMENTAL AFFAIRS AND TOURISM
VOTE 27
CASH FLOW STATEMENT
for the year ended 31 MARCH 2003</oddHead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K379"/>
  <sheetViews>
    <sheetView topLeftCell="A32" zoomScaleNormal="100" zoomScaleSheetLayoutView="100" workbookViewId="0">
      <selection activeCell="E60" sqref="E60"/>
    </sheetView>
  </sheetViews>
  <sheetFormatPr defaultRowHeight="12.75" x14ac:dyDescent="0.2"/>
  <cols>
    <col min="1" max="1" width="4.7109375" style="278" customWidth="1"/>
    <col min="2" max="2" width="50.7109375" style="70" customWidth="1"/>
    <col min="3" max="3" width="13.7109375" style="70" customWidth="1"/>
    <col min="4" max="4" width="13.28515625" style="70" customWidth="1"/>
    <col min="5" max="6" width="15.7109375" style="70" customWidth="1"/>
    <col min="7" max="7" width="14.7109375" style="70" customWidth="1"/>
    <col min="8" max="8" width="15.7109375" style="70" customWidth="1"/>
    <col min="9" max="9" width="13.7109375" style="70" customWidth="1"/>
    <col min="10" max="10" width="18.7109375" style="70" customWidth="1"/>
  </cols>
  <sheetData>
    <row r="2" spans="1:7" ht="15.6" customHeight="1" x14ac:dyDescent="0.25">
      <c r="A2" s="125" t="s">
        <v>70</v>
      </c>
      <c r="B2" s="175" t="s">
        <v>5</v>
      </c>
      <c r="C2" s="171"/>
      <c r="D2" s="171"/>
      <c r="E2" s="171"/>
      <c r="F2" s="171"/>
    </row>
    <row r="3" spans="1:7" ht="27" customHeight="1" x14ac:dyDescent="0.2">
      <c r="A3" s="279">
        <v>1.1000000000000001</v>
      </c>
      <c r="B3" s="636" t="s">
        <v>71</v>
      </c>
      <c r="C3" s="632"/>
      <c r="D3" s="632"/>
      <c r="E3" s="632"/>
      <c r="F3" s="632"/>
      <c r="G3" s="632"/>
    </row>
    <row r="4" spans="1:7" ht="38.25" customHeight="1" x14ac:dyDescent="0.2">
      <c r="B4" s="71" t="s">
        <v>72</v>
      </c>
      <c r="C4" s="639" t="s">
        <v>73</v>
      </c>
      <c r="D4" s="632"/>
      <c r="E4" s="163" t="s">
        <v>74</v>
      </c>
      <c r="F4" s="163" t="s">
        <v>75</v>
      </c>
      <c r="G4" s="163" t="s">
        <v>76</v>
      </c>
    </row>
    <row r="5" spans="1:7" x14ac:dyDescent="0.2">
      <c r="B5" s="71"/>
      <c r="C5" s="167"/>
      <c r="D5" s="143" t="s">
        <v>77</v>
      </c>
      <c r="E5" s="143" t="s">
        <v>77</v>
      </c>
      <c r="F5" s="143" t="s">
        <v>77</v>
      </c>
      <c r="G5" s="143" t="s">
        <v>77</v>
      </c>
    </row>
    <row r="6" spans="1:7" x14ac:dyDescent="0.2">
      <c r="B6" s="76" t="s">
        <v>78</v>
      </c>
      <c r="C6" s="640">
        <v>68358541.090000004</v>
      </c>
      <c r="D6" s="632"/>
      <c r="E6" s="223">
        <v>68358541.090000004</v>
      </c>
      <c r="F6" s="280" t="s">
        <v>22</v>
      </c>
      <c r="G6" s="226">
        <v>73744</v>
      </c>
    </row>
    <row r="7" spans="1:7" x14ac:dyDescent="0.2">
      <c r="B7" s="76" t="s">
        <v>79</v>
      </c>
      <c r="C7" s="640">
        <v>267542094.31</v>
      </c>
      <c r="D7" s="632"/>
      <c r="E7" s="223">
        <v>267188094.31</v>
      </c>
      <c r="F7" s="281">
        <f>SUM(E7-C7)</f>
        <v>-354000</v>
      </c>
      <c r="G7" s="282">
        <v>57827</v>
      </c>
    </row>
    <row r="8" spans="1:7" x14ac:dyDescent="0.2">
      <c r="B8" s="76" t="s">
        <v>80</v>
      </c>
      <c r="C8" s="640">
        <v>253052784.78999999</v>
      </c>
      <c r="D8" s="632"/>
      <c r="E8" s="223">
        <v>253052784.78999999</v>
      </c>
      <c r="F8" s="280" t="s">
        <v>22</v>
      </c>
      <c r="G8" s="226">
        <v>257446</v>
      </c>
    </row>
    <row r="9" spans="1:7" ht="13.15" customHeight="1" x14ac:dyDescent="0.2">
      <c r="B9" s="76" t="s">
        <v>81</v>
      </c>
      <c r="C9" s="640">
        <v>334333256.72000003</v>
      </c>
      <c r="D9" s="632"/>
      <c r="E9" s="223">
        <v>334333256.72000003</v>
      </c>
      <c r="F9" s="280" t="s">
        <v>22</v>
      </c>
      <c r="G9" s="226">
        <v>328202</v>
      </c>
    </row>
    <row r="10" spans="1:7" ht="13.15" customHeight="1" x14ac:dyDescent="0.2">
      <c r="B10" s="76" t="s">
        <v>82</v>
      </c>
      <c r="C10" s="640">
        <v>121421638.84</v>
      </c>
      <c r="D10" s="632"/>
      <c r="E10" s="223">
        <f>118014301.63+300</f>
        <v>118014601.63</v>
      </c>
      <c r="F10" s="281">
        <f>SUM(E10-C10)</f>
        <v>-3407037.2100000083</v>
      </c>
      <c r="G10" s="226">
        <v>137326</v>
      </c>
    </row>
    <row r="11" spans="1:7" x14ac:dyDescent="0.2">
      <c r="B11" s="76" t="s">
        <v>83</v>
      </c>
      <c r="C11" s="640">
        <v>295274182.45999998</v>
      </c>
      <c r="D11" s="632"/>
      <c r="E11" s="223">
        <v>294994182.45999998</v>
      </c>
      <c r="F11" s="281">
        <f>SUM(E11-C11)</f>
        <v>-280000</v>
      </c>
      <c r="G11" s="226">
        <v>197218</v>
      </c>
    </row>
    <row r="12" spans="1:7" x14ac:dyDescent="0.2">
      <c r="B12" s="23" t="s">
        <v>84</v>
      </c>
      <c r="C12" s="640">
        <v>60463079.57</v>
      </c>
      <c r="D12" s="632"/>
      <c r="E12" s="223">
        <v>30504158.859999999</v>
      </c>
      <c r="F12" s="281">
        <f>SUM(E12-C12)</f>
        <v>-29958920.710000001</v>
      </c>
      <c r="G12" s="226">
        <v>26616</v>
      </c>
    </row>
    <row r="13" spans="1:7" x14ac:dyDescent="0.2">
      <c r="A13" s="283"/>
      <c r="B13" s="23" t="s">
        <v>85</v>
      </c>
      <c r="C13" s="640">
        <v>140422.22</v>
      </c>
      <c r="D13" s="632"/>
      <c r="E13" s="223">
        <v>140422.22</v>
      </c>
      <c r="F13" s="280" t="s">
        <v>22</v>
      </c>
      <c r="G13" s="226">
        <v>75</v>
      </c>
    </row>
    <row r="14" spans="1:7" ht="13.9" customHeight="1" thickBot="1" x14ac:dyDescent="0.25">
      <c r="B14" s="2" t="s">
        <v>86</v>
      </c>
      <c r="C14" s="641">
        <f>SUM(C6:D13)</f>
        <v>1400586000</v>
      </c>
      <c r="D14" s="642"/>
      <c r="E14" s="284">
        <f>SUM(E6:E13)</f>
        <v>1366586042.0799999</v>
      </c>
      <c r="F14" s="285">
        <f>SUM(F6:F13)</f>
        <v>-33999957.920000009</v>
      </c>
      <c r="G14" s="286">
        <f>SUM(G6:G13)</f>
        <v>1078454</v>
      </c>
    </row>
    <row r="15" spans="1:7" ht="13.5" customHeight="1" thickTop="1" x14ac:dyDescent="0.2">
      <c r="B15" s="2"/>
      <c r="E15" s="2"/>
      <c r="F15" s="2"/>
      <c r="G15" s="2"/>
    </row>
    <row r="16" spans="1:7" x14ac:dyDescent="0.2">
      <c r="A16" s="287">
        <v>1.2</v>
      </c>
      <c r="B16" s="638" t="s">
        <v>87</v>
      </c>
      <c r="C16" s="632"/>
      <c r="D16" s="632"/>
      <c r="E16" s="632"/>
      <c r="F16" s="632"/>
      <c r="G16" s="632"/>
    </row>
    <row r="17" spans="1:7" x14ac:dyDescent="0.2">
      <c r="A17" s="287"/>
      <c r="B17" s="162"/>
      <c r="C17" s="162"/>
      <c r="D17" s="162"/>
      <c r="E17" s="162"/>
      <c r="F17" s="162"/>
      <c r="G17" s="162"/>
    </row>
    <row r="18" spans="1:7" ht="13.15" customHeight="1" x14ac:dyDescent="0.2">
      <c r="A18" s="279"/>
      <c r="B18" s="160" t="s">
        <v>88</v>
      </c>
      <c r="C18" s="160"/>
      <c r="D18" s="160"/>
      <c r="E18" s="67"/>
      <c r="F18" s="143" t="s">
        <v>77</v>
      </c>
      <c r="G18" s="160"/>
    </row>
    <row r="19" spans="1:7" ht="13.15" customHeight="1" x14ac:dyDescent="0.2">
      <c r="B19" t="s">
        <v>89</v>
      </c>
      <c r="F19" s="288">
        <v>354000</v>
      </c>
    </row>
    <row r="20" spans="1:7" x14ac:dyDescent="0.2">
      <c r="B20" t="s">
        <v>90</v>
      </c>
      <c r="F20" s="288"/>
    </row>
    <row r="21" spans="1:7" x14ac:dyDescent="0.2">
      <c r="B21" t="s">
        <v>91</v>
      </c>
      <c r="F21" s="288">
        <v>907337.21</v>
      </c>
    </row>
    <row r="22" spans="1:7" x14ac:dyDescent="0.2">
      <c r="B22" t="s">
        <v>92</v>
      </c>
      <c r="F22" s="288">
        <v>2500000</v>
      </c>
    </row>
    <row r="23" spans="1:7" x14ac:dyDescent="0.2">
      <c r="B23" t="s">
        <v>93</v>
      </c>
      <c r="F23" s="288"/>
    </row>
    <row r="24" spans="1:7" x14ac:dyDescent="0.2">
      <c r="B24" t="s">
        <v>94</v>
      </c>
      <c r="F24" s="288">
        <v>140000</v>
      </c>
    </row>
    <row r="25" spans="1:7" x14ac:dyDescent="0.2">
      <c r="B25" t="s">
        <v>95</v>
      </c>
      <c r="F25" s="288">
        <v>140000</v>
      </c>
    </row>
    <row r="26" spans="1:7" x14ac:dyDescent="0.2">
      <c r="A26" s="278" t="s">
        <v>24</v>
      </c>
      <c r="B26" t="s">
        <v>96</v>
      </c>
      <c r="F26" s="288"/>
    </row>
    <row r="27" spans="1:7" x14ac:dyDescent="0.2">
      <c r="B27" t="s">
        <v>97</v>
      </c>
      <c r="F27" s="288">
        <v>1000</v>
      </c>
    </row>
    <row r="28" spans="1:7" x14ac:dyDescent="0.2">
      <c r="B28" t="s">
        <v>98</v>
      </c>
      <c r="F28" s="288">
        <v>94682.91</v>
      </c>
    </row>
    <row r="29" spans="1:7" x14ac:dyDescent="0.2">
      <c r="B29" t="s">
        <v>99</v>
      </c>
      <c r="F29" s="288">
        <v>29863237.800000001</v>
      </c>
    </row>
    <row r="30" spans="1:7" ht="13.5" customHeight="1" thickBot="1" x14ac:dyDescent="0.25">
      <c r="B30" s="2" t="s">
        <v>86</v>
      </c>
      <c r="F30" s="289">
        <f>SUM(F19:F29)</f>
        <v>34000257.920000002</v>
      </c>
    </row>
    <row r="31" spans="1:7" ht="13.5" customHeight="1" thickTop="1" x14ac:dyDescent="0.2">
      <c r="B31" s="2"/>
      <c r="F31" s="290"/>
    </row>
    <row r="32" spans="1:7" x14ac:dyDescent="0.2">
      <c r="B32" s="2"/>
      <c r="F32" s="290"/>
    </row>
    <row r="33" spans="1:11" x14ac:dyDescent="0.2">
      <c r="B33" s="23" t="s">
        <v>100</v>
      </c>
    </row>
    <row r="34" spans="1:11" ht="15.6" customHeight="1" x14ac:dyDescent="0.25">
      <c r="A34" s="125" t="s">
        <v>101</v>
      </c>
      <c r="B34" s="175" t="s">
        <v>102</v>
      </c>
      <c r="F34" s="73"/>
      <c r="G34" s="73"/>
    </row>
    <row r="35" spans="1:11" ht="25.5" customHeight="1" x14ac:dyDescent="0.2">
      <c r="A35" s="291"/>
      <c r="B35" s="12" t="s">
        <v>103</v>
      </c>
      <c r="C35" s="84"/>
      <c r="D35" s="84"/>
      <c r="E35" s="169"/>
      <c r="F35" s="73" t="s">
        <v>1</v>
      </c>
      <c r="G35" s="73" t="s">
        <v>2</v>
      </c>
    </row>
    <row r="36" spans="1:11" ht="12.75" customHeight="1" x14ac:dyDescent="0.2">
      <c r="A36" s="291"/>
      <c r="B36" s="23" t="s">
        <v>64</v>
      </c>
      <c r="C36" s="84"/>
      <c r="D36" s="84"/>
      <c r="E36" s="160"/>
      <c r="F36" s="225">
        <v>22811.48</v>
      </c>
      <c r="G36" s="226" t="s">
        <v>22</v>
      </c>
    </row>
    <row r="37" spans="1:11" ht="12.75" customHeight="1" x14ac:dyDescent="0.2">
      <c r="A37" s="291"/>
      <c r="B37" s="23" t="s">
        <v>104</v>
      </c>
      <c r="C37" s="84"/>
      <c r="D37" s="84"/>
      <c r="E37" s="160"/>
      <c r="F37" s="225" t="s">
        <v>22</v>
      </c>
      <c r="G37" s="282">
        <v>-43</v>
      </c>
    </row>
    <row r="38" spans="1:11" ht="12.75" customHeight="1" x14ac:dyDescent="0.2">
      <c r="A38" s="291"/>
      <c r="B38" s="23" t="s">
        <v>105</v>
      </c>
      <c r="C38" s="84"/>
      <c r="D38" s="84"/>
      <c r="E38" s="160"/>
      <c r="F38" s="225">
        <v>143636.97</v>
      </c>
      <c r="G38" s="226">
        <v>280</v>
      </c>
    </row>
    <row r="39" spans="1:11" ht="12.75" customHeight="1" x14ac:dyDescent="0.2">
      <c r="A39" s="291"/>
      <c r="B39" s="23" t="s">
        <v>106</v>
      </c>
      <c r="C39" s="84"/>
      <c r="D39" s="84"/>
      <c r="E39" s="160"/>
      <c r="F39" s="225">
        <v>1891329.15</v>
      </c>
      <c r="G39" s="226">
        <v>2143</v>
      </c>
    </row>
    <row r="40" spans="1:11" ht="12.75" customHeight="1" thickBot="1" x14ac:dyDescent="0.25">
      <c r="A40" s="291"/>
      <c r="B40" s="23"/>
      <c r="C40" s="84"/>
      <c r="D40" s="84"/>
      <c r="E40" s="160"/>
      <c r="F40" s="252">
        <f>SUM(F36:F39)</f>
        <v>2057777.5999999999</v>
      </c>
      <c r="G40" s="292">
        <f>SUM(G36:G39)</f>
        <v>2380</v>
      </c>
    </row>
    <row r="41" spans="1:11" ht="12.75" customHeight="1" thickTop="1" x14ac:dyDescent="0.2">
      <c r="A41" s="291"/>
      <c r="B41" s="165"/>
      <c r="C41" s="84"/>
      <c r="D41" s="84"/>
      <c r="E41" s="20"/>
      <c r="F41" s="165"/>
      <c r="G41" s="165"/>
    </row>
    <row r="42" spans="1:11" ht="12.75" customHeight="1" x14ac:dyDescent="0.2">
      <c r="A42" s="291"/>
      <c r="B42" s="165"/>
      <c r="C42" s="84"/>
      <c r="D42" s="84"/>
      <c r="E42" s="20"/>
      <c r="F42" s="165"/>
      <c r="G42" s="165"/>
    </row>
    <row r="43" spans="1:11" x14ac:dyDescent="0.2">
      <c r="B43" s="23"/>
      <c r="E43" s="20"/>
    </row>
    <row r="44" spans="1:11" ht="15.6" customHeight="1" x14ac:dyDescent="0.25">
      <c r="A44" s="125" t="s">
        <v>107</v>
      </c>
      <c r="B44" s="175" t="s">
        <v>108</v>
      </c>
    </row>
    <row r="45" spans="1:11" s="173" customFormat="1" x14ac:dyDescent="0.2">
      <c r="A45" s="283"/>
      <c r="B45" s="12" t="s">
        <v>109</v>
      </c>
      <c r="C45" s="639" t="s">
        <v>110</v>
      </c>
      <c r="D45" s="639" t="s">
        <v>111</v>
      </c>
      <c r="E45" s="645" t="s">
        <v>112</v>
      </c>
      <c r="F45" s="646"/>
      <c r="G45" s="639" t="s">
        <v>113</v>
      </c>
      <c r="I45" s="101"/>
    </row>
    <row r="46" spans="1:11" ht="12.75" customHeight="1" x14ac:dyDescent="0.2">
      <c r="A46" s="283"/>
      <c r="B46" s="66" t="s">
        <v>114</v>
      </c>
      <c r="C46" s="632"/>
      <c r="D46" s="632"/>
      <c r="E46" s="163" t="s">
        <v>11</v>
      </c>
      <c r="F46" s="163" t="s">
        <v>21</v>
      </c>
      <c r="G46" s="632"/>
      <c r="J46" s="12"/>
      <c r="K46" s="173"/>
    </row>
    <row r="47" spans="1:11" x14ac:dyDescent="0.2">
      <c r="A47" s="293"/>
      <c r="B47" s="12" t="s">
        <v>115</v>
      </c>
      <c r="C47" s="143" t="s">
        <v>77</v>
      </c>
      <c r="D47" s="143" t="s">
        <v>77</v>
      </c>
      <c r="E47" s="143" t="s">
        <v>77</v>
      </c>
      <c r="F47" s="143" t="s">
        <v>77</v>
      </c>
      <c r="G47" s="143" t="s">
        <v>77</v>
      </c>
      <c r="J47" s="165"/>
      <c r="K47" s="173"/>
    </row>
    <row r="48" spans="1:11" x14ac:dyDescent="0.2">
      <c r="A48" s="293"/>
      <c r="B48" s="84" t="s">
        <v>116</v>
      </c>
      <c r="C48" s="205">
        <v>471405.83</v>
      </c>
      <c r="D48" s="223">
        <f>3605253.25+300</f>
        <v>3605553.25</v>
      </c>
      <c r="E48" s="223">
        <v>4076659.08</v>
      </c>
      <c r="F48" s="223" t="s">
        <v>22</v>
      </c>
      <c r="G48" s="223" t="s">
        <v>22</v>
      </c>
      <c r="J48" s="165"/>
      <c r="K48" s="21"/>
    </row>
    <row r="49" spans="1:11" x14ac:dyDescent="0.2">
      <c r="A49" s="293"/>
      <c r="B49" s="84" t="s">
        <v>117</v>
      </c>
      <c r="C49" s="205">
        <v>148005</v>
      </c>
      <c r="D49" s="223" t="s">
        <v>22</v>
      </c>
      <c r="E49" s="223">
        <v>148005</v>
      </c>
      <c r="F49" s="223" t="s">
        <v>22</v>
      </c>
      <c r="G49" s="223" t="s">
        <v>22</v>
      </c>
      <c r="J49" s="165"/>
      <c r="K49" s="21"/>
    </row>
    <row r="50" spans="1:11" x14ac:dyDescent="0.2">
      <c r="A50" s="293"/>
      <c r="B50" s="84" t="s">
        <v>118</v>
      </c>
      <c r="C50" s="205" t="s">
        <v>22</v>
      </c>
      <c r="D50" s="223">
        <v>57275</v>
      </c>
      <c r="E50" s="223">
        <v>57275</v>
      </c>
      <c r="F50" s="223" t="s">
        <v>22</v>
      </c>
      <c r="G50" s="223" t="s">
        <v>22</v>
      </c>
      <c r="J50" s="165"/>
      <c r="K50" s="21"/>
    </row>
    <row r="51" spans="1:11" x14ac:dyDescent="0.2">
      <c r="A51" s="293"/>
      <c r="B51" s="84" t="s">
        <v>119</v>
      </c>
      <c r="C51" s="205">
        <v>1000000</v>
      </c>
      <c r="D51" s="223">
        <v>600000</v>
      </c>
      <c r="E51" s="223">
        <v>1572089.18</v>
      </c>
      <c r="F51" s="223" t="s">
        <v>22</v>
      </c>
      <c r="G51" s="294">
        <f>C51+D51-E51</f>
        <v>27910.820000000065</v>
      </c>
      <c r="J51" s="165"/>
      <c r="K51" s="21"/>
    </row>
    <row r="52" spans="1:11" x14ac:dyDescent="0.2">
      <c r="A52" s="293"/>
      <c r="B52" s="84" t="s">
        <v>120</v>
      </c>
      <c r="C52" s="205">
        <v>1945697.01</v>
      </c>
      <c r="D52" s="223">
        <v>11471997.17</v>
      </c>
      <c r="E52" s="223">
        <v>20301144.120000001</v>
      </c>
      <c r="F52" s="223" t="s">
        <v>22</v>
      </c>
      <c r="G52" s="295">
        <f>C52+D52-E52</f>
        <v>-6883449.9400000013</v>
      </c>
      <c r="J52" s="165"/>
      <c r="K52" s="21"/>
    </row>
    <row r="53" spans="1:11" x14ac:dyDescent="0.2">
      <c r="A53" s="293"/>
      <c r="B53" s="84" t="s">
        <v>121</v>
      </c>
      <c r="C53" s="205">
        <v>7259345.3700000001</v>
      </c>
      <c r="D53" s="223">
        <v>1090975.6000000001</v>
      </c>
      <c r="E53" s="223">
        <v>9511293.4700000007</v>
      </c>
      <c r="F53" s="223">
        <v>561579.94999999995</v>
      </c>
      <c r="G53" s="296">
        <f>C53+D53-E53-F53</f>
        <v>-1722552.45</v>
      </c>
      <c r="J53" s="165"/>
      <c r="K53" s="21"/>
    </row>
    <row r="54" spans="1:11" x14ac:dyDescent="0.2">
      <c r="A54" s="293"/>
      <c r="B54" s="84" t="s">
        <v>122</v>
      </c>
      <c r="C54" s="205">
        <v>7746173.4800000004</v>
      </c>
      <c r="D54" s="223">
        <v>4637007.49</v>
      </c>
      <c r="E54" s="223">
        <v>12383180.970000001</v>
      </c>
      <c r="F54" s="223" t="s">
        <v>22</v>
      </c>
      <c r="G54" s="223" t="s">
        <v>22</v>
      </c>
      <c r="J54" s="165"/>
      <c r="K54" s="21"/>
    </row>
    <row r="55" spans="1:11" x14ac:dyDescent="0.2">
      <c r="A55" s="293"/>
      <c r="B55" s="84" t="s">
        <v>123</v>
      </c>
      <c r="C55" s="205">
        <v>89093.29</v>
      </c>
      <c r="D55" s="223">
        <v>3766094.72</v>
      </c>
      <c r="E55" s="223">
        <v>3855188.01</v>
      </c>
      <c r="F55" s="223" t="s">
        <v>22</v>
      </c>
      <c r="G55" s="223" t="s">
        <v>22</v>
      </c>
      <c r="J55" s="165"/>
      <c r="K55" s="21"/>
    </row>
    <row r="56" spans="1:11" x14ac:dyDescent="0.2">
      <c r="A56" s="293"/>
      <c r="B56" s="84" t="s">
        <v>124</v>
      </c>
      <c r="C56" s="205">
        <v>306873.05</v>
      </c>
      <c r="D56" s="223" t="s">
        <v>22</v>
      </c>
      <c r="E56" s="223">
        <v>185849.73</v>
      </c>
      <c r="F56" s="223" t="s">
        <v>22</v>
      </c>
      <c r="G56" s="297">
        <f>C56-E56</f>
        <v>121023.31999999998</v>
      </c>
      <c r="J56" s="165"/>
      <c r="K56" s="21"/>
    </row>
    <row r="57" spans="1:11" x14ac:dyDescent="0.2">
      <c r="A57" s="293"/>
      <c r="B57" s="84" t="s">
        <v>125</v>
      </c>
      <c r="C57" s="205">
        <v>126800.86</v>
      </c>
      <c r="D57" s="223" t="s">
        <v>22</v>
      </c>
      <c r="E57" s="223">
        <v>126800.86</v>
      </c>
      <c r="F57" s="223" t="s">
        <v>22</v>
      </c>
      <c r="G57" s="223" t="s">
        <v>22</v>
      </c>
      <c r="J57" s="21"/>
    </row>
    <row r="58" spans="1:11" x14ac:dyDescent="0.2">
      <c r="A58" s="293"/>
      <c r="B58" s="84" t="s">
        <v>126</v>
      </c>
      <c r="C58" s="205">
        <v>26006</v>
      </c>
      <c r="D58" s="223">
        <v>850002.5</v>
      </c>
      <c r="E58" s="223">
        <v>613365.63</v>
      </c>
      <c r="F58" s="223" t="s">
        <v>22</v>
      </c>
      <c r="G58" s="294">
        <f>C58+D58-E58</f>
        <v>262642.87</v>
      </c>
      <c r="J58" s="21"/>
    </row>
    <row r="59" spans="1:11" x14ac:dyDescent="0.2">
      <c r="A59" s="293"/>
      <c r="B59" s="84" t="s">
        <v>127</v>
      </c>
      <c r="C59" s="205">
        <v>490000</v>
      </c>
      <c r="D59" s="223" t="s">
        <v>22</v>
      </c>
      <c r="E59" s="223">
        <v>490000</v>
      </c>
      <c r="F59" s="223" t="s">
        <v>22</v>
      </c>
      <c r="G59" s="223" t="s">
        <v>22</v>
      </c>
      <c r="J59" s="21"/>
    </row>
    <row r="60" spans="1:11" ht="13.5" customHeight="1" thickBot="1" x14ac:dyDescent="0.25">
      <c r="A60" s="293"/>
      <c r="B60" s="23"/>
      <c r="C60" s="298">
        <f>SUM(C47:C59)</f>
        <v>19609399.890000001</v>
      </c>
      <c r="D60" s="298">
        <f>SUM(D47:D59)</f>
        <v>26078905.729999997</v>
      </c>
      <c r="E60" s="299">
        <f>SUM(E47:E59)-1000</f>
        <v>53319851.049999997</v>
      </c>
      <c r="F60" s="298">
        <f>SUM(F47:F59)</f>
        <v>561579.94999999995</v>
      </c>
      <c r="G60" s="300">
        <f>C60+D60-E60-F60-1000</f>
        <v>-8194125.3799999999</v>
      </c>
    </row>
    <row r="61" spans="1:11" ht="13.5" customHeight="1" thickTop="1" x14ac:dyDescent="0.2">
      <c r="A61" s="293"/>
      <c r="B61" s="23"/>
      <c r="C61" s="20"/>
      <c r="D61" s="20"/>
      <c r="E61" s="20"/>
      <c r="F61" s="10"/>
      <c r="G61" s="10"/>
      <c r="J61" s="20"/>
      <c r="K61" s="21"/>
    </row>
    <row r="62" spans="1:11" ht="25.5" customHeight="1" x14ac:dyDescent="0.2">
      <c r="A62" s="293"/>
      <c r="B62" s="11" t="s">
        <v>128</v>
      </c>
      <c r="C62" s="12"/>
      <c r="D62" s="12"/>
      <c r="E62" s="12"/>
      <c r="F62" s="73" t="s">
        <v>1</v>
      </c>
      <c r="G62" s="73" t="s">
        <v>2</v>
      </c>
      <c r="K62" s="21"/>
    </row>
    <row r="63" spans="1:11" ht="12.75" customHeight="1" x14ac:dyDescent="0.2">
      <c r="A63" s="293"/>
      <c r="B63" s="94" t="s">
        <v>129</v>
      </c>
      <c r="C63" s="165"/>
      <c r="D63" s="165"/>
      <c r="E63" s="165"/>
      <c r="F63" s="301">
        <f>G60</f>
        <v>-8194125.3799999999</v>
      </c>
      <c r="G63" s="226" t="s">
        <v>22</v>
      </c>
      <c r="K63" s="21"/>
    </row>
    <row r="64" spans="1:11" ht="12.75" customHeight="1" x14ac:dyDescent="0.2">
      <c r="A64" s="293"/>
      <c r="B64" s="23" t="s">
        <v>130</v>
      </c>
      <c r="C64" s="165"/>
      <c r="D64" s="165"/>
      <c r="E64" s="165"/>
      <c r="F64" s="280" t="s">
        <v>22</v>
      </c>
      <c r="G64" s="226">
        <v>19609</v>
      </c>
      <c r="K64" s="21"/>
    </row>
    <row r="65" spans="1:11" ht="13.5" customHeight="1" thickBot="1" x14ac:dyDescent="0.25">
      <c r="A65" s="293"/>
      <c r="B65" s="23"/>
      <c r="C65" s="165"/>
      <c r="D65" s="165"/>
      <c r="E65" s="165"/>
      <c r="F65" s="302">
        <f>SUM(F63:F64)</f>
        <v>-8194125.3799999999</v>
      </c>
      <c r="G65" s="303">
        <f>SUM(G63:G64)</f>
        <v>19609</v>
      </c>
      <c r="K65" s="21"/>
    </row>
    <row r="66" spans="1:11" ht="13.5" customHeight="1" thickTop="1" x14ac:dyDescent="0.2">
      <c r="A66" s="293"/>
      <c r="B66" s="23"/>
      <c r="C66" s="165"/>
      <c r="D66" s="165"/>
      <c r="E66" s="165"/>
      <c r="F66" s="165"/>
      <c r="G66" s="165"/>
      <c r="H66" s="165"/>
      <c r="I66" s="165"/>
      <c r="J66" s="165"/>
      <c r="K66" s="173"/>
    </row>
    <row r="67" spans="1:11" x14ac:dyDescent="0.2">
      <c r="A67" s="293"/>
      <c r="B67" s="23"/>
      <c r="C67" s="165"/>
      <c r="D67" s="165"/>
      <c r="E67" s="165"/>
      <c r="F67" s="165"/>
      <c r="G67" s="165"/>
      <c r="H67" s="165"/>
      <c r="I67" s="165"/>
      <c r="J67" s="165"/>
      <c r="K67" s="173"/>
    </row>
    <row r="70" spans="1:11" ht="15.6" customHeight="1" x14ac:dyDescent="0.25">
      <c r="A70" s="125" t="s">
        <v>131</v>
      </c>
      <c r="B70" s="5" t="s">
        <v>12</v>
      </c>
    </row>
    <row r="71" spans="1:11" ht="25.15" customHeight="1" x14ac:dyDescent="0.2">
      <c r="A71" s="283">
        <v>4.0999999999999996</v>
      </c>
      <c r="B71" s="19" t="s">
        <v>132</v>
      </c>
      <c r="C71" s="164"/>
      <c r="D71" s="164"/>
      <c r="E71" s="84"/>
      <c r="F71" s="73" t="s">
        <v>1</v>
      </c>
      <c r="G71" s="73" t="s">
        <v>2</v>
      </c>
    </row>
    <row r="72" spans="1:11" x14ac:dyDescent="0.2">
      <c r="A72" s="293"/>
      <c r="B72" s="23" t="s">
        <v>133</v>
      </c>
      <c r="C72" s="165"/>
      <c r="D72" s="165"/>
      <c r="E72" s="84"/>
      <c r="F72" s="205">
        <v>84486686.209999993</v>
      </c>
      <c r="G72" s="226">
        <v>81172</v>
      </c>
      <c r="I72" s="304">
        <f>79956+1216-8602+1</f>
        <v>72571</v>
      </c>
    </row>
    <row r="73" spans="1:11" x14ac:dyDescent="0.2">
      <c r="A73" s="293"/>
      <c r="B73" s="23" t="s">
        <v>134</v>
      </c>
      <c r="C73" s="165"/>
      <c r="D73" s="165"/>
      <c r="E73" s="84"/>
      <c r="F73" s="205">
        <v>12325489.439999999</v>
      </c>
      <c r="G73" s="226">
        <v>12098</v>
      </c>
      <c r="I73" s="304">
        <f>12098-1288</f>
        <v>10810</v>
      </c>
    </row>
    <row r="74" spans="1:11" x14ac:dyDescent="0.2">
      <c r="A74" s="293"/>
      <c r="B74" s="23" t="s">
        <v>135</v>
      </c>
      <c r="C74" s="165"/>
      <c r="D74" s="165"/>
      <c r="E74" s="84"/>
      <c r="F74" s="205">
        <v>6469700.7999999998</v>
      </c>
      <c r="G74" s="226">
        <v>6632</v>
      </c>
      <c r="I74" s="304">
        <f>6632-734</f>
        <v>5898</v>
      </c>
    </row>
    <row r="75" spans="1:11" x14ac:dyDescent="0.2">
      <c r="A75" s="293"/>
      <c r="B75" s="23" t="s">
        <v>136</v>
      </c>
      <c r="C75" s="84"/>
      <c r="D75" s="84" t="s">
        <v>24</v>
      </c>
      <c r="E75" s="84"/>
      <c r="F75" s="223">
        <v>26221625.390000001</v>
      </c>
      <c r="G75" s="226">
        <v>26564</v>
      </c>
      <c r="I75" s="304">
        <f>26564-2988</f>
        <v>23576</v>
      </c>
    </row>
    <row r="76" spans="1:11" ht="13.5" customHeight="1" thickBot="1" x14ac:dyDescent="0.25">
      <c r="A76" s="293"/>
      <c r="B76" s="23"/>
      <c r="C76" s="84"/>
      <c r="D76" s="84"/>
      <c r="E76" s="84"/>
      <c r="F76" s="305">
        <f>SUM(F72:F75)</f>
        <v>129503501.83999999</v>
      </c>
      <c r="G76" s="306">
        <f>SUM(G72:G75)</f>
        <v>126466</v>
      </c>
      <c r="I76" s="307">
        <f>SUM(I72:I75)</f>
        <v>112855</v>
      </c>
    </row>
    <row r="77" spans="1:11" ht="13.5" customHeight="1" thickTop="1" x14ac:dyDescent="0.2">
      <c r="A77" s="293"/>
      <c r="B77" s="23"/>
      <c r="C77" s="165"/>
      <c r="D77" s="165"/>
      <c r="E77" s="84"/>
      <c r="F77" s="147"/>
      <c r="G77" s="147"/>
    </row>
    <row r="78" spans="1:11" x14ac:dyDescent="0.2">
      <c r="A78" s="293"/>
      <c r="B78" s="23" t="s">
        <v>137</v>
      </c>
      <c r="C78" s="165"/>
      <c r="D78" s="165"/>
      <c r="E78" s="84"/>
      <c r="F78" s="226">
        <v>864</v>
      </c>
      <c r="G78" s="226">
        <v>1034</v>
      </c>
    </row>
    <row r="79" spans="1:11" x14ac:dyDescent="0.2">
      <c r="A79" s="293"/>
      <c r="B79" s="23"/>
      <c r="C79" s="84"/>
      <c r="D79" s="84"/>
      <c r="E79" s="84"/>
      <c r="F79" s="63"/>
      <c r="G79" s="308"/>
    </row>
    <row r="80" spans="1:11" ht="13.5" customHeight="1" thickBot="1" x14ac:dyDescent="0.25">
      <c r="A80" s="293"/>
      <c r="B80" s="12" t="s">
        <v>138</v>
      </c>
      <c r="C80" s="84"/>
      <c r="D80" s="84"/>
      <c r="E80" s="84"/>
      <c r="F80" s="309">
        <f>SUM(F76)</f>
        <v>129503501.83999999</v>
      </c>
      <c r="G80" s="310">
        <f>SUM(G76)</f>
        <v>126466</v>
      </c>
    </row>
    <row r="81" spans="1:9" ht="13.5" customHeight="1" thickTop="1" x14ac:dyDescent="0.2">
      <c r="A81" s="291"/>
      <c r="B81" s="84"/>
      <c r="C81" s="84"/>
      <c r="D81" s="84"/>
      <c r="E81" s="84"/>
      <c r="F81" s="84"/>
      <c r="G81" s="84"/>
    </row>
    <row r="82" spans="1:9" x14ac:dyDescent="0.2">
      <c r="A82" s="291"/>
      <c r="B82" s="84"/>
      <c r="C82" s="84"/>
      <c r="D82" s="84"/>
      <c r="E82" s="84"/>
      <c r="F82" s="84"/>
      <c r="G82" s="84"/>
    </row>
    <row r="83" spans="1:9" x14ac:dyDescent="0.2">
      <c r="A83" s="291"/>
      <c r="B83" s="84"/>
      <c r="C83" s="84"/>
      <c r="D83" s="84"/>
      <c r="E83" s="84"/>
      <c r="F83" s="84"/>
      <c r="G83" s="84"/>
    </row>
    <row r="84" spans="1:9" ht="15.6" customHeight="1" x14ac:dyDescent="0.25">
      <c r="A84" s="125" t="s">
        <v>139</v>
      </c>
      <c r="B84" s="5" t="s">
        <v>14</v>
      </c>
      <c r="C84" s="84"/>
      <c r="D84" s="84"/>
      <c r="E84" s="84"/>
      <c r="F84" s="73"/>
      <c r="G84" s="73"/>
    </row>
    <row r="85" spans="1:9" ht="13.15" customHeight="1" x14ac:dyDescent="0.2">
      <c r="A85" s="283">
        <v>5.0999999999999996</v>
      </c>
      <c r="B85" s="19" t="s">
        <v>132</v>
      </c>
      <c r="C85" s="25"/>
      <c r="D85" s="164"/>
      <c r="E85" s="164"/>
      <c r="F85" s="73"/>
      <c r="G85" s="73"/>
    </row>
    <row r="86" spans="1:9" ht="12.75" customHeight="1" x14ac:dyDescent="0.2">
      <c r="A86" s="311"/>
      <c r="B86" s="19" t="s">
        <v>140</v>
      </c>
      <c r="C86" s="25"/>
      <c r="D86" s="164"/>
      <c r="E86" s="164"/>
      <c r="F86" s="84"/>
      <c r="G86" s="84"/>
    </row>
    <row r="87" spans="1:9" x14ac:dyDescent="0.2">
      <c r="A87" s="293"/>
      <c r="B87" s="23" t="s">
        <v>141</v>
      </c>
      <c r="C87" s="25"/>
      <c r="D87" s="164"/>
      <c r="E87" s="165"/>
      <c r="F87" s="205">
        <v>1083147.3</v>
      </c>
      <c r="G87" s="226">
        <f>1246</f>
        <v>1246</v>
      </c>
      <c r="H87" s="304"/>
      <c r="I87" s="304">
        <f>1246-146</f>
        <v>1100</v>
      </c>
    </row>
    <row r="88" spans="1:9" x14ac:dyDescent="0.2">
      <c r="A88" s="293"/>
      <c r="B88" s="23" t="s">
        <v>142</v>
      </c>
      <c r="C88" s="25"/>
      <c r="D88" s="164"/>
      <c r="E88" s="165"/>
      <c r="F88" s="205">
        <v>1204406.02</v>
      </c>
      <c r="G88" s="226">
        <f>495+26</f>
        <v>521</v>
      </c>
      <c r="H88" s="304"/>
      <c r="I88" s="304">
        <f>495-106</f>
        <v>389</v>
      </c>
    </row>
    <row r="89" spans="1:9" x14ac:dyDescent="0.2">
      <c r="A89" s="293"/>
      <c r="B89" s="23" t="s">
        <v>143</v>
      </c>
      <c r="C89" s="25"/>
      <c r="D89" s="164"/>
      <c r="E89" s="165"/>
      <c r="F89" s="205">
        <f>2446438.23+300</f>
        <v>2446738.23</v>
      </c>
      <c r="G89" s="226">
        <f>1923</f>
        <v>1923</v>
      </c>
      <c r="H89" s="304"/>
      <c r="I89" s="304">
        <f>1923-122</f>
        <v>1801</v>
      </c>
    </row>
    <row r="90" spans="1:9" x14ac:dyDescent="0.2">
      <c r="A90" s="293"/>
      <c r="B90" s="23" t="s">
        <v>144</v>
      </c>
      <c r="C90" s="25"/>
      <c r="D90" s="164"/>
      <c r="E90" s="165"/>
      <c r="F90" s="205">
        <v>954277.72</v>
      </c>
      <c r="G90" s="226">
        <f>921</f>
        <v>921</v>
      </c>
      <c r="H90" s="304"/>
      <c r="I90" s="304">
        <f>921-40</f>
        <v>881</v>
      </c>
    </row>
    <row r="91" spans="1:9" x14ac:dyDescent="0.2">
      <c r="A91" s="293"/>
      <c r="B91" s="23" t="s">
        <v>145</v>
      </c>
      <c r="C91" s="25"/>
      <c r="D91" s="164"/>
      <c r="E91" s="165"/>
      <c r="F91" s="205">
        <v>1622139.12</v>
      </c>
      <c r="G91" s="226">
        <f>2026</f>
        <v>2026</v>
      </c>
      <c r="H91" s="304"/>
      <c r="I91" s="304">
        <f>2026-26</f>
        <v>2000</v>
      </c>
    </row>
    <row r="92" spans="1:9" x14ac:dyDescent="0.2">
      <c r="A92" s="293"/>
      <c r="B92" s="23" t="s">
        <v>146</v>
      </c>
      <c r="C92" s="25"/>
      <c r="D92" s="164"/>
      <c r="E92" s="165"/>
      <c r="F92" s="205">
        <v>165688.35</v>
      </c>
      <c r="G92" s="226">
        <f>314</f>
        <v>314</v>
      </c>
      <c r="H92" s="304"/>
      <c r="I92" s="304">
        <f>314-4</f>
        <v>310</v>
      </c>
    </row>
    <row r="93" spans="1:9" x14ac:dyDescent="0.2">
      <c r="A93" s="293"/>
      <c r="B93" s="23" t="s">
        <v>106</v>
      </c>
      <c r="C93" s="25"/>
      <c r="D93" s="164"/>
      <c r="E93" s="84"/>
      <c r="F93" s="312">
        <v>2093554.1</v>
      </c>
      <c r="G93" s="308">
        <f>1780+2419+332</f>
        <v>4531</v>
      </c>
      <c r="H93" s="224"/>
      <c r="I93" s="308">
        <f>1780+67</f>
        <v>1847</v>
      </c>
    </row>
    <row r="94" spans="1:9" x14ac:dyDescent="0.2">
      <c r="A94" s="293"/>
      <c r="B94" s="23"/>
      <c r="C94" s="25"/>
      <c r="D94" s="164"/>
      <c r="E94" s="165"/>
      <c r="F94" s="313">
        <f>SUM(F87:F93)</f>
        <v>9569950.8399999999</v>
      </c>
      <c r="G94" s="314">
        <f>SUM(G87:G93)</f>
        <v>11482</v>
      </c>
      <c r="I94" s="315">
        <f>SUM(I87:I93)</f>
        <v>8328</v>
      </c>
    </row>
    <row r="95" spans="1:9" x14ac:dyDescent="0.2">
      <c r="A95" s="293"/>
      <c r="B95" s="23"/>
      <c r="C95" s="25"/>
      <c r="D95" s="164"/>
      <c r="E95" s="165"/>
      <c r="F95" s="316"/>
      <c r="G95" s="317"/>
    </row>
    <row r="96" spans="1:9" ht="12.75" customHeight="1" x14ac:dyDescent="0.2">
      <c r="A96" s="311">
        <v>5.2</v>
      </c>
      <c r="B96" s="19" t="s">
        <v>63</v>
      </c>
      <c r="C96" s="25"/>
      <c r="D96" s="164"/>
      <c r="E96" s="164"/>
      <c r="F96" s="188"/>
      <c r="G96" s="84"/>
    </row>
    <row r="97" spans="1:9" ht="12.75" customHeight="1" x14ac:dyDescent="0.2">
      <c r="A97" s="311"/>
      <c r="B97" s="19" t="s">
        <v>140</v>
      </c>
      <c r="C97" s="25"/>
      <c r="D97" s="164"/>
      <c r="E97" s="164"/>
      <c r="F97" s="188"/>
      <c r="G97" s="84"/>
    </row>
    <row r="98" spans="1:9" x14ac:dyDescent="0.2">
      <c r="A98" s="293"/>
      <c r="B98" s="23" t="s">
        <v>142</v>
      </c>
      <c r="C98" s="25"/>
      <c r="D98" s="164"/>
      <c r="E98" s="165"/>
      <c r="F98" s="205">
        <v>3687.59</v>
      </c>
      <c r="G98" s="205" t="s">
        <v>22</v>
      </c>
    </row>
    <row r="99" spans="1:9" x14ac:dyDescent="0.2">
      <c r="A99" s="293"/>
      <c r="B99" s="23" t="s">
        <v>147</v>
      </c>
      <c r="C99" s="25"/>
      <c r="D99" s="164"/>
      <c r="E99" s="165"/>
      <c r="F99" s="205">
        <v>206470.58</v>
      </c>
      <c r="G99" s="205" t="s">
        <v>22</v>
      </c>
    </row>
    <row r="100" spans="1:9" x14ac:dyDescent="0.2">
      <c r="A100" s="293"/>
      <c r="B100" s="23" t="s">
        <v>148</v>
      </c>
      <c r="C100" s="25"/>
      <c r="D100" s="164"/>
      <c r="E100" s="165"/>
      <c r="F100" s="205">
        <v>5851.87</v>
      </c>
      <c r="G100" s="205" t="s">
        <v>22</v>
      </c>
    </row>
    <row r="101" spans="1:9" x14ac:dyDescent="0.2">
      <c r="A101" s="293"/>
      <c r="B101" s="23" t="s">
        <v>106</v>
      </c>
      <c r="C101" s="25"/>
      <c r="D101" s="164"/>
      <c r="E101" s="84"/>
      <c r="F101" s="312">
        <v>22241.14</v>
      </c>
      <c r="G101" s="318" t="s">
        <v>22</v>
      </c>
    </row>
    <row r="102" spans="1:9" x14ac:dyDescent="0.2">
      <c r="A102" s="293"/>
      <c r="B102" s="23"/>
      <c r="C102" s="25"/>
      <c r="D102" s="164"/>
      <c r="E102" s="84"/>
      <c r="F102" s="319">
        <f>SUM(F98:F101)</f>
        <v>238251.18</v>
      </c>
      <c r="G102" s="205" t="s">
        <v>22</v>
      </c>
    </row>
    <row r="103" spans="1:9" x14ac:dyDescent="0.2">
      <c r="A103" s="293"/>
      <c r="B103" s="23"/>
      <c r="C103" s="25"/>
      <c r="D103" s="164"/>
      <c r="E103" s="84"/>
      <c r="F103" s="320"/>
      <c r="G103" s="63"/>
    </row>
    <row r="104" spans="1:9" ht="13.5" customHeight="1" thickBot="1" x14ac:dyDescent="0.25">
      <c r="A104" s="293"/>
      <c r="B104" s="19" t="s">
        <v>149</v>
      </c>
      <c r="C104" s="25"/>
      <c r="D104" s="84"/>
      <c r="E104" s="84"/>
      <c r="F104" s="321">
        <f>SUM(F94,F102)</f>
        <v>9808202.0199999996</v>
      </c>
      <c r="G104" s="322">
        <f>SUM(G94,G102)</f>
        <v>11482</v>
      </c>
    </row>
    <row r="105" spans="1:9" ht="13.5" customHeight="1" thickTop="1" x14ac:dyDescent="0.2">
      <c r="A105" s="293"/>
      <c r="B105" s="19"/>
      <c r="C105" s="25"/>
      <c r="D105" s="84"/>
      <c r="E105" s="84"/>
      <c r="F105" s="195"/>
      <c r="G105" s="255"/>
    </row>
    <row r="106" spans="1:9" x14ac:dyDescent="0.2">
      <c r="A106" s="293"/>
      <c r="B106" s="643"/>
      <c r="C106" s="632"/>
      <c r="D106" s="165"/>
      <c r="E106" s="165"/>
      <c r="F106" s="188"/>
      <c r="G106" s="84"/>
    </row>
    <row r="107" spans="1:9" x14ac:dyDescent="0.2">
      <c r="A107" s="293"/>
      <c r="B107" s="23"/>
      <c r="C107" s="23"/>
      <c r="D107" s="84"/>
      <c r="E107" s="84"/>
      <c r="F107" s="195"/>
      <c r="G107" s="164"/>
    </row>
    <row r="108" spans="1:9" ht="15.75" customHeight="1" x14ac:dyDescent="0.25">
      <c r="A108" s="125" t="s">
        <v>150</v>
      </c>
      <c r="B108" s="175" t="s">
        <v>15</v>
      </c>
      <c r="C108" s="84"/>
      <c r="D108" s="84"/>
      <c r="E108" s="171"/>
      <c r="F108" s="191"/>
    </row>
    <row r="109" spans="1:9" x14ac:dyDescent="0.2">
      <c r="A109" s="293"/>
      <c r="B109" s="23"/>
      <c r="C109" s="84"/>
      <c r="D109" s="84"/>
      <c r="E109" s="185" t="s">
        <v>0</v>
      </c>
      <c r="F109" s="195"/>
      <c r="G109" s="73"/>
    </row>
    <row r="110" spans="1:9" x14ac:dyDescent="0.2">
      <c r="A110" s="293"/>
      <c r="B110" s="23" t="s">
        <v>151</v>
      </c>
      <c r="C110" s="84"/>
      <c r="D110" s="84"/>
      <c r="E110" s="169"/>
      <c r="F110" s="223">
        <v>2114232.04</v>
      </c>
      <c r="G110" s="226">
        <f>2138</f>
        <v>2138</v>
      </c>
      <c r="H110" s="304"/>
      <c r="I110" s="304">
        <f>2138-380</f>
        <v>1758</v>
      </c>
    </row>
    <row r="111" spans="1:9" x14ac:dyDescent="0.2">
      <c r="A111" s="293"/>
      <c r="B111" s="23" t="s">
        <v>21</v>
      </c>
      <c r="C111" s="84"/>
      <c r="D111" s="84"/>
      <c r="E111" s="20">
        <v>6.1</v>
      </c>
      <c r="F111" s="323">
        <f>F118</f>
        <v>4385514.41</v>
      </c>
      <c r="G111" s="324">
        <f>G118</f>
        <v>7550</v>
      </c>
    </row>
    <row r="112" spans="1:9" ht="13.5" customHeight="1" thickBot="1" x14ac:dyDescent="0.25">
      <c r="A112" s="293"/>
      <c r="B112" s="23" t="s">
        <v>152</v>
      </c>
      <c r="C112" s="84"/>
      <c r="D112" s="84"/>
      <c r="E112" s="169"/>
      <c r="F112" s="325">
        <f>SUM(F110:F111)</f>
        <v>6499746.4500000002</v>
      </c>
      <c r="G112" s="326">
        <f>SUM(G110:G111)</f>
        <v>9688</v>
      </c>
    </row>
    <row r="113" spans="1:9" ht="13.5" customHeight="1" thickTop="1" x14ac:dyDescent="0.2">
      <c r="A113" s="293"/>
      <c r="B113" s="23"/>
      <c r="C113" s="84"/>
      <c r="D113" s="84"/>
      <c r="E113" s="169"/>
      <c r="F113" s="223"/>
      <c r="G113" s="68"/>
    </row>
    <row r="114" spans="1:9" x14ac:dyDescent="0.2">
      <c r="A114" s="311">
        <v>6.1</v>
      </c>
      <c r="B114" s="19" t="s">
        <v>153</v>
      </c>
      <c r="C114" s="25"/>
      <c r="D114" s="26"/>
      <c r="E114" s="169"/>
      <c r="F114" s="205"/>
      <c r="G114" s="147"/>
    </row>
    <row r="115" spans="1:9" ht="12.75" customHeight="1" x14ac:dyDescent="0.2">
      <c r="A115" s="293"/>
      <c r="B115" s="23" t="s">
        <v>154</v>
      </c>
      <c r="C115" s="23"/>
      <c r="D115" s="84"/>
      <c r="E115" s="82"/>
      <c r="F115" s="223">
        <v>3242856.77</v>
      </c>
      <c r="G115" s="226">
        <f>5345</f>
        <v>5345</v>
      </c>
      <c r="H115" s="304"/>
      <c r="I115" s="304">
        <f>5345-840</f>
        <v>4505</v>
      </c>
    </row>
    <row r="116" spans="1:9" ht="12.75" customHeight="1" x14ac:dyDescent="0.2">
      <c r="A116" s="293"/>
      <c r="B116" s="23" t="s">
        <v>155</v>
      </c>
      <c r="C116" s="23"/>
      <c r="D116" s="84"/>
      <c r="E116" s="82"/>
      <c r="F116" s="223">
        <f>488576.85-500</f>
        <v>488076.85</v>
      </c>
      <c r="G116" s="226">
        <f>1465</f>
        <v>1465</v>
      </c>
      <c r="H116" s="304"/>
      <c r="I116" s="304">
        <f>1465-4</f>
        <v>1461</v>
      </c>
    </row>
    <row r="117" spans="1:9" ht="12.75" customHeight="1" x14ac:dyDescent="0.2">
      <c r="A117" s="293"/>
      <c r="B117" s="23" t="s">
        <v>156</v>
      </c>
      <c r="C117" s="23"/>
      <c r="D117" s="84"/>
      <c r="E117" s="82"/>
      <c r="F117" s="223">
        <v>654580.79</v>
      </c>
      <c r="G117" s="226">
        <f>740</f>
        <v>740</v>
      </c>
      <c r="H117" s="304"/>
      <c r="I117" s="304">
        <f>740+50</f>
        <v>790</v>
      </c>
    </row>
    <row r="118" spans="1:9" ht="13.5" customHeight="1" thickBot="1" x14ac:dyDescent="0.25">
      <c r="A118" s="293"/>
      <c r="B118" s="23"/>
      <c r="C118" s="23"/>
      <c r="D118" s="84"/>
      <c r="E118" s="82"/>
      <c r="F118" s="327">
        <f>SUM(F115:F117)</f>
        <v>4385514.41</v>
      </c>
      <c r="G118" s="328">
        <f>SUM(G115:G117)</f>
        <v>7550</v>
      </c>
      <c r="I118" s="329">
        <f>SUM(I115:I117)</f>
        <v>6756</v>
      </c>
    </row>
    <row r="119" spans="1:9" ht="13.5" customHeight="1" thickTop="1" x14ac:dyDescent="0.2">
      <c r="A119" s="293"/>
      <c r="B119" s="23"/>
      <c r="C119" s="23"/>
      <c r="D119" s="84"/>
      <c r="E119" s="82"/>
      <c r="F119" s="164"/>
      <c r="G119" s="255"/>
    </row>
    <row r="120" spans="1:9" x14ac:dyDescent="0.2">
      <c r="A120" s="293"/>
      <c r="B120" s="23"/>
      <c r="C120" s="23"/>
      <c r="D120" s="84"/>
      <c r="E120" s="82"/>
      <c r="F120" s="164"/>
      <c r="G120" s="255"/>
    </row>
    <row r="121" spans="1:9" x14ac:dyDescent="0.2">
      <c r="A121" s="330"/>
      <c r="B121" s="23"/>
      <c r="C121" s="23"/>
      <c r="D121" s="48"/>
      <c r="E121" s="83"/>
      <c r="F121" s="84"/>
      <c r="G121" s="84"/>
    </row>
    <row r="122" spans="1:9" ht="15.75" customHeight="1" x14ac:dyDescent="0.25">
      <c r="A122" s="125" t="s">
        <v>157</v>
      </c>
      <c r="B122" s="5" t="s">
        <v>23</v>
      </c>
      <c r="C122" s="84"/>
      <c r="D122" s="84"/>
      <c r="E122" s="171"/>
      <c r="F122" s="73"/>
      <c r="G122" s="73"/>
    </row>
    <row r="123" spans="1:9" x14ac:dyDescent="0.2">
      <c r="A123" s="293"/>
      <c r="B123" s="23"/>
      <c r="C123" s="84"/>
      <c r="D123" s="84"/>
      <c r="E123" s="185" t="s">
        <v>0</v>
      </c>
      <c r="F123" s="73"/>
      <c r="G123" s="73"/>
    </row>
    <row r="124" spans="1:9" x14ac:dyDescent="0.2">
      <c r="A124" s="293"/>
      <c r="B124" s="23" t="s">
        <v>63</v>
      </c>
      <c r="C124" s="84"/>
      <c r="D124" s="84"/>
      <c r="E124" s="20">
        <v>7.1</v>
      </c>
      <c r="F124" s="331">
        <f>F129</f>
        <v>5169002.09</v>
      </c>
      <c r="G124" s="332">
        <f>G129</f>
        <v>800</v>
      </c>
    </row>
    <row r="125" spans="1:9" ht="13.5" customHeight="1" thickBot="1" x14ac:dyDescent="0.25">
      <c r="A125" s="293"/>
      <c r="B125" s="23" t="s">
        <v>158</v>
      </c>
      <c r="C125" s="84"/>
      <c r="D125" s="84"/>
      <c r="E125" s="169"/>
      <c r="F125" s="333">
        <f>SUM(F124:F124)</f>
        <v>5169002.09</v>
      </c>
      <c r="G125" s="334">
        <f>SUM(G124:G124)</f>
        <v>800</v>
      </c>
    </row>
    <row r="126" spans="1:9" ht="15.75" customHeight="1" thickTop="1" x14ac:dyDescent="0.2">
      <c r="A126" s="293"/>
      <c r="B126" s="644"/>
      <c r="C126" s="632"/>
      <c r="D126" s="12"/>
      <c r="E126" s="12"/>
      <c r="F126" s="205"/>
      <c r="G126" s="147"/>
    </row>
    <row r="127" spans="1:9" x14ac:dyDescent="0.2">
      <c r="A127" s="311">
        <v>7.1</v>
      </c>
      <c r="B127" s="72" t="s">
        <v>159</v>
      </c>
      <c r="C127" s="25"/>
      <c r="D127" s="26"/>
      <c r="E127" s="26"/>
      <c r="F127" s="205"/>
      <c r="G127" s="147"/>
    </row>
    <row r="128" spans="1:9" ht="12.75" customHeight="1" x14ac:dyDescent="0.2">
      <c r="A128" s="293"/>
      <c r="B128" s="84" t="s">
        <v>160</v>
      </c>
      <c r="C128" s="23"/>
      <c r="D128" s="165"/>
      <c r="E128" s="165"/>
      <c r="F128" s="205">
        <v>5169002.09</v>
      </c>
      <c r="G128" s="226">
        <v>800</v>
      </c>
    </row>
    <row r="129" spans="1:9" ht="13.5" customHeight="1" thickBot="1" x14ac:dyDescent="0.25">
      <c r="A129" s="293"/>
      <c r="B129" s="23"/>
      <c r="C129" s="23"/>
      <c r="D129" s="84"/>
      <c r="E129" s="84"/>
      <c r="F129" s="335">
        <f>SUM(F128:F128)</f>
        <v>5169002.09</v>
      </c>
      <c r="G129" s="336">
        <f>SUM(G128:G128)</f>
        <v>800</v>
      </c>
    </row>
    <row r="130" spans="1:9" ht="13.5" customHeight="1" thickTop="1" x14ac:dyDescent="0.2">
      <c r="A130" s="291"/>
      <c r="B130" s="23"/>
      <c r="C130" s="84"/>
      <c r="D130" s="84"/>
    </row>
    <row r="131" spans="1:9" x14ac:dyDescent="0.2">
      <c r="A131" s="291"/>
      <c r="B131" s="23"/>
      <c r="C131" s="84"/>
      <c r="D131" s="84"/>
    </row>
    <row r="132" spans="1:9" x14ac:dyDescent="0.2">
      <c r="A132" s="291"/>
      <c r="B132" s="23"/>
      <c r="C132" s="84"/>
      <c r="D132" s="84"/>
    </row>
    <row r="133" spans="1:9" x14ac:dyDescent="0.2">
      <c r="A133" s="291"/>
      <c r="B133" s="23"/>
      <c r="C133" s="84"/>
      <c r="D133" s="84"/>
    </row>
    <row r="134" spans="1:9" ht="15.75" customHeight="1" x14ac:dyDescent="0.25">
      <c r="A134" s="125" t="s">
        <v>161</v>
      </c>
      <c r="B134" s="175" t="s">
        <v>16</v>
      </c>
      <c r="C134" s="84"/>
      <c r="D134" s="84"/>
    </row>
    <row r="135" spans="1:9" ht="26.45" customHeight="1" x14ac:dyDescent="0.2">
      <c r="A135" s="283">
        <v>8.1</v>
      </c>
      <c r="B135" s="19" t="s">
        <v>132</v>
      </c>
      <c r="C135" s="73"/>
      <c r="D135" s="73"/>
      <c r="E135" s="84"/>
      <c r="F135" s="73" t="s">
        <v>1</v>
      </c>
      <c r="G135" s="73" t="s">
        <v>2</v>
      </c>
    </row>
    <row r="136" spans="1:9" x14ac:dyDescent="0.2">
      <c r="A136" s="293"/>
      <c r="B136" s="23" t="s">
        <v>162</v>
      </c>
      <c r="C136" s="165"/>
      <c r="D136" s="165"/>
      <c r="E136" s="84"/>
      <c r="F136" s="205">
        <v>1782855.31</v>
      </c>
      <c r="G136" s="226">
        <v>1155</v>
      </c>
      <c r="H136" s="304"/>
      <c r="I136" s="304">
        <v>1155</v>
      </c>
    </row>
    <row r="137" spans="1:9" x14ac:dyDescent="0.2">
      <c r="A137" s="293"/>
      <c r="B137" s="23" t="s">
        <v>163</v>
      </c>
      <c r="C137" s="165"/>
      <c r="D137" s="165"/>
      <c r="E137" s="84"/>
      <c r="F137" s="205">
        <v>32128119.800000001</v>
      </c>
      <c r="G137" s="226">
        <f>46762-1</f>
        <v>46761</v>
      </c>
      <c r="H137" s="304"/>
      <c r="I137" s="304">
        <f>46762-1-976</f>
        <v>45785</v>
      </c>
    </row>
    <row r="138" spans="1:9" x14ac:dyDescent="0.2">
      <c r="A138" s="293"/>
      <c r="B138" s="23" t="s">
        <v>164</v>
      </c>
      <c r="C138" s="165"/>
      <c r="D138" s="165"/>
      <c r="E138" s="84"/>
      <c r="F138" s="205">
        <v>36479698.350000001</v>
      </c>
      <c r="G138" s="226">
        <f>28522</f>
        <v>28522</v>
      </c>
      <c r="H138" s="304"/>
      <c r="I138" s="304">
        <f>28522-482</f>
        <v>28040</v>
      </c>
    </row>
    <row r="139" spans="1:9" x14ac:dyDescent="0.2">
      <c r="A139" s="293"/>
      <c r="B139" s="23" t="s">
        <v>165</v>
      </c>
      <c r="C139" s="165"/>
      <c r="D139" s="165"/>
      <c r="E139" s="84"/>
      <c r="F139" s="205">
        <v>2723184.28</v>
      </c>
      <c r="G139" s="226">
        <f>1028</f>
        <v>1028</v>
      </c>
      <c r="H139" s="304"/>
      <c r="I139" s="304">
        <f>1028-574</f>
        <v>454</v>
      </c>
    </row>
    <row r="140" spans="1:9" x14ac:dyDescent="0.2">
      <c r="A140" s="293"/>
      <c r="B140" s="23" t="s">
        <v>106</v>
      </c>
      <c r="C140" s="84"/>
      <c r="D140" s="84"/>
      <c r="E140" s="84"/>
      <c r="F140" s="205">
        <v>2099227.9</v>
      </c>
      <c r="G140" s="226">
        <f>695</f>
        <v>695</v>
      </c>
      <c r="H140" s="304"/>
      <c r="I140" s="304">
        <f>695+190</f>
        <v>885</v>
      </c>
    </row>
    <row r="141" spans="1:9" x14ac:dyDescent="0.2">
      <c r="A141" s="293"/>
      <c r="B141" s="23"/>
      <c r="C141" s="84"/>
      <c r="D141" s="84"/>
      <c r="E141" s="84"/>
      <c r="F141" s="337">
        <f>SUM(F136:F140)</f>
        <v>75213085.640000015</v>
      </c>
      <c r="G141" s="338">
        <f>SUM(G136:G140)</f>
        <v>78161</v>
      </c>
      <c r="I141" s="339">
        <f>SUM(I136:I140)</f>
        <v>76319</v>
      </c>
    </row>
    <row r="142" spans="1:9" ht="13.15" customHeight="1" x14ac:dyDescent="0.2">
      <c r="A142" s="283">
        <v>8.1999999999999993</v>
      </c>
      <c r="B142" s="19" t="s">
        <v>63</v>
      </c>
      <c r="C142" s="164"/>
      <c r="D142" s="164"/>
      <c r="E142" s="84"/>
      <c r="F142" s="195"/>
      <c r="G142" s="255"/>
    </row>
    <row r="143" spans="1:9" x14ac:dyDescent="0.2">
      <c r="A143" s="293"/>
      <c r="B143" s="23" t="s">
        <v>163</v>
      </c>
      <c r="C143" s="165"/>
      <c r="D143" s="165"/>
      <c r="E143" s="84"/>
      <c r="F143" s="205">
        <v>266975.06</v>
      </c>
      <c r="G143" s="226">
        <v>715</v>
      </c>
    </row>
    <row r="144" spans="1:9" x14ac:dyDescent="0.2">
      <c r="A144" s="293"/>
      <c r="B144" s="23" t="s">
        <v>164</v>
      </c>
      <c r="C144" s="84"/>
      <c r="D144" s="84"/>
      <c r="E144" s="84"/>
      <c r="F144" s="318">
        <v>129667.19</v>
      </c>
      <c r="G144" s="226">
        <v>644</v>
      </c>
    </row>
    <row r="145" spans="1:9" x14ac:dyDescent="0.2">
      <c r="A145" s="293"/>
      <c r="B145" s="23"/>
      <c r="C145" s="84"/>
      <c r="D145" s="84"/>
      <c r="E145" s="84"/>
      <c r="F145" s="340">
        <f>SUM(F143:F144)</f>
        <v>396642.25</v>
      </c>
      <c r="G145" s="341">
        <f>SUM(G143:G144)</f>
        <v>1359</v>
      </c>
    </row>
    <row r="146" spans="1:9" x14ac:dyDescent="0.2">
      <c r="A146" s="293"/>
      <c r="B146" s="23"/>
      <c r="C146" s="84"/>
      <c r="D146" s="84"/>
      <c r="E146" s="84"/>
      <c r="F146" s="312"/>
      <c r="G146" s="308"/>
    </row>
    <row r="147" spans="1:9" ht="12.75" customHeight="1" thickBot="1" x14ac:dyDescent="0.25">
      <c r="A147" s="311"/>
      <c r="B147" s="19" t="s">
        <v>166</v>
      </c>
      <c r="C147" s="73"/>
      <c r="D147" s="73"/>
      <c r="E147" s="84"/>
      <c r="F147" s="342">
        <f>SUM(F141,F145)</f>
        <v>75609727.890000015</v>
      </c>
      <c r="G147" s="343">
        <f>SUM(G141,G145)</f>
        <v>79520</v>
      </c>
    </row>
    <row r="148" spans="1:9" ht="12.75" customHeight="1" thickTop="1" x14ac:dyDescent="0.2">
      <c r="A148" s="311"/>
      <c r="B148" s="19"/>
      <c r="C148" s="73"/>
      <c r="D148" s="73"/>
      <c r="E148" s="84"/>
      <c r="F148" s="344"/>
      <c r="G148" s="317"/>
    </row>
    <row r="149" spans="1:9" ht="12.75" customHeight="1" x14ac:dyDescent="0.2">
      <c r="A149" s="311"/>
      <c r="B149" s="19"/>
      <c r="C149" s="73"/>
      <c r="D149" s="73"/>
      <c r="E149" s="84"/>
      <c r="F149" s="344"/>
      <c r="G149" s="317"/>
    </row>
    <row r="150" spans="1:9" x14ac:dyDescent="0.2">
      <c r="F150" s="191"/>
    </row>
    <row r="151" spans="1:9" ht="15.75" customHeight="1" x14ac:dyDescent="0.25">
      <c r="A151" s="125" t="s">
        <v>167</v>
      </c>
      <c r="B151" s="5" t="s">
        <v>17</v>
      </c>
      <c r="F151" s="195" t="s">
        <v>24</v>
      </c>
      <c r="G151" s="73"/>
    </row>
    <row r="152" spans="1:9" ht="13.15" customHeight="1" x14ac:dyDescent="0.2">
      <c r="A152" s="311"/>
      <c r="B152" s="84"/>
      <c r="C152" s="73"/>
      <c r="D152" s="73"/>
      <c r="E152" s="185" t="s">
        <v>0</v>
      </c>
      <c r="F152" s="195"/>
      <c r="G152" s="73"/>
    </row>
    <row r="153" spans="1:9" ht="13.15" customHeight="1" x14ac:dyDescent="0.2">
      <c r="A153" s="311"/>
      <c r="B153" t="s">
        <v>168</v>
      </c>
      <c r="C153" s="169"/>
      <c r="D153" s="113"/>
      <c r="E153" s="122" t="s">
        <v>169</v>
      </c>
      <c r="F153" s="345">
        <f>F159</f>
        <v>1098395000</v>
      </c>
      <c r="G153" s="346">
        <f>G159</f>
        <v>800771</v>
      </c>
      <c r="I153" t="s">
        <v>170</v>
      </c>
    </row>
    <row r="154" spans="1:9" s="84" customFormat="1" ht="13.5" customHeight="1" thickBot="1" x14ac:dyDescent="0.25">
      <c r="A154" s="65"/>
      <c r="B154" s="19"/>
      <c r="E154" s="160"/>
      <c r="F154" s="347">
        <f>SUM(F153:F153)</f>
        <v>1098395000</v>
      </c>
      <c r="G154" s="348">
        <f>SUM(G153:G153)</f>
        <v>800771</v>
      </c>
    </row>
    <row r="155" spans="1:9" s="84" customFormat="1" ht="13.5" customHeight="1" thickTop="1" x14ac:dyDescent="0.2">
      <c r="A155" s="65"/>
      <c r="B155" s="19"/>
      <c r="E155" s="160"/>
      <c r="F155" s="290"/>
      <c r="G155" s="317"/>
    </row>
    <row r="156" spans="1:9" s="84" customFormat="1" hidden="1" x14ac:dyDescent="0.2">
      <c r="A156" s="65"/>
      <c r="B156" s="93" t="s">
        <v>171</v>
      </c>
      <c r="C156" s="169"/>
      <c r="D156" s="113"/>
      <c r="E156" s="169"/>
      <c r="F156" s="25"/>
      <c r="G156" s="25"/>
    </row>
    <row r="157" spans="1:9" s="84" customFormat="1" hidden="1" x14ac:dyDescent="0.2">
      <c r="A157" s="65"/>
      <c r="B157" s="22" t="s">
        <v>21</v>
      </c>
      <c r="E157" s="224"/>
      <c r="F157" s="349">
        <v>230500000</v>
      </c>
      <c r="G157" s="224">
        <v>172000</v>
      </c>
      <c r="H157" s="224"/>
    </row>
    <row r="158" spans="1:9" s="84" customFormat="1" hidden="1" x14ac:dyDescent="0.2">
      <c r="A158" s="65"/>
      <c r="B158" s="22" t="s">
        <v>11</v>
      </c>
      <c r="E158" s="160"/>
      <c r="F158" s="349">
        <v>867895000</v>
      </c>
      <c r="G158" s="224">
        <f>628771</f>
        <v>628771</v>
      </c>
      <c r="H158" s="224"/>
      <c r="I158" s="224">
        <f>628771+23081</f>
        <v>651852</v>
      </c>
    </row>
    <row r="159" spans="1:9" s="84" customFormat="1" ht="13.5" hidden="1" customHeight="1" thickBot="1" x14ac:dyDescent="0.25">
      <c r="A159" s="65"/>
      <c r="B159" s="22"/>
      <c r="E159" s="160"/>
      <c r="F159" s="350">
        <f>SUM(F157:F158)</f>
        <v>1098395000</v>
      </c>
      <c r="G159" s="351">
        <f>SUM(G157:G158)</f>
        <v>800771</v>
      </c>
    </row>
    <row r="160" spans="1:9" s="84" customFormat="1" ht="13.5" hidden="1" customHeight="1" thickTop="1" x14ac:dyDescent="0.2">
      <c r="A160" s="65"/>
      <c r="F160" s="188"/>
    </row>
    <row r="161" spans="1:9" s="84" customFormat="1" x14ac:dyDescent="0.2">
      <c r="A161" s="291"/>
      <c r="F161" s="188"/>
    </row>
    <row r="162" spans="1:9" ht="15.75" customHeight="1" x14ac:dyDescent="0.25">
      <c r="A162" s="125" t="s">
        <v>172</v>
      </c>
      <c r="B162" s="5" t="s">
        <v>18</v>
      </c>
      <c r="E162" s="171"/>
      <c r="F162" s="195"/>
      <c r="G162" s="73"/>
    </row>
    <row r="163" spans="1:9" ht="13.15" customHeight="1" x14ac:dyDescent="0.2">
      <c r="A163" s="283">
        <v>10.1</v>
      </c>
      <c r="B163" s="19" t="s">
        <v>132</v>
      </c>
      <c r="C163" s="73"/>
      <c r="D163" s="73"/>
      <c r="E163" s="185" t="s">
        <v>0</v>
      </c>
      <c r="F163" s="195"/>
      <c r="G163" s="73"/>
    </row>
    <row r="164" spans="1:9" ht="13.15" customHeight="1" x14ac:dyDescent="0.2">
      <c r="A164" s="291"/>
      <c r="B164" s="23" t="s">
        <v>173</v>
      </c>
      <c r="C164" s="23"/>
      <c r="D164" s="23"/>
      <c r="E164" s="20">
        <v>10.199999999999999</v>
      </c>
      <c r="F164" s="352">
        <f>F176</f>
        <v>3166</v>
      </c>
      <c r="G164" s="353">
        <f>G176</f>
        <v>33</v>
      </c>
    </row>
    <row r="165" spans="1:9" x14ac:dyDescent="0.2">
      <c r="A165" s="291"/>
      <c r="B165" s="23" t="s">
        <v>174</v>
      </c>
      <c r="C165" s="23"/>
      <c r="D165" s="23"/>
      <c r="E165" s="20">
        <v>10.3</v>
      </c>
      <c r="F165" s="354">
        <f>F185</f>
        <v>208116.29</v>
      </c>
      <c r="G165" s="355">
        <f>G185</f>
        <v>101</v>
      </c>
    </row>
    <row r="166" spans="1:9" ht="13.15" customHeight="1" x14ac:dyDescent="0.2">
      <c r="A166" s="291"/>
      <c r="B166" s="23" t="s">
        <v>175</v>
      </c>
      <c r="C166" s="23"/>
      <c r="D166" s="23"/>
      <c r="E166" s="169"/>
      <c r="F166" s="312" t="s">
        <v>22</v>
      </c>
      <c r="G166" s="308">
        <v>2000</v>
      </c>
    </row>
    <row r="167" spans="1:9" x14ac:dyDescent="0.2">
      <c r="A167" s="356"/>
      <c r="B167" s="23"/>
      <c r="C167" s="23"/>
      <c r="D167" s="23"/>
      <c r="E167" s="170"/>
      <c r="F167" s="357">
        <f>SUM(F164:F166)</f>
        <v>211282.29</v>
      </c>
      <c r="G167" s="358">
        <f>SUM(G164:G166)</f>
        <v>2134</v>
      </c>
    </row>
    <row r="168" spans="1:9" x14ac:dyDescent="0.2">
      <c r="A168" s="356"/>
      <c r="B168" s="23"/>
      <c r="C168" s="23"/>
      <c r="D168" s="23"/>
      <c r="E168" s="84"/>
      <c r="F168" s="312"/>
      <c r="G168" s="308"/>
    </row>
    <row r="169" spans="1:9" ht="13.5" customHeight="1" thickBot="1" x14ac:dyDescent="0.25">
      <c r="A169" s="291"/>
      <c r="B169" s="19" t="s">
        <v>176</v>
      </c>
      <c r="C169" s="84"/>
      <c r="D169" s="84"/>
      <c r="E169" s="84"/>
      <c r="F169" s="359">
        <f>SUM(F167)</f>
        <v>211282.29</v>
      </c>
      <c r="G169" s="360">
        <f>SUM(G167)</f>
        <v>2134</v>
      </c>
    </row>
    <row r="170" spans="1:9" ht="13.5" customHeight="1" thickTop="1" x14ac:dyDescent="0.2">
      <c r="A170" s="356"/>
      <c r="B170" s="23"/>
      <c r="C170" s="165"/>
      <c r="D170" s="165"/>
      <c r="E170" s="84"/>
      <c r="F170" s="84"/>
      <c r="G170" s="84"/>
    </row>
    <row r="171" spans="1:9" x14ac:dyDescent="0.2">
      <c r="A171" s="311">
        <v>10.199999999999999</v>
      </c>
      <c r="B171" s="72" t="s">
        <v>173</v>
      </c>
      <c r="C171" s="84"/>
      <c r="D171" s="84"/>
      <c r="E171" s="84"/>
      <c r="F171" s="73"/>
      <c r="G171" s="73"/>
    </row>
    <row r="172" spans="1:9" x14ac:dyDescent="0.2">
      <c r="A172" s="291"/>
      <c r="B172" s="19" t="s">
        <v>177</v>
      </c>
      <c r="C172" s="164"/>
      <c r="D172" s="84"/>
      <c r="E172" s="84"/>
      <c r="F172" s="84"/>
      <c r="G172" s="84"/>
    </row>
    <row r="173" spans="1:9" x14ac:dyDescent="0.2">
      <c r="A173" s="283"/>
      <c r="B173" s="84" t="s">
        <v>178</v>
      </c>
      <c r="C173" s="84"/>
      <c r="D173" s="84"/>
      <c r="E173" s="84"/>
      <c r="F173" s="205" t="s">
        <v>22</v>
      </c>
      <c r="G173" s="226">
        <f>16+15+2</f>
        <v>33</v>
      </c>
      <c r="I173" s="105"/>
    </row>
    <row r="174" spans="1:9" x14ac:dyDescent="0.2">
      <c r="A174" s="283"/>
      <c r="B174" s="23" t="s">
        <v>179</v>
      </c>
      <c r="C174" s="84"/>
      <c r="D174" s="84"/>
      <c r="E174" s="84"/>
      <c r="F174" s="205">
        <v>916</v>
      </c>
      <c r="G174" s="226" t="s">
        <v>22</v>
      </c>
      <c r="I174" s="105"/>
    </row>
    <row r="175" spans="1:9" x14ac:dyDescent="0.2">
      <c r="A175" s="283"/>
      <c r="B175" s="23" t="s">
        <v>180</v>
      </c>
      <c r="C175" s="84"/>
      <c r="D175" s="84"/>
      <c r="E175" s="84"/>
      <c r="F175" s="205">
        <v>2250</v>
      </c>
      <c r="G175" s="226" t="s">
        <v>22</v>
      </c>
      <c r="I175" s="105"/>
    </row>
    <row r="176" spans="1:9" ht="13.5" customHeight="1" thickBot="1" x14ac:dyDescent="0.25">
      <c r="A176" s="283"/>
      <c r="B176" s="23"/>
      <c r="C176" s="84"/>
      <c r="D176" s="84"/>
      <c r="E176" s="84"/>
      <c r="F176" s="361">
        <f>SUM(F173:F175)</f>
        <v>3166</v>
      </c>
      <c r="G176" s="362">
        <f>SUM(G173:G175)</f>
        <v>33</v>
      </c>
      <c r="I176" s="105"/>
    </row>
    <row r="177" spans="1:9" ht="13.5" customHeight="1" thickTop="1" x14ac:dyDescent="0.2">
      <c r="A177" s="311"/>
      <c r="B177" s="23"/>
      <c r="C177" s="84"/>
      <c r="D177" s="84"/>
      <c r="E177" s="84"/>
      <c r="F177" s="188"/>
      <c r="G177" s="84"/>
      <c r="I177" s="105"/>
    </row>
    <row r="178" spans="1:9" ht="25.5" customHeight="1" x14ac:dyDescent="0.2">
      <c r="A178" s="311">
        <v>10.3</v>
      </c>
      <c r="B178" s="637" t="s">
        <v>181</v>
      </c>
      <c r="C178" s="632"/>
      <c r="D178" s="632"/>
      <c r="E178" s="632"/>
      <c r="F178" s="195"/>
      <c r="G178" s="73"/>
      <c r="I178" s="105"/>
    </row>
    <row r="179" spans="1:9" x14ac:dyDescent="0.2">
      <c r="A179" s="291"/>
      <c r="B179" s="19" t="s">
        <v>182</v>
      </c>
      <c r="C179" s="164"/>
      <c r="D179" s="84"/>
      <c r="E179" s="84"/>
      <c r="F179" s="188"/>
      <c r="G179" s="84"/>
      <c r="I179" s="105"/>
    </row>
    <row r="180" spans="1:9" x14ac:dyDescent="0.2">
      <c r="A180" s="283"/>
      <c r="B180" s="23" t="s">
        <v>183</v>
      </c>
      <c r="C180" s="2"/>
      <c r="D180" s="84"/>
      <c r="E180" s="84"/>
      <c r="F180" s="205" t="s">
        <v>22</v>
      </c>
      <c r="G180" s="147">
        <v>100</v>
      </c>
      <c r="I180" s="105"/>
    </row>
    <row r="181" spans="1:9" x14ac:dyDescent="0.2">
      <c r="A181" s="283"/>
      <c r="B181" s="23" t="s">
        <v>184</v>
      </c>
      <c r="C181" s="2"/>
      <c r="D181" s="84"/>
      <c r="E181" s="84"/>
      <c r="F181" s="205" t="s">
        <v>22</v>
      </c>
      <c r="G181" s="147">
        <v>1</v>
      </c>
      <c r="I181" s="105"/>
    </row>
    <row r="182" spans="1:9" x14ac:dyDescent="0.2">
      <c r="A182" s="283"/>
      <c r="B182" s="23" t="s">
        <v>185</v>
      </c>
      <c r="C182" s="2"/>
      <c r="D182" s="84"/>
      <c r="E182" s="84"/>
      <c r="F182" s="205">
        <v>100000</v>
      </c>
      <c r="G182" s="147" t="s">
        <v>22</v>
      </c>
      <c r="I182" s="105"/>
    </row>
    <row r="183" spans="1:9" x14ac:dyDescent="0.2">
      <c r="A183" s="283"/>
      <c r="B183" s="23" t="s">
        <v>186</v>
      </c>
      <c r="C183" s="2"/>
      <c r="D183" s="84"/>
      <c r="E183" s="84"/>
      <c r="F183" s="205">
        <v>100000</v>
      </c>
      <c r="G183" s="147" t="s">
        <v>22</v>
      </c>
      <c r="I183" s="105"/>
    </row>
    <row r="184" spans="1:9" x14ac:dyDescent="0.2">
      <c r="A184" s="283"/>
      <c r="B184" s="23" t="s">
        <v>187</v>
      </c>
      <c r="C184" s="2"/>
      <c r="D184" s="84"/>
      <c r="E184" s="84"/>
      <c r="F184" s="205">
        <v>8116.29</v>
      </c>
      <c r="G184" s="226" t="s">
        <v>22</v>
      </c>
      <c r="I184" s="105"/>
    </row>
    <row r="185" spans="1:9" ht="13.5" customHeight="1" thickBot="1" x14ac:dyDescent="0.25">
      <c r="A185" s="283"/>
      <c r="B185" s="23"/>
      <c r="C185" s="84"/>
      <c r="D185" s="84"/>
      <c r="E185" s="84"/>
      <c r="F185" s="363">
        <f>SUM(F180:F184)</f>
        <v>208116.29</v>
      </c>
      <c r="G185" s="364">
        <f>SUM(G180:G184)</f>
        <v>101</v>
      </c>
      <c r="I185" s="105"/>
    </row>
    <row r="186" spans="1:9" ht="13.5" customHeight="1" thickTop="1" x14ac:dyDescent="0.2">
      <c r="A186" s="283"/>
      <c r="B186" s="23"/>
      <c r="C186" s="84"/>
      <c r="D186" s="84"/>
      <c r="E186" s="84"/>
      <c r="F186" s="2"/>
      <c r="G186" s="2"/>
      <c r="I186" s="105"/>
    </row>
    <row r="187" spans="1:9" x14ac:dyDescent="0.2">
      <c r="A187" s="283"/>
      <c r="B187" s="23"/>
      <c r="C187" s="2"/>
      <c r="I187" s="105"/>
    </row>
    <row r="188" spans="1:9" x14ac:dyDescent="0.2">
      <c r="B188" s="23"/>
      <c r="I188" s="105"/>
    </row>
    <row r="189" spans="1:9" ht="15.6" customHeight="1" x14ac:dyDescent="0.25">
      <c r="A189" s="125" t="s">
        <v>188</v>
      </c>
      <c r="B189" s="175" t="s">
        <v>189</v>
      </c>
      <c r="C189" t="s">
        <v>190</v>
      </c>
      <c r="I189" s="105"/>
    </row>
    <row r="190" spans="1:9" ht="25.5" customHeight="1" x14ac:dyDescent="0.2">
      <c r="A190" s="311"/>
      <c r="B190" s="30"/>
      <c r="C190" s="84"/>
      <c r="D190" s="84"/>
      <c r="E190" s="185" t="s">
        <v>0</v>
      </c>
      <c r="F190" s="73" t="s">
        <v>1</v>
      </c>
      <c r="G190" s="73" t="s">
        <v>2</v>
      </c>
    </row>
    <row r="191" spans="1:9" x14ac:dyDescent="0.2">
      <c r="A191" s="291"/>
      <c r="B191" s="23" t="s">
        <v>191</v>
      </c>
      <c r="C191" s="165"/>
      <c r="D191" s="165"/>
      <c r="E191" s="20">
        <v>11.1</v>
      </c>
      <c r="F191" s="365">
        <f>F199</f>
        <v>8290.58</v>
      </c>
      <c r="G191" s="366">
        <f>G199</f>
        <v>3</v>
      </c>
    </row>
    <row r="192" spans="1:9" x14ac:dyDescent="0.2">
      <c r="A192" s="291"/>
      <c r="B192" s="23" t="s">
        <v>192</v>
      </c>
      <c r="C192" s="165"/>
      <c r="D192" s="165"/>
      <c r="E192" s="20">
        <v>11.2</v>
      </c>
      <c r="F192" s="352">
        <f>F204</f>
        <v>66737.460000000006</v>
      </c>
      <c r="G192" s="367">
        <f>G204</f>
        <v>36</v>
      </c>
    </row>
    <row r="193" spans="1:7" x14ac:dyDescent="0.2">
      <c r="A193" s="291"/>
      <c r="B193" s="23" t="s">
        <v>193</v>
      </c>
      <c r="C193" s="84"/>
      <c r="D193" s="84"/>
      <c r="E193" s="20">
        <v>11.4</v>
      </c>
      <c r="F193" s="368">
        <f>F218</f>
        <v>65394.18</v>
      </c>
      <c r="G193" s="369">
        <f>G218</f>
        <v>36</v>
      </c>
    </row>
    <row r="194" spans="1:7" ht="13.5" customHeight="1" thickBot="1" x14ac:dyDescent="0.25">
      <c r="A194" s="356"/>
      <c r="B194" s="101"/>
      <c r="C194" s="84"/>
      <c r="D194" s="84"/>
      <c r="E194" s="170"/>
      <c r="F194" s="370">
        <f>SUM(F191:F193)</f>
        <v>140422.22</v>
      </c>
      <c r="G194" s="371">
        <f>SUM(G191:G193)</f>
        <v>75</v>
      </c>
    </row>
    <row r="195" spans="1:7" ht="13.5" customHeight="1" thickTop="1" x14ac:dyDescent="0.2">
      <c r="A195" s="356"/>
      <c r="B195" s="101"/>
      <c r="C195" s="84"/>
      <c r="D195" s="84"/>
      <c r="E195" s="84"/>
      <c r="F195" s="195"/>
      <c r="G195" s="164"/>
    </row>
    <row r="196" spans="1:7" ht="13.15" customHeight="1" x14ac:dyDescent="0.2">
      <c r="A196" s="311">
        <v>11.1</v>
      </c>
      <c r="B196" s="72" t="s">
        <v>191</v>
      </c>
      <c r="C196" s="84"/>
      <c r="D196" s="84"/>
      <c r="E196" s="84"/>
      <c r="F196" s="195"/>
      <c r="G196" s="73"/>
    </row>
    <row r="197" spans="1:7" x14ac:dyDescent="0.2">
      <c r="A197" s="291"/>
      <c r="B197" s="12" t="s">
        <v>194</v>
      </c>
      <c r="C197" s="12"/>
      <c r="D197" s="84"/>
      <c r="E197" s="84"/>
      <c r="F197" s="195"/>
      <c r="G197" s="73"/>
    </row>
    <row r="198" spans="1:7" x14ac:dyDescent="0.2">
      <c r="A198" s="283"/>
      <c r="B198" s="84" t="s">
        <v>195</v>
      </c>
      <c r="C198" s="2"/>
      <c r="D198" s="84"/>
      <c r="E198" s="84"/>
      <c r="F198" s="205">
        <v>8290.58</v>
      </c>
      <c r="G198" s="226">
        <v>3</v>
      </c>
    </row>
    <row r="199" spans="1:7" ht="13.5" customHeight="1" thickBot="1" x14ac:dyDescent="0.25">
      <c r="A199" s="283"/>
      <c r="B199" s="23"/>
      <c r="C199" s="84"/>
      <c r="D199" s="84"/>
      <c r="E199" s="84"/>
      <c r="F199" s="335">
        <f>SUM(F198:F198)</f>
        <v>8290.58</v>
      </c>
      <c r="G199" s="372">
        <f>SUM(G198:G198)</f>
        <v>3</v>
      </c>
    </row>
    <row r="200" spans="1:7" ht="13.5" customHeight="1" thickTop="1" x14ac:dyDescent="0.2">
      <c r="A200" s="283"/>
      <c r="B200" s="23"/>
      <c r="C200" s="84"/>
      <c r="D200" s="84"/>
      <c r="E200" s="84"/>
      <c r="F200" s="373"/>
      <c r="G200" s="374"/>
    </row>
    <row r="201" spans="1:7" ht="13.15" customHeight="1" x14ac:dyDescent="0.2">
      <c r="A201" s="311">
        <v>11.2</v>
      </c>
      <c r="B201" s="637" t="s">
        <v>196</v>
      </c>
      <c r="C201" s="632"/>
      <c r="D201" s="632"/>
      <c r="E201" s="632"/>
      <c r="F201" s="188"/>
      <c r="G201" s="84"/>
    </row>
    <row r="202" spans="1:7" x14ac:dyDescent="0.2">
      <c r="A202" s="291"/>
      <c r="B202" s="12" t="s">
        <v>194</v>
      </c>
      <c r="C202" s="73"/>
      <c r="D202" s="84"/>
      <c r="E202" s="84"/>
      <c r="F202" s="195"/>
      <c r="G202" s="73"/>
    </row>
    <row r="203" spans="1:7" x14ac:dyDescent="0.2">
      <c r="A203" s="283"/>
      <c r="B203" s="84" t="s">
        <v>197</v>
      </c>
      <c r="C203" s="2"/>
      <c r="D203" s="84"/>
      <c r="E203" s="84"/>
      <c r="F203" s="205">
        <v>66737.460000000006</v>
      </c>
      <c r="G203" s="226">
        <v>36</v>
      </c>
    </row>
    <row r="204" spans="1:7" ht="13.5" customHeight="1" thickBot="1" x14ac:dyDescent="0.25">
      <c r="A204" s="283"/>
      <c r="B204" s="23"/>
      <c r="C204" s="84"/>
      <c r="D204" s="84"/>
      <c r="E204" s="84"/>
      <c r="F204" s="335">
        <f>SUM(F203:F203)</f>
        <v>66737.460000000006</v>
      </c>
      <c r="G204" s="372">
        <f>SUM(G203:G203)</f>
        <v>36</v>
      </c>
    </row>
    <row r="205" spans="1:7" ht="13.5" customHeight="1" thickTop="1" x14ac:dyDescent="0.2">
      <c r="A205" s="311"/>
      <c r="B205" s="23"/>
      <c r="C205" s="84"/>
      <c r="D205" s="84"/>
      <c r="E205" s="84"/>
      <c r="F205" s="84"/>
      <c r="G205" s="84"/>
    </row>
    <row r="206" spans="1:7" ht="13.15" customHeight="1" x14ac:dyDescent="0.2">
      <c r="A206" s="279">
        <v>11.3</v>
      </c>
      <c r="B206" s="637" t="s">
        <v>198</v>
      </c>
      <c r="C206" s="632"/>
      <c r="D206" s="632"/>
      <c r="E206" s="632"/>
      <c r="F206" s="84"/>
      <c r="G206" s="84"/>
    </row>
    <row r="207" spans="1:7" ht="25.5" customHeight="1" x14ac:dyDescent="0.2">
      <c r="A207" s="291"/>
      <c r="B207" s="12" t="s">
        <v>194</v>
      </c>
      <c r="C207" s="653" t="s">
        <v>132</v>
      </c>
      <c r="D207" s="632"/>
      <c r="E207" s="164" t="s">
        <v>63</v>
      </c>
      <c r="F207" s="73" t="s">
        <v>1</v>
      </c>
      <c r="G207" s="73" t="s">
        <v>2</v>
      </c>
    </row>
    <row r="208" spans="1:7" x14ac:dyDescent="0.2">
      <c r="A208" s="283"/>
      <c r="B208" s="84" t="s">
        <v>199</v>
      </c>
      <c r="C208" s="640" t="s">
        <v>22</v>
      </c>
      <c r="D208" s="632"/>
      <c r="E208" s="223" t="s">
        <v>22</v>
      </c>
      <c r="F208" s="205" t="s">
        <v>22</v>
      </c>
      <c r="G208" s="226">
        <v>30</v>
      </c>
    </row>
    <row r="209" spans="1:7" x14ac:dyDescent="0.2">
      <c r="A209" s="283"/>
      <c r="B209" s="84" t="s">
        <v>200</v>
      </c>
      <c r="C209" s="640">
        <v>3936</v>
      </c>
      <c r="D209" s="632"/>
      <c r="E209" s="223" t="s">
        <v>22</v>
      </c>
      <c r="F209" s="375">
        <f>SUM(C209:E209)</f>
        <v>3936</v>
      </c>
      <c r="G209" s="226">
        <v>3</v>
      </c>
    </row>
    <row r="210" spans="1:7" x14ac:dyDescent="0.2">
      <c r="A210" s="283"/>
      <c r="B210" s="84" t="s">
        <v>201</v>
      </c>
      <c r="C210" s="640">
        <v>31000</v>
      </c>
      <c r="D210" s="632"/>
      <c r="E210" s="223" t="s">
        <v>22</v>
      </c>
      <c r="F210" s="375">
        <f>SUM(C210:E210)</f>
        <v>31000</v>
      </c>
      <c r="G210" s="226">
        <v>22</v>
      </c>
    </row>
    <row r="211" spans="1:7" x14ac:dyDescent="0.2">
      <c r="A211" s="291"/>
      <c r="B211" s="84" t="s">
        <v>202</v>
      </c>
      <c r="C211" s="640">
        <v>9430</v>
      </c>
      <c r="D211" s="632"/>
      <c r="E211" s="223" t="s">
        <v>22</v>
      </c>
      <c r="F211" s="375">
        <f>SUM(C211:E211)</f>
        <v>9430</v>
      </c>
      <c r="G211" s="226" t="s">
        <v>22</v>
      </c>
    </row>
    <row r="212" spans="1:7" x14ac:dyDescent="0.2">
      <c r="A212" s="291"/>
      <c r="B212" s="84" t="s">
        <v>203</v>
      </c>
      <c r="C212" s="649">
        <v>951.02</v>
      </c>
      <c r="D212" s="650"/>
      <c r="E212" s="223" t="s">
        <v>22</v>
      </c>
      <c r="F212" s="375">
        <f>SUM(C212:E212)</f>
        <v>951.02</v>
      </c>
      <c r="G212" s="226" t="s">
        <v>22</v>
      </c>
    </row>
    <row r="213" spans="1:7" ht="13.5" customHeight="1" thickBot="1" x14ac:dyDescent="0.25">
      <c r="A213" s="291"/>
      <c r="B213" s="84"/>
      <c r="C213" s="652">
        <f>SUM(C208:D212)</f>
        <v>45317.02</v>
      </c>
      <c r="D213" s="642"/>
      <c r="E213" s="376" t="s">
        <v>22</v>
      </c>
      <c r="F213" s="377">
        <f>SUM(F208:F212)</f>
        <v>45317.02</v>
      </c>
      <c r="G213" s="378">
        <f>SUM(G208:G212)</f>
        <v>55</v>
      </c>
    </row>
    <row r="214" spans="1:7" ht="13.5" customHeight="1" thickTop="1" x14ac:dyDescent="0.2">
      <c r="A214" s="311"/>
      <c r="B214" s="23"/>
      <c r="C214" s="84"/>
      <c r="D214" s="84"/>
      <c r="E214" s="84"/>
      <c r="F214" s="84"/>
      <c r="G214" s="84"/>
    </row>
    <row r="215" spans="1:7" x14ac:dyDescent="0.2">
      <c r="A215" s="279">
        <v>11.4</v>
      </c>
      <c r="B215" s="6" t="s">
        <v>204</v>
      </c>
      <c r="C215" s="84"/>
      <c r="D215" s="84"/>
      <c r="E215" s="84"/>
      <c r="F215" s="84"/>
      <c r="G215" s="84"/>
    </row>
    <row r="216" spans="1:7" x14ac:dyDescent="0.2">
      <c r="A216" s="291"/>
      <c r="B216" s="12" t="s">
        <v>205</v>
      </c>
      <c r="C216" s="164"/>
      <c r="D216" s="84"/>
      <c r="E216" s="84"/>
      <c r="F216" s="73"/>
      <c r="G216" s="73"/>
    </row>
    <row r="217" spans="1:7" x14ac:dyDescent="0.2">
      <c r="A217" s="283"/>
      <c r="B217" s="84" t="s">
        <v>206</v>
      </c>
      <c r="C217" s="2"/>
      <c r="D217" s="84"/>
      <c r="E217" s="84"/>
      <c r="F217" s="205">
        <v>65394.18</v>
      </c>
      <c r="G217" s="226">
        <v>36</v>
      </c>
    </row>
    <row r="218" spans="1:7" ht="13.5" customHeight="1" thickBot="1" x14ac:dyDescent="0.25">
      <c r="A218" s="283"/>
      <c r="B218" s="23"/>
      <c r="C218" s="84"/>
      <c r="D218" s="84"/>
      <c r="E218" s="84"/>
      <c r="F218" s="335">
        <f>SUM(F217:F217)</f>
        <v>65394.18</v>
      </c>
      <c r="G218" s="372">
        <f>SUM(G217:G217)</f>
        <v>36</v>
      </c>
    </row>
    <row r="219" spans="1:7" ht="13.5" customHeight="1" thickTop="1" x14ac:dyDescent="0.2">
      <c r="A219" s="283"/>
      <c r="B219" s="23"/>
      <c r="C219" s="84"/>
      <c r="D219" s="84"/>
      <c r="E219" s="84"/>
      <c r="F219" s="373"/>
      <c r="G219" s="374"/>
    </row>
    <row r="220" spans="1:7" x14ac:dyDescent="0.2">
      <c r="A220" s="287">
        <v>11.5</v>
      </c>
      <c r="B220" s="95" t="s">
        <v>207</v>
      </c>
      <c r="C220" s="79"/>
      <c r="D220" s="84"/>
      <c r="E220" s="84"/>
      <c r="F220" s="188"/>
      <c r="G220" s="84"/>
    </row>
    <row r="221" spans="1:7" x14ac:dyDescent="0.2">
      <c r="A221" s="379"/>
      <c r="B221" s="96" t="s">
        <v>208</v>
      </c>
      <c r="C221" s="80"/>
      <c r="D221" s="84"/>
      <c r="E221" s="84"/>
      <c r="F221" s="195"/>
      <c r="G221" s="73"/>
    </row>
    <row r="222" spans="1:7" x14ac:dyDescent="0.2">
      <c r="A222" s="283"/>
      <c r="B222" s="23" t="s">
        <v>90</v>
      </c>
      <c r="C222" s="2"/>
      <c r="D222" s="84"/>
      <c r="E222" s="84"/>
      <c r="F222" s="205">
        <v>140422.22</v>
      </c>
      <c r="G222" s="147">
        <v>75</v>
      </c>
    </row>
    <row r="223" spans="1:7" ht="13.5" customHeight="1" thickBot="1" x14ac:dyDescent="0.25">
      <c r="A223" s="283"/>
      <c r="B223" s="23"/>
      <c r="C223" s="84"/>
      <c r="D223" s="84"/>
      <c r="E223" s="84"/>
      <c r="F223" s="335">
        <f>SUM(F222:F222)</f>
        <v>140422.22</v>
      </c>
      <c r="G223" s="336">
        <f>SUM(G222:G222)</f>
        <v>75</v>
      </c>
    </row>
    <row r="224" spans="1:7" ht="13.5" customHeight="1" thickTop="1" x14ac:dyDescent="0.2">
      <c r="A224" s="283"/>
      <c r="B224" s="23"/>
      <c r="C224" s="84"/>
      <c r="D224" s="84"/>
      <c r="E224" s="84"/>
      <c r="F224" s="373"/>
      <c r="G224" s="2"/>
    </row>
    <row r="225" spans="1:8" x14ac:dyDescent="0.2">
      <c r="A225" s="283"/>
      <c r="B225" s="23"/>
      <c r="C225" s="84"/>
      <c r="D225" s="84"/>
      <c r="E225" s="84"/>
      <c r="F225" s="373"/>
      <c r="G225" s="2"/>
    </row>
    <row r="226" spans="1:8" x14ac:dyDescent="0.2">
      <c r="A226" s="291"/>
      <c r="B226" s="23"/>
      <c r="C226" s="84"/>
      <c r="D226" s="84"/>
      <c r="E226" s="84"/>
      <c r="F226" s="188"/>
      <c r="G226" s="84"/>
    </row>
    <row r="227" spans="1:8" ht="15.6" customHeight="1" x14ac:dyDescent="0.25">
      <c r="A227" s="125" t="s">
        <v>209</v>
      </c>
      <c r="B227" s="651" t="s">
        <v>210</v>
      </c>
      <c r="C227" s="632"/>
      <c r="D227" s="632"/>
      <c r="E227" s="632"/>
      <c r="F227" s="195"/>
      <c r="G227" s="73"/>
    </row>
    <row r="228" spans="1:8" x14ac:dyDescent="0.2">
      <c r="A228" s="283"/>
      <c r="E228" s="185" t="s">
        <v>0</v>
      </c>
      <c r="F228" s="195"/>
      <c r="G228" s="73"/>
    </row>
    <row r="229" spans="1:8" x14ac:dyDescent="0.2">
      <c r="B229" s="23" t="s">
        <v>211</v>
      </c>
      <c r="E229" s="20">
        <v>12.2</v>
      </c>
      <c r="F229" s="380">
        <f>F243</f>
        <v>772666.73999999987</v>
      </c>
      <c r="G229" s="381">
        <f>G243</f>
        <v>773</v>
      </c>
    </row>
    <row r="230" spans="1:8" ht="13.5" customHeight="1" thickBot="1" x14ac:dyDescent="0.25">
      <c r="A230" s="356"/>
      <c r="B230" s="23"/>
      <c r="E230" s="169"/>
      <c r="F230" s="335">
        <f>SUM(F229:F229)</f>
        <v>772666.73999999987</v>
      </c>
      <c r="G230" s="372">
        <f>SUM(G229:G229)</f>
        <v>773</v>
      </c>
    </row>
    <row r="231" spans="1:8" ht="13.5" customHeight="1" thickTop="1" x14ac:dyDescent="0.2">
      <c r="A231" s="356"/>
      <c r="B231" s="23"/>
      <c r="E231" s="169"/>
      <c r="F231" s="195"/>
      <c r="G231" s="255"/>
    </row>
    <row r="232" spans="1:8" ht="13.15" customHeight="1" x14ac:dyDescent="0.2">
      <c r="A232" s="311">
        <v>12.1</v>
      </c>
      <c r="B232" s="30" t="s">
        <v>212</v>
      </c>
      <c r="C232" s="164"/>
      <c r="F232" s="195"/>
      <c r="G232" s="73"/>
    </row>
    <row r="233" spans="1:8" x14ac:dyDescent="0.2">
      <c r="B233" s="23" t="s">
        <v>50</v>
      </c>
      <c r="C233" s="165"/>
      <c r="F233" s="288">
        <v>772966.74</v>
      </c>
      <c r="G233" s="382">
        <v>100</v>
      </c>
    </row>
    <row r="234" spans="1:8" x14ac:dyDescent="0.2">
      <c r="B234" s="23" t="s">
        <v>213</v>
      </c>
      <c r="C234" s="165"/>
      <c r="F234" s="288" t="s">
        <v>22</v>
      </c>
      <c r="G234" s="382">
        <v>673</v>
      </c>
    </row>
    <row r="235" spans="1:8" ht="13.5" customHeight="1" thickBot="1" x14ac:dyDescent="0.25">
      <c r="B235" s="23" t="s">
        <v>53</v>
      </c>
      <c r="F235" s="383">
        <f>SUM(F233:F234)</f>
        <v>772966.74</v>
      </c>
      <c r="G235" s="384">
        <f>SUM(G233:G234)</f>
        <v>773</v>
      </c>
    </row>
    <row r="236" spans="1:8" ht="13.5" customHeight="1" thickTop="1" x14ac:dyDescent="0.2">
      <c r="A236" s="283"/>
      <c r="B236" s="12"/>
      <c r="C236" s="12"/>
      <c r="F236" s="148"/>
      <c r="G236" s="148"/>
    </row>
    <row r="237" spans="1:8" ht="12.75" customHeight="1" x14ac:dyDescent="0.2">
      <c r="A237" s="279">
        <v>12.2</v>
      </c>
      <c r="B237" s="30" t="s">
        <v>211</v>
      </c>
      <c r="C237" s="385"/>
      <c r="D237" s="164"/>
      <c r="E237" s="164"/>
      <c r="F237" s="147"/>
      <c r="G237" s="147"/>
      <c r="H237" s="84"/>
    </row>
    <row r="238" spans="1:8" x14ac:dyDescent="0.2">
      <c r="A238" s="291"/>
      <c r="B238" s="385" t="s">
        <v>214</v>
      </c>
      <c r="C238" s="647"/>
      <c r="D238" s="632"/>
      <c r="E238" s="632"/>
      <c r="F238" s="73"/>
      <c r="G238" s="73"/>
      <c r="H238" s="84"/>
    </row>
    <row r="239" spans="1:8" x14ac:dyDescent="0.2">
      <c r="A239" s="291"/>
      <c r="B239" s="84" t="s">
        <v>215</v>
      </c>
      <c r="C239" s="648"/>
      <c r="D239" s="632"/>
      <c r="E239" s="632"/>
      <c r="F239" s="205">
        <v>673247.6</v>
      </c>
      <c r="G239" s="226">
        <v>673</v>
      </c>
      <c r="H239" s="84"/>
    </row>
    <row r="240" spans="1:8" x14ac:dyDescent="0.2">
      <c r="A240" s="291"/>
      <c r="B240" s="84" t="s">
        <v>216</v>
      </c>
      <c r="C240" s="648"/>
      <c r="D240" s="632"/>
      <c r="E240" s="632"/>
      <c r="F240" s="205">
        <v>57584.74</v>
      </c>
      <c r="G240" s="226">
        <v>58</v>
      </c>
      <c r="H240" s="84"/>
    </row>
    <row r="241" spans="1:8" x14ac:dyDescent="0.2">
      <c r="A241" s="291"/>
      <c r="B241" s="84" t="s">
        <v>217</v>
      </c>
      <c r="C241" s="648"/>
      <c r="D241" s="632"/>
      <c r="E241" s="632"/>
      <c r="F241" s="205">
        <v>15595.2</v>
      </c>
      <c r="G241" s="226">
        <v>16</v>
      </c>
      <c r="H241" s="84"/>
    </row>
    <row r="242" spans="1:8" x14ac:dyDescent="0.2">
      <c r="A242" s="291"/>
      <c r="B242" s="84" t="s">
        <v>217</v>
      </c>
      <c r="C242" s="648"/>
      <c r="D242" s="632"/>
      <c r="E242" s="632"/>
      <c r="F242" s="205">
        <f>26539.2-300</f>
        <v>26239.200000000001</v>
      </c>
      <c r="G242" s="226">
        <v>26</v>
      </c>
      <c r="H242" s="84"/>
    </row>
    <row r="243" spans="1:8" ht="13.5" customHeight="1" thickBot="1" x14ac:dyDescent="0.25">
      <c r="A243" s="291"/>
      <c r="B243" s="23"/>
      <c r="C243" s="84"/>
      <c r="D243" s="84"/>
      <c r="E243" s="84"/>
      <c r="F243" s="386">
        <f>SUM(F239:F242)</f>
        <v>772666.73999999987</v>
      </c>
      <c r="G243" s="387">
        <f>SUM(G239:G242)</f>
        <v>773</v>
      </c>
      <c r="H243" s="84"/>
    </row>
    <row r="244" spans="1:8" ht="13.5" customHeight="1" thickTop="1" x14ac:dyDescent="0.2">
      <c r="A244" s="291"/>
      <c r="B244" s="23"/>
      <c r="C244" s="84"/>
      <c r="D244" s="12"/>
      <c r="E244" s="12"/>
      <c r="F244" s="84"/>
      <c r="G244" s="84"/>
      <c r="H244" s="84"/>
    </row>
    <row r="245" spans="1:8" x14ac:dyDescent="0.2">
      <c r="A245" s="388"/>
      <c r="B245" s="77"/>
      <c r="C245" s="81"/>
      <c r="D245" s="81"/>
      <c r="E245" s="81"/>
      <c r="F245" s="84"/>
      <c r="G245" s="84"/>
      <c r="H245" s="84"/>
    </row>
    <row r="246" spans="1:8" x14ac:dyDescent="0.2">
      <c r="A246" s="388"/>
      <c r="B246" s="77"/>
      <c r="C246" s="81"/>
      <c r="D246" s="81"/>
      <c r="E246" s="81"/>
      <c r="F246" s="84"/>
      <c r="G246" s="84"/>
      <c r="H246" s="84"/>
    </row>
    <row r="247" spans="1:8" x14ac:dyDescent="0.2">
      <c r="A247" s="388"/>
      <c r="B247" s="77"/>
      <c r="C247" s="81"/>
      <c r="D247" s="81"/>
      <c r="E247" s="81"/>
      <c r="F247" s="84"/>
      <c r="G247" s="84"/>
      <c r="H247" s="84"/>
    </row>
    <row r="248" spans="1:8" ht="15.75" customHeight="1" x14ac:dyDescent="0.25">
      <c r="A248" s="125" t="s">
        <v>218</v>
      </c>
      <c r="B248" s="5" t="s">
        <v>219</v>
      </c>
      <c r="C248" s="81"/>
      <c r="D248" s="81"/>
      <c r="E248" s="81"/>
      <c r="F248" s="84"/>
      <c r="G248" s="84"/>
      <c r="H248" s="84"/>
    </row>
    <row r="249" spans="1:8" ht="25.5" customHeight="1" x14ac:dyDescent="0.25">
      <c r="A249" s="62"/>
      <c r="B249" s="5"/>
      <c r="F249" s="73" t="s">
        <v>1</v>
      </c>
      <c r="G249" s="73" t="s">
        <v>2</v>
      </c>
    </row>
    <row r="250" spans="1:8" x14ac:dyDescent="0.2">
      <c r="B250" s="84" t="s">
        <v>220</v>
      </c>
      <c r="C250" s="165"/>
      <c r="D250" s="84"/>
      <c r="E250" s="84"/>
      <c r="F250" s="205">
        <v>34000257.920000002</v>
      </c>
      <c r="G250" s="226">
        <v>11562</v>
      </c>
    </row>
    <row r="251" spans="1:8" x14ac:dyDescent="0.2">
      <c r="B251" s="84" t="s">
        <v>6</v>
      </c>
      <c r="C251" s="165"/>
      <c r="D251" s="84"/>
      <c r="E251" s="84"/>
      <c r="F251" s="389">
        <f>SUM(F252:F253)-1000</f>
        <v>-25745215.73</v>
      </c>
      <c r="G251" s="390">
        <f>SUM(G252:G253)</f>
        <v>21989</v>
      </c>
    </row>
    <row r="252" spans="1:8" x14ac:dyDescent="0.2">
      <c r="B252" s="74" t="s">
        <v>221</v>
      </c>
      <c r="C252" s="84"/>
      <c r="D252" s="84"/>
      <c r="E252" s="145"/>
      <c r="F252" s="391">
        <v>2058309.54</v>
      </c>
      <c r="G252" s="392">
        <v>2380</v>
      </c>
    </row>
    <row r="253" spans="1:8" x14ac:dyDescent="0.2">
      <c r="B253" s="74" t="s">
        <v>48</v>
      </c>
      <c r="C253" s="84"/>
      <c r="D253" s="84"/>
      <c r="E253" s="145"/>
      <c r="F253" s="393">
        <f>D60-E60-F60</f>
        <v>-27802525.27</v>
      </c>
      <c r="G253" s="251">
        <v>19609</v>
      </c>
    </row>
    <row r="254" spans="1:8" x14ac:dyDescent="0.2">
      <c r="B254" s="84"/>
      <c r="C254" s="165"/>
      <c r="D254" s="84"/>
      <c r="E254" s="145"/>
      <c r="F254" s="394"/>
      <c r="G254" s="226"/>
    </row>
    <row r="255" spans="1:8" ht="13.5" customHeight="1" thickBot="1" x14ac:dyDescent="0.25">
      <c r="A255" s="356"/>
      <c r="B255" s="165" t="s">
        <v>222</v>
      </c>
      <c r="C255" s="165"/>
      <c r="D255" s="84"/>
      <c r="E255" s="145"/>
      <c r="F255" s="395">
        <f>SUM(F250:F251)</f>
        <v>8255042.1900000013</v>
      </c>
      <c r="G255" s="396">
        <f>SUM(G250:G251)</f>
        <v>33551</v>
      </c>
    </row>
    <row r="256" spans="1:8" ht="13.5" customHeight="1" thickTop="1" x14ac:dyDescent="0.2">
      <c r="A256" s="356"/>
      <c r="B256" s="165"/>
      <c r="C256" s="165"/>
      <c r="D256" s="84"/>
      <c r="E256" s="84"/>
      <c r="F256" s="85"/>
      <c r="G256" s="317"/>
    </row>
    <row r="257" spans="1:7" x14ac:dyDescent="0.2">
      <c r="A257" s="356"/>
      <c r="B257" s="165"/>
      <c r="C257" s="165"/>
      <c r="D257" s="84"/>
      <c r="E257" s="84"/>
      <c r="F257" s="85"/>
      <c r="G257" s="317"/>
    </row>
    <row r="258" spans="1:7" x14ac:dyDescent="0.2">
      <c r="A258" s="356"/>
      <c r="B258" s="165"/>
      <c r="C258" s="165"/>
      <c r="D258" s="84"/>
      <c r="E258" s="84"/>
      <c r="F258" s="85"/>
      <c r="G258" s="317"/>
    </row>
    <row r="259" spans="1:7" x14ac:dyDescent="0.2">
      <c r="A259" s="356"/>
      <c r="B259" s="165"/>
      <c r="C259" s="165"/>
    </row>
    <row r="260" spans="1:7" ht="15.75" customHeight="1" x14ac:dyDescent="0.25">
      <c r="A260" s="125" t="s">
        <v>223</v>
      </c>
      <c r="B260" s="175" t="s">
        <v>224</v>
      </c>
      <c r="F260" s="73"/>
      <c r="G260" s="73"/>
    </row>
    <row r="261" spans="1:7" x14ac:dyDescent="0.2">
      <c r="B261" s="23" t="s">
        <v>225</v>
      </c>
      <c r="C261" s="165"/>
      <c r="F261" s="397">
        <v>-26925953.23</v>
      </c>
      <c r="G261" s="226">
        <v>25407</v>
      </c>
    </row>
    <row r="262" spans="1:7" x14ac:dyDescent="0.2">
      <c r="B262" s="23" t="s">
        <v>226</v>
      </c>
      <c r="C262" s="165"/>
      <c r="F262" s="288">
        <v>17000</v>
      </c>
      <c r="G262" s="226">
        <v>972</v>
      </c>
    </row>
    <row r="263" spans="1:7" ht="13.5" customHeight="1" thickBot="1" x14ac:dyDescent="0.25">
      <c r="A263" s="356"/>
      <c r="B263" s="23"/>
      <c r="F263" s="398">
        <f>SUM(F261:F262)</f>
        <v>-26908953.23</v>
      </c>
      <c r="G263" s="399">
        <f>SUM(G261:G262)</f>
        <v>26379</v>
      </c>
    </row>
    <row r="264" spans="1:7" ht="13.5" customHeight="1" thickTop="1" x14ac:dyDescent="0.2">
      <c r="A264" s="356"/>
      <c r="F264" s="165"/>
      <c r="G264" s="165"/>
    </row>
    <row r="265" spans="1:7" x14ac:dyDescent="0.2">
      <c r="A265" s="356"/>
      <c r="F265" s="165"/>
      <c r="G265" s="165"/>
    </row>
    <row r="266" spans="1:7" x14ac:dyDescent="0.2">
      <c r="A266" s="356"/>
      <c r="F266" s="165"/>
      <c r="G266" s="165"/>
    </row>
    <row r="267" spans="1:7" x14ac:dyDescent="0.2">
      <c r="A267" s="356"/>
      <c r="F267" s="165"/>
      <c r="G267" s="165"/>
    </row>
    <row r="268" spans="1:7" ht="15.75" customHeight="1" x14ac:dyDescent="0.25">
      <c r="A268" s="125" t="s">
        <v>227</v>
      </c>
      <c r="B268" s="175" t="s">
        <v>228</v>
      </c>
      <c r="E268" s="171"/>
    </row>
    <row r="269" spans="1:7" x14ac:dyDescent="0.2">
      <c r="A269" s="356"/>
      <c r="B269" s="23"/>
      <c r="C269" s="84"/>
      <c r="D269" s="84"/>
      <c r="E269" s="185" t="s">
        <v>0</v>
      </c>
      <c r="F269" s="73"/>
      <c r="G269" s="73"/>
    </row>
    <row r="270" spans="1:7" x14ac:dyDescent="0.2">
      <c r="A270" s="291"/>
      <c r="B270" s="23" t="s">
        <v>229</v>
      </c>
      <c r="C270" s="84"/>
      <c r="D270" s="145"/>
      <c r="E270" s="101"/>
      <c r="F270" s="223">
        <v>119941.75</v>
      </c>
      <c r="G270" s="224">
        <v>273</v>
      </c>
    </row>
    <row r="271" spans="1:7" x14ac:dyDescent="0.2">
      <c r="A271" s="291"/>
      <c r="B271" s="23" t="s">
        <v>230</v>
      </c>
      <c r="C271" s="84"/>
      <c r="D271" s="145"/>
      <c r="E271" s="20">
        <v>15.3</v>
      </c>
      <c r="F271" s="400">
        <f>F291</f>
        <v>366718.42</v>
      </c>
      <c r="G271" s="401">
        <f>G291</f>
        <v>661</v>
      </c>
    </row>
    <row r="272" spans="1:7" x14ac:dyDescent="0.2">
      <c r="A272" s="291"/>
      <c r="B272" s="23" t="s">
        <v>231</v>
      </c>
      <c r="C272" s="84"/>
      <c r="D272" s="145"/>
      <c r="E272" s="20">
        <v>15.4</v>
      </c>
      <c r="F272" s="402">
        <f>F302</f>
        <v>71904035.089999989</v>
      </c>
      <c r="G272" s="403">
        <f>G302</f>
        <v>3522</v>
      </c>
    </row>
    <row r="273" spans="1:7" x14ac:dyDescent="0.2">
      <c r="A273" s="291"/>
      <c r="B273" s="23" t="s">
        <v>232</v>
      </c>
      <c r="C273" s="84"/>
      <c r="D273" s="145"/>
      <c r="E273" s="20">
        <v>15.5</v>
      </c>
      <c r="F273" s="404">
        <f>F311</f>
        <v>317254.95</v>
      </c>
      <c r="G273" s="405">
        <f>G311</f>
        <v>495</v>
      </c>
    </row>
    <row r="274" spans="1:7" ht="13.5" customHeight="1" thickBot="1" x14ac:dyDescent="0.25">
      <c r="A274" s="356"/>
      <c r="B274" s="23"/>
      <c r="C274" s="84"/>
      <c r="D274" s="145"/>
      <c r="E274" s="101"/>
      <c r="F274" s="406">
        <f>SUM(F270:F273)</f>
        <v>72707950.209999993</v>
      </c>
      <c r="G274" s="407">
        <f>SUM(G270:G273)</f>
        <v>4951</v>
      </c>
    </row>
    <row r="275" spans="1:7" ht="13.5" customHeight="1" thickTop="1" x14ac:dyDescent="0.2">
      <c r="A275" s="356"/>
      <c r="B275" s="23"/>
      <c r="C275" s="84"/>
      <c r="D275" s="145"/>
      <c r="E275" s="101"/>
      <c r="F275" s="86"/>
      <c r="G275" s="255"/>
    </row>
    <row r="276" spans="1:7" x14ac:dyDescent="0.2">
      <c r="A276" s="356"/>
      <c r="B276" s="23"/>
      <c r="C276" s="84"/>
      <c r="D276" s="145"/>
      <c r="E276" s="101"/>
      <c r="F276" s="86"/>
      <c r="G276" s="255"/>
    </row>
    <row r="277" spans="1:7" x14ac:dyDescent="0.2">
      <c r="A277" s="311"/>
      <c r="B277" s="84"/>
      <c r="C277" s="84"/>
      <c r="D277" s="84"/>
      <c r="E277" s="84"/>
      <c r="F277" s="84"/>
      <c r="G277" s="84"/>
    </row>
    <row r="278" spans="1:7" ht="38.25" customHeight="1" x14ac:dyDescent="0.2">
      <c r="A278" s="283">
        <v>15.1</v>
      </c>
      <c r="B278" s="647" t="s">
        <v>233</v>
      </c>
      <c r="C278" s="632"/>
      <c r="D278" s="632"/>
      <c r="E278" s="632"/>
      <c r="F278" s="632"/>
      <c r="G278" s="632"/>
    </row>
    <row r="279" spans="1:7" ht="13.15" customHeight="1" x14ac:dyDescent="0.2">
      <c r="A279" s="283"/>
      <c r="B279" s="169"/>
      <c r="C279" s="169"/>
      <c r="D279" s="169"/>
      <c r="E279" s="169"/>
      <c r="F279" s="169"/>
      <c r="G279" s="169"/>
    </row>
    <row r="280" spans="1:7" ht="13.15" customHeight="1" x14ac:dyDescent="0.2">
      <c r="A280" s="293">
        <v>15.2</v>
      </c>
      <c r="B280" s="30" t="s">
        <v>234</v>
      </c>
      <c r="C280" s="164"/>
      <c r="D280" s="108"/>
      <c r="E280" s="84"/>
      <c r="F280" s="73"/>
      <c r="G280" s="73"/>
    </row>
    <row r="281" spans="1:7" x14ac:dyDescent="0.2">
      <c r="A281" s="293"/>
      <c r="B281" s="23" t="s">
        <v>235</v>
      </c>
      <c r="C281" s="165"/>
      <c r="D281" s="144"/>
      <c r="E281" s="84"/>
      <c r="F281" s="205">
        <v>72097988.790000007</v>
      </c>
      <c r="G281" s="226">
        <v>4434</v>
      </c>
    </row>
    <row r="282" spans="1:7" x14ac:dyDescent="0.2">
      <c r="A282" s="293"/>
      <c r="B282" s="23" t="s">
        <v>236</v>
      </c>
      <c r="C282" s="165"/>
      <c r="D282" s="144"/>
      <c r="E282" s="84"/>
      <c r="F282" s="205">
        <v>287366.59999999998</v>
      </c>
      <c r="G282" s="226">
        <v>163</v>
      </c>
    </row>
    <row r="283" spans="1:7" x14ac:dyDescent="0.2">
      <c r="A283" s="293"/>
      <c r="B283" s="23" t="s">
        <v>237</v>
      </c>
      <c r="C283" s="165"/>
      <c r="D283" s="106"/>
      <c r="E283" s="84"/>
      <c r="F283" s="205">
        <v>322594.82</v>
      </c>
      <c r="G283" s="226">
        <v>354</v>
      </c>
    </row>
    <row r="284" spans="1:7" ht="13.5" customHeight="1" thickBot="1" x14ac:dyDescent="0.25">
      <c r="A284" s="293"/>
      <c r="B284" s="23"/>
      <c r="C284" s="84"/>
      <c r="D284" s="145"/>
      <c r="E284" s="84"/>
      <c r="F284" s="408">
        <f>SUM(F281:F283)</f>
        <v>72707950.209999993</v>
      </c>
      <c r="G284" s="409">
        <f>SUM(G281:G283)</f>
        <v>4951</v>
      </c>
    </row>
    <row r="285" spans="1:7" ht="13.5" customHeight="1" thickTop="1" x14ac:dyDescent="0.2">
      <c r="A285" s="293"/>
      <c r="B285" s="23"/>
      <c r="C285" s="84"/>
      <c r="D285" s="145"/>
      <c r="E285" s="84"/>
      <c r="F285" s="195"/>
      <c r="G285" s="255"/>
    </row>
    <row r="286" spans="1:7" x14ac:dyDescent="0.2">
      <c r="A286" s="293"/>
      <c r="B286" s="23"/>
      <c r="C286" s="84"/>
      <c r="D286" s="145"/>
      <c r="E286" s="84"/>
      <c r="F286" s="195"/>
      <c r="G286" s="255"/>
    </row>
    <row r="287" spans="1:7" x14ac:dyDescent="0.2">
      <c r="A287" s="330"/>
      <c r="B287" s="23"/>
      <c r="C287" s="48"/>
      <c r="D287" s="107"/>
      <c r="E287" s="84"/>
      <c r="F287" s="188"/>
      <c r="G287" s="84"/>
    </row>
    <row r="288" spans="1:7" x14ac:dyDescent="0.2">
      <c r="A288" s="311">
        <v>15.3</v>
      </c>
      <c r="B288" s="6" t="s">
        <v>230</v>
      </c>
      <c r="C288" s="84"/>
      <c r="D288" s="84"/>
      <c r="E288" s="84"/>
      <c r="F288" s="188"/>
      <c r="G288" s="84"/>
    </row>
    <row r="289" spans="1:7" x14ac:dyDescent="0.2">
      <c r="A289" s="291"/>
      <c r="B289" s="72" t="s">
        <v>238</v>
      </c>
      <c r="C289" s="12"/>
      <c r="D289" s="84"/>
      <c r="E289" s="84"/>
      <c r="F289" s="195"/>
      <c r="G289" s="73"/>
    </row>
    <row r="290" spans="1:7" x14ac:dyDescent="0.2">
      <c r="A290" s="291"/>
      <c r="B290" s="84" t="s">
        <v>239</v>
      </c>
      <c r="C290" s="12"/>
      <c r="D290" s="84"/>
      <c r="E290" s="84"/>
      <c r="F290" s="205">
        <v>366718.42</v>
      </c>
      <c r="G290" s="226">
        <v>661</v>
      </c>
    </row>
    <row r="291" spans="1:7" ht="13.5" customHeight="1" thickBot="1" x14ac:dyDescent="0.25">
      <c r="A291" s="356"/>
      <c r="B291" s="23"/>
      <c r="C291" s="84"/>
      <c r="D291" s="84"/>
      <c r="E291" s="84"/>
      <c r="F291" s="410">
        <f>SUM(F289:F290)</f>
        <v>366718.42</v>
      </c>
      <c r="G291" s="411">
        <f>SUM(G289:G290)</f>
        <v>661</v>
      </c>
    </row>
    <row r="292" spans="1:7" ht="13.5" customHeight="1" thickTop="1" x14ac:dyDescent="0.2">
      <c r="A292" s="356"/>
      <c r="B292" s="23"/>
      <c r="C292" s="84"/>
      <c r="D292" s="84"/>
      <c r="E292" s="84"/>
      <c r="F292" s="195"/>
      <c r="G292" s="255"/>
    </row>
    <row r="293" spans="1:7" x14ac:dyDescent="0.2">
      <c r="A293" s="356"/>
      <c r="B293" s="23"/>
      <c r="C293" s="84"/>
      <c r="D293" s="84"/>
      <c r="E293" s="84"/>
      <c r="F293" s="195"/>
      <c r="G293" s="255"/>
    </row>
    <row r="294" spans="1:7" x14ac:dyDescent="0.2">
      <c r="A294" s="311"/>
      <c r="B294" s="23"/>
      <c r="C294" s="84"/>
      <c r="D294" s="84"/>
      <c r="E294" s="84"/>
      <c r="F294" s="147"/>
      <c r="G294" s="147"/>
    </row>
    <row r="295" spans="1:7" x14ac:dyDescent="0.2">
      <c r="A295" s="311">
        <v>15.4</v>
      </c>
      <c r="B295" s="6" t="s">
        <v>231</v>
      </c>
      <c r="C295" s="84"/>
      <c r="D295" s="84"/>
      <c r="E295" s="84"/>
      <c r="F295" s="147"/>
      <c r="G295" s="147"/>
    </row>
    <row r="296" spans="1:7" x14ac:dyDescent="0.2">
      <c r="A296" s="291"/>
      <c r="B296" s="72" t="s">
        <v>238</v>
      </c>
      <c r="C296" s="12"/>
      <c r="D296" s="84"/>
      <c r="E296" s="84"/>
      <c r="F296" s="73"/>
      <c r="G296" s="73"/>
    </row>
    <row r="297" spans="1:7" x14ac:dyDescent="0.2">
      <c r="A297" s="356"/>
      <c r="B297" s="84" t="s">
        <v>240</v>
      </c>
      <c r="C297" s="165"/>
      <c r="D297" s="84"/>
      <c r="E297" s="84"/>
      <c r="F297" s="205">
        <v>68404075.769999996</v>
      </c>
      <c r="G297" s="226">
        <v>915</v>
      </c>
    </row>
    <row r="298" spans="1:7" x14ac:dyDescent="0.2">
      <c r="A298" s="356"/>
      <c r="B298" s="84" t="s">
        <v>241</v>
      </c>
      <c r="C298" s="165"/>
      <c r="D298" s="84"/>
      <c r="E298" s="84"/>
      <c r="F298" s="205">
        <v>28556.83</v>
      </c>
      <c r="G298" s="226">
        <v>86</v>
      </c>
    </row>
    <row r="299" spans="1:7" x14ac:dyDescent="0.2">
      <c r="A299" s="356"/>
      <c r="B299" s="84" t="s">
        <v>242</v>
      </c>
      <c r="C299" s="165"/>
      <c r="D299" s="84"/>
      <c r="E299" s="84"/>
      <c r="F299" s="205">
        <v>239958.37</v>
      </c>
      <c r="G299" s="226">
        <v>181</v>
      </c>
    </row>
    <row r="300" spans="1:7" x14ac:dyDescent="0.2">
      <c r="A300" s="356"/>
      <c r="B300" s="84" t="s">
        <v>243</v>
      </c>
      <c r="C300" s="165"/>
      <c r="D300" s="84"/>
      <c r="E300" s="84"/>
      <c r="F300" s="205">
        <v>1785228.21</v>
      </c>
      <c r="G300" s="226">
        <v>1722</v>
      </c>
    </row>
    <row r="301" spans="1:7" x14ac:dyDescent="0.2">
      <c r="A301" s="356"/>
      <c r="B301" s="84" t="s">
        <v>244</v>
      </c>
      <c r="C301" s="165"/>
      <c r="D301" s="84"/>
      <c r="E301" s="84"/>
      <c r="F301" s="205">
        <v>1446215.91</v>
      </c>
      <c r="G301" s="226">
        <v>618</v>
      </c>
    </row>
    <row r="302" spans="1:7" ht="13.5" customHeight="1" thickBot="1" x14ac:dyDescent="0.25">
      <c r="A302" s="356"/>
      <c r="B302" s="23"/>
      <c r="C302" s="84"/>
      <c r="D302" s="84"/>
      <c r="E302" s="84"/>
      <c r="F302" s="408">
        <f>SUM(F297:F301)</f>
        <v>71904035.089999989</v>
      </c>
      <c r="G302" s="303">
        <f>SUM(G296:G301)</f>
        <v>3522</v>
      </c>
    </row>
    <row r="303" spans="1:7" ht="13.5" customHeight="1" thickTop="1" x14ac:dyDescent="0.2">
      <c r="A303" s="356"/>
      <c r="B303" s="23" t="s">
        <v>245</v>
      </c>
      <c r="C303" s="84"/>
      <c r="D303" s="84"/>
      <c r="E303" s="84"/>
      <c r="F303" s="195"/>
      <c r="G303" s="255"/>
    </row>
    <row r="304" spans="1:7" x14ac:dyDescent="0.2">
      <c r="A304" s="356"/>
      <c r="B304" s="23" t="s">
        <v>246</v>
      </c>
      <c r="C304" s="84"/>
      <c r="D304" s="84"/>
      <c r="E304" s="84"/>
      <c r="F304" s="195"/>
      <c r="G304" s="255"/>
    </row>
    <row r="305" spans="1:7" x14ac:dyDescent="0.2">
      <c r="A305" s="356"/>
      <c r="B305" s="23"/>
      <c r="C305" s="84"/>
      <c r="D305" s="84"/>
      <c r="E305" s="84"/>
      <c r="F305" s="195"/>
      <c r="G305" s="255"/>
    </row>
    <row r="306" spans="1:7" x14ac:dyDescent="0.2">
      <c r="A306" s="356"/>
      <c r="B306" s="23"/>
      <c r="C306" s="84"/>
      <c r="D306" s="84"/>
      <c r="E306" s="84"/>
      <c r="F306" s="195"/>
      <c r="G306" s="255"/>
    </row>
    <row r="307" spans="1:7" x14ac:dyDescent="0.2">
      <c r="A307" s="311"/>
      <c r="B307" s="23"/>
      <c r="C307" s="84"/>
      <c r="D307" s="84"/>
      <c r="E307" s="84"/>
      <c r="F307" s="188"/>
      <c r="G307" s="84"/>
    </row>
    <row r="308" spans="1:7" x14ac:dyDescent="0.2">
      <c r="A308" s="311">
        <v>15.5</v>
      </c>
      <c r="B308" s="6" t="s">
        <v>232</v>
      </c>
      <c r="C308" s="84"/>
      <c r="D308" s="84"/>
      <c r="E308" s="84"/>
      <c r="F308" s="188"/>
      <c r="G308" s="84"/>
    </row>
    <row r="309" spans="1:7" x14ac:dyDescent="0.2">
      <c r="A309" s="291"/>
      <c r="B309" s="72" t="s">
        <v>247</v>
      </c>
      <c r="C309" s="12"/>
      <c r="D309" s="84"/>
      <c r="E309" s="84"/>
      <c r="F309" s="195"/>
      <c r="G309" s="73"/>
    </row>
    <row r="310" spans="1:7" x14ac:dyDescent="0.2">
      <c r="A310" s="291"/>
      <c r="B310" s="84" t="s">
        <v>248</v>
      </c>
      <c r="C310" s="12"/>
      <c r="D310" s="84"/>
      <c r="E310" s="84"/>
      <c r="F310" s="205">
        <v>317254.95</v>
      </c>
      <c r="G310" s="226">
        <v>495</v>
      </c>
    </row>
    <row r="311" spans="1:7" ht="13.5" customHeight="1" thickBot="1" x14ac:dyDescent="0.25">
      <c r="A311" s="356"/>
      <c r="B311" s="23"/>
      <c r="C311" s="84"/>
      <c r="D311" s="84"/>
      <c r="E311" s="84"/>
      <c r="F311" s="335">
        <f>SUM(F310:F310)</f>
        <v>317254.95</v>
      </c>
      <c r="G311" s="372">
        <f>SUM(G310:G310)</f>
        <v>495</v>
      </c>
    </row>
    <row r="312" spans="1:7" ht="13.5" customHeight="1" thickTop="1" x14ac:dyDescent="0.2">
      <c r="A312" s="291"/>
      <c r="B312" s="23"/>
      <c r="C312" s="84"/>
      <c r="D312" s="84"/>
      <c r="E312" s="84"/>
      <c r="F312" s="84"/>
      <c r="G312" s="84"/>
    </row>
    <row r="313" spans="1:7" x14ac:dyDescent="0.2">
      <c r="A313" s="291"/>
      <c r="B313" s="23"/>
      <c r="C313" s="84"/>
      <c r="D313" s="84"/>
      <c r="E313" s="84"/>
      <c r="F313" s="84"/>
      <c r="G313" s="84"/>
    </row>
    <row r="314" spans="1:7" x14ac:dyDescent="0.2">
      <c r="A314" s="291"/>
      <c r="B314" s="23"/>
      <c r="C314" s="84"/>
      <c r="D314" s="84"/>
      <c r="E314" s="84"/>
      <c r="F314" s="84"/>
      <c r="G314" s="84"/>
    </row>
    <row r="315" spans="1:7" x14ac:dyDescent="0.2">
      <c r="A315" s="356"/>
      <c r="B315" s="23"/>
      <c r="F315" s="165"/>
      <c r="G315" s="165"/>
    </row>
    <row r="316" spans="1:7" ht="15.75" customHeight="1" x14ac:dyDescent="0.25">
      <c r="A316" s="125" t="s">
        <v>249</v>
      </c>
      <c r="B316" s="175" t="s">
        <v>40</v>
      </c>
    </row>
    <row r="317" spans="1:7" x14ac:dyDescent="0.2">
      <c r="A317" s="283"/>
      <c r="B317" s="23"/>
      <c r="C317" s="164"/>
      <c r="D317" s="164"/>
      <c r="E317" s="185" t="s">
        <v>0</v>
      </c>
      <c r="F317" s="73"/>
      <c r="G317" s="73"/>
    </row>
    <row r="318" spans="1:7" x14ac:dyDescent="0.2">
      <c r="A318" s="291"/>
      <c r="B318" s="23" t="s">
        <v>50</v>
      </c>
      <c r="C318" s="165"/>
      <c r="D318" s="165"/>
      <c r="E318" s="159">
        <v>21</v>
      </c>
      <c r="F318" s="205">
        <f>11562675.04-200</f>
        <v>11562475.039999999</v>
      </c>
      <c r="G318" s="226">
        <v>43007</v>
      </c>
    </row>
    <row r="319" spans="1:7" x14ac:dyDescent="0.2">
      <c r="A319" s="291"/>
      <c r="B319" s="23" t="s">
        <v>250</v>
      </c>
      <c r="C319" s="165"/>
      <c r="D319" s="165"/>
      <c r="E319" s="170"/>
      <c r="F319" s="412">
        <f>SUM(F250)</f>
        <v>34000257.920000002</v>
      </c>
      <c r="G319" s="226">
        <v>11562</v>
      </c>
    </row>
    <row r="320" spans="1:7" x14ac:dyDescent="0.2">
      <c r="A320" s="291"/>
      <c r="B320" s="23" t="s">
        <v>251</v>
      </c>
      <c r="C320" s="84"/>
      <c r="D320" s="84"/>
      <c r="E320" s="159"/>
      <c r="F320" s="223">
        <f>11562675.04-400</f>
        <v>11562275.039999999</v>
      </c>
      <c r="G320" s="224">
        <v>43007</v>
      </c>
    </row>
    <row r="321" spans="1:7" ht="13.5" customHeight="1" thickBot="1" x14ac:dyDescent="0.25">
      <c r="A321" s="291"/>
      <c r="B321" s="23" t="s">
        <v>53</v>
      </c>
      <c r="C321" s="84"/>
      <c r="D321" s="84"/>
      <c r="E321" s="170"/>
      <c r="F321" s="413">
        <f>F318+F319-F320</f>
        <v>34000457.920000002</v>
      </c>
      <c r="G321" s="414">
        <f>G318+G319-G320</f>
        <v>11562</v>
      </c>
    </row>
    <row r="322" spans="1:7" ht="13.5" customHeight="1" thickTop="1" x14ac:dyDescent="0.2">
      <c r="A322" s="291"/>
      <c r="B322" s="23"/>
      <c r="C322" s="84"/>
      <c r="D322" s="84"/>
      <c r="E322" s="170"/>
      <c r="F322" s="290"/>
      <c r="G322" s="317"/>
    </row>
    <row r="323" spans="1:7" x14ac:dyDescent="0.2">
      <c r="A323" s="291"/>
      <c r="B323" s="23"/>
      <c r="C323" s="84"/>
      <c r="D323" s="84"/>
      <c r="E323" s="170"/>
      <c r="F323" s="290"/>
      <c r="G323" s="317"/>
    </row>
    <row r="324" spans="1:7" x14ac:dyDescent="0.2">
      <c r="A324" s="291"/>
      <c r="B324" s="23"/>
      <c r="C324" s="84"/>
      <c r="D324" s="84"/>
      <c r="E324" s="170"/>
      <c r="F324" s="290"/>
      <c r="G324" s="317"/>
    </row>
    <row r="325" spans="1:7" x14ac:dyDescent="0.2">
      <c r="A325" s="291"/>
      <c r="B325" s="23"/>
      <c r="C325" s="84"/>
      <c r="D325" s="84"/>
      <c r="E325" s="170"/>
      <c r="F325" s="290"/>
      <c r="G325" s="317"/>
    </row>
    <row r="326" spans="1:7" ht="15.75" customHeight="1" x14ac:dyDescent="0.25">
      <c r="A326" s="125" t="s">
        <v>252</v>
      </c>
      <c r="B326" s="175" t="s">
        <v>42</v>
      </c>
      <c r="E326" s="171"/>
      <c r="F326" s="165"/>
      <c r="G326" s="165"/>
    </row>
    <row r="327" spans="1:7" ht="25.5" customHeight="1" x14ac:dyDescent="0.25">
      <c r="A327" s="62"/>
      <c r="B327" s="175"/>
      <c r="E327" s="185" t="s">
        <v>0</v>
      </c>
      <c r="F327" s="73" t="s">
        <v>1</v>
      </c>
      <c r="G327" s="73" t="s">
        <v>2</v>
      </c>
    </row>
    <row r="328" spans="1:7" ht="13.15" customHeight="1" x14ac:dyDescent="0.2">
      <c r="B328" s="23" t="s">
        <v>50</v>
      </c>
      <c r="C328" s="165"/>
      <c r="D328" s="165"/>
      <c r="E328" s="84"/>
      <c r="F328" s="205">
        <v>38285.550000000003</v>
      </c>
      <c r="G328" s="226">
        <v>21</v>
      </c>
    </row>
    <row r="329" spans="1:7" ht="13.15" customHeight="1" x14ac:dyDescent="0.2">
      <c r="B329" s="636" t="s">
        <v>253</v>
      </c>
      <c r="C329" s="632"/>
      <c r="D329" s="632"/>
      <c r="E329" s="84"/>
      <c r="F329" s="205">
        <f>2004035.82+54273.72</f>
        <v>2058309.54</v>
      </c>
      <c r="G329" s="226">
        <f>2294+86</f>
        <v>2380</v>
      </c>
    </row>
    <row r="330" spans="1:7" x14ac:dyDescent="0.2">
      <c r="B330" s="23" t="s">
        <v>251</v>
      </c>
      <c r="C330" s="165"/>
      <c r="D330" s="165"/>
      <c r="E330" s="159">
        <v>21</v>
      </c>
      <c r="F330" s="205">
        <f>1864257.45+300</f>
        <v>1864557.45</v>
      </c>
      <c r="G330" s="226">
        <v>2363</v>
      </c>
    </row>
    <row r="331" spans="1:7" ht="13.5" customHeight="1" thickBot="1" x14ac:dyDescent="0.25">
      <c r="B331" s="23" t="s">
        <v>53</v>
      </c>
      <c r="C331" s="84"/>
      <c r="D331" s="84"/>
      <c r="E331" s="84"/>
      <c r="F331" s="415">
        <f>SUM(F328:F329)-F330-600</f>
        <v>231437.64000000013</v>
      </c>
      <c r="G331" s="416">
        <f>SUM(G328:G329)-G330</f>
        <v>38</v>
      </c>
    </row>
    <row r="332" spans="1:7" ht="13.5" customHeight="1" thickTop="1" x14ac:dyDescent="0.2">
      <c r="B332" s="23"/>
      <c r="C332" s="84"/>
      <c r="D332" s="84"/>
      <c r="E332" s="84"/>
      <c r="F332" s="344"/>
      <c r="G332" s="317"/>
    </row>
    <row r="333" spans="1:7" x14ac:dyDescent="0.2">
      <c r="B333" s="23"/>
      <c r="C333" s="84"/>
      <c r="D333" s="84"/>
      <c r="E333" s="84"/>
      <c r="F333" s="344"/>
      <c r="G333" s="317"/>
    </row>
    <row r="334" spans="1:7" x14ac:dyDescent="0.2">
      <c r="B334" s="23"/>
      <c r="C334" s="84"/>
      <c r="D334" s="84"/>
      <c r="E334" s="84"/>
      <c r="F334" s="344"/>
      <c r="G334" s="317"/>
    </row>
    <row r="335" spans="1:7" ht="15.75" customHeight="1" x14ac:dyDescent="0.25">
      <c r="A335" s="125" t="s">
        <v>254</v>
      </c>
      <c r="B335" s="5" t="s">
        <v>255</v>
      </c>
      <c r="F335" s="191"/>
    </row>
    <row r="336" spans="1:7" x14ac:dyDescent="0.2">
      <c r="B336" s="180" t="s">
        <v>103</v>
      </c>
      <c r="C336" s="31"/>
      <c r="D336" s="31"/>
      <c r="E336" s="185" t="s">
        <v>0</v>
      </c>
      <c r="F336" s="195"/>
      <c r="G336" s="73"/>
    </row>
    <row r="337" spans="1:10" x14ac:dyDescent="0.2">
      <c r="B337" s="23" t="s">
        <v>256</v>
      </c>
      <c r="C337" s="78"/>
      <c r="D337" s="78"/>
      <c r="E337" s="99"/>
      <c r="F337" s="205">
        <f>74673.44+441.83</f>
        <v>75115.27</v>
      </c>
      <c r="G337" s="147" t="s">
        <v>22</v>
      </c>
    </row>
    <row r="338" spans="1:10" x14ac:dyDescent="0.2">
      <c r="B338" s="23" t="s">
        <v>257</v>
      </c>
      <c r="C338" s="165"/>
      <c r="D338" s="165"/>
      <c r="E338" s="20">
        <v>18.100000000000001</v>
      </c>
      <c r="F338" s="365">
        <f>F346</f>
        <v>20501591.460000001</v>
      </c>
      <c r="G338" s="366">
        <f>G346</f>
        <v>832</v>
      </c>
    </row>
    <row r="339" spans="1:10" ht="13.5" customHeight="1" thickBot="1" x14ac:dyDescent="0.25">
      <c r="A339" s="356"/>
      <c r="B339" s="23"/>
      <c r="C339" s="84"/>
      <c r="D339" s="84"/>
      <c r="E339" s="84"/>
      <c r="F339" s="417">
        <f>SUM(F337:F338)</f>
        <v>20576706.73</v>
      </c>
      <c r="G339" s="418">
        <f>SUM(G337:G338)</f>
        <v>832</v>
      </c>
    </row>
    <row r="340" spans="1:10" ht="13.5" customHeight="1" thickTop="1" x14ac:dyDescent="0.2">
      <c r="A340" s="356"/>
      <c r="B340" s="23"/>
      <c r="C340" s="84"/>
      <c r="D340" s="84"/>
      <c r="E340" s="84"/>
      <c r="F340" s="195"/>
      <c r="G340" s="164"/>
    </row>
    <row r="341" spans="1:10" x14ac:dyDescent="0.2">
      <c r="A341" s="356"/>
      <c r="B341" s="23"/>
      <c r="C341" s="84"/>
      <c r="D341" s="84"/>
      <c r="E341" s="84"/>
      <c r="F341" s="223"/>
      <c r="G341" s="68"/>
    </row>
    <row r="342" spans="1:10" x14ac:dyDescent="0.2">
      <c r="A342" s="293">
        <v>18.100000000000001</v>
      </c>
      <c r="B342" s="30" t="s">
        <v>257</v>
      </c>
      <c r="C342" s="84"/>
      <c r="D342" s="84"/>
      <c r="E342" s="84"/>
      <c r="F342" s="195"/>
      <c r="G342" s="73"/>
    </row>
    <row r="343" spans="1:10" x14ac:dyDescent="0.2">
      <c r="A343" s="291"/>
      <c r="B343" s="84" t="s">
        <v>258</v>
      </c>
      <c r="C343" s="164"/>
      <c r="D343" s="84"/>
      <c r="E343" s="102"/>
      <c r="F343" s="205">
        <v>15136909.810000001</v>
      </c>
      <c r="G343" s="226">
        <v>275</v>
      </c>
    </row>
    <row r="344" spans="1:10" x14ac:dyDescent="0.2">
      <c r="A344" s="356"/>
      <c r="B344" s="84" t="s">
        <v>259</v>
      </c>
      <c r="C344" s="165"/>
      <c r="D344" s="84"/>
      <c r="E344" s="102"/>
      <c r="F344" s="205">
        <f>431676.35</f>
        <v>431676.35</v>
      </c>
      <c r="G344" s="226">
        <v>557</v>
      </c>
    </row>
    <row r="345" spans="1:10" x14ac:dyDescent="0.2">
      <c r="A345" s="356"/>
      <c r="B345" s="84" t="s">
        <v>260</v>
      </c>
      <c r="C345" s="165"/>
      <c r="D345" s="84"/>
      <c r="E345" s="102"/>
      <c r="F345" s="205">
        <f>4931805.3+1000</f>
        <v>4932805.3</v>
      </c>
      <c r="G345" s="226" t="s">
        <v>22</v>
      </c>
    </row>
    <row r="346" spans="1:10" ht="13.5" customHeight="1" thickBot="1" x14ac:dyDescent="0.25">
      <c r="A346" s="356"/>
      <c r="B346" s="23"/>
      <c r="C346" s="84"/>
      <c r="D346" s="84"/>
      <c r="E346" s="102"/>
      <c r="F346" s="419">
        <f>SUM(F343:F345)+200</f>
        <v>20501591.460000001</v>
      </c>
      <c r="G346" s="420">
        <f>SUM(G343:G344)</f>
        <v>832</v>
      </c>
    </row>
    <row r="347" spans="1:10" ht="13.5" customHeight="1" thickTop="1" x14ac:dyDescent="0.2">
      <c r="A347" s="356"/>
      <c r="E347" s="102"/>
      <c r="F347" s="165"/>
      <c r="G347" s="165"/>
    </row>
    <row r="348" spans="1:10" x14ac:dyDescent="0.2">
      <c r="A348" s="356"/>
      <c r="E348" s="102"/>
      <c r="F348" s="165"/>
      <c r="G348" s="165"/>
      <c r="H348" s="144"/>
      <c r="I348" s="144">
        <v>494966.52</v>
      </c>
      <c r="J348" s="110" t="s">
        <v>261</v>
      </c>
    </row>
    <row r="349" spans="1:10" x14ac:dyDescent="0.2">
      <c r="B349" s="23"/>
      <c r="C349" s="165"/>
      <c r="D349" s="165"/>
      <c r="E349" s="111"/>
      <c r="H349" s="144"/>
      <c r="I349" s="144">
        <v>-317254.95</v>
      </c>
      <c r="J349" s="110" t="s">
        <v>262</v>
      </c>
    </row>
    <row r="350" spans="1:10" ht="15.75" customHeight="1" x14ac:dyDescent="0.25">
      <c r="A350" s="125" t="s">
        <v>263</v>
      </c>
      <c r="B350" s="175" t="s">
        <v>57</v>
      </c>
      <c r="F350" s="104"/>
      <c r="G350" s="104"/>
    </row>
    <row r="351" spans="1:10" ht="15.75" customHeight="1" x14ac:dyDescent="0.25">
      <c r="A351" s="62"/>
      <c r="B351" s="175"/>
      <c r="F351" s="104"/>
      <c r="G351" s="104"/>
    </row>
    <row r="352" spans="1:10" x14ac:dyDescent="0.2">
      <c r="B352" s="23" t="s">
        <v>264</v>
      </c>
      <c r="C352" s="165"/>
      <c r="D352" s="165"/>
      <c r="F352" s="288">
        <f>'INCOME STATEMENT'!C43</f>
        <v>8254725.25</v>
      </c>
      <c r="G352" s="382">
        <f>'INCOME STATEMENT'!D43</f>
        <v>33551</v>
      </c>
      <c r="H352" s="145"/>
      <c r="I352" s="145">
        <v>-317254.95</v>
      </c>
      <c r="J352" t="s">
        <v>265</v>
      </c>
    </row>
    <row r="353" spans="1:10" x14ac:dyDescent="0.2">
      <c r="A353" s="356"/>
      <c r="B353" s="23"/>
      <c r="C353" s="165"/>
      <c r="D353" s="165"/>
      <c r="F353" s="421"/>
      <c r="G353" s="382"/>
      <c r="H353" s="145"/>
      <c r="I353" s="422">
        <f>SUM(I352:I352)</f>
        <v>-317254.95</v>
      </c>
    </row>
    <row r="354" spans="1:10" x14ac:dyDescent="0.2">
      <c r="B354" s="23" t="s">
        <v>266</v>
      </c>
      <c r="C354" s="165"/>
      <c r="D354" s="106"/>
      <c r="F354" s="423">
        <f>SUM(F355:F357)</f>
        <v>241233853.43000001</v>
      </c>
      <c r="G354" s="424">
        <f>SUM(G355:G357)</f>
        <v>181709</v>
      </c>
      <c r="H354" s="145"/>
      <c r="I354" s="145">
        <v>-4456217.72</v>
      </c>
      <c r="J354" t="s">
        <v>267</v>
      </c>
    </row>
    <row r="355" spans="1:10" x14ac:dyDescent="0.2">
      <c r="B355" s="23" t="s">
        <v>268</v>
      </c>
      <c r="D355" s="105"/>
      <c r="F355" s="425">
        <f>-F36</f>
        <v>-22811.48</v>
      </c>
      <c r="G355" s="426" t="str">
        <f>G36</f>
        <v>-</v>
      </c>
      <c r="H355" s="145"/>
      <c r="I355" s="427">
        <f>SUM(I353:I354)</f>
        <v>-4773472.67</v>
      </c>
    </row>
    <row r="356" spans="1:10" x14ac:dyDescent="0.2">
      <c r="B356" s="23" t="s">
        <v>269</v>
      </c>
      <c r="D356" s="105"/>
      <c r="F356" s="428" t="s">
        <v>22</v>
      </c>
      <c r="G356" s="429">
        <v>-514</v>
      </c>
    </row>
    <row r="357" spans="1:10" x14ac:dyDescent="0.2">
      <c r="B357" s="23" t="s">
        <v>63</v>
      </c>
      <c r="D357" s="105"/>
      <c r="F357" s="430">
        <f>'INCOME STATEMENT'!C29</f>
        <v>241256664.91</v>
      </c>
      <c r="G357" s="431">
        <f>'INCOME STATEMENT'!D29+514</f>
        <v>182223</v>
      </c>
      <c r="H357" s="432">
        <f>G357</f>
        <v>182223</v>
      </c>
    </row>
    <row r="358" spans="1:10" x14ac:dyDescent="0.2">
      <c r="B358" s="103"/>
      <c r="F358" s="223"/>
      <c r="G358" s="224"/>
    </row>
    <row r="359" spans="1:10" ht="13.5" customHeight="1" thickBot="1" x14ac:dyDescent="0.25">
      <c r="B359" s="23" t="s">
        <v>57</v>
      </c>
      <c r="D359" s="105"/>
      <c r="F359" s="433">
        <f>SUM(F352,F354)</f>
        <v>249488578.68000001</v>
      </c>
      <c r="G359" s="434">
        <f>SUM(G352,G354)</f>
        <v>215260</v>
      </c>
    </row>
    <row r="360" spans="1:10" ht="13.5" customHeight="1" thickTop="1" x14ac:dyDescent="0.2">
      <c r="B360" s="165"/>
      <c r="F360" s="264"/>
      <c r="G360" s="264"/>
      <c r="H360" s="99" t="s">
        <v>43</v>
      </c>
      <c r="I360" s="99" t="s">
        <v>43</v>
      </c>
    </row>
    <row r="361" spans="1:10" ht="15.75" customHeight="1" x14ac:dyDescent="0.25">
      <c r="A361" s="125" t="s">
        <v>270</v>
      </c>
      <c r="B361" s="175" t="s">
        <v>58</v>
      </c>
      <c r="F361" s="421"/>
      <c r="G361" s="421"/>
      <c r="H361" s="109" t="s">
        <v>271</v>
      </c>
      <c r="I361" s="109" t="s">
        <v>272</v>
      </c>
    </row>
    <row r="362" spans="1:10" x14ac:dyDescent="0.2">
      <c r="B362" s="23" t="s">
        <v>273</v>
      </c>
      <c r="C362" s="165"/>
      <c r="D362" s="105"/>
      <c r="E362" s="105"/>
      <c r="F362" s="397">
        <f>-67934477.54-200</f>
        <v>-67934677.540000007</v>
      </c>
      <c r="G362" s="382">
        <v>217</v>
      </c>
      <c r="H362" s="127">
        <f>15568586.16+33402.08</f>
        <v>15601988.24</v>
      </c>
      <c r="I362" s="127">
        <v>831707.92</v>
      </c>
    </row>
    <row r="363" spans="1:10" x14ac:dyDescent="0.2">
      <c r="B363" s="23" t="s">
        <v>274</v>
      </c>
      <c r="C363" s="254"/>
      <c r="D363" s="105"/>
      <c r="E363" s="105"/>
      <c r="F363" s="288">
        <f>177711.57</f>
        <v>177711.57</v>
      </c>
      <c r="G363" s="382">
        <v>-955</v>
      </c>
      <c r="H363" s="112">
        <v>4931805.3</v>
      </c>
      <c r="I363" s="127">
        <v>61205.55</v>
      </c>
    </row>
    <row r="364" spans="1:10" x14ac:dyDescent="0.2">
      <c r="B364" s="103" t="s">
        <v>275</v>
      </c>
      <c r="C364" s="254"/>
      <c r="D364" s="105"/>
      <c r="E364" s="254"/>
      <c r="F364" s="288">
        <v>19640880.07</v>
      </c>
      <c r="G364" s="382">
        <f>-6319</f>
        <v>-6319</v>
      </c>
      <c r="H364" s="435">
        <f>SUM(H362:H363)</f>
        <v>20533793.539999999</v>
      </c>
      <c r="I364" s="436">
        <f>SUM(I362:I363)</f>
        <v>892913.47000000009</v>
      </c>
    </row>
    <row r="365" spans="1:10" ht="13.5" customHeight="1" thickBot="1" x14ac:dyDescent="0.25">
      <c r="A365" s="356"/>
      <c r="B365" s="165"/>
      <c r="C365" s="165"/>
      <c r="D365" s="105"/>
      <c r="E365" s="254"/>
      <c r="F365" s="437">
        <f>SUM(F362:F364)</f>
        <v>-48116085.900000013</v>
      </c>
      <c r="G365" s="438">
        <f>SUM(G362:G364)</f>
        <v>-7057</v>
      </c>
      <c r="H365" s="439">
        <f>-I364</f>
        <v>-892913.47000000009</v>
      </c>
      <c r="I365" s="79"/>
    </row>
    <row r="366" spans="1:10" ht="13.5" customHeight="1" thickTop="1" x14ac:dyDescent="0.2">
      <c r="A366" s="356"/>
      <c r="B366" s="165"/>
      <c r="C366" s="165"/>
      <c r="D366" s="105"/>
      <c r="G366" s="254"/>
      <c r="H366" s="440">
        <f>SUM(H364:H365)</f>
        <v>19640880.07</v>
      </c>
      <c r="I366" s="127">
        <v>19609399.890000001</v>
      </c>
    </row>
    <row r="367" spans="1:10" x14ac:dyDescent="0.2">
      <c r="A367" s="356"/>
      <c r="B367" s="165"/>
      <c r="C367" s="165"/>
      <c r="D367" s="105"/>
      <c r="F367" s="290"/>
      <c r="G367" s="290"/>
      <c r="H367" s="441"/>
      <c r="I367" s="79"/>
    </row>
    <row r="368" spans="1:10" x14ac:dyDescent="0.2">
      <c r="A368" s="356"/>
      <c r="B368" s="165"/>
      <c r="C368" s="165"/>
      <c r="D368" s="105"/>
      <c r="F368" s="290"/>
      <c r="G368" s="290"/>
      <c r="I368" s="127">
        <v>19668683.539999999</v>
      </c>
    </row>
    <row r="369" spans="1:9" ht="15.75" customHeight="1" x14ac:dyDescent="0.25">
      <c r="A369" s="125" t="s">
        <v>276</v>
      </c>
      <c r="B369" s="175" t="s">
        <v>59</v>
      </c>
      <c r="C369" t="s">
        <v>190</v>
      </c>
      <c r="G369" s="254"/>
      <c r="I369" s="442">
        <f>SUM(I368:I368)</f>
        <v>19668683.539999999</v>
      </c>
    </row>
    <row r="370" spans="1:9" x14ac:dyDescent="0.2">
      <c r="A370" s="356"/>
      <c r="B370" s="84"/>
      <c r="C370" s="12"/>
      <c r="D370" s="12"/>
      <c r="E370" s="185" t="s">
        <v>0</v>
      </c>
      <c r="F370" s="73"/>
      <c r="G370" s="73"/>
      <c r="H370" s="99"/>
      <c r="I370" s="99"/>
    </row>
    <row r="371" spans="1:9" x14ac:dyDescent="0.2">
      <c r="A371" s="291"/>
      <c r="B371" s="23" t="s">
        <v>277</v>
      </c>
      <c r="C371" s="165"/>
      <c r="D371" s="264"/>
      <c r="E371" s="159">
        <v>16</v>
      </c>
      <c r="F371" s="443">
        <f>F320</f>
        <v>11562275.039999999</v>
      </c>
      <c r="G371" s="444">
        <f>SUM(G320)</f>
        <v>43007</v>
      </c>
      <c r="H371" s="109"/>
      <c r="I371" s="109"/>
    </row>
    <row r="372" spans="1:9" x14ac:dyDescent="0.2">
      <c r="A372" s="291"/>
      <c r="B372" s="23" t="s">
        <v>278</v>
      </c>
      <c r="C372" s="84"/>
      <c r="D372" s="84"/>
      <c r="E372" s="159">
        <v>17</v>
      </c>
      <c r="F372" s="445">
        <f>F330</f>
        <v>1864557.45</v>
      </c>
      <c r="G372" s="226">
        <v>2363</v>
      </c>
      <c r="H372" s="127"/>
      <c r="I372" s="127"/>
    </row>
    <row r="373" spans="1:9" ht="13.5" customHeight="1" thickBot="1" x14ac:dyDescent="0.25">
      <c r="A373" s="356"/>
      <c r="B373" s="101"/>
      <c r="C373" s="84"/>
      <c r="D373" s="84"/>
      <c r="E373" s="84"/>
      <c r="F373" s="446">
        <f>SUM(F371:F372)</f>
        <v>13426832.489999998</v>
      </c>
      <c r="G373" s="447">
        <f>SUM(G371:G372)</f>
        <v>45370</v>
      </c>
      <c r="H373" s="127"/>
      <c r="I373" s="127"/>
    </row>
    <row r="374" spans="1:9" ht="13.5" customHeight="1" thickTop="1" x14ac:dyDescent="0.2">
      <c r="H374" s="127"/>
      <c r="I374" s="441"/>
    </row>
    <row r="375" spans="1:9" x14ac:dyDescent="0.2">
      <c r="H375" s="441"/>
      <c r="I375" s="79"/>
    </row>
    <row r="376" spans="1:9" x14ac:dyDescent="0.2">
      <c r="H376" s="127"/>
      <c r="I376" s="79"/>
    </row>
    <row r="377" spans="1:9" x14ac:dyDescent="0.2">
      <c r="H377" s="441"/>
      <c r="I377" s="79"/>
    </row>
    <row r="378" spans="1:9" x14ac:dyDescent="0.2">
      <c r="I378" s="127"/>
    </row>
    <row r="379" spans="1:9" x14ac:dyDescent="0.2">
      <c r="A379" t="s">
        <v>279</v>
      </c>
    </row>
  </sheetData>
  <mergeCells count="36">
    <mergeCell ref="C212:D212"/>
    <mergeCell ref="B227:E227"/>
    <mergeCell ref="C213:D213"/>
    <mergeCell ref="C209:D209"/>
    <mergeCell ref="C210:D210"/>
    <mergeCell ref="C211:D211"/>
    <mergeCell ref="B329:D329"/>
    <mergeCell ref="C238:E238"/>
    <mergeCell ref="C239:E239"/>
    <mergeCell ref="C241:E241"/>
    <mergeCell ref="B278:G278"/>
    <mergeCell ref="C242:E242"/>
    <mergeCell ref="C240:E240"/>
    <mergeCell ref="C208:D208"/>
    <mergeCell ref="B106:C106"/>
    <mergeCell ref="B126:C126"/>
    <mergeCell ref="C45:C46"/>
    <mergeCell ref="E45:F45"/>
    <mergeCell ref="D45:D46"/>
    <mergeCell ref="B206:E206"/>
    <mergeCell ref="C207:D207"/>
    <mergeCell ref="B3:G3"/>
    <mergeCell ref="B178:E178"/>
    <mergeCell ref="B201:E201"/>
    <mergeCell ref="B16:G16"/>
    <mergeCell ref="C4:D4"/>
    <mergeCell ref="C13:D13"/>
    <mergeCell ref="C14:D14"/>
    <mergeCell ref="C6:D6"/>
    <mergeCell ref="C7:D7"/>
    <mergeCell ref="C8:D8"/>
    <mergeCell ref="G45:G46"/>
    <mergeCell ref="C9:D9"/>
    <mergeCell ref="C10:D10"/>
    <mergeCell ref="C12:D12"/>
    <mergeCell ref="C11:D11"/>
  </mergeCells>
  <phoneticPr fontId="17" type="noConversion"/>
  <pageMargins left="0.47244094488188981" right="0.19685039370078741" top="1.4566929133858271" bottom="0.55118110236220474" header="0.51181102362204722" footer="0.51181102362204722"/>
  <pageSetup paperSize="9" scale="72" orientation="portrait"/>
  <headerFooter alignWithMargins="0">
    <oddHeader>&amp;C&amp;"Arial,Bold"DEPARMENT OF ENVIRONMENTAL AFFAIRS AND TOURISM
VOTE 27
NOTES TO THE ANNUAL FINANCIAL STATEMENTS
for the year ended 31 MARCH 2003</oddHeader>
  </headerFooter>
  <rowBreaks count="5" manualBreakCount="5">
    <brk id="68" max="6" man="1"/>
    <brk id="132" max="6" man="1"/>
    <brk id="187" max="6" man="1"/>
    <brk id="246" max="6" man="1"/>
    <brk id="315" max="6" man="1"/>
  </rowBreaks>
  <colBreaks count="1" manualBreakCount="1">
    <brk id="7" max="395" man="1"/>
  </colBreaks>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2:J270"/>
  <sheetViews>
    <sheetView topLeftCell="C55" zoomScaleNormal="100" zoomScaleSheetLayoutView="100" workbookViewId="0">
      <selection activeCell="G76" sqref="G76"/>
    </sheetView>
  </sheetViews>
  <sheetFormatPr defaultRowHeight="12.75" x14ac:dyDescent="0.2"/>
  <cols>
    <col min="1" max="1" width="6.28515625" style="70" customWidth="1"/>
    <col min="2" max="2" width="40.7109375" style="70" customWidth="1"/>
    <col min="5" max="5" width="13.5703125" style="70" bestFit="1" customWidth="1"/>
    <col min="6" max="6" width="15.7109375" style="70" customWidth="1"/>
    <col min="7" max="7" width="13.28515625" style="70" customWidth="1"/>
    <col min="8" max="8" width="11.7109375" style="70" bestFit="1" customWidth="1"/>
    <col min="10" max="10" width="12.7109375" style="70" customWidth="1"/>
  </cols>
  <sheetData>
    <row r="2" spans="1:10" ht="68.25" customHeight="1" x14ac:dyDescent="0.2">
      <c r="A2" s="636" t="s">
        <v>280</v>
      </c>
      <c r="B2" s="632"/>
      <c r="C2" s="632"/>
      <c r="D2" s="632"/>
      <c r="E2" s="632"/>
      <c r="F2" s="632"/>
      <c r="G2" s="632"/>
    </row>
    <row r="3" spans="1:10" x14ac:dyDescent="0.2">
      <c r="A3" s="67"/>
      <c r="B3" s="67"/>
      <c r="C3" s="160"/>
      <c r="D3" s="160"/>
      <c r="E3" s="160"/>
      <c r="F3" s="160"/>
      <c r="G3" s="160"/>
    </row>
    <row r="4" spans="1:10" ht="15.75" customHeight="1" x14ac:dyDescent="0.25">
      <c r="A4" s="126" t="s">
        <v>281</v>
      </c>
      <c r="B4" s="24" t="s">
        <v>282</v>
      </c>
      <c r="C4" s="160"/>
      <c r="D4" s="160"/>
      <c r="E4" s="160"/>
      <c r="F4" s="160"/>
      <c r="G4" s="160"/>
    </row>
    <row r="5" spans="1:10" ht="25.5" customHeight="1" x14ac:dyDescent="0.2">
      <c r="B5" s="19" t="s">
        <v>283</v>
      </c>
      <c r="C5" s="101" t="s">
        <v>284</v>
      </c>
      <c r="D5" s="160"/>
      <c r="E5" s="101" t="s">
        <v>0</v>
      </c>
      <c r="F5" s="73" t="s">
        <v>1</v>
      </c>
      <c r="G5" s="73" t="s">
        <v>2</v>
      </c>
    </row>
    <row r="6" spans="1:10" x14ac:dyDescent="0.2">
      <c r="B6" s="67" t="s">
        <v>285</v>
      </c>
      <c r="C6" s="23" t="s">
        <v>286</v>
      </c>
      <c r="E6" s="123" t="s">
        <v>287</v>
      </c>
      <c r="F6" s="223">
        <v>101562.55</v>
      </c>
      <c r="G6" s="224">
        <v>361</v>
      </c>
    </row>
    <row r="7" spans="1:10" x14ac:dyDescent="0.2">
      <c r="B7" s="67" t="s">
        <v>288</v>
      </c>
      <c r="C7" s="23" t="s">
        <v>286</v>
      </c>
      <c r="E7" s="123" t="s">
        <v>287</v>
      </c>
      <c r="F7" s="288">
        <v>1737473.2</v>
      </c>
      <c r="G7" s="382">
        <v>1643</v>
      </c>
    </row>
    <row r="8" spans="1:10" ht="13.5" customHeight="1" thickBot="1" x14ac:dyDescent="0.25">
      <c r="A8" s="19"/>
      <c r="B8" s="67"/>
      <c r="C8" s="160"/>
      <c r="D8" s="160"/>
      <c r="E8" s="160"/>
      <c r="F8" s="448">
        <f>SUM(F6:F7)</f>
        <v>1839035.75</v>
      </c>
      <c r="G8" s="449">
        <f>SUM(G6:G7)</f>
        <v>2004</v>
      </c>
    </row>
    <row r="9" spans="1:10" ht="13.5" customHeight="1" thickTop="1" x14ac:dyDescent="0.2">
      <c r="A9" s="19"/>
      <c r="B9" s="67"/>
      <c r="C9" s="160"/>
      <c r="D9" s="160"/>
      <c r="E9" s="160"/>
      <c r="F9" s="195"/>
      <c r="G9" s="255"/>
    </row>
    <row r="10" spans="1:10" x14ac:dyDescent="0.2">
      <c r="A10" s="19"/>
      <c r="B10" s="67"/>
      <c r="C10" s="160"/>
      <c r="D10" s="160"/>
      <c r="E10" s="160"/>
      <c r="F10" s="195"/>
      <c r="G10" s="255"/>
    </row>
    <row r="11" spans="1:10" x14ac:dyDescent="0.2">
      <c r="A11" s="19"/>
      <c r="B11" s="72"/>
      <c r="F11" s="288"/>
      <c r="G11" s="148"/>
    </row>
    <row r="12" spans="1:10" ht="15.75" customHeight="1" x14ac:dyDescent="0.25">
      <c r="A12" s="126" t="s">
        <v>289</v>
      </c>
      <c r="B12" s="24" t="s">
        <v>290</v>
      </c>
      <c r="F12" s="195"/>
      <c r="G12" s="164"/>
    </row>
    <row r="13" spans="1:10" x14ac:dyDescent="0.2">
      <c r="B13" s="72" t="s">
        <v>132</v>
      </c>
      <c r="F13" s="195"/>
      <c r="G13" s="73"/>
    </row>
    <row r="14" spans="1:10" x14ac:dyDescent="0.2">
      <c r="B14" s="84" t="s">
        <v>291</v>
      </c>
      <c r="F14" s="288">
        <v>11953080.48</v>
      </c>
      <c r="G14" s="382">
        <v>7030</v>
      </c>
      <c r="J14" s="105"/>
    </row>
    <row r="15" spans="1:10" x14ac:dyDescent="0.2">
      <c r="B15" s="84"/>
      <c r="E15" s="164"/>
      <c r="F15" s="450">
        <f>SUM(F14:F14)</f>
        <v>11953080.48</v>
      </c>
      <c r="G15" s="451">
        <f>SUM(G14:G14)</f>
        <v>7030</v>
      </c>
      <c r="J15" s="105"/>
    </row>
    <row r="16" spans="1:10" x14ac:dyDescent="0.2">
      <c r="B16" s="84"/>
      <c r="E16" s="164"/>
      <c r="F16" s="195"/>
      <c r="G16" s="255"/>
      <c r="J16" s="105"/>
    </row>
    <row r="17" spans="1:10" x14ac:dyDescent="0.2">
      <c r="B17" s="72" t="s">
        <v>63</v>
      </c>
      <c r="E17" s="164"/>
      <c r="F17" s="195"/>
      <c r="G17" s="73"/>
      <c r="J17" s="105"/>
    </row>
    <row r="18" spans="1:10" x14ac:dyDescent="0.2">
      <c r="B18" s="84" t="s">
        <v>291</v>
      </c>
      <c r="E18" s="68"/>
      <c r="F18" s="223">
        <v>5504403.2199999997</v>
      </c>
      <c r="G18" s="224">
        <v>3859</v>
      </c>
      <c r="J18" s="105"/>
    </row>
    <row r="19" spans="1:10" x14ac:dyDescent="0.2">
      <c r="B19" s="22"/>
      <c r="E19" s="20"/>
      <c r="F19" s="450">
        <f>SUM(F18:F18)</f>
        <v>5504403.2199999997</v>
      </c>
      <c r="G19" s="451">
        <f>SUM(G18:G18)</f>
        <v>3859</v>
      </c>
      <c r="J19" s="105"/>
    </row>
    <row r="20" spans="1:10" x14ac:dyDescent="0.2">
      <c r="B20" s="22"/>
      <c r="E20" s="20"/>
      <c r="F20" s="223"/>
      <c r="G20" s="224"/>
      <c r="J20" s="105"/>
    </row>
    <row r="21" spans="1:10" ht="13.5" customHeight="1" thickBot="1" x14ac:dyDescent="0.25">
      <c r="B21" s="84" t="s">
        <v>292</v>
      </c>
      <c r="E21" s="20"/>
      <c r="F21" s="284">
        <f>SUM(F15,F19)</f>
        <v>17457483.699999999</v>
      </c>
      <c r="G21" s="452">
        <f>SUM(G15,G19)</f>
        <v>10889</v>
      </c>
      <c r="J21" s="105"/>
    </row>
    <row r="22" spans="1:10" ht="13.5" customHeight="1" thickTop="1" x14ac:dyDescent="0.2">
      <c r="B22" s="84"/>
      <c r="E22" s="20"/>
      <c r="F22" s="453"/>
      <c r="G22" s="255"/>
      <c r="J22" s="105"/>
    </row>
    <row r="23" spans="1:10" x14ac:dyDescent="0.2">
      <c r="B23" s="84"/>
      <c r="E23" s="20"/>
      <c r="F23" s="453"/>
      <c r="G23" s="255"/>
      <c r="J23" s="105"/>
    </row>
    <row r="24" spans="1:10" x14ac:dyDescent="0.2">
      <c r="E24" s="20"/>
      <c r="F24" s="68"/>
      <c r="G24" s="68"/>
      <c r="J24" s="105"/>
    </row>
    <row r="25" spans="1:10" ht="15.75" customHeight="1" x14ac:dyDescent="0.25">
      <c r="A25" s="126" t="s">
        <v>293</v>
      </c>
      <c r="B25" s="24" t="s">
        <v>294</v>
      </c>
      <c r="C25" t="s">
        <v>190</v>
      </c>
      <c r="E25" s="20"/>
      <c r="F25" s="148"/>
      <c r="G25" s="148"/>
      <c r="J25" s="105"/>
    </row>
    <row r="26" spans="1:10" x14ac:dyDescent="0.2">
      <c r="B26" s="84" t="s">
        <v>295</v>
      </c>
      <c r="E26" s="20"/>
      <c r="F26" s="73"/>
      <c r="G26" s="73"/>
      <c r="J26" s="105"/>
    </row>
    <row r="27" spans="1:10" x14ac:dyDescent="0.2">
      <c r="B27" s="48" t="s">
        <v>13</v>
      </c>
      <c r="E27" s="20"/>
      <c r="F27" s="288">
        <f>1400+200</f>
        <v>1600</v>
      </c>
      <c r="G27" s="382">
        <v>1</v>
      </c>
      <c r="J27" s="105"/>
    </row>
    <row r="28" spans="1:10" x14ac:dyDescent="0.2">
      <c r="B28" s="48" t="s">
        <v>14</v>
      </c>
      <c r="E28" s="20"/>
      <c r="F28" s="288">
        <v>48239.55</v>
      </c>
      <c r="G28" s="382">
        <v>83</v>
      </c>
      <c r="J28" s="105"/>
    </row>
    <row r="29" spans="1:10" x14ac:dyDescent="0.2">
      <c r="B29" s="48" t="s">
        <v>296</v>
      </c>
      <c r="E29" s="20"/>
      <c r="F29" s="288">
        <v>93070.2</v>
      </c>
      <c r="G29" s="382">
        <v>1339</v>
      </c>
      <c r="J29" s="105"/>
    </row>
    <row r="30" spans="1:10" x14ac:dyDescent="0.2">
      <c r="B30" s="48" t="s">
        <v>16</v>
      </c>
      <c r="E30" s="20"/>
      <c r="F30" s="288">
        <v>24304.07</v>
      </c>
      <c r="G30" s="382">
        <v>154</v>
      </c>
      <c r="J30" s="105"/>
    </row>
    <row r="31" spans="1:10" ht="13.5" customHeight="1" thickBot="1" x14ac:dyDescent="0.25">
      <c r="A31" s="19"/>
      <c r="B31" s="48"/>
      <c r="E31" s="20"/>
      <c r="F31" s="454">
        <f>SUM(F27:F30)</f>
        <v>167213.82</v>
      </c>
      <c r="G31" s="455">
        <f>SUM(G27:G30)</f>
        <v>1577</v>
      </c>
      <c r="J31" s="105"/>
    </row>
    <row r="32" spans="1:10" ht="13.5" customHeight="1" thickTop="1" x14ac:dyDescent="0.2">
      <c r="A32" s="19"/>
      <c r="B32" s="48"/>
      <c r="E32" s="20"/>
      <c r="F32" s="195"/>
      <c r="G32" s="255"/>
      <c r="J32" s="105"/>
    </row>
    <row r="33" spans="1:10" x14ac:dyDescent="0.2">
      <c r="B33" s="84" t="s">
        <v>297</v>
      </c>
      <c r="E33" s="20"/>
      <c r="F33" s="195"/>
      <c r="G33" s="73"/>
      <c r="J33" s="105"/>
    </row>
    <row r="34" spans="1:10" ht="13.15" customHeight="1" x14ac:dyDescent="0.2">
      <c r="B34" s="76" t="s">
        <v>298</v>
      </c>
      <c r="E34" s="20"/>
      <c r="F34" s="223">
        <f>44431.2+200</f>
        <v>44631.199999999997</v>
      </c>
      <c r="G34" s="224">
        <v>353</v>
      </c>
    </row>
    <row r="35" spans="1:10" ht="13.15" customHeight="1" x14ac:dyDescent="0.2">
      <c r="B35" s="76" t="s">
        <v>299</v>
      </c>
      <c r="E35" s="20"/>
      <c r="F35" s="223" t="s">
        <v>22</v>
      </c>
      <c r="G35" s="224">
        <v>301</v>
      </c>
    </row>
    <row r="36" spans="1:10" ht="13.15" customHeight="1" x14ac:dyDescent="0.2">
      <c r="B36" s="76" t="s">
        <v>300</v>
      </c>
      <c r="E36" s="20"/>
      <c r="F36" s="223">
        <v>66180</v>
      </c>
      <c r="G36" s="224">
        <v>187</v>
      </c>
    </row>
    <row r="37" spans="1:10" ht="13.15" customHeight="1" x14ac:dyDescent="0.2">
      <c r="B37" s="76" t="s">
        <v>301</v>
      </c>
      <c r="E37" s="20"/>
      <c r="F37" s="223">
        <v>28238.28</v>
      </c>
      <c r="G37" s="224">
        <v>65</v>
      </c>
    </row>
    <row r="38" spans="1:10" ht="13.15" customHeight="1" x14ac:dyDescent="0.2">
      <c r="B38" s="76" t="s">
        <v>302</v>
      </c>
      <c r="E38" s="20"/>
      <c r="F38" s="223">
        <v>28164.34</v>
      </c>
      <c r="G38" s="224">
        <v>671</v>
      </c>
    </row>
    <row r="39" spans="1:10" ht="13.5" customHeight="1" thickBot="1" x14ac:dyDescent="0.25">
      <c r="B39" s="84"/>
      <c r="E39" s="20"/>
      <c r="F39" s="456">
        <f>SUM(F34:F38)</f>
        <v>167213.81999999998</v>
      </c>
      <c r="G39" s="457">
        <f>SUM(G34:G38)</f>
        <v>1577</v>
      </c>
    </row>
    <row r="40" spans="1:10" ht="13.5" customHeight="1" thickTop="1" x14ac:dyDescent="0.2">
      <c r="B40" s="84"/>
      <c r="E40" s="20"/>
    </row>
    <row r="41" spans="1:10" x14ac:dyDescent="0.2">
      <c r="B41" s="84"/>
      <c r="E41" s="20"/>
    </row>
    <row r="42" spans="1:10" x14ac:dyDescent="0.2">
      <c r="B42" s="84"/>
      <c r="E42" s="20"/>
    </row>
    <row r="43" spans="1:10" ht="15.75" customHeight="1" x14ac:dyDescent="0.25">
      <c r="A43" s="126" t="s">
        <v>303</v>
      </c>
      <c r="B43" s="24" t="s">
        <v>304</v>
      </c>
      <c r="E43" s="171"/>
    </row>
    <row r="44" spans="1:10" ht="13.15" customHeight="1" x14ac:dyDescent="0.25">
      <c r="A44" s="175"/>
      <c r="B44" s="24"/>
      <c r="C44" s="18"/>
      <c r="D44" s="61"/>
      <c r="E44" s="18"/>
      <c r="F44" s="73"/>
      <c r="G44" s="73"/>
    </row>
    <row r="45" spans="1:10" x14ac:dyDescent="0.2">
      <c r="B45" t="s">
        <v>305</v>
      </c>
      <c r="F45" s="205">
        <f>1450374.82+1628035.42+13281923.96</f>
        <v>16360334.200000001</v>
      </c>
      <c r="G45" s="226">
        <v>14532</v>
      </c>
    </row>
    <row r="46" spans="1:10" x14ac:dyDescent="0.2">
      <c r="B46" t="s">
        <v>306</v>
      </c>
      <c r="C46" s="61"/>
      <c r="D46" s="61"/>
      <c r="E46" s="61"/>
      <c r="F46" s="205">
        <f>3514635.45</f>
        <v>3514635.45</v>
      </c>
      <c r="G46" s="226">
        <v>3932</v>
      </c>
    </row>
    <row r="47" spans="1:10" x14ac:dyDescent="0.2">
      <c r="B47" t="s">
        <v>307</v>
      </c>
      <c r="E47" s="15"/>
      <c r="F47" s="318">
        <v>311464.74</v>
      </c>
      <c r="G47" s="226">
        <v>391</v>
      </c>
    </row>
    <row r="48" spans="1:10" ht="13.5" customHeight="1" thickBot="1" x14ac:dyDescent="0.25">
      <c r="B48" s="22"/>
      <c r="E48" s="15"/>
      <c r="F48" s="458">
        <f>SUM(F45:F47)</f>
        <v>20186434.390000001</v>
      </c>
      <c r="G48" s="253">
        <f>SUM(G45:G47)</f>
        <v>18855</v>
      </c>
    </row>
    <row r="49" spans="1:8" ht="13.5" customHeight="1" thickTop="1" x14ac:dyDescent="0.2">
      <c r="B49" s="22"/>
      <c r="E49" s="15"/>
      <c r="F49" s="459"/>
      <c r="G49" s="460"/>
    </row>
    <row r="51" spans="1:8" x14ac:dyDescent="0.2">
      <c r="B51" s="22"/>
      <c r="E51" s="15"/>
      <c r="F51" s="459"/>
      <c r="G51" s="460"/>
    </row>
    <row r="52" spans="1:8" x14ac:dyDescent="0.2">
      <c r="B52" s="22"/>
      <c r="E52" s="15"/>
      <c r="F52" s="19"/>
      <c r="G52" s="19"/>
    </row>
    <row r="53" spans="1:8" ht="15.75" customHeight="1" x14ac:dyDescent="0.25">
      <c r="A53" s="126" t="s">
        <v>308</v>
      </c>
      <c r="B53" s="24" t="s">
        <v>309</v>
      </c>
      <c r="C53" t="s">
        <v>190</v>
      </c>
      <c r="E53" s="15"/>
    </row>
    <row r="54" spans="1:8" ht="38.25" customHeight="1" x14ac:dyDescent="0.2">
      <c r="A54" s="11">
        <v>26.1</v>
      </c>
      <c r="B54" s="30" t="s">
        <v>310</v>
      </c>
      <c r="D54" s="25"/>
      <c r="E54" s="25" t="s">
        <v>296</v>
      </c>
      <c r="F54" s="73" t="s">
        <v>311</v>
      </c>
      <c r="G54" s="73" t="s">
        <v>312</v>
      </c>
    </row>
    <row r="55" spans="1:8" x14ac:dyDescent="0.2">
      <c r="B55" s="171"/>
      <c r="C55" s="98"/>
      <c r="D55" s="98"/>
      <c r="E55" s="97"/>
      <c r="F55" s="264"/>
      <c r="G55" s="264"/>
    </row>
    <row r="56" spans="1:8" x14ac:dyDescent="0.2">
      <c r="B56" s="170" t="s">
        <v>313</v>
      </c>
      <c r="C56" s="165"/>
      <c r="D56" s="165"/>
      <c r="E56" s="97"/>
      <c r="F56" s="264"/>
      <c r="G56" s="264"/>
    </row>
    <row r="57" spans="1:8" x14ac:dyDescent="0.2">
      <c r="B57" s="171" t="s">
        <v>314</v>
      </c>
      <c r="C57" s="165"/>
      <c r="D57" s="165"/>
      <c r="E57" s="461">
        <f>F57</f>
        <v>152960.51999999999</v>
      </c>
      <c r="F57" s="223">
        <v>152960.51999999999</v>
      </c>
      <c r="G57" s="223">
        <f>149824.73</f>
        <v>149824.73000000001</v>
      </c>
      <c r="H57" s="462"/>
    </row>
    <row r="58" spans="1:8" x14ac:dyDescent="0.2">
      <c r="B58" s="171" t="s">
        <v>315</v>
      </c>
      <c r="C58" s="165"/>
      <c r="D58" s="264"/>
      <c r="E58" s="461">
        <f>F58</f>
        <v>90797.92</v>
      </c>
      <c r="F58" s="223">
        <v>90797.92</v>
      </c>
      <c r="G58" s="223">
        <v>231502.65</v>
      </c>
      <c r="H58" s="462"/>
    </row>
    <row r="59" spans="1:8" x14ac:dyDescent="0.2">
      <c r="B59" s="171" t="s">
        <v>316</v>
      </c>
      <c r="C59" s="165"/>
      <c r="D59" s="264"/>
      <c r="E59" s="461" t="str">
        <f>F59</f>
        <v>-</v>
      </c>
      <c r="F59" s="223" t="s">
        <v>22</v>
      </c>
      <c r="G59" s="223">
        <v>12255.79</v>
      </c>
      <c r="H59" s="462"/>
    </row>
    <row r="60" spans="1:8" x14ac:dyDescent="0.2">
      <c r="B60" s="171"/>
      <c r="C60" s="165"/>
      <c r="D60" s="264"/>
      <c r="E60" s="463">
        <f>SUM(E57:E59)</f>
        <v>243758.44</v>
      </c>
      <c r="F60" s="463">
        <f>SUM(F57:F59)</f>
        <v>243758.44</v>
      </c>
      <c r="G60" s="463">
        <f>SUM(G57:G59)</f>
        <v>393583.17</v>
      </c>
      <c r="H60" s="192"/>
    </row>
    <row r="61" spans="1:8" x14ac:dyDescent="0.2">
      <c r="B61" s="171" t="s">
        <v>317</v>
      </c>
      <c r="C61" s="165"/>
      <c r="D61" s="264"/>
      <c r="E61" s="312" t="s">
        <v>22</v>
      </c>
      <c r="F61" s="312" t="s">
        <v>22</v>
      </c>
      <c r="G61" s="312" t="s">
        <v>22</v>
      </c>
    </row>
    <row r="62" spans="1:8" x14ac:dyDescent="0.2">
      <c r="B62" s="171" t="s">
        <v>318</v>
      </c>
      <c r="C62" s="165"/>
      <c r="D62" s="264"/>
      <c r="E62" s="297">
        <f>E60</f>
        <v>243758.44</v>
      </c>
      <c r="F62" s="297">
        <f>F60</f>
        <v>243758.44</v>
      </c>
      <c r="G62" s="297">
        <f>G60</f>
        <v>393583.17</v>
      </c>
    </row>
    <row r="63" spans="1:8" x14ac:dyDescent="0.2">
      <c r="B63" s="171"/>
      <c r="C63" s="165"/>
      <c r="D63" s="165"/>
      <c r="E63" s="223"/>
      <c r="F63" s="223"/>
      <c r="G63" s="223"/>
    </row>
    <row r="64" spans="1:8" x14ac:dyDescent="0.2">
      <c r="B64" s="170" t="s">
        <v>319</v>
      </c>
      <c r="C64" s="165"/>
      <c r="D64" s="165"/>
      <c r="E64" s="205"/>
      <c r="F64" s="223"/>
      <c r="G64" s="223"/>
    </row>
    <row r="65" spans="1:8" x14ac:dyDescent="0.2">
      <c r="B65" s="171" t="s">
        <v>314</v>
      </c>
      <c r="C65" s="165"/>
      <c r="D65" s="165"/>
      <c r="E65" s="461">
        <f>F65</f>
        <v>64017.8</v>
      </c>
      <c r="F65" s="223">
        <f>64417.8-400</f>
        <v>64017.8</v>
      </c>
      <c r="G65" s="223">
        <f>64417.8</f>
        <v>64417.8</v>
      </c>
      <c r="H65" s="462"/>
    </row>
    <row r="66" spans="1:8" x14ac:dyDescent="0.2">
      <c r="B66" s="171" t="s">
        <v>315</v>
      </c>
      <c r="C66" s="165"/>
      <c r="D66" s="264"/>
      <c r="E66" s="461">
        <f>F66</f>
        <v>5368.15</v>
      </c>
      <c r="F66" s="223">
        <v>5368.15</v>
      </c>
      <c r="G66" s="223">
        <v>69785.95</v>
      </c>
      <c r="H66" s="462"/>
    </row>
    <row r="67" spans="1:8" x14ac:dyDescent="0.2">
      <c r="B67" s="171" t="s">
        <v>316</v>
      </c>
      <c r="C67" s="165"/>
      <c r="D67" s="264"/>
      <c r="E67" s="461" t="str">
        <f>F67</f>
        <v>-</v>
      </c>
      <c r="F67" s="223" t="s">
        <v>22</v>
      </c>
      <c r="G67" s="223" t="s">
        <v>22</v>
      </c>
    </row>
    <row r="68" spans="1:8" x14ac:dyDescent="0.2">
      <c r="B68" s="171"/>
      <c r="C68" s="165"/>
      <c r="D68" s="264"/>
      <c r="E68" s="464">
        <f>SUM(E65:E67)</f>
        <v>69385.95</v>
      </c>
      <c r="F68" s="464">
        <f>SUM(F65:F67)</f>
        <v>69385.95</v>
      </c>
      <c r="G68" s="465">
        <f>SUM(G65:G67)-200</f>
        <v>134003.75</v>
      </c>
      <c r="H68" s="192"/>
    </row>
    <row r="69" spans="1:8" x14ac:dyDescent="0.2">
      <c r="B69" s="171" t="s">
        <v>317</v>
      </c>
      <c r="C69" s="165"/>
      <c r="D69" s="264"/>
      <c r="E69" s="312" t="s">
        <v>22</v>
      </c>
      <c r="F69" s="312" t="s">
        <v>22</v>
      </c>
      <c r="G69" s="312" t="s">
        <v>22</v>
      </c>
    </row>
    <row r="70" spans="1:8" x14ac:dyDescent="0.2">
      <c r="B70" s="171" t="s">
        <v>318</v>
      </c>
      <c r="C70" s="165"/>
      <c r="D70" s="264"/>
      <c r="E70" s="297">
        <f>E68</f>
        <v>69385.95</v>
      </c>
      <c r="F70" s="297">
        <f>F68</f>
        <v>69385.95</v>
      </c>
      <c r="G70" s="297">
        <f>G68</f>
        <v>134003.75</v>
      </c>
    </row>
    <row r="71" spans="1:8" x14ac:dyDescent="0.2">
      <c r="B71" s="171"/>
      <c r="C71" s="165"/>
      <c r="D71" s="165"/>
      <c r="E71" s="223"/>
      <c r="F71" s="223"/>
      <c r="G71" s="223"/>
    </row>
    <row r="72" spans="1:8" x14ac:dyDescent="0.2">
      <c r="B72" s="170" t="s">
        <v>320</v>
      </c>
      <c r="C72" s="165"/>
      <c r="D72" s="165"/>
      <c r="E72" s="205"/>
      <c r="F72" s="223"/>
      <c r="G72" s="223"/>
    </row>
    <row r="73" spans="1:8" x14ac:dyDescent="0.2">
      <c r="B73" s="171" t="s">
        <v>314</v>
      </c>
      <c r="C73" s="165"/>
      <c r="D73" s="165"/>
      <c r="E73" s="461">
        <f>F73</f>
        <v>398405.01</v>
      </c>
      <c r="F73" s="223">
        <f>398705.01-300</f>
        <v>398405.01</v>
      </c>
      <c r="G73" s="223">
        <v>447074.12</v>
      </c>
      <c r="H73" s="462"/>
    </row>
    <row r="74" spans="1:8" x14ac:dyDescent="0.2">
      <c r="B74" s="171" t="s">
        <v>315</v>
      </c>
      <c r="C74" s="165"/>
      <c r="D74" s="264"/>
      <c r="E74" s="461">
        <f>F74</f>
        <v>291784.94</v>
      </c>
      <c r="F74" s="223">
        <f>92029.44+199755.5</f>
        <v>291784.94</v>
      </c>
      <c r="G74" s="223">
        <f>598460.51-200</f>
        <v>598260.51</v>
      </c>
      <c r="H74" s="462"/>
    </row>
    <row r="75" spans="1:8" x14ac:dyDescent="0.2">
      <c r="B75" s="171" t="s">
        <v>316</v>
      </c>
      <c r="C75" s="165"/>
      <c r="D75" s="264"/>
      <c r="E75" s="461">
        <f>F75</f>
        <v>18193.14</v>
      </c>
      <c r="F75" s="223">
        <v>18193.14</v>
      </c>
      <c r="G75" s="223">
        <f>110222.58-200</f>
        <v>110022.58</v>
      </c>
      <c r="H75" s="462"/>
    </row>
    <row r="76" spans="1:8" x14ac:dyDescent="0.2">
      <c r="B76" s="171"/>
      <c r="C76" s="165"/>
      <c r="D76" s="264"/>
      <c r="E76" s="466">
        <f>SUM(E73:E75)-500</f>
        <v>707883.09</v>
      </c>
      <c r="F76" s="466">
        <f>SUM(F73:F75)-500</f>
        <v>707883.09</v>
      </c>
      <c r="G76" s="465">
        <f>SUM(G73:G75)</f>
        <v>1155357.21</v>
      </c>
      <c r="H76" s="192"/>
    </row>
    <row r="77" spans="1:8" x14ac:dyDescent="0.2">
      <c r="B77" s="171" t="s">
        <v>317</v>
      </c>
      <c r="C77" s="165"/>
      <c r="D77" s="264"/>
      <c r="E77" s="312" t="s">
        <v>22</v>
      </c>
      <c r="F77" s="312" t="s">
        <v>22</v>
      </c>
      <c r="G77" s="312" t="s">
        <v>22</v>
      </c>
    </row>
    <row r="78" spans="1:8" x14ac:dyDescent="0.2">
      <c r="A78" s="171"/>
      <c r="B78" s="171" t="s">
        <v>318</v>
      </c>
      <c r="C78" s="165"/>
      <c r="D78" s="264"/>
      <c r="E78" s="297">
        <f>E76</f>
        <v>707883.09</v>
      </c>
      <c r="F78" s="297">
        <f>F76</f>
        <v>707883.09</v>
      </c>
      <c r="G78" s="297">
        <f>G76</f>
        <v>1155357.21</v>
      </c>
      <c r="H78" s="192"/>
    </row>
    <row r="79" spans="1:8" x14ac:dyDescent="0.2">
      <c r="B79" s="22"/>
      <c r="C79" s="165"/>
      <c r="D79" s="165"/>
      <c r="E79" s="223"/>
      <c r="F79" s="223"/>
      <c r="G79" s="288"/>
      <c r="H79" s="192"/>
    </row>
    <row r="80" spans="1:8" ht="13.5" customHeight="1" thickBot="1" x14ac:dyDescent="0.25">
      <c r="B80" s="171" t="s">
        <v>321</v>
      </c>
      <c r="C80" s="165"/>
      <c r="D80" s="264"/>
      <c r="E80" s="467">
        <f>SUM(E62+E70+E78)</f>
        <v>1021027.48</v>
      </c>
      <c r="F80" s="467">
        <f>SUM(F62+F70+F78)</f>
        <v>1021027.48</v>
      </c>
      <c r="G80" s="467">
        <f>SUM(G62+G70+G78)</f>
        <v>1682944.13</v>
      </c>
      <c r="H80" s="192"/>
    </row>
    <row r="81" spans="1:8" ht="13.5" customHeight="1" thickTop="1" x14ac:dyDescent="0.2">
      <c r="A81" s="11"/>
      <c r="B81" s="19"/>
      <c r="C81" s="165"/>
      <c r="D81" s="165"/>
      <c r="E81" s="165"/>
      <c r="F81" s="165"/>
      <c r="G81" s="165"/>
      <c r="H81" s="192"/>
    </row>
    <row r="82" spans="1:8" x14ac:dyDescent="0.2">
      <c r="A82" s="11"/>
      <c r="B82" s="19"/>
      <c r="C82" s="165"/>
      <c r="D82" s="165"/>
      <c r="E82" s="165"/>
      <c r="F82" s="165"/>
      <c r="G82" s="165"/>
    </row>
    <row r="83" spans="1:8" ht="15.75" customHeight="1" x14ac:dyDescent="0.25">
      <c r="A83" s="126" t="s">
        <v>322</v>
      </c>
      <c r="B83" s="24" t="s">
        <v>323</v>
      </c>
      <c r="C83" s="165"/>
      <c r="D83" s="165"/>
      <c r="F83" s="73"/>
      <c r="G83" s="73"/>
    </row>
    <row r="84" spans="1:8" ht="25.5" customHeight="1" x14ac:dyDescent="0.2">
      <c r="A84" s="6">
        <v>27.1</v>
      </c>
      <c r="B84" s="72" t="s">
        <v>324</v>
      </c>
      <c r="C84" s="165"/>
      <c r="D84" s="165"/>
      <c r="E84" s="31" t="s">
        <v>325</v>
      </c>
      <c r="F84" s="73" t="s">
        <v>1</v>
      </c>
      <c r="G84" s="73" t="s">
        <v>2</v>
      </c>
    </row>
    <row r="85" spans="1:8" x14ac:dyDescent="0.2">
      <c r="A85" s="6"/>
      <c r="B85" s="84" t="s">
        <v>326</v>
      </c>
      <c r="C85" s="165"/>
      <c r="D85" s="165"/>
      <c r="E85" s="468">
        <v>2</v>
      </c>
      <c r="F85" s="288">
        <v>1250240.31</v>
      </c>
      <c r="G85" s="288">
        <v>1151026.68</v>
      </c>
    </row>
    <row r="86" spans="1:8" x14ac:dyDescent="0.2">
      <c r="A86" s="6"/>
      <c r="B86" s="84" t="s">
        <v>327</v>
      </c>
      <c r="C86" s="165"/>
      <c r="D86" s="165"/>
      <c r="E86" s="148">
        <v>1</v>
      </c>
      <c r="F86" s="288">
        <v>736862.19</v>
      </c>
      <c r="G86" s="288">
        <v>636551.81000000006</v>
      </c>
    </row>
    <row r="87" spans="1:8" x14ac:dyDescent="0.2">
      <c r="A87" s="6"/>
      <c r="B87" s="84" t="s">
        <v>328</v>
      </c>
      <c r="C87" s="165"/>
      <c r="D87" s="165"/>
      <c r="E87" s="148">
        <v>4</v>
      </c>
      <c r="F87" s="288">
        <f>481480.79+501544.73+613056+487036.54</f>
        <v>2083118.06</v>
      </c>
      <c r="G87" s="288">
        <f>382627.33+472862.32+587592+98789.11</f>
        <v>1541870.76</v>
      </c>
    </row>
    <row r="88" spans="1:8" x14ac:dyDescent="0.2">
      <c r="A88" s="6"/>
      <c r="B88" s="84" t="s">
        <v>329</v>
      </c>
      <c r="C88" s="165"/>
      <c r="D88" s="165"/>
      <c r="E88" s="148">
        <v>2</v>
      </c>
      <c r="F88" s="288">
        <f>385923.84+412488.41+200</f>
        <v>798612.25</v>
      </c>
      <c r="G88" s="288">
        <f>355154.06+62029.46</f>
        <v>417183.52</v>
      </c>
    </row>
    <row r="89" spans="1:8" ht="13.5" customHeight="1" thickBot="1" x14ac:dyDescent="0.25">
      <c r="A89" s="6"/>
      <c r="B89" s="72"/>
      <c r="C89" s="165"/>
      <c r="D89" s="165"/>
      <c r="E89" s="469">
        <f>SUM(E85:E88)</f>
        <v>9</v>
      </c>
      <c r="F89" s="289">
        <f>SUM(F85:F88)</f>
        <v>4868832.8100000005</v>
      </c>
      <c r="G89" s="289">
        <f>SUM(G85:G88)</f>
        <v>3746632.77</v>
      </c>
    </row>
    <row r="90" spans="1:8" ht="13.5" customHeight="1" thickTop="1" x14ac:dyDescent="0.2">
      <c r="A90" s="6"/>
      <c r="B90" s="72"/>
      <c r="C90" s="165"/>
      <c r="D90" s="165"/>
    </row>
    <row r="91" spans="1:8" x14ac:dyDescent="0.2">
      <c r="A91" t="s">
        <v>330</v>
      </c>
      <c r="B91" s="160"/>
      <c r="C91" s="160"/>
      <c r="D91" s="160"/>
      <c r="E91" s="160"/>
      <c r="F91" s="73"/>
      <c r="G91" s="73"/>
    </row>
    <row r="92" spans="1:8" s="84" customFormat="1" x14ac:dyDescent="0.2">
      <c r="A92" s="21"/>
      <c r="B92" s="22"/>
      <c r="C92" s="23"/>
      <c r="E92" s="82"/>
      <c r="F92" s="165"/>
      <c r="G92" s="165"/>
    </row>
    <row r="93" spans="1:8" s="84" customFormat="1" x14ac:dyDescent="0.2">
      <c r="A93" s="48"/>
      <c r="B93" s="22"/>
      <c r="C93" s="23"/>
      <c r="D93" s="48"/>
      <c r="E93" s="83"/>
    </row>
    <row r="94" spans="1:8" s="84" customFormat="1" x14ac:dyDescent="0.2">
      <c r="A94" s="72"/>
      <c r="B94" s="72"/>
      <c r="E94" s="82"/>
      <c r="F94" s="73"/>
      <c r="G94" s="73"/>
    </row>
    <row r="95" spans="1:8" s="84" customFormat="1" x14ac:dyDescent="0.2">
      <c r="A95" s="21"/>
      <c r="B95" s="22"/>
      <c r="E95" s="164"/>
      <c r="F95" s="164"/>
      <c r="G95" s="164"/>
    </row>
    <row r="96" spans="1:8" s="84" customFormat="1" x14ac:dyDescent="0.2">
      <c r="A96" s="21"/>
      <c r="B96" s="22"/>
      <c r="E96" s="164"/>
      <c r="F96" s="165"/>
      <c r="G96" s="165"/>
    </row>
    <row r="97" spans="1:7" s="84" customFormat="1" x14ac:dyDescent="0.2">
      <c r="A97" s="21"/>
      <c r="B97" s="22"/>
      <c r="E97" s="164"/>
      <c r="F97" s="165"/>
      <c r="G97" s="165"/>
    </row>
    <row r="98" spans="1:7" s="84" customFormat="1" x14ac:dyDescent="0.2">
      <c r="A98" s="21"/>
      <c r="B98" s="22"/>
      <c r="E98" s="164"/>
      <c r="F98" s="165"/>
      <c r="G98" s="165"/>
    </row>
    <row r="99" spans="1:7" s="84" customFormat="1" x14ac:dyDescent="0.2">
      <c r="A99" s="21"/>
      <c r="B99" s="22"/>
      <c r="E99" s="164"/>
      <c r="F99" s="165"/>
      <c r="G99" s="165"/>
    </row>
    <row r="100" spans="1:7" s="84" customFormat="1" x14ac:dyDescent="0.2">
      <c r="A100" s="21"/>
      <c r="B100" s="22"/>
      <c r="E100" s="164"/>
      <c r="F100" s="165"/>
      <c r="G100" s="165"/>
    </row>
    <row r="101" spans="1:7" x14ac:dyDescent="0.2">
      <c r="A101" s="67"/>
      <c r="F101" s="165"/>
      <c r="G101" s="165"/>
    </row>
    <row r="102" spans="1:7" ht="15.75" customHeight="1" x14ac:dyDescent="0.25">
      <c r="A102" s="24"/>
      <c r="B102" s="24"/>
    </row>
    <row r="103" spans="1:7" x14ac:dyDescent="0.2">
      <c r="B103" s="67"/>
      <c r="C103" s="165"/>
    </row>
    <row r="104" spans="1:7" x14ac:dyDescent="0.2">
      <c r="A104" s="67"/>
      <c r="B104" s="22"/>
      <c r="C104" s="165"/>
    </row>
    <row r="105" spans="1:7" x14ac:dyDescent="0.2">
      <c r="A105" s="67"/>
      <c r="B105" s="22"/>
      <c r="C105" s="165"/>
    </row>
    <row r="106" spans="1:7" x14ac:dyDescent="0.2">
      <c r="A106" s="67"/>
      <c r="B106" s="22"/>
      <c r="F106" s="165"/>
      <c r="G106" s="165"/>
    </row>
    <row r="107" spans="1:7" x14ac:dyDescent="0.2">
      <c r="A107" s="67"/>
      <c r="B107" s="22"/>
      <c r="F107" s="165"/>
      <c r="G107" s="165"/>
    </row>
    <row r="108" spans="1:7" x14ac:dyDescent="0.2">
      <c r="A108" s="67"/>
      <c r="F108" s="165"/>
      <c r="G108" s="165"/>
    </row>
    <row r="109" spans="1:7" ht="15.75" customHeight="1" x14ac:dyDescent="0.25">
      <c r="A109" s="24"/>
      <c r="B109" s="24"/>
    </row>
    <row r="110" spans="1:7" x14ac:dyDescent="0.2">
      <c r="B110" s="67"/>
      <c r="C110" s="164"/>
    </row>
    <row r="111" spans="1:7" x14ac:dyDescent="0.2">
      <c r="A111" s="67"/>
      <c r="B111" s="22"/>
      <c r="C111" s="165"/>
    </row>
    <row r="112" spans="1:7" x14ac:dyDescent="0.2">
      <c r="A112" s="67"/>
      <c r="B112" s="22"/>
      <c r="C112" s="165"/>
    </row>
    <row r="113" spans="1:7" x14ac:dyDescent="0.2">
      <c r="A113" s="67"/>
      <c r="B113" s="22"/>
      <c r="F113" s="165"/>
      <c r="G113" s="165"/>
    </row>
    <row r="114" spans="1:7" x14ac:dyDescent="0.2">
      <c r="A114" s="67"/>
      <c r="F114" s="165"/>
      <c r="G114" s="165"/>
    </row>
    <row r="115" spans="1:7" x14ac:dyDescent="0.2">
      <c r="A115" s="67"/>
      <c r="F115" s="165"/>
      <c r="G115" s="165"/>
    </row>
    <row r="116" spans="1:7" ht="15.75" customHeight="1" x14ac:dyDescent="0.25">
      <c r="A116" s="24"/>
      <c r="B116" s="24"/>
    </row>
    <row r="117" spans="1:7" x14ac:dyDescent="0.2">
      <c r="A117" s="2"/>
      <c r="B117" s="22"/>
      <c r="C117" s="12"/>
      <c r="D117" s="12"/>
      <c r="E117" s="164"/>
    </row>
    <row r="118" spans="1:7" x14ac:dyDescent="0.2">
      <c r="B118" s="22"/>
      <c r="C118" s="165"/>
      <c r="D118" s="165"/>
    </row>
    <row r="119" spans="1:7" x14ac:dyDescent="0.2">
      <c r="A119" s="67"/>
      <c r="B119" s="22"/>
      <c r="C119" s="165"/>
      <c r="D119" s="165"/>
    </row>
    <row r="120" spans="1:7" x14ac:dyDescent="0.2">
      <c r="B120" s="22"/>
      <c r="C120" s="165"/>
      <c r="D120" s="165"/>
    </row>
    <row r="121" spans="1:7" x14ac:dyDescent="0.2">
      <c r="B121" s="22"/>
      <c r="F121" s="165"/>
      <c r="G121" s="165"/>
    </row>
    <row r="122" spans="1:7" x14ac:dyDescent="0.2">
      <c r="B122" s="22"/>
      <c r="F122" s="165"/>
      <c r="G122" s="165"/>
    </row>
    <row r="123" spans="1:7" x14ac:dyDescent="0.2">
      <c r="B123" s="22"/>
      <c r="F123" s="165"/>
      <c r="G123" s="165"/>
    </row>
    <row r="124" spans="1:7" x14ac:dyDescent="0.2">
      <c r="B124" s="22"/>
      <c r="F124" s="165"/>
      <c r="G124" s="165"/>
    </row>
    <row r="125" spans="1:7" x14ac:dyDescent="0.2">
      <c r="B125" s="22"/>
      <c r="F125" s="165"/>
      <c r="G125" s="165"/>
    </row>
    <row r="126" spans="1:7" x14ac:dyDescent="0.2">
      <c r="B126" s="22"/>
      <c r="F126" s="165"/>
      <c r="G126" s="165"/>
    </row>
    <row r="127" spans="1:7" x14ac:dyDescent="0.2">
      <c r="B127" s="22"/>
      <c r="F127" s="165"/>
      <c r="G127" s="165"/>
    </row>
    <row r="128" spans="1:7" x14ac:dyDescent="0.2">
      <c r="B128" s="22"/>
      <c r="F128" s="165"/>
      <c r="G128" s="165"/>
    </row>
    <row r="129" spans="1:7" x14ac:dyDescent="0.2">
      <c r="B129" s="22"/>
      <c r="C129" s="165"/>
      <c r="D129" s="165"/>
    </row>
    <row r="130" spans="1:7" x14ac:dyDescent="0.2">
      <c r="B130" s="22"/>
      <c r="C130" s="165"/>
      <c r="D130" s="165"/>
    </row>
    <row r="131" spans="1:7" x14ac:dyDescent="0.2">
      <c r="B131" s="22"/>
      <c r="F131" s="165"/>
      <c r="G131" s="165"/>
    </row>
    <row r="132" spans="1:7" x14ac:dyDescent="0.2">
      <c r="B132" s="22"/>
      <c r="F132" s="165"/>
      <c r="G132" s="165"/>
    </row>
    <row r="133" spans="1:7" x14ac:dyDescent="0.2">
      <c r="B133" s="67"/>
      <c r="F133" s="165"/>
      <c r="G133" s="165"/>
    </row>
    <row r="134" spans="1:7" ht="15.75" customHeight="1" x14ac:dyDescent="0.25">
      <c r="A134" s="24"/>
      <c r="B134" s="24"/>
    </row>
    <row r="135" spans="1:7" x14ac:dyDescent="0.2">
      <c r="B135" s="22"/>
      <c r="C135" s="165"/>
    </row>
    <row r="136" spans="1:7" x14ac:dyDescent="0.2">
      <c r="B136" s="22"/>
      <c r="C136" s="165"/>
    </row>
    <row r="137" spans="1:7" x14ac:dyDescent="0.2">
      <c r="B137" s="22"/>
      <c r="C137" s="165"/>
    </row>
    <row r="138" spans="1:7" x14ac:dyDescent="0.2">
      <c r="B138" s="22"/>
      <c r="C138" s="165"/>
    </row>
    <row r="139" spans="1:7" x14ac:dyDescent="0.2">
      <c r="B139" s="22"/>
      <c r="C139" s="165"/>
    </row>
    <row r="140" spans="1:7" x14ac:dyDescent="0.2">
      <c r="B140" s="22"/>
      <c r="C140" s="165"/>
    </row>
    <row r="141" spans="1:7" x14ac:dyDescent="0.2">
      <c r="A141" s="67"/>
      <c r="B141" s="67"/>
      <c r="C141" s="165"/>
    </row>
    <row r="142" spans="1:7" x14ac:dyDescent="0.2">
      <c r="A142" s="67"/>
      <c r="B142" s="67"/>
      <c r="C142" s="165"/>
    </row>
    <row r="143" spans="1:7" ht="15.75" customHeight="1" x14ac:dyDescent="0.25">
      <c r="A143" s="24"/>
      <c r="B143" s="24"/>
    </row>
    <row r="144" spans="1:7" x14ac:dyDescent="0.2">
      <c r="A144" s="67"/>
      <c r="C144" s="12"/>
      <c r="D144" s="12"/>
      <c r="E144" s="164"/>
    </row>
    <row r="145" spans="1:7" x14ac:dyDescent="0.2">
      <c r="B145" s="22"/>
      <c r="C145" s="165"/>
      <c r="D145" s="165"/>
    </row>
    <row r="146" spans="1:7" x14ac:dyDescent="0.2">
      <c r="B146" s="22"/>
      <c r="F146" s="165"/>
      <c r="G146" s="165"/>
    </row>
    <row r="147" spans="1:7" x14ac:dyDescent="0.2">
      <c r="A147" s="67"/>
      <c r="B147" s="2"/>
      <c r="F147" s="165"/>
      <c r="G147" s="165"/>
    </row>
    <row r="270" spans="1:1" x14ac:dyDescent="0.2">
      <c r="A270" t="s">
        <v>331</v>
      </c>
    </row>
  </sheetData>
  <mergeCells count="1">
    <mergeCell ref="A2:G2"/>
  </mergeCells>
  <phoneticPr fontId="17" type="noConversion"/>
  <pageMargins left="0.47244094488188981" right="0.19685039370078741" top="1.4566929133858271" bottom="0.55118110236220474" header="0.51181102362204722" footer="0.51181102362204722"/>
  <pageSetup paperSize="9" scale="72" orientation="portrait" verticalDpi="300"/>
  <headerFooter alignWithMargins="0">
    <oddHeader>&amp;C&amp;"Arial,Bold"DEPARTMENT OF ENVIRONMENTAL AFFAIRS AND TOURISM
VOTE 27
DISCLOSURE NOTES TO THE ANNUAL FINANCIAL STATEMENTS
for the year ended 31 MARCH 2003</oddHeader>
  </headerFooter>
  <rowBreaks count="1" manualBreakCount="1">
    <brk id="51" max="7" man="1"/>
  </rowBreaks>
  <colBreaks count="1" manualBreakCount="1">
    <brk id="8" max="50" man="1"/>
  </colBreaks>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K25"/>
  <sheetViews>
    <sheetView zoomScale="90" zoomScaleNormal="90" workbookViewId="0">
      <selection activeCell="A25" sqref="A25"/>
    </sheetView>
  </sheetViews>
  <sheetFormatPr defaultRowHeight="12.75" x14ac:dyDescent="0.2"/>
  <cols>
    <col min="1" max="1" width="7.7109375" style="70" customWidth="1"/>
    <col min="2" max="2" width="30" style="70" customWidth="1"/>
    <col min="3" max="4" width="14.28515625" style="70" customWidth="1"/>
    <col min="5" max="5" width="10.28515625" style="70" bestFit="1" customWidth="1"/>
    <col min="6" max="7" width="12.7109375" style="70" customWidth="1"/>
    <col min="8" max="8" width="11.28515625" style="70" customWidth="1"/>
    <col min="9" max="9" width="13.140625" style="70" customWidth="1"/>
    <col min="10" max="10" width="12.7109375" style="70" customWidth="1"/>
    <col min="11" max="11" width="13.7109375" style="70" customWidth="1"/>
  </cols>
  <sheetData>
    <row r="1" spans="1:11" ht="15.75" customHeight="1" x14ac:dyDescent="0.25">
      <c r="A1" s="175" t="s">
        <v>332</v>
      </c>
      <c r="B1" s="91"/>
      <c r="C1" s="92"/>
      <c r="D1" s="92"/>
      <c r="E1" s="92"/>
      <c r="F1" s="92"/>
      <c r="G1" s="92"/>
      <c r="H1" s="92"/>
      <c r="I1" s="92"/>
      <c r="J1" s="92"/>
      <c r="K1" s="92"/>
    </row>
    <row r="3" spans="1:11" ht="15.75" customHeight="1" x14ac:dyDescent="0.25">
      <c r="A3" s="175" t="s">
        <v>333</v>
      </c>
      <c r="B3" s="91"/>
      <c r="C3" s="92"/>
      <c r="D3" s="92"/>
      <c r="E3" s="92"/>
      <c r="F3" s="92"/>
      <c r="G3" s="92"/>
      <c r="H3" s="92"/>
      <c r="I3" s="92"/>
      <c r="J3" s="92"/>
      <c r="K3" s="92"/>
    </row>
    <row r="4" spans="1:11" s="84" customFormat="1" x14ac:dyDescent="0.2">
      <c r="A4" s="647"/>
      <c r="B4" s="656"/>
      <c r="C4" s="656"/>
      <c r="D4" s="656"/>
      <c r="E4" s="656"/>
      <c r="F4" s="656"/>
      <c r="G4" s="656"/>
      <c r="H4" s="656"/>
      <c r="I4" s="656"/>
      <c r="J4" s="656"/>
      <c r="K4" s="656"/>
    </row>
    <row r="5" spans="1:11" s="100" customFormat="1" x14ac:dyDescent="0.2">
      <c r="A5" s="657" t="s">
        <v>334</v>
      </c>
      <c r="B5" s="658"/>
      <c r="C5" s="663" t="s">
        <v>335</v>
      </c>
      <c r="D5" s="664"/>
      <c r="E5" s="664"/>
      <c r="F5" s="665"/>
      <c r="G5" s="663" t="s">
        <v>10</v>
      </c>
      <c r="H5" s="664"/>
      <c r="I5" s="664"/>
      <c r="J5" s="664"/>
      <c r="K5" s="665"/>
    </row>
    <row r="6" spans="1:11" s="100" customFormat="1" ht="38.25" customHeight="1" x14ac:dyDescent="0.2">
      <c r="A6" s="659"/>
      <c r="B6" s="660"/>
      <c r="C6" s="181" t="s">
        <v>336</v>
      </c>
      <c r="D6" s="181" t="s">
        <v>337</v>
      </c>
      <c r="E6" s="181" t="s">
        <v>338</v>
      </c>
      <c r="F6" s="181" t="s">
        <v>339</v>
      </c>
      <c r="G6" s="116" t="s">
        <v>340</v>
      </c>
      <c r="H6" s="181" t="s">
        <v>341</v>
      </c>
      <c r="I6" s="181" t="s">
        <v>342</v>
      </c>
      <c r="J6" s="181" t="s">
        <v>21</v>
      </c>
      <c r="K6" s="181" t="s">
        <v>11</v>
      </c>
    </row>
    <row r="7" spans="1:11" s="100" customFormat="1" x14ac:dyDescent="0.2">
      <c r="A7" s="661"/>
      <c r="B7" s="662"/>
      <c r="C7" s="117" t="s">
        <v>77</v>
      </c>
      <c r="D7" s="117" t="s">
        <v>77</v>
      </c>
      <c r="E7" s="117" t="s">
        <v>77</v>
      </c>
      <c r="F7" s="117" t="s">
        <v>77</v>
      </c>
      <c r="G7" s="117" t="s">
        <v>77</v>
      </c>
      <c r="H7" s="117" t="s">
        <v>77</v>
      </c>
      <c r="I7" s="117"/>
      <c r="J7" s="117" t="s">
        <v>77</v>
      </c>
      <c r="K7" s="117" t="s">
        <v>77</v>
      </c>
    </row>
    <row r="8" spans="1:11" x14ac:dyDescent="0.2">
      <c r="A8" s="655" t="s">
        <v>343</v>
      </c>
      <c r="B8" s="632"/>
      <c r="C8" s="470" t="s">
        <v>24</v>
      </c>
      <c r="D8" s="382">
        <f>8025+147000</f>
        <v>155025</v>
      </c>
      <c r="E8" s="471" t="s">
        <v>22</v>
      </c>
      <c r="F8" s="472">
        <f t="shared" ref="F8:F17" si="0">SUM(D8:E8)</f>
        <v>155025</v>
      </c>
      <c r="G8" s="382">
        <f>8025+147000</f>
        <v>155025</v>
      </c>
      <c r="H8" s="382" t="s">
        <v>22</v>
      </c>
      <c r="I8" s="473">
        <f t="shared" ref="I8:I17" si="1">+G8/F8*100</f>
        <v>100</v>
      </c>
      <c r="J8" s="382">
        <v>147000</v>
      </c>
      <c r="K8" s="382">
        <v>8025</v>
      </c>
    </row>
    <row r="9" spans="1:11" x14ac:dyDescent="0.2">
      <c r="A9" s="655" t="s">
        <v>344</v>
      </c>
      <c r="B9" s="632"/>
      <c r="C9" s="474" t="s">
        <v>22</v>
      </c>
      <c r="D9" s="382">
        <f>75246+1006+2094</f>
        <v>78346</v>
      </c>
      <c r="E9" s="475" t="s">
        <v>22</v>
      </c>
      <c r="F9" s="472">
        <f t="shared" si="0"/>
        <v>78346</v>
      </c>
      <c r="G9" s="382">
        <f>75246+1006+2094</f>
        <v>78346</v>
      </c>
      <c r="H9" s="382" t="s">
        <v>22</v>
      </c>
      <c r="I9" s="473">
        <f t="shared" si="1"/>
        <v>100</v>
      </c>
      <c r="J9" s="382" t="s">
        <v>22</v>
      </c>
      <c r="K9" s="382">
        <v>78346</v>
      </c>
    </row>
    <row r="10" spans="1:11" x14ac:dyDescent="0.2">
      <c r="A10" s="171" t="s">
        <v>345</v>
      </c>
      <c r="B10" s="171"/>
      <c r="C10" s="474" t="s">
        <v>22</v>
      </c>
      <c r="D10" s="382">
        <v>150000</v>
      </c>
      <c r="E10" s="475" t="s">
        <v>22</v>
      </c>
      <c r="F10" s="472">
        <f t="shared" si="0"/>
        <v>150000</v>
      </c>
      <c r="G10" s="382">
        <v>150000</v>
      </c>
      <c r="H10" s="382" t="s">
        <v>22</v>
      </c>
      <c r="I10" s="473">
        <f t="shared" si="1"/>
        <v>100</v>
      </c>
      <c r="J10" s="382" t="s">
        <v>22</v>
      </c>
      <c r="K10" s="382">
        <v>150000</v>
      </c>
    </row>
    <row r="11" spans="1:11" x14ac:dyDescent="0.2">
      <c r="A11" s="171" t="s">
        <v>346</v>
      </c>
      <c r="B11" s="171"/>
      <c r="C11" s="474" t="s">
        <v>22</v>
      </c>
      <c r="D11" s="382">
        <f>68668+580</f>
        <v>69248</v>
      </c>
      <c r="E11" s="475" t="s">
        <v>22</v>
      </c>
      <c r="F11" s="472">
        <f t="shared" si="0"/>
        <v>69248</v>
      </c>
      <c r="G11" s="382">
        <f>68668+580</f>
        <v>69248</v>
      </c>
      <c r="H11" s="382" t="s">
        <v>22</v>
      </c>
      <c r="I11" s="473">
        <f t="shared" si="1"/>
        <v>100</v>
      </c>
      <c r="J11" s="382" t="s">
        <v>22</v>
      </c>
      <c r="K11" s="382">
        <v>69248</v>
      </c>
    </row>
    <row r="12" spans="1:11" x14ac:dyDescent="0.2">
      <c r="A12" s="171" t="s">
        <v>347</v>
      </c>
      <c r="B12" s="171"/>
      <c r="C12" s="474" t="s">
        <v>22</v>
      </c>
      <c r="D12" s="382">
        <f>108752+2000</f>
        <v>110752</v>
      </c>
      <c r="E12" s="475" t="s">
        <v>22</v>
      </c>
      <c r="F12" s="472">
        <f t="shared" si="0"/>
        <v>110752</v>
      </c>
      <c r="G12" s="382">
        <f>108752+2000</f>
        <v>110752</v>
      </c>
      <c r="H12" s="382" t="s">
        <v>22</v>
      </c>
      <c r="I12" s="473">
        <f t="shared" si="1"/>
        <v>100</v>
      </c>
      <c r="J12" s="382">
        <v>74000</v>
      </c>
      <c r="K12" s="382">
        <v>36752</v>
      </c>
    </row>
    <row r="13" spans="1:11" x14ac:dyDescent="0.2">
      <c r="A13" s="655" t="s">
        <v>348</v>
      </c>
      <c r="B13" s="632"/>
      <c r="C13" s="474" t="s">
        <v>22</v>
      </c>
      <c r="D13" s="382">
        <v>57090</v>
      </c>
      <c r="E13" s="475" t="s">
        <v>22</v>
      </c>
      <c r="F13" s="472">
        <f t="shared" si="0"/>
        <v>57090</v>
      </c>
      <c r="G13" s="382">
        <v>57090</v>
      </c>
      <c r="H13" s="382" t="s">
        <v>22</v>
      </c>
      <c r="I13" s="473">
        <f t="shared" si="1"/>
        <v>100</v>
      </c>
      <c r="J13" s="382">
        <v>9500</v>
      </c>
      <c r="K13" s="382">
        <v>47590</v>
      </c>
    </row>
    <row r="14" spans="1:11" x14ac:dyDescent="0.2">
      <c r="A14" s="655" t="s">
        <v>349</v>
      </c>
      <c r="B14" s="632"/>
      <c r="C14" s="474" t="s">
        <v>22</v>
      </c>
      <c r="D14" s="382">
        <v>247600</v>
      </c>
      <c r="E14" s="475" t="s">
        <v>22</v>
      </c>
      <c r="F14" s="472">
        <f t="shared" si="0"/>
        <v>247600</v>
      </c>
      <c r="G14" s="382">
        <v>247600</v>
      </c>
      <c r="H14" s="382" t="s">
        <v>22</v>
      </c>
      <c r="I14" s="473">
        <f t="shared" si="1"/>
        <v>100</v>
      </c>
      <c r="J14" s="382" t="s">
        <v>22</v>
      </c>
      <c r="K14" s="382">
        <v>247600</v>
      </c>
    </row>
    <row r="15" spans="1:11" x14ac:dyDescent="0.2">
      <c r="A15" s="171" t="s">
        <v>350</v>
      </c>
      <c r="B15" s="171"/>
      <c r="C15" s="474" t="s">
        <v>22</v>
      </c>
      <c r="D15" s="382">
        <v>2500</v>
      </c>
      <c r="E15" s="475" t="s">
        <v>22</v>
      </c>
      <c r="F15" s="472">
        <f t="shared" si="0"/>
        <v>2500</v>
      </c>
      <c r="G15" s="382">
        <v>2500</v>
      </c>
      <c r="H15" s="382" t="s">
        <v>22</v>
      </c>
      <c r="I15" s="473">
        <f t="shared" si="1"/>
        <v>100</v>
      </c>
      <c r="J15" s="382" t="s">
        <v>22</v>
      </c>
      <c r="K15" s="382">
        <v>2500</v>
      </c>
    </row>
    <row r="16" spans="1:11" x14ac:dyDescent="0.2">
      <c r="A16" s="655" t="s">
        <v>351</v>
      </c>
      <c r="B16" s="632"/>
      <c r="C16" s="474" t="s">
        <v>22</v>
      </c>
      <c r="D16" s="382">
        <f>22500+66900+20400+116200</f>
        <v>226000</v>
      </c>
      <c r="E16" s="475" t="s">
        <v>22</v>
      </c>
      <c r="F16" s="472">
        <f t="shared" si="0"/>
        <v>226000</v>
      </c>
      <c r="G16" s="382">
        <f>22500+66900+20400+116200</f>
        <v>226000</v>
      </c>
      <c r="H16" s="382" t="s">
        <v>22</v>
      </c>
      <c r="I16" s="473">
        <f t="shared" si="1"/>
        <v>100</v>
      </c>
      <c r="J16" s="476" t="s">
        <v>22</v>
      </c>
      <c r="K16" s="382">
        <v>226000</v>
      </c>
    </row>
    <row r="17" spans="1:11" x14ac:dyDescent="0.2">
      <c r="A17" s="655" t="s">
        <v>352</v>
      </c>
      <c r="B17" s="632"/>
      <c r="C17" s="474" t="s">
        <v>22</v>
      </c>
      <c r="D17" s="476">
        <f>854+1000+1+140+140+334</f>
        <v>2469</v>
      </c>
      <c r="E17" s="475" t="s">
        <v>22</v>
      </c>
      <c r="F17" s="472">
        <f t="shared" si="0"/>
        <v>2469</v>
      </c>
      <c r="G17" s="476">
        <v>1834</v>
      </c>
      <c r="H17" s="477">
        <f>SUM(F17-G17)</f>
        <v>635</v>
      </c>
      <c r="I17" s="473">
        <f t="shared" si="1"/>
        <v>74.281085459700279</v>
      </c>
      <c r="J17" s="476" t="s">
        <v>22</v>
      </c>
      <c r="K17" s="382">
        <v>1834</v>
      </c>
    </row>
    <row r="18" spans="1:11" ht="13.5" customHeight="1" thickBot="1" x14ac:dyDescent="0.25">
      <c r="A18" s="655"/>
      <c r="B18" s="632"/>
      <c r="C18" s="478" t="s">
        <v>22</v>
      </c>
      <c r="D18" s="479">
        <f>SUM(D8:D17)</f>
        <v>1099030</v>
      </c>
      <c r="E18" s="480" t="s">
        <v>22</v>
      </c>
      <c r="F18" s="479">
        <f>SUM(F8:F17)</f>
        <v>1099030</v>
      </c>
      <c r="G18" s="479">
        <f>SUM(G8:G17)</f>
        <v>1098395</v>
      </c>
      <c r="H18" s="479">
        <f>SUM(H8:H17)</f>
        <v>635</v>
      </c>
      <c r="J18" s="479">
        <f>SUM(J8:J17)</f>
        <v>230500</v>
      </c>
      <c r="K18" s="479">
        <f>SUM(K8:K17)</f>
        <v>867895</v>
      </c>
    </row>
    <row r="19" spans="1:11" ht="13.5" customHeight="1" thickTop="1" x14ac:dyDescent="0.2">
      <c r="A19" s="655"/>
      <c r="B19" s="632"/>
    </row>
    <row r="20" spans="1:11" ht="26.25" customHeight="1" x14ac:dyDescent="0.2">
      <c r="A20" s="75"/>
      <c r="B20" s="654"/>
      <c r="C20" s="632"/>
      <c r="D20" s="632"/>
      <c r="E20" s="632"/>
      <c r="F20" s="632"/>
      <c r="G20" s="632"/>
      <c r="H20" s="632"/>
      <c r="I20" s="632"/>
      <c r="J20" s="632"/>
      <c r="K20" s="632"/>
    </row>
    <row r="24" spans="1:11" x14ac:dyDescent="0.2">
      <c r="A24" t="s">
        <v>353</v>
      </c>
    </row>
    <row r="25" spans="1:11" x14ac:dyDescent="0.2">
      <c r="A25" t="s">
        <v>30</v>
      </c>
    </row>
  </sheetData>
  <mergeCells count="13">
    <mergeCell ref="A9:B9"/>
    <mergeCell ref="A8:B8"/>
    <mergeCell ref="A4:K4"/>
    <mergeCell ref="A5:B7"/>
    <mergeCell ref="C5:F5"/>
    <mergeCell ref="G5:K5"/>
    <mergeCell ref="B20:K20"/>
    <mergeCell ref="A14:B14"/>
    <mergeCell ref="A13:B13"/>
    <mergeCell ref="A18:B18"/>
    <mergeCell ref="A19:B19"/>
    <mergeCell ref="A16:B16"/>
    <mergeCell ref="A17:B17"/>
  </mergeCells>
  <phoneticPr fontId="17" type="noConversion"/>
  <pageMargins left="0.51181102362204722" right="0.31496062992125978" top="1.377952755905512" bottom="0.98425196850393704" header="0.51181102362204722" footer="0.51181102362204722"/>
  <pageSetup paperSize="9" scale="87" orientation="landscape"/>
  <headerFooter alignWithMargins="0">
    <oddHeader>&amp;C&amp;"Arial,Bold"DEPARTMENT OF ENVIRONMENTAL AFFAIRS AND TOURISM
VOTE 27
ANNEXURES TO THE ANNUAL FINANCIAL STATEMENTS
for the year ended 31 MARCH 2003</oddHeader>
  </headerFooter>
  <rowBreaks count="1" manualBreakCount="1">
    <brk id="17" max="16383" man="1"/>
  </rowBreak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E33"/>
  <sheetViews>
    <sheetView topLeftCell="D1" zoomScale="90" zoomScaleNormal="90" workbookViewId="0">
      <selection activeCell="E20" sqref="E20"/>
    </sheetView>
  </sheetViews>
  <sheetFormatPr defaultRowHeight="12.75" x14ac:dyDescent="0.2"/>
  <cols>
    <col min="1" max="1" width="44.28515625" style="84" customWidth="1"/>
    <col min="2" max="2" width="57.7109375" style="84" customWidth="1"/>
    <col min="3" max="3" width="59" style="84" customWidth="1"/>
    <col min="4" max="4" width="20.7109375" style="84" customWidth="1"/>
    <col min="5" max="5" width="27.7109375" style="84" customWidth="1"/>
    <col min="6" max="6" width="9.140625" style="84" customWidth="1"/>
    <col min="7" max="16384" width="9.140625" style="84"/>
  </cols>
  <sheetData>
    <row r="1" spans="1:5" ht="15.75" customHeight="1" x14ac:dyDescent="0.25">
      <c r="A1" s="175" t="s">
        <v>354</v>
      </c>
      <c r="B1" s="128"/>
      <c r="C1" s="128"/>
      <c r="D1" s="128"/>
      <c r="E1" s="128"/>
    </row>
    <row r="2" spans="1:5" x14ac:dyDescent="0.2">
      <c r="A2" s="128"/>
      <c r="B2" s="128"/>
      <c r="C2" s="128"/>
      <c r="D2" s="128"/>
      <c r="E2" s="128"/>
    </row>
    <row r="3" spans="1:5" s="129" customFormat="1" ht="15.75" customHeight="1" x14ac:dyDescent="0.25">
      <c r="A3" s="175" t="s">
        <v>355</v>
      </c>
      <c r="B3" s="120"/>
      <c r="C3" s="120"/>
      <c r="D3" s="120"/>
      <c r="E3" s="120"/>
    </row>
    <row r="4" spans="1:5" s="129" customFormat="1" ht="9.75" customHeight="1" x14ac:dyDescent="0.25">
      <c r="A4" s="91"/>
      <c r="B4" s="120"/>
      <c r="C4" s="120"/>
      <c r="D4" s="120"/>
      <c r="E4" s="120"/>
    </row>
    <row r="5" spans="1:5" s="129" customFormat="1" ht="15.75" customHeight="1" x14ac:dyDescent="0.25">
      <c r="A5" s="91"/>
      <c r="B5" s="120"/>
      <c r="C5" s="120"/>
      <c r="D5" s="120"/>
      <c r="E5" s="120"/>
    </row>
    <row r="6" spans="1:5" x14ac:dyDescent="0.2">
      <c r="A6" s="72"/>
    </row>
    <row r="7" spans="1:5" ht="38.25" customHeight="1" x14ac:dyDescent="0.2">
      <c r="A7" s="668" t="s">
        <v>356</v>
      </c>
      <c r="B7" s="668" t="s">
        <v>357</v>
      </c>
      <c r="C7" s="668" t="s">
        <v>358</v>
      </c>
      <c r="D7" s="670" t="s">
        <v>359</v>
      </c>
      <c r="E7" s="130" t="s">
        <v>360</v>
      </c>
    </row>
    <row r="8" spans="1:5" ht="31.15" customHeight="1" x14ac:dyDescent="0.2">
      <c r="A8" s="669"/>
      <c r="B8" s="669"/>
      <c r="C8" s="669"/>
      <c r="D8" s="669"/>
      <c r="E8" s="131" t="s">
        <v>361</v>
      </c>
    </row>
    <row r="9" spans="1:5" ht="61.15" customHeight="1" x14ac:dyDescent="0.2">
      <c r="A9" s="132" t="s">
        <v>362</v>
      </c>
      <c r="B9" s="133" t="s">
        <v>363</v>
      </c>
      <c r="C9" s="132" t="s">
        <v>364</v>
      </c>
      <c r="D9" s="134" t="s">
        <v>365</v>
      </c>
      <c r="E9" s="134" t="s">
        <v>366</v>
      </c>
    </row>
    <row r="10" spans="1:5" ht="15" customHeight="1" x14ac:dyDescent="0.2">
      <c r="A10" s="135"/>
      <c r="B10" s="136"/>
      <c r="C10" s="135"/>
      <c r="D10" s="135"/>
      <c r="E10" s="135"/>
    </row>
    <row r="11" spans="1:5" ht="31.15" customHeight="1" x14ac:dyDescent="0.2">
      <c r="A11" s="135" t="s">
        <v>367</v>
      </c>
      <c r="B11" s="136" t="s">
        <v>368</v>
      </c>
      <c r="C11" s="135" t="s">
        <v>369</v>
      </c>
      <c r="D11" s="137" t="s">
        <v>365</v>
      </c>
      <c r="E11" s="137" t="s">
        <v>366</v>
      </c>
    </row>
    <row r="12" spans="1:5" ht="16.899999999999999" customHeight="1" x14ac:dyDescent="0.2">
      <c r="A12" s="135"/>
      <c r="B12" s="136"/>
      <c r="C12" s="135"/>
      <c r="D12" s="137"/>
      <c r="E12" s="137"/>
    </row>
    <row r="13" spans="1:5" ht="33" customHeight="1" x14ac:dyDescent="0.2">
      <c r="A13" s="135" t="s">
        <v>370</v>
      </c>
      <c r="B13" s="136" t="s">
        <v>371</v>
      </c>
      <c r="C13" s="135" t="s">
        <v>372</v>
      </c>
      <c r="D13" s="137" t="s">
        <v>365</v>
      </c>
      <c r="E13" s="137" t="s">
        <v>373</v>
      </c>
    </row>
    <row r="14" spans="1:5" ht="15" customHeight="1" x14ac:dyDescent="0.2">
      <c r="A14" s="135"/>
      <c r="B14" s="136"/>
      <c r="C14" s="135"/>
      <c r="D14" s="135"/>
      <c r="E14" s="135"/>
    </row>
    <row r="15" spans="1:5" ht="47.45" customHeight="1" x14ac:dyDescent="0.2">
      <c r="A15" s="135" t="s">
        <v>374</v>
      </c>
      <c r="B15" s="136" t="s">
        <v>375</v>
      </c>
      <c r="C15" s="135" t="s">
        <v>376</v>
      </c>
      <c r="D15" s="137" t="s">
        <v>365</v>
      </c>
      <c r="E15" s="137" t="s">
        <v>377</v>
      </c>
    </row>
    <row r="16" spans="1:5" ht="15" customHeight="1" x14ac:dyDescent="0.2">
      <c r="A16" s="135"/>
      <c r="B16" s="136"/>
      <c r="C16" s="135"/>
      <c r="D16" s="135"/>
      <c r="E16" s="135"/>
    </row>
    <row r="17" spans="1:5" ht="46.9" customHeight="1" x14ac:dyDescent="0.2">
      <c r="A17" s="135" t="s">
        <v>378</v>
      </c>
      <c r="B17" s="136" t="s">
        <v>379</v>
      </c>
      <c r="C17" s="135" t="s">
        <v>380</v>
      </c>
      <c r="D17" s="137" t="s">
        <v>365</v>
      </c>
      <c r="E17" s="137" t="s">
        <v>366</v>
      </c>
    </row>
    <row r="18" spans="1:5" ht="16.899999999999999" customHeight="1" x14ac:dyDescent="0.2">
      <c r="A18" s="135"/>
      <c r="B18" s="136"/>
      <c r="C18" s="135"/>
      <c r="D18" s="135"/>
      <c r="E18" s="135"/>
    </row>
    <row r="19" spans="1:5" ht="30.6" customHeight="1" x14ac:dyDescent="0.2">
      <c r="A19" s="135" t="s">
        <v>381</v>
      </c>
      <c r="B19" s="136" t="s">
        <v>382</v>
      </c>
      <c r="C19" s="135" t="s">
        <v>383</v>
      </c>
      <c r="D19" s="137" t="s">
        <v>365</v>
      </c>
      <c r="E19" s="137" t="s">
        <v>384</v>
      </c>
    </row>
    <row r="20" spans="1:5" ht="15" customHeight="1" x14ac:dyDescent="0.2">
      <c r="A20" s="135"/>
      <c r="B20" s="136"/>
      <c r="C20" s="135"/>
      <c r="D20" s="135"/>
      <c r="E20" s="135"/>
    </row>
    <row r="21" spans="1:5" ht="16.899999999999999" customHeight="1" x14ac:dyDescent="0.2">
      <c r="A21" s="135" t="s">
        <v>385</v>
      </c>
      <c r="B21" s="136" t="s">
        <v>386</v>
      </c>
      <c r="C21" s="135" t="s">
        <v>387</v>
      </c>
      <c r="D21" s="137" t="s">
        <v>365</v>
      </c>
      <c r="E21" s="137" t="s">
        <v>384</v>
      </c>
    </row>
    <row r="22" spans="1:5" ht="15" customHeight="1" x14ac:dyDescent="0.2">
      <c r="A22" s="138"/>
      <c r="B22" s="139"/>
      <c r="C22" s="140"/>
      <c r="D22" s="140"/>
      <c r="E22" s="140"/>
    </row>
    <row r="23" spans="1:5" x14ac:dyDescent="0.2">
      <c r="A23" s="2"/>
      <c r="B23" s="2"/>
      <c r="C23" s="2"/>
      <c r="D23" s="2"/>
    </row>
    <row r="24" spans="1:5" x14ac:dyDescent="0.2">
      <c r="A24" s="2"/>
      <c r="B24" s="2"/>
      <c r="C24" s="2"/>
      <c r="D24" s="2"/>
    </row>
    <row r="25" spans="1:5" x14ac:dyDescent="0.2">
      <c r="A25" s="2"/>
      <c r="B25" s="2"/>
      <c r="C25" s="2"/>
      <c r="D25" s="2"/>
    </row>
    <row r="26" spans="1:5" x14ac:dyDescent="0.2">
      <c r="A26" s="2"/>
      <c r="B26" s="2"/>
      <c r="C26" s="2"/>
      <c r="D26" s="2"/>
    </row>
    <row r="27" spans="1:5" x14ac:dyDescent="0.2">
      <c r="A27" s="2"/>
      <c r="B27" s="2"/>
      <c r="C27" s="2"/>
      <c r="D27" s="2"/>
    </row>
    <row r="28" spans="1:5" x14ac:dyDescent="0.2">
      <c r="A28" s="2"/>
      <c r="B28" s="2"/>
      <c r="C28" s="2"/>
      <c r="D28" s="2"/>
    </row>
    <row r="29" spans="1:5" x14ac:dyDescent="0.2">
      <c r="A29" s="2"/>
      <c r="B29" s="2"/>
      <c r="C29" s="2"/>
      <c r="D29" s="2"/>
    </row>
    <row r="30" spans="1:5" x14ac:dyDescent="0.2">
      <c r="A30" s="2"/>
      <c r="B30" s="2"/>
      <c r="C30" s="2"/>
      <c r="D30" s="2"/>
    </row>
    <row r="31" spans="1:5" x14ac:dyDescent="0.2">
      <c r="A31" s="72"/>
    </row>
    <row r="32" spans="1:5" s="72" customFormat="1" x14ac:dyDescent="0.2">
      <c r="C32" s="666"/>
      <c r="D32" s="667"/>
    </row>
    <row r="33" spans="3:4" x14ac:dyDescent="0.2">
      <c r="C33" s="656"/>
      <c r="D33" s="656"/>
    </row>
  </sheetData>
  <mergeCells count="5">
    <mergeCell ref="C32:D33"/>
    <mergeCell ref="A7:A8"/>
    <mergeCell ref="B7:B8"/>
    <mergeCell ref="C7:C8"/>
    <mergeCell ref="D7:D8"/>
  </mergeCells>
  <phoneticPr fontId="17" type="noConversion"/>
  <pageMargins left="0.39370078740157483" right="0.54" top="1.377952755905512" bottom="0.98425196850393704" header="0.51181102362204722" footer="0.51181102362204722"/>
  <pageSetup paperSize="9" scale="65" orientation="landscape"/>
  <headerFooter alignWithMargins="0">
    <oddHeader>&amp;C&amp;"Arial,Bold"DEPARTMENT OF ENVIRONMENTAL AFFAIRS AND TOURISM
VOTE 27
ANNEXURES TO THE ANNUAL FINANCIAL STATEMENTS
for the year ended 31 MARCH 2003</oddHead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I30"/>
  <sheetViews>
    <sheetView topLeftCell="D1" zoomScale="90" zoomScaleNormal="90" workbookViewId="0">
      <selection activeCell="H28" sqref="H28"/>
    </sheetView>
  </sheetViews>
  <sheetFormatPr defaultRowHeight="12.75" x14ac:dyDescent="0.2"/>
  <cols>
    <col min="1" max="1" width="25.7109375" style="70" customWidth="1"/>
    <col min="2" max="2" width="15.7109375" style="70" customWidth="1"/>
    <col min="3" max="4" width="13.28515625" style="70" customWidth="1"/>
    <col min="5" max="5" width="14.42578125" style="70" customWidth="1"/>
    <col min="6" max="6" width="16.7109375" style="70" bestFit="1" customWidth="1"/>
    <col min="7" max="7" width="16.7109375" style="70" customWidth="1"/>
    <col min="8" max="9" width="13.28515625" style="70" customWidth="1"/>
  </cols>
  <sheetData>
    <row r="1" spans="1:9" ht="15.75" customHeight="1" x14ac:dyDescent="0.25">
      <c r="A1" s="175" t="s">
        <v>388</v>
      </c>
      <c r="B1" s="92"/>
      <c r="C1" s="92"/>
      <c r="D1" s="92"/>
      <c r="E1" s="92"/>
      <c r="F1" s="92"/>
      <c r="G1" s="92"/>
      <c r="H1" s="92"/>
      <c r="I1" s="92"/>
    </row>
    <row r="2" spans="1:9" x14ac:dyDescent="0.2">
      <c r="A2" s="92"/>
      <c r="B2" s="92"/>
      <c r="C2" s="92"/>
      <c r="D2" s="92"/>
      <c r="E2" s="92"/>
      <c r="F2" s="92"/>
      <c r="G2" s="92"/>
      <c r="H2" s="92"/>
      <c r="I2" s="92"/>
    </row>
    <row r="3" spans="1:9" ht="15.75" customHeight="1" x14ac:dyDescent="0.25">
      <c r="A3" s="674" t="s">
        <v>389</v>
      </c>
      <c r="B3" s="632"/>
      <c r="C3" s="632"/>
      <c r="D3" s="632"/>
      <c r="E3" s="632"/>
      <c r="F3" s="632"/>
      <c r="G3" s="632"/>
      <c r="H3" s="632"/>
      <c r="I3" s="632"/>
    </row>
    <row r="4" spans="1:9" x14ac:dyDescent="0.2">
      <c r="A4" s="72"/>
    </row>
    <row r="5" spans="1:9" x14ac:dyDescent="0.2">
      <c r="A5" s="93" t="s">
        <v>390</v>
      </c>
      <c r="C5" s="72"/>
    </row>
    <row r="6" spans="1:9" x14ac:dyDescent="0.2">
      <c r="A6" s="72"/>
    </row>
    <row r="7" spans="1:9" s="123" customFormat="1" ht="53.25" customHeight="1" x14ac:dyDescent="0.2">
      <c r="A7" s="672" t="s">
        <v>391</v>
      </c>
      <c r="B7" s="671" t="s">
        <v>392</v>
      </c>
      <c r="C7" s="672" t="s">
        <v>393</v>
      </c>
      <c r="D7" s="672" t="s">
        <v>394</v>
      </c>
      <c r="E7" s="672" t="s">
        <v>395</v>
      </c>
      <c r="F7" s="672" t="s">
        <v>396</v>
      </c>
      <c r="G7" s="672" t="s">
        <v>397</v>
      </c>
      <c r="H7" s="672" t="s">
        <v>398</v>
      </c>
      <c r="I7" s="672" t="s">
        <v>399</v>
      </c>
    </row>
    <row r="8" spans="1:9" s="123" customFormat="1" x14ac:dyDescent="0.2">
      <c r="A8" s="673"/>
      <c r="B8" s="659"/>
      <c r="C8" s="669"/>
      <c r="D8" s="669"/>
      <c r="E8" s="669"/>
      <c r="F8" s="669"/>
      <c r="G8" s="669"/>
      <c r="H8" s="669"/>
      <c r="I8" s="669"/>
    </row>
    <row r="9" spans="1:9" s="123" customFormat="1" x14ac:dyDescent="0.2">
      <c r="A9" s="669"/>
      <c r="B9" s="661"/>
      <c r="C9" s="176" t="s">
        <v>77</v>
      </c>
      <c r="D9" s="176" t="s">
        <v>77</v>
      </c>
      <c r="E9" s="176" t="s">
        <v>77</v>
      </c>
      <c r="F9" s="176" t="s">
        <v>77</v>
      </c>
      <c r="G9" s="176" t="s">
        <v>77</v>
      </c>
      <c r="H9" s="174" t="s">
        <v>77</v>
      </c>
      <c r="I9" s="174" t="s">
        <v>77</v>
      </c>
    </row>
    <row r="10" spans="1:9" ht="25.5" customHeight="1" x14ac:dyDescent="0.2">
      <c r="A10" s="2"/>
      <c r="B10" s="101" t="s">
        <v>288</v>
      </c>
      <c r="C10" s="2"/>
      <c r="D10" s="2"/>
      <c r="E10" s="2"/>
      <c r="F10" s="2"/>
      <c r="G10" s="2"/>
      <c r="H10" s="2"/>
      <c r="I10" s="2"/>
    </row>
    <row r="11" spans="1:9" x14ac:dyDescent="0.2">
      <c r="A11" s="67" t="s">
        <v>400</v>
      </c>
      <c r="B11" s="2"/>
      <c r="C11" s="349">
        <v>947841.57</v>
      </c>
      <c r="D11" s="223">
        <v>131283</v>
      </c>
      <c r="E11" s="349">
        <v>33000</v>
      </c>
      <c r="F11" s="223" t="s">
        <v>22</v>
      </c>
      <c r="G11" s="481" t="s">
        <v>22</v>
      </c>
      <c r="H11" s="482">
        <f>SUM(D11+E11)</f>
        <v>164283</v>
      </c>
      <c r="I11" s="481" t="s">
        <v>22</v>
      </c>
    </row>
    <row r="12" spans="1:9" x14ac:dyDescent="0.2">
      <c r="A12" s="67" t="s">
        <v>401</v>
      </c>
      <c r="B12" s="2"/>
      <c r="C12" s="349">
        <v>72000</v>
      </c>
      <c r="D12" s="223">
        <v>14400</v>
      </c>
      <c r="E12" s="223" t="s">
        <v>22</v>
      </c>
      <c r="F12" s="223" t="s">
        <v>22</v>
      </c>
      <c r="G12" s="481" t="s">
        <v>22</v>
      </c>
      <c r="H12" s="483">
        <f>SUM(D12)</f>
        <v>14400</v>
      </c>
      <c r="I12" s="481" t="s">
        <v>22</v>
      </c>
    </row>
    <row r="13" spans="1:9" x14ac:dyDescent="0.2">
      <c r="A13" s="67" t="s">
        <v>402</v>
      </c>
      <c r="B13" s="2"/>
      <c r="C13" s="349">
        <f>752500-100</f>
        <v>752400</v>
      </c>
      <c r="D13" s="223">
        <f>85501-200</f>
        <v>85301</v>
      </c>
      <c r="E13" s="349">
        <f>78580</f>
        <v>78580</v>
      </c>
      <c r="F13" s="349">
        <v>23000</v>
      </c>
      <c r="G13" s="481" t="s">
        <v>22</v>
      </c>
      <c r="H13" s="484">
        <f>SUM(D13+E13-F13)</f>
        <v>140881</v>
      </c>
      <c r="I13" s="481" t="s">
        <v>22</v>
      </c>
    </row>
    <row r="14" spans="1:9" x14ac:dyDescent="0.2">
      <c r="A14" s="67" t="s">
        <v>403</v>
      </c>
      <c r="B14" s="2"/>
      <c r="C14" s="349">
        <v>1265113</v>
      </c>
      <c r="D14" s="223">
        <v>246828</v>
      </c>
      <c r="E14" s="349">
        <f>50400-100</f>
        <v>50300</v>
      </c>
      <c r="F14" s="349">
        <f>18400+14000</f>
        <v>32400</v>
      </c>
      <c r="G14" s="481" t="s">
        <v>22</v>
      </c>
      <c r="H14" s="484">
        <f>SUM(D14+E14-F14)</f>
        <v>264728</v>
      </c>
      <c r="I14" s="481" t="s">
        <v>22</v>
      </c>
    </row>
    <row r="15" spans="1:9" x14ac:dyDescent="0.2">
      <c r="A15" s="67" t="s">
        <v>404</v>
      </c>
      <c r="B15" s="2"/>
      <c r="C15" s="349">
        <v>327900</v>
      </c>
      <c r="D15" s="223">
        <v>48007</v>
      </c>
      <c r="E15" s="223" t="s">
        <v>22</v>
      </c>
      <c r="F15" s="223" t="s">
        <v>22</v>
      </c>
      <c r="G15" s="481" t="s">
        <v>22</v>
      </c>
      <c r="H15" s="483">
        <f>SUM(D15)</f>
        <v>48007</v>
      </c>
      <c r="I15" s="481" t="s">
        <v>22</v>
      </c>
    </row>
    <row r="16" spans="1:9" x14ac:dyDescent="0.2">
      <c r="A16" s="67" t="s">
        <v>405</v>
      </c>
      <c r="B16" s="2"/>
      <c r="C16" s="349">
        <v>3976528</v>
      </c>
      <c r="D16" s="223">
        <f>667337.2+300</f>
        <v>667637.19999999995</v>
      </c>
      <c r="E16" s="349">
        <f>177150+200</f>
        <v>177350</v>
      </c>
      <c r="F16" s="349">
        <v>120411</v>
      </c>
      <c r="G16" s="481" t="s">
        <v>22</v>
      </c>
      <c r="H16" s="484">
        <f>SUM(D16+E16-F16)</f>
        <v>724576.2</v>
      </c>
      <c r="I16" s="481" t="s">
        <v>22</v>
      </c>
    </row>
    <row r="17" spans="1:9" x14ac:dyDescent="0.2">
      <c r="A17" s="67" t="s">
        <v>406</v>
      </c>
      <c r="B17" s="2"/>
      <c r="C17" s="349">
        <v>218738</v>
      </c>
      <c r="D17" s="223">
        <v>19862</v>
      </c>
      <c r="E17" s="349">
        <v>23459</v>
      </c>
      <c r="F17" s="223" t="s">
        <v>22</v>
      </c>
      <c r="G17" s="481" t="s">
        <v>22</v>
      </c>
      <c r="H17" s="482">
        <f>SUM(D17+E17)</f>
        <v>43321</v>
      </c>
      <c r="I17" s="481" t="s">
        <v>22</v>
      </c>
    </row>
    <row r="18" spans="1:9" x14ac:dyDescent="0.2">
      <c r="A18" s="67" t="s">
        <v>407</v>
      </c>
      <c r="B18" s="2"/>
      <c r="C18" s="349">
        <v>77935</v>
      </c>
      <c r="D18" s="223">
        <v>25386</v>
      </c>
      <c r="E18" s="223" t="s">
        <v>22</v>
      </c>
      <c r="F18" s="349">
        <v>9860</v>
      </c>
      <c r="G18" s="481" t="s">
        <v>22</v>
      </c>
      <c r="H18" s="485">
        <f>SUM(D18-F18)-1000</f>
        <v>14526</v>
      </c>
      <c r="I18" s="481" t="s">
        <v>22</v>
      </c>
    </row>
    <row r="19" spans="1:9" x14ac:dyDescent="0.2">
      <c r="A19" s="67" t="s">
        <v>408</v>
      </c>
      <c r="B19" s="2"/>
      <c r="C19" s="349">
        <v>78000</v>
      </c>
      <c r="D19" s="223">
        <v>45258</v>
      </c>
      <c r="E19" s="223" t="s">
        <v>22</v>
      </c>
      <c r="F19" s="349">
        <v>29658</v>
      </c>
      <c r="G19" s="481" t="s">
        <v>22</v>
      </c>
      <c r="H19" s="485">
        <f>SUM(D19-F19)-1000</f>
        <v>14600</v>
      </c>
      <c r="I19" s="481" t="s">
        <v>22</v>
      </c>
    </row>
    <row r="20" spans="1:9" x14ac:dyDescent="0.2">
      <c r="A20" s="67" t="s">
        <v>409</v>
      </c>
      <c r="B20" s="2"/>
      <c r="C20" s="349">
        <v>707375</v>
      </c>
      <c r="D20" s="223">
        <f>182474+100</f>
        <v>182574</v>
      </c>
      <c r="E20" s="223" t="s">
        <v>22</v>
      </c>
      <c r="F20" s="349">
        <v>42458</v>
      </c>
      <c r="G20" s="481" t="s">
        <v>22</v>
      </c>
      <c r="H20" s="486">
        <f>SUM(D20-F20)+1000</f>
        <v>141116</v>
      </c>
      <c r="I20" s="481" t="s">
        <v>22</v>
      </c>
    </row>
    <row r="21" spans="1:9" x14ac:dyDescent="0.2">
      <c r="A21" s="67" t="s">
        <v>410</v>
      </c>
      <c r="B21" s="2"/>
      <c r="C21" s="349">
        <v>859433</v>
      </c>
      <c r="D21" s="223">
        <v>162877</v>
      </c>
      <c r="E21" s="349">
        <f>14200+8800</f>
        <v>23000</v>
      </c>
      <c r="F21" s="349">
        <v>19542</v>
      </c>
      <c r="G21" s="481" t="s">
        <v>22</v>
      </c>
      <c r="H21" s="484">
        <f>SUM(D21+E21-F21)</f>
        <v>166335</v>
      </c>
      <c r="I21" s="481" t="s">
        <v>22</v>
      </c>
    </row>
    <row r="22" spans="1:9" x14ac:dyDescent="0.2">
      <c r="A22" s="67" t="s">
        <v>411</v>
      </c>
      <c r="B22" s="2"/>
      <c r="C22" s="223" t="s">
        <v>22</v>
      </c>
      <c r="D22" s="223">
        <v>13800</v>
      </c>
      <c r="E22" s="223" t="s">
        <v>22</v>
      </c>
      <c r="F22" s="349">
        <v>13800</v>
      </c>
      <c r="G22" s="481" t="s">
        <v>22</v>
      </c>
      <c r="H22" s="223" t="s">
        <v>22</v>
      </c>
      <c r="I22" s="481" t="s">
        <v>22</v>
      </c>
    </row>
    <row r="23" spans="1:9" ht="13.5" customHeight="1" thickBot="1" x14ac:dyDescent="0.25">
      <c r="A23" s="21" t="s">
        <v>222</v>
      </c>
      <c r="B23" s="21"/>
      <c r="C23" s="487">
        <f>SUM(C10:C22)</f>
        <v>9283263.5700000003</v>
      </c>
      <c r="D23" s="488">
        <f>SUM(D10:D22)</f>
        <v>1643213.2</v>
      </c>
      <c r="E23" s="489">
        <f>SUM(E10:E22)-1000</f>
        <v>384689</v>
      </c>
      <c r="F23" s="487">
        <f>SUM(F10:F22)</f>
        <v>291129</v>
      </c>
      <c r="G23" s="490" t="s">
        <v>22</v>
      </c>
      <c r="H23" s="487">
        <f>SUM(H10:H22)</f>
        <v>1736773.2</v>
      </c>
      <c r="I23" s="490" t="s">
        <v>22</v>
      </c>
    </row>
    <row r="24" spans="1:9" ht="13.5" customHeight="1" thickTop="1" x14ac:dyDescent="0.2">
      <c r="A24" s="72"/>
    </row>
    <row r="25" spans="1:9" x14ac:dyDescent="0.2">
      <c r="A25" s="84"/>
    </row>
    <row r="26" spans="1:9" ht="25.5" customHeight="1" x14ac:dyDescent="0.2">
      <c r="A26" s="84"/>
      <c r="B26" s="101" t="s">
        <v>285</v>
      </c>
    </row>
    <row r="27" spans="1:9" x14ac:dyDescent="0.2">
      <c r="A27" s="84"/>
    </row>
    <row r="28" spans="1:9" x14ac:dyDescent="0.2">
      <c r="A28" s="67" t="s">
        <v>412</v>
      </c>
      <c r="C28" s="191">
        <v>593600</v>
      </c>
      <c r="D28" s="191">
        <v>361310.51</v>
      </c>
      <c r="E28" s="491" t="s">
        <v>22</v>
      </c>
      <c r="F28" s="191">
        <f>259747.96-300</f>
        <v>259447.96</v>
      </c>
      <c r="G28" s="481" t="s">
        <v>22</v>
      </c>
      <c r="H28" s="486">
        <f>SUM(D28-F28)</f>
        <v>101862.55000000002</v>
      </c>
      <c r="I28" s="491" t="s">
        <v>22</v>
      </c>
    </row>
    <row r="29" spans="1:9" ht="13.5" customHeight="1" thickBot="1" x14ac:dyDescent="0.25">
      <c r="A29" s="21" t="s">
        <v>222</v>
      </c>
      <c r="C29" s="492">
        <f>SUM(C28:C28)</f>
        <v>593600</v>
      </c>
      <c r="D29" s="492">
        <f>SUM(D28:D28)</f>
        <v>361310.51</v>
      </c>
      <c r="E29" s="493" t="s">
        <v>22</v>
      </c>
      <c r="F29" s="492">
        <f>SUM(F28:F28)</f>
        <v>259447.96</v>
      </c>
      <c r="G29" s="493" t="s">
        <v>22</v>
      </c>
      <c r="H29" s="492">
        <f>SUM(H28:H28)</f>
        <v>101862.55000000002</v>
      </c>
      <c r="I29" s="493" t="s">
        <v>22</v>
      </c>
    </row>
    <row r="30" spans="1:9" ht="13.5" customHeight="1" thickTop="1" x14ac:dyDescent="0.2">
      <c r="A30" t="s">
        <v>413</v>
      </c>
    </row>
  </sheetData>
  <mergeCells count="10">
    <mergeCell ref="B7:B9"/>
    <mergeCell ref="A7:A9"/>
    <mergeCell ref="A3:I3"/>
    <mergeCell ref="C7:C8"/>
    <mergeCell ref="D7:D8"/>
    <mergeCell ref="H7:H8"/>
    <mergeCell ref="I7:I8"/>
    <mergeCell ref="E7:E8"/>
    <mergeCell ref="F7:F8"/>
    <mergeCell ref="G7:G8"/>
  </mergeCells>
  <phoneticPr fontId="17" type="noConversion"/>
  <pageMargins left="0.59055118110236227" right="0.59055118110236227" top="1.377952755905512" bottom="0.98425196850393704" header="0.51181102362204722" footer="0.51181102362204722"/>
  <pageSetup paperSize="9" scale="95" orientation="landscape"/>
  <headerFooter alignWithMargins="0">
    <oddHeader>&amp;C&amp;"Arial,Bold"DEPARTMENT OF ENVIRONMENTAL AFFAIRS AND TOURISM
VOTE 27
ANNEXURES TO THE ANNUAL FINANCIAL STATEMENTS
for the year ended 31 MARCH 2003</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6</vt:i4>
      </vt:variant>
    </vt:vector>
  </HeadingPairs>
  <TitlesOfParts>
    <vt:vector size="18" baseType="lpstr">
      <vt:lpstr>INCOME STATEMENT</vt:lpstr>
      <vt:lpstr>BALANCE SHEET</vt:lpstr>
      <vt:lpstr>CHANGES IN EQUITY</vt:lpstr>
      <vt:lpstr>CASH FLOW STATEMENT</vt:lpstr>
      <vt:lpstr>NOTES TO FS</vt:lpstr>
      <vt:lpstr>DISCLOSURE NOTES</vt:lpstr>
      <vt:lpstr>ANNEXURE 1D</vt:lpstr>
      <vt:lpstr>ANNEXURE 2A</vt:lpstr>
      <vt:lpstr>ANNEXURE 3</vt:lpstr>
      <vt:lpstr>ANNEXURE 4 </vt:lpstr>
      <vt:lpstr>APPROPRIATION STATEMENT</vt:lpstr>
      <vt:lpstr>NOTES TO APPR. STATEMENT</vt:lpstr>
      <vt:lpstr>'APPROPRIATION STATEMENT'!Print_Area</vt:lpstr>
      <vt:lpstr>'CASH FLOW STATEMENT'!Print_Area</vt:lpstr>
      <vt:lpstr>'DISCLOSURE NOTES'!Print_Area</vt:lpstr>
      <vt:lpstr>'INCOME STATEMENT'!Print_Area</vt:lpstr>
      <vt:lpstr>'NOTES TO FS'!Print_Area</vt:lpstr>
      <vt:lpstr>'ANNEXURE 1D'!Print_Titles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FMIP2062</dc:creator>
  <cp:lastModifiedBy>xbany</cp:lastModifiedBy>
  <cp:lastPrinted>2003-08-19T14:30:30Z</cp:lastPrinted>
  <dcterms:created xsi:type="dcterms:W3CDTF">2003-01-31T07:15:51Z</dcterms:created>
  <dcterms:modified xsi:type="dcterms:W3CDTF">2020-11-20T03:18:59Z</dcterms:modified>
</cp:coreProperties>
</file>