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mc:AlternateContent xmlns:mc="http://schemas.openxmlformats.org/markup-compatibility/2006">
    <mc:Choice Requires="x15">
      <x15ac:absPath xmlns:x15ac="http://schemas.microsoft.com/office/spreadsheetml/2010/11/ac" url="E:\pydate\EXCEL\EUSES_modified\EUSES\spreadsheets\homework\SEEDED\xlsx\"/>
    </mc:Choice>
  </mc:AlternateContent>
  <xr:revisionPtr revIDLastSave="0" documentId="13_ncr:1_{51966964-42F2-497E-BAE2-AD1D2C3D535F}" xr6:coauthVersionLast="46" xr6:coauthVersionMax="46" xr10:uidLastSave="{00000000-0000-0000-0000-000000000000}"/>
  <bookViews>
    <workbookView xWindow="2340" yWindow="0" windowWidth="21750" windowHeight="15750" xr2:uid="{00000000-000D-0000-FFFF-FFFF00000000}"/>
  </bookViews>
  <sheets>
    <sheet name="CBA" sheetId="1" r:id="rId1"/>
    <sheet name="Individ. Hh. Analysis" sheetId="2" r:id="rId2"/>
  </sheets>
  <definedNames>
    <definedName name="_xlnm.Print_Area" localSheetId="0">CBA!$AB$17:$AI$31</definedName>
    <definedName name="_xlnm.Print_Area" localSheetId="1">'Individ. Hh. Analysis'!$A$15:$E$114</definedName>
  </definedNames>
  <calcPr calcId="181029"/>
</workbook>
</file>

<file path=xl/calcChain.xml><?xml version="1.0" encoding="utf-8"?>
<calcChain xmlns="http://schemas.openxmlformats.org/spreadsheetml/2006/main">
  <c r="C108" i="2" l="1"/>
  <c r="C107" i="2"/>
  <c r="C106" i="2"/>
  <c r="C105" i="2"/>
  <c r="C104" i="2"/>
  <c r="C103" i="2"/>
  <c r="C102" i="2"/>
  <c r="C101" i="2"/>
  <c r="C86" i="2"/>
  <c r="C87" i="2" s="1"/>
  <c r="C88" i="2" s="1"/>
  <c r="C75" i="2"/>
  <c r="C76" i="2" s="1"/>
  <c r="C77" i="2" s="1"/>
  <c r="C74" i="2"/>
  <c r="C64" i="2"/>
  <c r="C67" i="2" s="1"/>
  <c r="C61" i="2"/>
  <c r="C60" i="2"/>
  <c r="C63" i="2" s="1"/>
  <c r="C66" i="2" s="1"/>
  <c r="C70" i="2" s="1"/>
  <c r="C54" i="2"/>
  <c r="C51" i="2"/>
  <c r="C50" i="2"/>
  <c r="C53" i="2" s="1"/>
  <c r="C57" i="2" s="1"/>
  <c r="C48" i="2"/>
  <c r="C47" i="2"/>
  <c r="C40" i="2"/>
  <c r="C37" i="2"/>
  <c r="C35" i="2"/>
  <c r="C38" i="2" s="1"/>
  <c r="C41" i="2" s="1"/>
  <c r="C34" i="2"/>
  <c r="AD13" i="2"/>
  <c r="C92" i="2" s="1"/>
  <c r="C93" i="2" s="1"/>
  <c r="C94" i="2" s="1"/>
  <c r="AC13" i="2"/>
  <c r="AB13" i="2"/>
  <c r="C81" i="2" s="1"/>
  <c r="C82" i="2" s="1"/>
  <c r="C83" i="2" s="1"/>
  <c r="Z13" i="2"/>
  <c r="Y13" i="2"/>
  <c r="V13" i="2"/>
  <c r="AA11" i="2"/>
  <c r="W11" i="2"/>
  <c r="T11" i="2"/>
  <c r="K11" i="2"/>
  <c r="AE10" i="2"/>
  <c r="X10" i="2"/>
  <c r="X13" i="2" s="1"/>
  <c r="T10" i="2"/>
  <c r="AA9" i="2"/>
  <c r="W9" i="2"/>
  <c r="T9" i="2"/>
  <c r="AE8" i="2"/>
  <c r="W8" i="2"/>
  <c r="T8" i="2"/>
  <c r="AE7" i="2"/>
  <c r="W7" i="2"/>
  <c r="AA6" i="2"/>
  <c r="W6" i="2"/>
  <c r="W5" i="2"/>
  <c r="AE3" i="2"/>
  <c r="AE13" i="2" s="1"/>
  <c r="C112" i="2" s="1"/>
  <c r="C113" i="2" s="1"/>
  <c r="X3" i="2"/>
  <c r="W3" i="2"/>
  <c r="T3" i="2"/>
  <c r="T13" i="2" s="1"/>
  <c r="G32" i="1"/>
  <c r="H31" i="1"/>
  <c r="I31" i="1" s="1"/>
  <c r="J31" i="1" s="1"/>
  <c r="K31" i="1" s="1"/>
  <c r="L31" i="1" s="1"/>
  <c r="M31" i="1" s="1"/>
  <c r="N31" i="1" s="1"/>
  <c r="O31" i="1" s="1"/>
  <c r="P31" i="1" s="1"/>
  <c r="Q31" i="1" s="1"/>
  <c r="R31" i="1" s="1"/>
  <c r="S31" i="1" s="1"/>
  <c r="T31" i="1" s="1"/>
  <c r="U31" i="1" s="1"/>
  <c r="V31" i="1" s="1"/>
  <c r="W31" i="1" s="1"/>
  <c r="X31" i="1" s="1"/>
  <c r="Y31" i="1" s="1"/>
  <c r="Z31" i="1" s="1"/>
  <c r="AA31" i="1" s="1"/>
  <c r="G30" i="1"/>
  <c r="X28" i="1"/>
  <c r="P28" i="1"/>
  <c r="H28" i="1"/>
  <c r="AA27" i="1"/>
  <c r="Z27" i="1"/>
  <c r="Y27" i="1"/>
  <c r="X27" i="1"/>
  <c r="W27" i="1"/>
  <c r="V27" i="1"/>
  <c r="U27" i="1"/>
  <c r="T27" i="1"/>
  <c r="S27" i="1"/>
  <c r="R27" i="1"/>
  <c r="Q27" i="1"/>
  <c r="P27" i="1"/>
  <c r="O27" i="1"/>
  <c r="N27" i="1"/>
  <c r="M27" i="1"/>
  <c r="L27" i="1"/>
  <c r="K27" i="1"/>
  <c r="J27" i="1"/>
  <c r="I27" i="1"/>
  <c r="C27" i="1" s="1"/>
  <c r="H27" i="1"/>
  <c r="AA26" i="1"/>
  <c r="Z26" i="1"/>
  <c r="Y26" i="1"/>
  <c r="Y30" i="1" s="1"/>
  <c r="Y32" i="1" s="1"/>
  <c r="X26" i="1"/>
  <c r="W26" i="1"/>
  <c r="V26" i="1"/>
  <c r="U26" i="1"/>
  <c r="T26" i="1"/>
  <c r="S26" i="1"/>
  <c r="R26" i="1"/>
  <c r="Q26" i="1"/>
  <c r="Q30" i="1" s="1"/>
  <c r="Q32" i="1" s="1"/>
  <c r="P26" i="1"/>
  <c r="O26" i="1"/>
  <c r="N26" i="1"/>
  <c r="M26" i="1"/>
  <c r="L26" i="1"/>
  <c r="K26" i="1"/>
  <c r="J26" i="1"/>
  <c r="I26" i="1"/>
  <c r="C26" i="1" s="1"/>
  <c r="H26" i="1"/>
  <c r="AA25" i="1"/>
  <c r="Z25" i="1"/>
  <c r="Y25" i="1"/>
  <c r="X25" i="1"/>
  <c r="W25" i="1"/>
  <c r="V25" i="1"/>
  <c r="V30" i="1" s="1"/>
  <c r="V32" i="1" s="1"/>
  <c r="U25" i="1"/>
  <c r="T25" i="1"/>
  <c r="S25" i="1"/>
  <c r="R25" i="1"/>
  <c r="Q25" i="1"/>
  <c r="P25" i="1"/>
  <c r="O25" i="1"/>
  <c r="N25" i="1"/>
  <c r="C25" i="1" s="1"/>
  <c r="M25" i="1"/>
  <c r="L25" i="1"/>
  <c r="K25" i="1"/>
  <c r="J25" i="1"/>
  <c r="I25" i="1"/>
  <c r="H25" i="1"/>
  <c r="AA24" i="1"/>
  <c r="Z24" i="1"/>
  <c r="Y24" i="1"/>
  <c r="X24" i="1"/>
  <c r="W24" i="1"/>
  <c r="V24" i="1"/>
  <c r="U24" i="1"/>
  <c r="T24" i="1"/>
  <c r="S24" i="1"/>
  <c r="S30" i="1" s="1"/>
  <c r="S32" i="1" s="1"/>
  <c r="R24" i="1"/>
  <c r="Q24" i="1"/>
  <c r="P24" i="1"/>
  <c r="O24" i="1"/>
  <c r="N24" i="1"/>
  <c r="M24" i="1"/>
  <c r="L24" i="1"/>
  <c r="K24" i="1"/>
  <c r="K30" i="1" s="1"/>
  <c r="K32" i="1" s="1"/>
  <c r="J24" i="1"/>
  <c r="I24" i="1"/>
  <c r="H24" i="1"/>
  <c r="C24" i="1" s="1"/>
  <c r="AA23" i="1"/>
  <c r="Z23" i="1"/>
  <c r="Z30" i="1" s="1"/>
  <c r="Z32" i="1" s="1"/>
  <c r="Y23" i="1"/>
  <c r="X23" i="1"/>
  <c r="X30" i="1" s="1"/>
  <c r="X32" i="1" s="1"/>
  <c r="W23" i="1"/>
  <c r="V23" i="1"/>
  <c r="U23" i="1"/>
  <c r="T23" i="1"/>
  <c r="T30" i="1" s="1"/>
  <c r="T32" i="1" s="1"/>
  <c r="S23" i="1"/>
  <c r="R23" i="1"/>
  <c r="R30" i="1" s="1"/>
  <c r="R32" i="1" s="1"/>
  <c r="Q23" i="1"/>
  <c r="P23" i="1"/>
  <c r="P30" i="1" s="1"/>
  <c r="P32" i="1" s="1"/>
  <c r="O23" i="1"/>
  <c r="N23" i="1"/>
  <c r="M23" i="1"/>
  <c r="L23" i="1"/>
  <c r="L30" i="1" s="1"/>
  <c r="L32" i="1" s="1"/>
  <c r="K23" i="1"/>
  <c r="J23" i="1"/>
  <c r="J30" i="1" s="1"/>
  <c r="J32" i="1" s="1"/>
  <c r="I23" i="1"/>
  <c r="H23" i="1"/>
  <c r="H30" i="1" s="1"/>
  <c r="K19" i="1"/>
  <c r="L19" i="1" s="1"/>
  <c r="M19" i="1" s="1"/>
  <c r="N19" i="1" s="1"/>
  <c r="O19" i="1" s="1"/>
  <c r="P19" i="1" s="1"/>
  <c r="Q19" i="1" s="1"/>
  <c r="R19" i="1" s="1"/>
  <c r="S19" i="1" s="1"/>
  <c r="T19" i="1" s="1"/>
  <c r="U19" i="1" s="1"/>
  <c r="V19" i="1" s="1"/>
  <c r="W19" i="1" s="1"/>
  <c r="X19" i="1" s="1"/>
  <c r="Y19" i="1" s="1"/>
  <c r="Z19" i="1" s="1"/>
  <c r="AA19" i="1" s="1"/>
  <c r="H19" i="1"/>
  <c r="I19" i="1" s="1"/>
  <c r="J19" i="1" s="1"/>
  <c r="V18" i="1"/>
  <c r="V20" i="1" s="1"/>
  <c r="L16" i="1"/>
  <c r="K16" i="1"/>
  <c r="J16" i="1"/>
  <c r="I16" i="1"/>
  <c r="H16" i="1"/>
  <c r="L15" i="1"/>
  <c r="K15" i="1"/>
  <c r="J15" i="1"/>
  <c r="AA14" i="1"/>
  <c r="Z14" i="1"/>
  <c r="Y14" i="1"/>
  <c r="X14" i="1"/>
  <c r="W14" i="1"/>
  <c r="V14" i="1"/>
  <c r="U14" i="1"/>
  <c r="T14" i="1"/>
  <c r="S14" i="1"/>
  <c r="R14" i="1"/>
  <c r="Q14" i="1"/>
  <c r="P14" i="1"/>
  <c r="O14" i="1"/>
  <c r="N14" i="1"/>
  <c r="M14" i="1"/>
  <c r="L14" i="1"/>
  <c r="K14" i="1"/>
  <c r="J14" i="1"/>
  <c r="I14" i="1"/>
  <c r="H14" i="1"/>
  <c r="AA13" i="1"/>
  <c r="Z13" i="1"/>
  <c r="Y13" i="1"/>
  <c r="Y28" i="1" s="1"/>
  <c r="X13" i="1"/>
  <c r="W13" i="1"/>
  <c r="V13" i="1"/>
  <c r="U13" i="1"/>
  <c r="T13" i="1"/>
  <c r="S13" i="1"/>
  <c r="R13" i="1"/>
  <c r="Q13" i="1"/>
  <c r="Q28" i="1" s="1"/>
  <c r="P13" i="1"/>
  <c r="O13" i="1"/>
  <c r="N13" i="1"/>
  <c r="M13" i="1"/>
  <c r="L13" i="1"/>
  <c r="K13" i="1"/>
  <c r="J13" i="1"/>
  <c r="I13" i="1"/>
  <c r="C13" i="1" s="1"/>
  <c r="H13" i="1"/>
  <c r="AA12" i="1"/>
  <c r="Z12" i="1"/>
  <c r="Y12" i="1"/>
  <c r="X12" i="1"/>
  <c r="W12" i="1"/>
  <c r="V12" i="1"/>
  <c r="U12" i="1"/>
  <c r="T12" i="1"/>
  <c r="S12" i="1"/>
  <c r="R12" i="1"/>
  <c r="Q12" i="1"/>
  <c r="P12" i="1"/>
  <c r="O12" i="1"/>
  <c r="N12" i="1"/>
  <c r="M12" i="1"/>
  <c r="L12" i="1"/>
  <c r="K12" i="1"/>
  <c r="J12" i="1"/>
  <c r="I12" i="1"/>
  <c r="H12" i="1"/>
  <c r="AA11" i="1"/>
  <c r="AA28" i="1" s="1"/>
  <c r="Z11" i="1"/>
  <c r="Z28" i="1" s="1"/>
  <c r="Y11" i="1"/>
  <c r="X11" i="1"/>
  <c r="W11" i="1"/>
  <c r="W28" i="1" s="1"/>
  <c r="V11" i="1"/>
  <c r="V28" i="1" s="1"/>
  <c r="U11" i="1"/>
  <c r="U28" i="1" s="1"/>
  <c r="T11" i="1"/>
  <c r="T28" i="1" s="1"/>
  <c r="S11" i="1"/>
  <c r="S28" i="1" s="1"/>
  <c r="R11" i="1"/>
  <c r="R28" i="1" s="1"/>
  <c r="Q11" i="1"/>
  <c r="P11" i="1"/>
  <c r="O11" i="1"/>
  <c r="O28" i="1" s="1"/>
  <c r="N11" i="1"/>
  <c r="N28" i="1" s="1"/>
  <c r="M11" i="1"/>
  <c r="M28" i="1" s="1"/>
  <c r="L11" i="1"/>
  <c r="L28" i="1" s="1"/>
  <c r="K11" i="1"/>
  <c r="K28" i="1" s="1"/>
  <c r="J11" i="1"/>
  <c r="J28" i="1" s="1"/>
  <c r="I11" i="1"/>
  <c r="H11" i="1"/>
  <c r="C11" i="1" s="1"/>
  <c r="Q10" i="1"/>
  <c r="I10" i="1"/>
  <c r="H10" i="1"/>
  <c r="C10" i="1"/>
  <c r="I9" i="1"/>
  <c r="C9" i="1" s="1"/>
  <c r="H9" i="1"/>
  <c r="AA8" i="1"/>
  <c r="AA18" i="1" s="1"/>
  <c r="AA20" i="1" s="1"/>
  <c r="Z8" i="1"/>
  <c r="Z18" i="1" s="1"/>
  <c r="Z20" i="1" s="1"/>
  <c r="Y8" i="1"/>
  <c r="Y18" i="1" s="1"/>
  <c r="Y20" i="1" s="1"/>
  <c r="X8" i="1"/>
  <c r="X18" i="1" s="1"/>
  <c r="W8" i="1"/>
  <c r="W18" i="1" s="1"/>
  <c r="W20" i="1" s="1"/>
  <c r="V8" i="1"/>
  <c r="U8" i="1"/>
  <c r="U18" i="1" s="1"/>
  <c r="T8" i="1"/>
  <c r="T18" i="1" s="1"/>
  <c r="T20" i="1" s="1"/>
  <c r="S8" i="1"/>
  <c r="S18" i="1" s="1"/>
  <c r="S20" i="1" s="1"/>
  <c r="R8" i="1"/>
  <c r="R18" i="1" s="1"/>
  <c r="R20" i="1" s="1"/>
  <c r="Q8" i="1"/>
  <c r="Q18" i="1" s="1"/>
  <c r="Q20" i="1" s="1"/>
  <c r="P8" i="1"/>
  <c r="P18" i="1" s="1"/>
  <c r="O8" i="1"/>
  <c r="O18" i="1" s="1"/>
  <c r="O20" i="1" s="1"/>
  <c r="N8" i="1"/>
  <c r="C8" i="1" s="1"/>
  <c r="M8" i="1"/>
  <c r="M18" i="1" s="1"/>
  <c r="L8" i="1"/>
  <c r="L18" i="1" s="1"/>
  <c r="L20" i="1" s="1"/>
  <c r="K8" i="1"/>
  <c r="K18" i="1" s="1"/>
  <c r="K20" i="1" s="1"/>
  <c r="J8" i="1"/>
  <c r="J18" i="1" s="1"/>
  <c r="J20" i="1" s="1"/>
  <c r="I8" i="1"/>
  <c r="I18" i="1" s="1"/>
  <c r="I20" i="1" s="1"/>
  <c r="H8" i="1"/>
  <c r="H18" i="1" s="1"/>
  <c r="H20" i="1" s="1"/>
  <c r="G6" i="1"/>
  <c r="C6" i="1" s="1"/>
  <c r="G5" i="1"/>
  <c r="AA17" i="1" s="1"/>
  <c r="U30" i="1" l="1"/>
  <c r="U32" i="1" s="1"/>
  <c r="O30" i="1"/>
  <c r="O32" i="1" s="1"/>
  <c r="W30" i="1"/>
  <c r="W32" i="1" s="1"/>
  <c r="AA30" i="1"/>
  <c r="AA32" i="1" s="1"/>
  <c r="U20" i="1"/>
  <c r="H32" i="1"/>
  <c r="G35" i="1" s="1"/>
  <c r="M30" i="1"/>
  <c r="M32" i="1" s="1"/>
  <c r="M20" i="1"/>
  <c r="C44" i="2"/>
  <c r="P20" i="1"/>
  <c r="X20" i="1"/>
  <c r="G18" i="1"/>
  <c r="I28" i="1"/>
  <c r="N18" i="1"/>
  <c r="N20" i="1" s="1"/>
  <c r="C5" i="1"/>
  <c r="AA29" i="1"/>
  <c r="N30" i="1"/>
  <c r="N32" i="1" s="1"/>
  <c r="I30" i="1"/>
  <c r="I32" i="1" s="1"/>
  <c r="C32" i="1" s="1"/>
  <c r="C35" i="1" s="1"/>
  <c r="C23" i="1"/>
  <c r="G20" i="1" l="1"/>
  <c r="C18" i="1"/>
  <c r="C30" i="1"/>
  <c r="G36" i="1" l="1"/>
  <c r="C20" i="1"/>
  <c r="C36" i="1" s="1"/>
  <c r="C39" i="1" l="1"/>
  <c r="C38" i="1"/>
  <c r="G39" i="1"/>
  <c r="G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5" authorId="0" shapeId="0" xr:uid="{00000000-0006-0000-0000-000001000000}">
      <text>
        <r>
          <rPr>
            <sz val="10"/>
            <rFont val="Arial"/>
          </rPr>
          <t>reference:G5,H5,I5,J5,K5,L5,M5,N5,O5,P5,Q5,R5,S5,T5,U5,V5,W5,X5,Y5,Z5,AA5
mrs:(G5,+,10.0000)  (H5,+,10.0000)  (I5,+,10.0000)  (J5,+,10.0000)  (K5,+,10.0000)  (L5,+,10.0000)  (M5,+,10.0000)  (N5,+,10.0000)  (O5,+,10.0000)  (P5,+,10.0000)  (Q5,+,10.0000)  (R5,+,10.0000)  (S5,+,10.0000)  (T5,+,10.0000)  (U5,+,10.0000)  (V5,+,10.0000)  (W5,+,10.0000)  (X5,+,10.0000)  (Y5,+,10.0000)  (Z5,+,10.0000)  (AA5,+,10.0000)  
Rotate:True</t>
        </r>
      </text>
    </comment>
    <comment ref="C6" authorId="0" shapeId="0" xr:uid="{00000000-0006-0000-0000-000002000000}">
      <text>
        <r>
          <rPr>
            <sz val="10"/>
            <rFont val="Arial"/>
          </rPr>
          <t>reference:G6,H6,I6,J6,K6,L6,M6,N6,O6,P6,Q6,R6,S6,T6,U6,V6,W6,X6,Y6,Z6,AA6
mrs:(G6,+,10.0000)  (H6,+,10.0000)  (I6,+,10.0000)  (J6,+,10.0000)  (K6,+,10.0000)  (L6,+,10.0000)  (M6,+,10.0000)  (N6,+,10.0000)  (O6,+,10.0000)  (P6,+,10.0000)  (Q6,+,10.0000)  (R6,+,10.0000)  (S6,+,10.0000)  (T6,+,10.0000)  (U6,+,10.0000)  (V6,+,10.0000)  (W6,+,10.0000)  (X6,+,10.0000)  (Y6,+,10.0000)  (Z6,+,10.0000)  (AA6,+,10.0000)  
Rotate:True</t>
        </r>
      </text>
    </comment>
    <comment ref="C8" authorId="0" shapeId="0" xr:uid="{00000000-0006-0000-0000-000003000000}">
      <text>
        <r>
          <rPr>
            <sz val="10"/>
            <rFont val="Arial"/>
          </rPr>
          <t>reference:G8,H8,I8,J8,K8,L8,M8,N8,O8,P8,Q8,R8,S8,T8,U8,V8,W8,X8,Y8,Z8,AA8
mrs:(G8,+,10.0000)  (H8,+,10.0000)  (I8,+,10.0000)  (J8,+,10.0000)  (K8,+,10.0000)  (L8,+,10.0000)  (M8,+,10.0000)  (N8,+,10.0000)  (O8,+,10.0000)  (P8,+,10.0000)  (Q8,+,10.0000)  (R8,+,10.0000)  (S8,+,10.0000)  (T8,+,10.0000)  (U8,+,10.0000)  (V8,+,10.0000)  (W8,+,10.0000)  (X8,+,10.0000)  (Y8,+,10.0000)  (Z8,+,10.0000)  (AA8,+,10.0000)  
Rotate:True</t>
        </r>
      </text>
    </comment>
    <comment ref="C9" authorId="0" shapeId="0" xr:uid="{00000000-0006-0000-0000-000004000000}">
      <text>
        <r>
          <rPr>
            <sz val="10"/>
            <rFont val="Arial"/>
          </rPr>
          <t>reference:G9,H9,I9,J9,K9,L9,M9,N9,O9,P9,Q9,R9,S9,T9,U9,V9,W9,X9,Y9,Z9,AA9
mrs:(G9,+,10.0000)  (H9,+,10.0000)  (I9,+,10.0000)  (J9,+,10.0000)  (K9,+,10.0000)  (L9,+,10.0000)  (M9,+,10.0000)  (N9,+,10.0000)  (O9,+,10.0000)  (P9,+,10.0000)  (Q9,+,10.0000)  (R9,+,10.0000)  (S9,+,10.0000)  (T9,+,10.0000)  (U9,+,10.0000)  (V9,+,10.0000)  (W9,+,10.0000)  (X9,+,10.0000)  (Y9,+,10.0000)  (Z9,+,10.0000)  (AA9,+,10.0000)  
Rotate:True</t>
        </r>
      </text>
    </comment>
    <comment ref="C10" authorId="0" shapeId="0" xr:uid="{00000000-0006-0000-0000-000005000000}">
      <text>
        <r>
          <rPr>
            <sz val="10"/>
            <rFont val="Arial"/>
          </rPr>
          <t>reference:G10,H10,I10,J10,K10,L10,M10,N10,O10,P10,Q10,R10,S10,T10,U10,V10,W10,X10,Y10,Z10,AA10
mrs:(G10,+,10.0000)  (H10,+,10.0000)  (I10,+,10.0000)  (J10,+,10.0000)  (K10,+,10.0000)  (L10,+,10.0000)  (M10,+,10.0000)  (N10,+,10.0000)  (O10,+,10.0000)  (P10,+,10.0000)  (Q10,+,10.0000)  (R10,+,10.0000)  (S10,+,10.0000)  (T10,+,10.0000)  (U10,+,10.0000)  (V10,+,10.0000)  (W10,+,10.0000)  (X10,+,10.0000)  (Y10,+,10.0000)  (Z10,+,10.0000)  (AA10,+,10.0000)  
Rotate:True</t>
        </r>
      </text>
    </comment>
    <comment ref="C11" authorId="0" shapeId="0" xr:uid="{00000000-0006-0000-0000-000006000000}">
      <text>
        <r>
          <rPr>
            <sz val="10"/>
            <rFont val="Arial"/>
          </rPr>
          <t>reference:G11,H11,I11,J11,K11,L11,M11,N11,O11,P11,Q11,R11,S11,T11,U11,V11,W11,X11,Y11,Z11,AA11
mrs:(G11,+,10.0000)  (H11,+,10.0000)  (I11,+,10.0000)  (J11,+,10.0000)  (K11,+,10.0000)  (L11,+,10.0000)  (M11,+,10.0000)  (N11,+,10.0000)  (O11,+,10.0000)  (P11,+,10.0000)  (Q11,+,10.0000)  (R11,+,10.0000)  (S11,+,10.0000)  (T11,+,10.0000)  (U11,+,10.0000)  (V11,+,10.0000)  (W11,+,10.0000)  (X11,+,10.0000)  (Y11,+,10.0000)  (Z11,+,10.0000)  (AA11,+,10.0000)  
Rotate:True</t>
        </r>
      </text>
    </comment>
    <comment ref="C13" authorId="0" shapeId="0" xr:uid="{00000000-0006-0000-0000-000007000000}">
      <text>
        <r>
          <rPr>
            <sz val="10"/>
            <rFont val="Arial"/>
          </rPr>
          <t>reference:G13,H13,I13,J13,K13,L13,M13,N13,O13,P13,Q13,R13,S13,T13,U13,V13,W13,X13,Y13,Z13,AA13
mrs:(G13,+,10.0000)  (H13,+,10.0000)  (I13,+,10.0000)  (J13,+,10.0000)  (K13,+,10.0000)  (L13,+,10.0000)  (M13,+,10.0000)  (N13,+,10.0000)  (O13,+,10.0000)  (P13,+,10.0000)  (Q13,+,10.0000)  (R13,+,10.0000)  (S13,+,10.0000)  (T13,+,10.0000)  (U13,+,10.0000)  (V13,+,10.0000)  (W13,+,10.0000)  (X13,+,10.0000)  (Y13,+,10.0000)  (Z13,+,10.0000)  (AA13,+,10.0000)  
Rotate:True</t>
        </r>
      </text>
    </comment>
    <comment ref="AA17" authorId="0" shapeId="0" xr:uid="{00000000-0006-0000-0000-000008000000}">
      <text>
        <r>
          <rPr>
            <sz val="10"/>
            <rFont val="Arial"/>
          </rPr>
          <t>reference:G5,G6
mrs:(G5,+,1.0000)  (G6,+,1.0000)  
Rotate:True</t>
        </r>
      </text>
    </comment>
    <comment ref="C18" authorId="0" shapeId="0" xr:uid="{00000000-0006-0000-0000-000009000000}">
      <text>
        <r>
          <rPr>
            <sz val="10"/>
            <rFont val="Arial"/>
          </rPr>
          <t>reference:G18,H18,I18,J18,K18,L18,M18,N18,O18,P18,Q18,R18,S18,T18,U18,V18,W18,X18,Y18,Z18,AA18
mrs:(G18,+,10.0000)  (H18,+,10.0000)  (I18,+,10.0000)  (J18,+,10.0000)  (K18,+,10.0000)  (L18,+,10.0000)  (M18,+,10.0000)  (N18,+,10.0000)  (O18,+,10.0000)  (P18,+,10.0000)  (Q18,+,10.0000)  (R18,+,10.0000)  (S18,+,10.0000)  (T18,+,10.0000)  (U18,+,10.0000)  (V18,+,10.0000)  (W18,+,10.0000)  (X18,+,10.0000)  (Y18,+,10.0000)  (Z18,+,10.0000)  (AA18,+,10.0000)  
Rotate:True</t>
        </r>
      </text>
    </comment>
    <comment ref="G18" authorId="0" shapeId="0" xr:uid="{00000000-0006-0000-0000-00000A000000}">
      <text>
        <r>
          <rPr>
            <sz val="10"/>
            <rFont val="Arial"/>
          </rPr>
          <t>reference:G5,G6,G7,G8,G9,G10,G11,G12,G13,G14,G15,G16,G17
mrs:(G5,+,10.0000)  (G6,+,10.0000)  (G7,+,10.0000)  (G8,+,10.0000)  (G9,+,10.0000)  (G10,+,10.0000)  (G11,+,10.0000)  (G12,+,10.0000)  (G13,+,10.0000)  (G14,+,10.0000)  (G15,+,10.0000)  (G16,+,10.0000)  (G17,+,10.0000)  
Rotate:True</t>
        </r>
      </text>
    </comment>
    <comment ref="H18" authorId="0" shapeId="0" xr:uid="{00000000-0006-0000-0000-00000B000000}">
      <text>
        <r>
          <rPr>
            <sz val="10"/>
            <rFont val="Arial"/>
          </rPr>
          <t>reference:H5,H6,H7,H8,H9,H10,H11,H12,H13,H14,H15,H16,H17
mrs:(H5,+,10.0000)  (H6,+,10.0000)  (H7,+,10.0000)  (H8,+,10.0000)  (H9,+,10.0000)  (H10,+,10.0000)  (H11,+,10.0000)  (H12,+,10.0000)  (H13,+,10.0000)  (H14,+,10.0000)  (H15,+,10.0000)  (H16,+,10.0000)  (H17,+,10.0000)  
Rotate:True</t>
        </r>
      </text>
    </comment>
    <comment ref="I18" authorId="0" shapeId="0" xr:uid="{00000000-0006-0000-0000-00000C000000}">
      <text>
        <r>
          <rPr>
            <sz val="10"/>
            <rFont val="Arial"/>
          </rPr>
          <t>reference:I5,I6,I7,I8,I9,I10,I11,I12,I13,I14,I15,I16,I17
mrs:(I5,+,10.0000)  (I6,+,10.0000)  (I7,+,10.0000)  (I8,+,10.0000)  (I9,+,10.0000)  (I10,+,10.0000)  (I11,+,10.0000)  (I12,+,10.0000)  (I13,+,10.0000)  (I14,+,10.0000)  (I15,+,10.0000)  (I16,+,10.0000)  (I17,+,10.0000)  
Rotate:True</t>
        </r>
      </text>
    </comment>
    <comment ref="J18" authorId="0" shapeId="0" xr:uid="{00000000-0006-0000-0000-00000D000000}">
      <text>
        <r>
          <rPr>
            <sz val="10"/>
            <rFont val="Arial"/>
          </rPr>
          <t>reference:J5,J6,J7,J8,J9,J10,J11,J12,J13,J14,J15,J16,J17
mrs:(J5,+,10.0000)  (J6,+,10.0000)  (J7,+,10.0000)  (J8,+,10.0000)  (J9,+,10.0000)  (J10,+,10.0000)  (J11,+,10.0000)  (J12,+,10.0000)  (J13,+,10.0000)  (J14,+,10.0000)  (J15,+,10.0000)  (J16,+,10.0000)  (J17,+,10.0000)  
Rotate:True</t>
        </r>
      </text>
    </comment>
    <comment ref="K18" authorId="0" shapeId="0" xr:uid="{00000000-0006-0000-0000-00000E000000}">
      <text>
        <r>
          <rPr>
            <sz val="10"/>
            <rFont val="Arial"/>
          </rPr>
          <t>reference:K5,K6,K7,K8,K9,K10,K11,K12,K13,K14,K15,K16,K17
mrs:(K5,+,10.0000)  (K6,+,10.0000)  (K7,+,10.0000)  (K8,+,10.0000)  (K9,+,10.0000)  (K10,+,10.0000)  (K11,+,10.0000)  (K12,+,10.0000)  (K13,+,10.0000)  (K14,+,10.0000)  (K15,+,10.0000)  (K16,+,10.0000)  (K17,+,10.0000)  
Rotate:True</t>
        </r>
      </text>
    </comment>
    <comment ref="L18" authorId="0" shapeId="0" xr:uid="{00000000-0006-0000-0000-00000F000000}">
      <text>
        <r>
          <rPr>
            <sz val="10"/>
            <rFont val="Arial"/>
          </rPr>
          <t>reference:L5,L6,L7,L8,L9,L10,L11,L12,L13,L14,L15,L16,L17
mrs:(L5,+,10.0000)  (L6,+,10.0000)  (L7,+,10.0000)  (L8,+,10.0000)  (L9,+,10.0000)  (L10,+,10.0000)  (L11,+,10.0000)  (L12,+,10.0000)  (L13,+,10.0000)  (L14,+,10.0000)  (L15,+,10.0000)  (L16,+,10.0000)  (L17,+,10.0000)  
Rotate:True</t>
        </r>
      </text>
    </comment>
    <comment ref="M18" authorId="0" shapeId="0" xr:uid="{00000000-0006-0000-0000-000010000000}">
      <text>
        <r>
          <rPr>
            <sz val="10"/>
            <rFont val="Arial"/>
          </rPr>
          <t>reference:M5,M6,M7,M8,M9,M10,M11,M12,M13,M14,M15,M16,M17
mrs:(M5,+,10.0000)  (M6,+,10.0000)  (M7,+,10.0000)  (M8,+,10.0000)  (M9,+,10.0000)  (M10,+,10.0000)  (M11,+,10.0000)  (M12,+,10.0000)  (M13,+,10.0000)  (M14,+,10.0000)  (M15,+,10.0000)  (M16,+,10.0000)  (M17,+,10.0000)  
Rotate:True</t>
        </r>
      </text>
    </comment>
    <comment ref="N18" authorId="0" shapeId="0" xr:uid="{00000000-0006-0000-0000-000011000000}">
      <text>
        <r>
          <rPr>
            <sz val="10"/>
            <rFont val="Arial"/>
          </rPr>
          <t>reference:N5,N6,N7,N8,N9,N10,N11,N12,N13,N14,N15,N16,N17
mrs:(N5,+,10.0000)  (N6,+,10.0000)  (N7,+,10.0000)  (N8,+,10.0000)  (N9,+,10.0000)  (N10,+,10.0000)  (N11,+,10.0000)  (N12,+,10.0000)  (N13,+,10.0000)  (N14,+,10.0000)  (N15,+,10.0000)  (N16,+,10.0000)  (N17,+,10.0000)  
Rotate:True</t>
        </r>
      </text>
    </comment>
    <comment ref="O18" authorId="0" shapeId="0" xr:uid="{00000000-0006-0000-0000-000012000000}">
      <text>
        <r>
          <rPr>
            <sz val="10"/>
            <rFont val="Arial"/>
          </rPr>
          <t>reference:O5,O6,O7,O8,O9,O10,O11,O12,O13,O14,O15,O16,O17
mrs:(O5,+,10.0000)  (O6,+,10.0000)  (O7,+,10.0000)  (O8,+,10.0000)  (O9,+,10.0000)  (O10,+,10.0000)  (O11,+,10.0000)  (O12,+,10.0000)  (O13,+,10.0000)  (O14,+,10.0000)  (O15,+,10.0000)  (O16,+,10.0000)  (O17,+,10.0000)  
Rotate:True</t>
        </r>
      </text>
    </comment>
    <comment ref="P18" authorId="0" shapeId="0" xr:uid="{00000000-0006-0000-0000-000013000000}">
      <text>
        <r>
          <rPr>
            <sz val="10"/>
            <rFont val="Arial"/>
          </rPr>
          <t>reference:P5,P6,P7,P8,P9,P10,P11,P12,P13,P14,P15,P16,P17
mrs:(P5,+,10.0000)  (P6,+,10.0000)  (P7,+,10.0000)  (P8,+,10.0000)  (P9,+,10.0000)  (P10,+,10.0000)  (P11,+,10.0000)  (P12,+,10.0000)  (P13,+,10.0000)  (P14,+,10.0000)  (P15,+,10.0000)  (P16,+,10.0000)  (P17,+,10.0000)  
Rotate:True</t>
        </r>
      </text>
    </comment>
    <comment ref="Q18" authorId="0" shapeId="0" xr:uid="{00000000-0006-0000-0000-000014000000}">
      <text>
        <r>
          <rPr>
            <sz val="10"/>
            <rFont val="Arial"/>
          </rPr>
          <t>reference:Q5,Q6,Q7,Q8,Q9,Q10,Q11,Q12,Q13,Q14,Q15,Q16,Q17
mrs:(Q5,+,10.0000)  (Q6,+,10.0000)  (Q7,+,10.0000)  (Q8,+,10.0000)  (Q9,+,10.0000)  (Q10,+,10.0000)  (Q11,+,10.0000)  (Q12,+,10.0000)  (Q13,+,10.0000)  (Q14,+,10.0000)  (Q15,+,10.0000)  (Q16,+,10.0000)  (Q17,+,10.0000)  
Rotate:True</t>
        </r>
      </text>
    </comment>
    <comment ref="R18" authorId="0" shapeId="0" xr:uid="{00000000-0006-0000-0000-000015000000}">
      <text>
        <r>
          <rPr>
            <sz val="10"/>
            <rFont val="Arial"/>
          </rPr>
          <t>reference:R5,R6,R7,R8,R9,R10,R11,R12,R13,R14,R15,R16,R17
mrs:(R5,+,10.0000)  (R6,+,10.0000)  (R7,+,10.0000)  (R8,+,10.0000)  (R9,+,10.0000)  (R10,+,10.0000)  (R11,+,10.0000)  (R12,+,10.0000)  (R13,+,10.0000)  (R14,+,10.0000)  (R15,+,10.0000)  (R16,+,10.0000)  (R17,+,10.0000)  
Rotate:True</t>
        </r>
      </text>
    </comment>
    <comment ref="S18" authorId="0" shapeId="0" xr:uid="{00000000-0006-0000-0000-000016000000}">
      <text>
        <r>
          <rPr>
            <sz val="10"/>
            <rFont val="Arial"/>
          </rPr>
          <t>reference:S5,S6,S7,S8,S9,S10,S11,S12,S13,S14,S15,S16,S17
mrs:(S5,+,10.0000)  (S6,+,10.0000)  (S7,+,10.0000)  (S8,+,10.0000)  (S9,+,10.0000)  (S10,+,10.0000)  (S11,+,10.0000)  (S12,+,10.0000)  (S13,+,10.0000)  (S14,+,10.0000)  (S15,+,10.0000)  (S16,+,10.0000)  (S17,+,10.0000)  
Rotate:True</t>
        </r>
      </text>
    </comment>
    <comment ref="T18" authorId="0" shapeId="0" xr:uid="{00000000-0006-0000-0000-000017000000}">
      <text>
        <r>
          <rPr>
            <sz val="10"/>
            <rFont val="Arial"/>
          </rPr>
          <t>reference:T5,T6,T7,T8,T9,T10,T11,T12,T13,T14,T15,T16,T17
mrs:(T5,+,10.0000)  (T6,+,10.0000)  (T7,+,10.0000)  (T8,+,10.0000)  (T9,+,10.0000)  (T10,+,10.0000)  (T11,+,10.0000)  (T12,+,10.0000)  (T13,+,10.0000)  (T14,+,10.0000)  (T15,+,10.0000)  (T16,+,10.0000)  (T17,+,10.0000)  
Rotate:True</t>
        </r>
      </text>
    </comment>
    <comment ref="U18" authorId="0" shapeId="0" xr:uid="{00000000-0006-0000-0000-000018000000}">
      <text>
        <r>
          <rPr>
            <sz val="10"/>
            <rFont val="Arial"/>
          </rPr>
          <t>reference:U5,U6,U7,U8,U9,U10,U11,U12,U13,U14,U15,U16,U17
mrs:(U5,+,10.0000)  (U6,+,10.0000)  (U7,+,10.0000)  (U8,+,10.0000)  (U9,+,10.0000)  (U10,+,10.0000)  (U11,+,10.0000)  (U12,+,10.0000)  (U13,+,10.0000)  (U14,+,10.0000)  (U15,+,10.0000)  (U16,+,10.0000)  (U17,+,10.0000)  
Rotate:True</t>
        </r>
      </text>
    </comment>
    <comment ref="V18" authorId="0" shapeId="0" xr:uid="{00000000-0006-0000-0000-000019000000}">
      <text>
        <r>
          <rPr>
            <sz val="10"/>
            <rFont val="Arial"/>
          </rPr>
          <t>reference:V5,V6,V7,V8,V9,V10,V11,V12,V13,V14,V15,V16,V17
mrs:(V5,+,10.0000)  (V6,+,10.0000)  (V7,+,10.0000)  (V8,+,10.0000)  (V9,+,10.0000)  (V10,+,10.0000)  (V11,+,10.0000)  (V12,+,10.0000)  (V13,+,10.0000)  (V14,+,10.0000)  (V15,+,10.0000)  (V16,+,10.0000)  (V17,+,10.0000)  
Rotate:True</t>
        </r>
      </text>
    </comment>
    <comment ref="W18" authorId="0" shapeId="0" xr:uid="{00000000-0006-0000-0000-00001A000000}">
      <text>
        <r>
          <rPr>
            <sz val="10"/>
            <rFont val="Arial"/>
          </rPr>
          <t>reference:W5,W6,W7,W8,W9,W10,W11,W12,W13,W14,W15,W16,W17
mrs:(W5,+,10.0000)  (W6,+,10.0000)  (W7,+,10.0000)  (W8,+,10.0000)  (W9,+,10.0000)  (W10,+,10.0000)  (W11,+,10.0000)  (W12,+,10.0000)  (W13,+,10.0000)  (W14,+,10.0000)  (W15,+,10.0000)  (W16,+,10.0000)  (W17,+,10.0000)  
Rotate:True</t>
        </r>
      </text>
    </comment>
    <comment ref="X18" authorId="0" shapeId="0" xr:uid="{00000000-0006-0000-0000-00001B000000}">
      <text>
        <r>
          <rPr>
            <sz val="10"/>
            <rFont val="Arial"/>
          </rPr>
          <t>reference:X5,X6,X7,X8,X9,X10,X11,X12,X13,X14,X15,X16,X17
mrs:(X5,+,10.0000)  (X6,+,10.0000)  (X7,+,10.0000)  (X8,+,10.0000)  (X9,+,10.0000)  (X10,+,10.0000)  (X11,+,10.0000)  (X12,+,10.0000)  (X13,+,10.0000)  (X14,+,10.0000)  (X15,+,10.0000)  (X16,+,10.0000)  (X17,+,10.0000)  
Rotate:True</t>
        </r>
      </text>
    </comment>
    <comment ref="Y18" authorId="0" shapeId="0" xr:uid="{00000000-0006-0000-0000-00001C000000}">
      <text>
        <r>
          <rPr>
            <sz val="10"/>
            <rFont val="Arial"/>
          </rPr>
          <t>reference:Y5,Y6,Y7,Y8,Y9,Y10,Y11,Y12,Y13,Y14,Y15,Y16,Y17
mrs:(Y5,+,10.0000)  (Y6,+,10.0000)  (Y7,+,10.0000)  (Y8,+,10.0000)  (Y9,+,10.0000)  (Y10,+,10.0000)  (Y11,+,10.0000)  (Y12,+,10.0000)  (Y13,+,10.0000)  (Y14,+,10.0000)  (Y15,+,10.0000)  (Y16,+,10.0000)  (Y17,+,10.0000)  
Rotate:True</t>
        </r>
      </text>
    </comment>
    <comment ref="Z18" authorId="0" shapeId="0" xr:uid="{00000000-0006-0000-0000-00001D000000}">
      <text>
        <r>
          <rPr>
            <sz val="10"/>
            <rFont val="Arial"/>
          </rPr>
          <t>reference:Z5,Z6,Z7,Z8,Z9,Z10,Z11,Z12,Z13,Z14,Z15,Z16,Z17
mrs:(Z5,+,10.0000)  (Z6,+,10.0000)  (Z7,+,10.0000)  (Z8,+,10.0000)  (Z9,+,10.0000)  (Z10,+,10.0000)  (Z11,+,10.0000)  (Z12,+,10.0000)  (Z13,+,10.0000)  (Z14,+,10.0000)  (Z15,+,10.0000)  (Z16,+,10.0000)  (Z17,+,10.0000)  
Rotate:True</t>
        </r>
      </text>
    </comment>
    <comment ref="AA18" authorId="0" shapeId="0" xr:uid="{00000000-0006-0000-0000-00001E000000}">
      <text>
        <r>
          <rPr>
            <sz val="10"/>
            <rFont val="Arial"/>
          </rPr>
          <t>reference:AA5,AA6,AA7,AA8,AA9,AA10,AA11,AA12,AA13,AA14,AA15,AA16,AA17
mrs:(AA5,+,10.0000)  (AA6,+,10.0000)  (AA7,+,10.0000)  (AA8,+,10.0000)  (AA9,+,10.0000)  (AA10,+,10.0000)  (AA11,+,10.0000)  (AA12,+,10.0000)  (AA13,+,10.0000)  (AA14,+,10.0000)  (AA15,+,10.0000)  (AA16,+,10.0000)  (AA17,+,10.0000)  
Rotate:True</t>
        </r>
      </text>
    </comment>
    <comment ref="H19" authorId="0" shapeId="0" xr:uid="{00000000-0006-0000-0000-00001F000000}">
      <text>
        <r>
          <rPr>
            <sz val="10"/>
            <rFont val="Arial"/>
          </rPr>
          <t>reference:G19
mrs:
Rotate:True</t>
        </r>
      </text>
    </comment>
    <comment ref="I19" authorId="0" shapeId="0" xr:uid="{00000000-0006-0000-0000-000020000000}">
      <text>
        <r>
          <rPr>
            <sz val="10"/>
            <rFont val="Arial"/>
          </rPr>
          <t>reference:H19
mrs:
Rotate:True</t>
        </r>
      </text>
    </comment>
    <comment ref="J19" authorId="0" shapeId="0" xr:uid="{00000000-0006-0000-0000-000021000000}">
      <text>
        <r>
          <rPr>
            <sz val="10"/>
            <rFont val="Arial"/>
          </rPr>
          <t>reference:I19
mrs:
Rotate:True</t>
        </r>
      </text>
    </comment>
    <comment ref="L19" authorId="0" shapeId="0" xr:uid="{00000000-0006-0000-0000-000022000000}">
      <text>
        <r>
          <rPr>
            <sz val="10"/>
            <rFont val="Arial"/>
          </rPr>
          <t>reference:K19
mrs:
Rotate:True</t>
        </r>
      </text>
    </comment>
    <comment ref="M19" authorId="0" shapeId="0" xr:uid="{00000000-0006-0000-0000-000023000000}">
      <text>
        <r>
          <rPr>
            <sz val="10"/>
            <rFont val="Arial"/>
          </rPr>
          <t>reference:L19
mrs:
Rotate:True</t>
        </r>
      </text>
    </comment>
    <comment ref="N19" authorId="0" shapeId="0" xr:uid="{00000000-0006-0000-0000-000024000000}">
      <text>
        <r>
          <rPr>
            <sz val="10"/>
            <rFont val="Arial"/>
          </rPr>
          <t>reference:M19
mrs:
Rotate:True</t>
        </r>
      </text>
    </comment>
    <comment ref="O19" authorId="0" shapeId="0" xr:uid="{00000000-0006-0000-0000-000025000000}">
      <text>
        <r>
          <rPr>
            <sz val="10"/>
            <rFont val="Arial"/>
          </rPr>
          <t>reference:N19
mrs:
Rotate:True</t>
        </r>
      </text>
    </comment>
    <comment ref="P19" authorId="0" shapeId="0" xr:uid="{00000000-0006-0000-0000-000026000000}">
      <text>
        <r>
          <rPr>
            <sz val="10"/>
            <rFont val="Arial"/>
          </rPr>
          <t>reference:O19
mrs:
Rotate:True</t>
        </r>
      </text>
    </comment>
    <comment ref="Q19" authorId="0" shapeId="0" xr:uid="{00000000-0006-0000-0000-000027000000}">
      <text>
        <r>
          <rPr>
            <sz val="10"/>
            <rFont val="Arial"/>
          </rPr>
          <t>reference:P19
mrs:
Rotate:True</t>
        </r>
      </text>
    </comment>
    <comment ref="R19" authorId="0" shapeId="0" xr:uid="{00000000-0006-0000-0000-000028000000}">
      <text>
        <r>
          <rPr>
            <sz val="10"/>
            <rFont val="Arial"/>
          </rPr>
          <t>reference:Q19
mrs:
Rotate:True</t>
        </r>
      </text>
    </comment>
    <comment ref="S19" authorId="0" shapeId="0" xr:uid="{00000000-0006-0000-0000-000029000000}">
      <text>
        <r>
          <rPr>
            <sz val="10"/>
            <rFont val="Arial"/>
          </rPr>
          <t>reference:R19
mrs:
Rotate:True</t>
        </r>
      </text>
    </comment>
    <comment ref="T19" authorId="0" shapeId="0" xr:uid="{00000000-0006-0000-0000-00002A000000}">
      <text>
        <r>
          <rPr>
            <sz val="10"/>
            <rFont val="Arial"/>
          </rPr>
          <t>reference:S19
mrs:
Rotate:True</t>
        </r>
      </text>
    </comment>
    <comment ref="U19" authorId="0" shapeId="0" xr:uid="{00000000-0006-0000-0000-00002B000000}">
      <text>
        <r>
          <rPr>
            <sz val="10"/>
            <rFont val="Arial"/>
          </rPr>
          <t>reference:T19
mrs:
Rotate:True</t>
        </r>
      </text>
    </comment>
    <comment ref="V19" authorId="0" shapeId="0" xr:uid="{00000000-0006-0000-0000-00002C000000}">
      <text>
        <r>
          <rPr>
            <sz val="10"/>
            <rFont val="Arial"/>
          </rPr>
          <t>reference:U19
mrs:
Rotate:True</t>
        </r>
      </text>
    </comment>
    <comment ref="W19" authorId="0" shapeId="0" xr:uid="{00000000-0006-0000-0000-00002D000000}">
      <text>
        <r>
          <rPr>
            <sz val="10"/>
            <rFont val="Arial"/>
          </rPr>
          <t>reference:V19
mrs:
Rotate:True</t>
        </r>
      </text>
    </comment>
    <comment ref="X19" authorId="0" shapeId="0" xr:uid="{00000000-0006-0000-0000-00002E000000}">
      <text>
        <r>
          <rPr>
            <sz val="10"/>
            <rFont val="Arial"/>
          </rPr>
          <t>reference:W19
mrs:
Rotate:True</t>
        </r>
      </text>
    </comment>
    <comment ref="Y19" authorId="0" shapeId="0" xr:uid="{00000000-0006-0000-0000-00002F000000}">
      <text>
        <r>
          <rPr>
            <sz val="10"/>
            <rFont val="Arial"/>
          </rPr>
          <t>reference:X19
mrs:
Rotate:True</t>
        </r>
      </text>
    </comment>
    <comment ref="Z19" authorId="0" shapeId="0" xr:uid="{00000000-0006-0000-0000-000030000000}">
      <text>
        <r>
          <rPr>
            <sz val="10"/>
            <rFont val="Arial"/>
          </rPr>
          <t>reference:Y19
mrs:
Rotate:True</t>
        </r>
      </text>
    </comment>
    <comment ref="AA19" authorId="0" shapeId="0" xr:uid="{00000000-0006-0000-0000-000031000000}">
      <text>
        <r>
          <rPr>
            <sz val="10"/>
            <rFont val="Arial"/>
          </rPr>
          <t>reference:Z19
mrs:
Rotate:True</t>
        </r>
      </text>
    </comment>
    <comment ref="C20" authorId="0" shapeId="0" xr:uid="{00000000-0006-0000-0000-000032000000}">
      <text>
        <r>
          <rPr>
            <sz val="10"/>
            <rFont val="Arial"/>
          </rPr>
          <t>reference:G20,H20,I20,J20,K20,L20,M20,N20,O20,P20,Q20,R20,S20,T20,U20,V20,W20,X20,Y20,Z20,AA20
mrs:(G20,+,10.0000)  (H20,+,10.0000)  (I20,+,10.0000)  (J20,+,10.0000)  (K20,+,10.0000)  (L20,+,10.0000)  (M20,+,10.0000)  (N20,+,10.0000)  (O20,+,10.0000)  (P20,+,10.0000)  (Q20,+,10.0000)  (R20,+,10.0000)  (S20,+,10.0000)  (T20,+,10.0000)  (U20,+,10.0000)  (V20,+,10.0000)  (W20,+,10.0000)  (X20,+,10.0000)  (Y20,+,10.0000)  (Z20,+,10.0000)  (AA20,+,10.0000)  
Rotate:True</t>
        </r>
      </text>
    </comment>
    <comment ref="G20" authorId="0" shapeId="0" xr:uid="{00000000-0006-0000-0000-000033000000}">
      <text>
        <r>
          <rPr>
            <sz val="10"/>
            <rFont val="Arial"/>
          </rPr>
          <t>reference:G18,G19
mrs:
Rotate:True</t>
        </r>
      </text>
    </comment>
    <comment ref="H20" authorId="0" shapeId="0" xr:uid="{00000000-0006-0000-0000-000034000000}">
      <text>
        <r>
          <rPr>
            <sz val="10"/>
            <rFont val="Arial"/>
          </rPr>
          <t>reference:H18,H19
mrs:
Rotate:True</t>
        </r>
      </text>
    </comment>
    <comment ref="I20" authorId="0" shapeId="0" xr:uid="{00000000-0006-0000-0000-000035000000}">
      <text>
        <r>
          <rPr>
            <sz val="10"/>
            <rFont val="Arial"/>
          </rPr>
          <t>reference:I18,I19
mrs:
Rotate:True</t>
        </r>
      </text>
    </comment>
    <comment ref="J20" authorId="0" shapeId="0" xr:uid="{00000000-0006-0000-0000-000036000000}">
      <text>
        <r>
          <rPr>
            <sz val="10"/>
            <rFont val="Arial"/>
          </rPr>
          <t>reference:J18,J19
mrs:
Rotate:True</t>
        </r>
      </text>
    </comment>
    <comment ref="K20" authorId="0" shapeId="0" xr:uid="{00000000-0006-0000-0000-000037000000}">
      <text>
        <r>
          <rPr>
            <sz val="10"/>
            <rFont val="Arial"/>
          </rPr>
          <t>reference:K18,K19
mrs:
Rotate:True</t>
        </r>
      </text>
    </comment>
    <comment ref="L20" authorId="0" shapeId="0" xr:uid="{00000000-0006-0000-0000-000038000000}">
      <text>
        <r>
          <rPr>
            <sz val="10"/>
            <rFont val="Arial"/>
          </rPr>
          <t>reference:L18,L19
mrs:
Rotate:True</t>
        </r>
      </text>
    </comment>
    <comment ref="M20" authorId="0" shapeId="0" xr:uid="{00000000-0006-0000-0000-000039000000}">
      <text>
        <r>
          <rPr>
            <sz val="10"/>
            <rFont val="Arial"/>
          </rPr>
          <t>reference:M18,M19
mrs:
Rotate:True</t>
        </r>
      </text>
    </comment>
    <comment ref="N20" authorId="0" shapeId="0" xr:uid="{00000000-0006-0000-0000-00003A000000}">
      <text>
        <r>
          <rPr>
            <sz val="10"/>
            <rFont val="Arial"/>
          </rPr>
          <t>reference:N18,N19
mrs:
Rotate:True</t>
        </r>
      </text>
    </comment>
    <comment ref="O20" authorId="0" shapeId="0" xr:uid="{00000000-0006-0000-0000-00003B000000}">
      <text>
        <r>
          <rPr>
            <sz val="10"/>
            <rFont val="Arial"/>
          </rPr>
          <t>reference:O18,O19
mrs:
Rotate:True</t>
        </r>
      </text>
    </comment>
    <comment ref="P20" authorId="0" shapeId="0" xr:uid="{00000000-0006-0000-0000-00003C000000}">
      <text>
        <r>
          <rPr>
            <sz val="10"/>
            <rFont val="Arial"/>
          </rPr>
          <t>reference:P18,P19
mrs:
Rotate:True</t>
        </r>
      </text>
    </comment>
    <comment ref="Q20" authorId="0" shapeId="0" xr:uid="{00000000-0006-0000-0000-00003D000000}">
      <text>
        <r>
          <rPr>
            <sz val="10"/>
            <rFont val="Arial"/>
          </rPr>
          <t>reference:Q18,Q19
mrs:
Rotate:True</t>
        </r>
      </text>
    </comment>
    <comment ref="R20" authorId="0" shapeId="0" xr:uid="{00000000-0006-0000-0000-00003E000000}">
      <text>
        <r>
          <rPr>
            <sz val="10"/>
            <rFont val="Arial"/>
          </rPr>
          <t>reference:R18,R19
mrs:
Rotate:True</t>
        </r>
      </text>
    </comment>
    <comment ref="S20" authorId="0" shapeId="0" xr:uid="{00000000-0006-0000-0000-00003F000000}">
      <text>
        <r>
          <rPr>
            <sz val="10"/>
            <rFont val="Arial"/>
          </rPr>
          <t>reference:S18,S19
mrs:
Rotate:True</t>
        </r>
      </text>
    </comment>
    <comment ref="T20" authorId="0" shapeId="0" xr:uid="{00000000-0006-0000-0000-000040000000}">
      <text>
        <r>
          <rPr>
            <sz val="10"/>
            <rFont val="Arial"/>
          </rPr>
          <t>reference:T18,T19
mrs:
Rotate:True</t>
        </r>
      </text>
    </comment>
    <comment ref="U20" authorId="0" shapeId="0" xr:uid="{00000000-0006-0000-0000-000041000000}">
      <text>
        <r>
          <rPr>
            <sz val="10"/>
            <rFont val="Arial"/>
          </rPr>
          <t>reference:U18,U19
mrs:
Rotate:True</t>
        </r>
      </text>
    </comment>
    <comment ref="V20" authorId="0" shapeId="0" xr:uid="{00000000-0006-0000-0000-000042000000}">
      <text>
        <r>
          <rPr>
            <sz val="10"/>
            <rFont val="Arial"/>
          </rPr>
          <t>reference:V18,V19
mrs:
Rotate:True</t>
        </r>
      </text>
    </comment>
    <comment ref="W20" authorId="0" shapeId="0" xr:uid="{00000000-0006-0000-0000-000043000000}">
      <text>
        <r>
          <rPr>
            <sz val="10"/>
            <rFont val="Arial"/>
          </rPr>
          <t>reference:W18,W19
mrs:
Rotate:True</t>
        </r>
      </text>
    </comment>
    <comment ref="X20" authorId="0" shapeId="0" xr:uid="{00000000-0006-0000-0000-000044000000}">
      <text>
        <r>
          <rPr>
            <sz val="10"/>
            <rFont val="Arial"/>
          </rPr>
          <t>reference:X18,X19
mrs:
Rotate:True</t>
        </r>
      </text>
    </comment>
    <comment ref="Y20" authorId="0" shapeId="0" xr:uid="{00000000-0006-0000-0000-000045000000}">
      <text>
        <r>
          <rPr>
            <sz val="10"/>
            <rFont val="Arial"/>
          </rPr>
          <t>reference:Y18,Y19
mrs:
Rotate:True</t>
        </r>
      </text>
    </comment>
    <comment ref="Z20" authorId="0" shapeId="0" xr:uid="{00000000-0006-0000-0000-000046000000}">
      <text>
        <r>
          <rPr>
            <sz val="10"/>
            <rFont val="Arial"/>
          </rPr>
          <t>reference:Z18,Z19
mrs:
Rotate:True</t>
        </r>
      </text>
    </comment>
    <comment ref="AA20" authorId="0" shapeId="0" xr:uid="{00000000-0006-0000-0000-000047000000}">
      <text>
        <r>
          <rPr>
            <sz val="10"/>
            <rFont val="Arial"/>
          </rPr>
          <t>reference:AA18,AA19
mrs:
Rotate:True</t>
        </r>
      </text>
    </comment>
    <comment ref="C23" authorId="0" shapeId="0" xr:uid="{00000000-0006-0000-0000-000048000000}">
      <text>
        <r>
          <rPr>
            <sz val="10"/>
            <rFont val="Arial"/>
          </rPr>
          <t>reference:G23,H23,I23,J23,K23,L23,M23,N23,O23,P23,Q23,R23,S23,T23,U23,V23,W23,X23,Y23,Z23,AA23
mrs:(G23,+,10.0000)  (H23,+,10.0000)  (I23,+,10.0000)  (J23,+,10.0000)  (K23,+,10.0000)  (L23,+,10.0000)  (M23,+,10.0000)  (N23,+,10.0000)  (O23,+,10.0000)  (P23,+,10.0000)  (Q23,+,10.0000)  (R23,+,10.0000)  (S23,+,10.0000)  (T23,+,10.0000)  (U23,+,10.0000)  (V23,+,10.0000)  (W23,+,10.0000)  (X23,+,10.0000)  (Y23,+,10.0000)  (Z23,+,10.0000)  (AA23,+,10.0000)  
Rotate:True</t>
        </r>
      </text>
    </comment>
    <comment ref="C24" authorId="0" shapeId="0" xr:uid="{00000000-0006-0000-0000-000049000000}">
      <text>
        <r>
          <rPr>
            <sz val="10"/>
            <rFont val="Arial"/>
          </rPr>
          <t>reference:G24,H24,I24,J24,K24,L24,M24,N24,O24,P24,Q24,R24,S24,T24,U24,V24,W24,X24,Y24,Z24,AA24
mrs:(G24,+,10.0000)  (H24,+,10.0000)  (I24,+,10.0000)  (J24,+,10.0000)  (K24,+,10.0000)  (L24,+,10.0000)  (M24,+,10.0000)  (N24,+,10.0000)  (O24,+,10.0000)  (P24,+,10.0000)  (Q24,+,10.0000)  (R24,+,10.0000)  (S24,+,10.0000)  (T24,+,10.0000)  (U24,+,10.0000)  (V24,+,10.0000)  (W24,+,10.0000)  (X24,+,10.0000)  (Y24,+,10.0000)  (Z24,+,10.0000)  (AA24,+,10.0000)  
Rotate:True</t>
        </r>
      </text>
    </comment>
    <comment ref="C25" authorId="0" shapeId="0" xr:uid="{00000000-0006-0000-0000-00004A000000}">
      <text>
        <r>
          <rPr>
            <sz val="10"/>
            <rFont val="Arial"/>
          </rPr>
          <t>reference:G25,H25,I25,J25,K25,L25,M25,N25,O25,P25,Q25,R25,S25,T25,U25,V25,W25,X25,Y25,Z25,AA25
mrs:(G25,+,10.0000)  (H25,+,10.0000)  (I25,+,10.0000)  (J25,+,10.0000)  (K25,+,10.0000)  (L25,+,10.0000)  (M25,+,10.0000)  (N25,+,10.0000)  (O25,+,10.0000)  (P25,+,10.0000)  (Q25,+,10.0000)  (R25,+,10.0000)  (S25,+,10.0000)  (T25,+,10.0000)  (U25,+,10.0000)  (V25,+,10.0000)  (W25,+,10.0000)  (X25,+,10.0000)  (Y25,+,10.0000)  (Z25,+,10.0000)  (AA25,+,10.0000)  
Rotate:True</t>
        </r>
      </text>
    </comment>
    <comment ref="C26" authorId="0" shapeId="0" xr:uid="{00000000-0006-0000-0000-00004B000000}">
      <text>
        <r>
          <rPr>
            <sz val="10"/>
            <rFont val="Arial"/>
          </rPr>
          <t>reference:G26,H26,I26,J26,K26,L26,M26,N26,O26,P26,Q26,R26,S26,T26,U26,V26,W26,X26,Y26,Z26,AA26
mrs:(G26,+,10.0000)  (H26,+,10.0000)  (I26,+,10.0000)  (J26,+,10.0000)  (K26,+,10.0000)  (L26,+,10.0000)  (M26,+,10.0000)  (N26,+,10.0000)  (O26,+,10.0000)  (P26,+,10.0000)  (Q26,+,10.0000)  (R26,+,10.0000)  (S26,+,10.0000)  (T26,+,10.0000)  (U26,+,10.0000)  (V26,+,10.0000)  (W26,+,10.0000)  (X26,+,10.0000)  (Y26,+,10.0000)  (Z26,+,10.0000)  (AA26,+,10.0000)  
Rotate:True</t>
        </r>
      </text>
    </comment>
    <comment ref="C27" authorId="0" shapeId="0" xr:uid="{00000000-0006-0000-0000-00004C000000}">
      <text>
        <r>
          <rPr>
            <sz val="10"/>
            <rFont val="Arial"/>
          </rPr>
          <t>reference:G27,H27,I27,J27,K27,L27,M27,N27,O27,P27,Q27,R27,S27,T27,U27,V27,W27,X27,Y27,Z27,AA27
mrs:(G27,+,10.0000)  (H27,+,10.0000)  (I27,+,10.0000)  (J27,+,10.0000)  (K27,+,10.0000)  (L27,+,10.0000)  (M27,+,10.0000)  (N27,+,10.0000)  (O27,+,10.0000)  (P27,+,10.0000)  (Q27,+,10.0000)  (R27,+,10.0000)  (S27,+,10.0000)  (T27,+,10.0000)  (U27,+,10.0000)  (V27,+,10.0000)  (W27,+,10.0000)  (X27,+,10.0000)  (Y27,+,10.0000)  (Z27,+,10.0000)  (AA27,+,10.0000)  
Rotate:True</t>
        </r>
      </text>
    </comment>
    <comment ref="H28" authorId="0" shapeId="0" xr:uid="{00000000-0006-0000-0000-00004D000000}">
      <text>
        <r>
          <rPr>
            <sz val="10"/>
            <rFont val="Arial"/>
          </rPr>
          <t>reference:H11,H13
mrs:(H11,+,1.0000)  (H13,+,1.0000)  
Rotate:True</t>
        </r>
      </text>
    </comment>
    <comment ref="I28" authorId="0" shapeId="0" xr:uid="{00000000-0006-0000-0000-00004E000000}">
      <text>
        <r>
          <rPr>
            <sz val="10"/>
            <rFont val="Arial"/>
          </rPr>
          <t>reference:I11,I13
mrs:(I11,+,1.0000)  (I13,+,1.0000)  
Rotate:True</t>
        </r>
      </text>
    </comment>
    <comment ref="J28" authorId="0" shapeId="0" xr:uid="{00000000-0006-0000-0000-00004F000000}">
      <text>
        <r>
          <rPr>
            <sz val="10"/>
            <rFont val="Arial"/>
          </rPr>
          <t>reference:J11,J13
mrs:(J11,+,1.0000)  (J13,+,1.0000)  
Rotate:True</t>
        </r>
      </text>
    </comment>
    <comment ref="K28" authorId="0" shapeId="0" xr:uid="{00000000-0006-0000-0000-000050000000}">
      <text>
        <r>
          <rPr>
            <sz val="10"/>
            <rFont val="Arial"/>
          </rPr>
          <t>reference:K11,K13
mrs:(K11,+,1.0000)  (K13,+,1.0000)  
Rotate:True</t>
        </r>
      </text>
    </comment>
    <comment ref="L28" authorId="0" shapeId="0" xr:uid="{00000000-0006-0000-0000-000051000000}">
      <text>
        <r>
          <rPr>
            <sz val="10"/>
            <rFont val="Arial"/>
          </rPr>
          <t>reference:L11,L13
mrs:(L11,+,1.0000)  (L13,+,1.0000)  
Rotate:True</t>
        </r>
      </text>
    </comment>
    <comment ref="M28" authorId="0" shapeId="0" xr:uid="{00000000-0006-0000-0000-000052000000}">
      <text>
        <r>
          <rPr>
            <sz val="10"/>
            <rFont val="Arial"/>
          </rPr>
          <t>reference:M11,M13
mrs:(M11,+,1.0000)  (M13,+,1.0000)  
Rotate:True</t>
        </r>
      </text>
    </comment>
    <comment ref="N28" authorId="0" shapeId="0" xr:uid="{00000000-0006-0000-0000-000053000000}">
      <text>
        <r>
          <rPr>
            <sz val="10"/>
            <rFont val="Arial"/>
          </rPr>
          <t>reference:N11,N13
mrs:(N11,+,1.0000)  (N13,+,1.0000)  
Rotate:True</t>
        </r>
      </text>
    </comment>
    <comment ref="O28" authorId="0" shapeId="0" xr:uid="{00000000-0006-0000-0000-000054000000}">
      <text>
        <r>
          <rPr>
            <sz val="10"/>
            <rFont val="Arial"/>
          </rPr>
          <t>reference:O11,O13
mrs:(O11,+,1.0000)  (O13,+,1.0000)  
Rotate:True</t>
        </r>
      </text>
    </comment>
    <comment ref="P28" authorId="0" shapeId="0" xr:uid="{00000000-0006-0000-0000-000055000000}">
      <text>
        <r>
          <rPr>
            <sz val="10"/>
            <rFont val="Arial"/>
          </rPr>
          <t>reference:P11,P13
mrs:(P11,+,1.0000)  (P13,+,1.0000)  
Rotate:True</t>
        </r>
      </text>
    </comment>
    <comment ref="Q28" authorId="0" shapeId="0" xr:uid="{00000000-0006-0000-0000-000056000000}">
      <text>
        <r>
          <rPr>
            <sz val="10"/>
            <rFont val="Arial"/>
          </rPr>
          <t>reference:Q11,Q13
mrs:(Q11,+,1.0000)  (Q13,+,1.0000)  
Rotate:True</t>
        </r>
      </text>
    </comment>
    <comment ref="R28" authorId="0" shapeId="0" xr:uid="{00000000-0006-0000-0000-000057000000}">
      <text>
        <r>
          <rPr>
            <sz val="10"/>
            <rFont val="Arial"/>
          </rPr>
          <t>reference:R11,R13
mrs:(R11,+,1.0000)  (R13,+,1.0000)  
Rotate:True</t>
        </r>
      </text>
    </comment>
    <comment ref="S28" authorId="0" shapeId="0" xr:uid="{00000000-0006-0000-0000-000058000000}">
      <text>
        <r>
          <rPr>
            <sz val="10"/>
            <rFont val="Arial"/>
          </rPr>
          <t>reference:S11,S13
mrs:(S11,+,1.0000)  (S13,+,1.0000)  
Rotate:True</t>
        </r>
      </text>
    </comment>
    <comment ref="T28" authorId="0" shapeId="0" xr:uid="{00000000-0006-0000-0000-000059000000}">
      <text>
        <r>
          <rPr>
            <sz val="10"/>
            <rFont val="Arial"/>
          </rPr>
          <t>reference:T11,T13
mrs:(T11,+,1.0000)  (T13,+,1.0000)  
Rotate:True</t>
        </r>
      </text>
    </comment>
    <comment ref="U28" authorId="0" shapeId="0" xr:uid="{00000000-0006-0000-0000-00005A000000}">
      <text>
        <r>
          <rPr>
            <sz val="10"/>
            <rFont val="Arial"/>
          </rPr>
          <t>reference:U11,U13
mrs:(U11,+,1.0000)  (U13,+,1.0000)  
Rotate:True</t>
        </r>
      </text>
    </comment>
    <comment ref="V28" authorId="0" shapeId="0" xr:uid="{00000000-0006-0000-0000-00005B000000}">
      <text>
        <r>
          <rPr>
            <sz val="10"/>
            <rFont val="Arial"/>
          </rPr>
          <t>reference:V11,V13
mrs:(V11,+,1.0000)  (V13,+,1.0000)  
Rotate:True</t>
        </r>
      </text>
    </comment>
    <comment ref="W28" authorId="0" shapeId="0" xr:uid="{00000000-0006-0000-0000-00005C000000}">
      <text>
        <r>
          <rPr>
            <sz val="10"/>
            <rFont val="Arial"/>
          </rPr>
          <t>reference:W11,W13
mrs:(W11,+,1.0000)  (W13,+,1.0000)  
Rotate:True</t>
        </r>
      </text>
    </comment>
    <comment ref="X28" authorId="0" shapeId="0" xr:uid="{00000000-0006-0000-0000-00005D000000}">
      <text>
        <r>
          <rPr>
            <sz val="10"/>
            <rFont val="Arial"/>
          </rPr>
          <t>reference:X11,X13
mrs:(X11,+,1.0000)  (X13,+,1.0000)  
Rotate:True</t>
        </r>
      </text>
    </comment>
    <comment ref="Y28" authorId="0" shapeId="0" xr:uid="{00000000-0006-0000-0000-00005E000000}">
      <text>
        <r>
          <rPr>
            <sz val="10"/>
            <rFont val="Arial"/>
          </rPr>
          <t>reference:Y11,Y13
mrs:(Y11,+,1.0000)  (Y13,+,1.0000)  
Rotate:True</t>
        </r>
      </text>
    </comment>
    <comment ref="Z28" authorId="0" shapeId="0" xr:uid="{00000000-0006-0000-0000-00005F000000}">
      <text>
        <r>
          <rPr>
            <sz val="10"/>
            <rFont val="Arial"/>
          </rPr>
          <t>reference:Z11,Z13
mrs:(Z11,+,1.0000)  (Z13,+,1.0000)  
Rotate:True</t>
        </r>
      </text>
    </comment>
    <comment ref="AA28" authorId="0" shapeId="0" xr:uid="{00000000-0006-0000-0000-000060000000}">
      <text>
        <r>
          <rPr>
            <sz val="10"/>
            <rFont val="Arial"/>
          </rPr>
          <t>reference:AA11,AA13
mrs:(AA11,+,1.0000)  (AA13,+,1.0000)  
Rotate:True</t>
        </r>
      </text>
    </comment>
    <comment ref="AA29" authorId="0" shapeId="0" xr:uid="{00000000-0006-0000-0000-000061000000}">
      <text>
        <r>
          <rPr>
            <sz val="10"/>
            <rFont val="Arial"/>
          </rPr>
          <t>reference:G5,G6
mrs:(G5,+,0.2000)  (G6,+,0.2000)  
Rotate:True</t>
        </r>
      </text>
    </comment>
    <comment ref="C30" authorId="0" shapeId="0" xr:uid="{00000000-0006-0000-0000-000062000000}">
      <text>
        <r>
          <rPr>
            <sz val="10"/>
            <rFont val="Arial"/>
          </rPr>
          <t>reference:G30,H30,I30,J30,K30,L30,M30,N30,O30,P30,Q30,R30,S30,T30,U30,V30,W30,X30,Y30,Z30,AA30
mrs:(G30,+,10.0000)  (H30,+,10.0000)  (I30,+,10.0000)  (J30,+,10.0000)  (K30,+,10.0000)  (L30,+,10.0000)  (M30,+,10.0000)  (N30,+,10.0000)  (O30,+,10.0000)  (P30,+,10.0000)  (Q30,+,10.0000)  (R30,+,10.0000)  (S30,+,10.0000)  (T30,+,10.0000)  (U30,+,10.0000)  (V30,+,10.0000)  (W30,+,10.0000)  (X30,+,10.0000)  (Y30,+,10.0000)  (Z30,+,10.0000)  (AA30,+,10.0000)  
Rotate:True</t>
        </r>
      </text>
    </comment>
    <comment ref="G30" authorId="0" shapeId="0" xr:uid="{00000000-0006-0000-0000-000063000000}">
      <text>
        <r>
          <rPr>
            <sz val="10"/>
            <rFont val="Arial"/>
          </rPr>
          <t>reference:G23,G24,G25,G26,G27,G28,G29
mrs:(G23,+,10.0000)  (G24,+,10.0000)  (G25,+,10.0000)  (G26,+,10.0000)  (G27,+,10.0000)  (G28,+,10.0000)  (G29,+,10.0000)  
Rotate:True</t>
        </r>
      </text>
    </comment>
    <comment ref="H30" authorId="0" shapeId="0" xr:uid="{00000000-0006-0000-0000-000064000000}">
      <text>
        <r>
          <rPr>
            <sz val="10"/>
            <rFont val="Arial"/>
          </rPr>
          <t>reference:H23,H24,H25,H26,H27,H28,H29
mrs:(H23,+,10.0000)  (H24,+,10.0000)  (H25,+,10.0000)  (H26,+,10.0000)  (H27,+,10.0000)  (H28,+,10.0000)  (H29,+,10.0000)  
Rotate:True</t>
        </r>
      </text>
    </comment>
    <comment ref="I30" authorId="0" shapeId="0" xr:uid="{00000000-0006-0000-0000-000065000000}">
      <text>
        <r>
          <rPr>
            <sz val="10"/>
            <rFont val="Arial"/>
          </rPr>
          <t>reference:I23,I24,I25,I26,I27,I28,I29
mrs:(I23,+,10.0000)  (I24,+,10.0000)  (I25,+,10.0000)  (I26,+,10.0000)  (I27,+,10.0000)  (I28,+,10.0000)  (I29,+,10.0000)  
Rotate:True</t>
        </r>
      </text>
    </comment>
    <comment ref="J30" authorId="0" shapeId="0" xr:uid="{00000000-0006-0000-0000-000066000000}">
      <text>
        <r>
          <rPr>
            <sz val="10"/>
            <rFont val="Arial"/>
          </rPr>
          <t>reference:J23,J24,J25,J26,J27,J28,J29
mrs:(J23,+,10.0000)  (J24,+,10.0000)  (J25,+,10.0000)  (J26,+,10.0000)  (J27,+,10.0000)  (J28,+,10.0000)  (J29,+,10.0000)  
Rotate:True</t>
        </r>
      </text>
    </comment>
    <comment ref="K30" authorId="0" shapeId="0" xr:uid="{00000000-0006-0000-0000-000067000000}">
      <text>
        <r>
          <rPr>
            <sz val="10"/>
            <rFont val="Arial"/>
          </rPr>
          <t>reference:K23,K24,K25,K26,K27,K28,K29
mrs:(K23,+,10.0000)  (K24,+,10.0000)  (K25,+,10.0000)  (K26,+,10.0000)  (K27,+,10.0000)  (K28,+,10.0000)  (K29,+,10.0000)  
Rotate:True</t>
        </r>
      </text>
    </comment>
    <comment ref="L30" authorId="0" shapeId="0" xr:uid="{00000000-0006-0000-0000-000068000000}">
      <text>
        <r>
          <rPr>
            <sz val="10"/>
            <rFont val="Arial"/>
          </rPr>
          <t>reference:L23,L24,L25,L26,L27,L28,L29
mrs:(L23,+,10.0000)  (L24,+,10.0000)  (L25,+,10.0000)  (L26,+,10.0000)  (L27,+,10.0000)  (L28,+,10.0000)  (L29,+,10.0000)  
Rotate:True</t>
        </r>
      </text>
    </comment>
    <comment ref="M30" authorId="0" shapeId="0" xr:uid="{00000000-0006-0000-0000-000069000000}">
      <text>
        <r>
          <rPr>
            <sz val="10"/>
            <rFont val="Arial"/>
          </rPr>
          <t>reference:M23,M24,M25,M26,M27,M28,M29
mrs:(M23,+,10.0000)  (M24,+,10.0000)  (M25,+,10.0000)  (M26,+,10.0000)  (M27,+,10.0000)  (M28,+,10.0000)  (M29,+,10.0000)  
Rotate:True</t>
        </r>
      </text>
    </comment>
    <comment ref="N30" authorId="0" shapeId="0" xr:uid="{00000000-0006-0000-0000-00006A000000}">
      <text>
        <r>
          <rPr>
            <sz val="10"/>
            <rFont val="Arial"/>
          </rPr>
          <t>reference:N23,N24,N25,N26,N27,N28,N29
mrs:(N23,+,10.0000)  (N24,+,10.0000)  (N25,+,10.0000)  (N26,+,10.0000)  (N27,+,10.0000)  (N28,+,10.0000)  (N29,+,10.0000)  
Rotate:True</t>
        </r>
      </text>
    </comment>
    <comment ref="O30" authorId="0" shapeId="0" xr:uid="{00000000-0006-0000-0000-00006B000000}">
      <text>
        <r>
          <rPr>
            <sz val="10"/>
            <rFont val="Arial"/>
          </rPr>
          <t>reference:O23,O24,O25,O26,O27,O28,O29
mrs:(O23,+,10.0000)  (O24,+,10.0000)  (O25,+,10.0000)  (O26,+,10.0000)  (O27,+,10.0000)  (O28,+,10.0000)  (O29,+,10.0000)  
Rotate:True</t>
        </r>
      </text>
    </comment>
    <comment ref="P30" authorId="0" shapeId="0" xr:uid="{00000000-0006-0000-0000-00006C000000}">
      <text>
        <r>
          <rPr>
            <sz val="10"/>
            <rFont val="Arial"/>
          </rPr>
          <t>reference:P23,P24,P25,P26,P27,P28,P29
mrs:(P23,+,10.0000)  (P24,+,10.0000)  (P25,+,10.0000)  (P26,+,10.0000)  (P27,+,10.0000)  (P28,+,10.0000)  (P29,+,10.0000)  
Rotate:True</t>
        </r>
      </text>
    </comment>
    <comment ref="Q30" authorId="0" shapeId="0" xr:uid="{00000000-0006-0000-0000-00006D000000}">
      <text>
        <r>
          <rPr>
            <sz val="10"/>
            <rFont val="Arial"/>
          </rPr>
          <t>reference:Q23,Q24,Q25,Q26,Q27,Q28,Q29
mrs:(Q23,+,10.0000)  (Q24,+,10.0000)  (Q25,+,10.0000)  (Q26,+,10.0000)  (Q27,+,10.0000)  (Q28,+,10.0000)  (Q29,+,10.0000)  
Rotate:True</t>
        </r>
      </text>
    </comment>
    <comment ref="R30" authorId="0" shapeId="0" xr:uid="{00000000-0006-0000-0000-00006E000000}">
      <text>
        <r>
          <rPr>
            <sz val="10"/>
            <rFont val="Arial"/>
          </rPr>
          <t>reference:R23,R24,R25,R26,R27,R28,R29
mrs:(R23,+,10.0000)  (R24,+,10.0000)  (R25,+,10.0000)  (R26,+,10.0000)  (R27,+,10.0000)  (R28,+,10.0000)  (R29,+,10.0000)  
Rotate:True</t>
        </r>
      </text>
    </comment>
    <comment ref="S30" authorId="0" shapeId="0" xr:uid="{00000000-0006-0000-0000-00006F000000}">
      <text>
        <r>
          <rPr>
            <sz val="10"/>
            <rFont val="Arial"/>
          </rPr>
          <t>reference:S23,S24,S25,S26,S27,S28,S29
mrs:(S23,+,10.0000)  (S24,+,10.0000)  (S25,+,10.0000)  (S26,+,10.0000)  (S27,+,10.0000)  (S28,+,10.0000)  (S29,+,10.0000)  
Rotate:True</t>
        </r>
      </text>
    </comment>
    <comment ref="T30" authorId="0" shapeId="0" xr:uid="{00000000-0006-0000-0000-000070000000}">
      <text>
        <r>
          <rPr>
            <sz val="10"/>
            <rFont val="Arial"/>
          </rPr>
          <t>reference:T23,T24,T25,T26,T27,T28,T29
mrs:(T23,+,10.0000)  (T24,+,10.0000)  (T25,+,10.0000)  (T26,+,10.0000)  (T27,+,10.0000)  (T28,+,10.0000)  (T29,+,10.0000)  
Rotate:True</t>
        </r>
      </text>
    </comment>
    <comment ref="U30" authorId="0" shapeId="0" xr:uid="{00000000-0006-0000-0000-000071000000}">
      <text>
        <r>
          <rPr>
            <sz val="10"/>
            <rFont val="Arial"/>
          </rPr>
          <t>reference:U23,U24,U25,U26,U27,U28,U29
mrs:(U23,+,10.0000)  (U24,+,10.0000)  (U25,+,10.0000)  (U26,+,10.0000)  (U27,+,10.0000)  (U28,+,10.0000)  (U29,+,10.0000)  
Rotate:True</t>
        </r>
      </text>
    </comment>
    <comment ref="V30" authorId="0" shapeId="0" xr:uid="{00000000-0006-0000-0000-000072000000}">
      <text>
        <r>
          <rPr>
            <sz val="10"/>
            <rFont val="Arial"/>
          </rPr>
          <t>reference:V23,V24,V25,V26,V27,V28,V29
mrs:(V23,+,10.0000)  (V24,+,10.0000)  (V25,+,10.0000)  (V26,+,10.0000)  (V27,+,10.0000)  (V28,+,10.0000)  (V29,+,10.0000)  
Rotate:True</t>
        </r>
      </text>
    </comment>
    <comment ref="W30" authorId="0" shapeId="0" xr:uid="{00000000-0006-0000-0000-000073000000}">
      <text>
        <r>
          <rPr>
            <sz val="10"/>
            <rFont val="Arial"/>
          </rPr>
          <t>reference:W23,W24,W25,W26,W27,W28,W29
mrs:(W23,+,10.0000)  (W24,+,10.0000)  (W25,+,10.0000)  (W26,+,10.0000)  (W27,+,10.0000)  (W28,+,10.0000)  (W29,+,10.0000)  
Rotate:True</t>
        </r>
      </text>
    </comment>
    <comment ref="X30" authorId="0" shapeId="0" xr:uid="{00000000-0006-0000-0000-000074000000}">
      <text>
        <r>
          <rPr>
            <sz val="10"/>
            <rFont val="Arial"/>
          </rPr>
          <t>reference:X23,X24,X25,X26,X27,X28,X29
mrs:(X23,+,10.0000)  (X24,+,10.0000)  (X25,+,10.0000)  (X26,+,10.0000)  (X27,+,10.0000)  (X28,+,10.0000)  (X29,+,10.0000)  
Rotate:True</t>
        </r>
      </text>
    </comment>
    <comment ref="Y30" authorId="0" shapeId="0" xr:uid="{00000000-0006-0000-0000-000075000000}">
      <text>
        <r>
          <rPr>
            <sz val="10"/>
            <rFont val="Arial"/>
          </rPr>
          <t>reference:Y23,Y24,Y25,Y26,Y27,Y28,Y29
mrs:(Y23,+,10.0000)  (Y24,+,10.0000)  (Y25,+,10.0000)  (Y26,+,10.0000)  (Y27,+,10.0000)  (Y28,+,10.0000)  (Y29,+,10.0000)  
Rotate:True</t>
        </r>
      </text>
    </comment>
    <comment ref="Z30" authorId="0" shapeId="0" xr:uid="{00000000-0006-0000-0000-000076000000}">
      <text>
        <r>
          <rPr>
            <sz val="10"/>
            <rFont val="Arial"/>
          </rPr>
          <t>reference:Z23,Z24,Z25,Z26,Z27,Z28,Z29
mrs:(Z23,+,10.0000)  (Z24,+,10.0000)  (Z25,+,10.0000)  (Z26,+,10.0000)  (Z27,+,10.0000)  (Z28,+,10.0000)  (Z29,+,10.0000)  
Rotate:True</t>
        </r>
      </text>
    </comment>
    <comment ref="AA30" authorId="0" shapeId="0" xr:uid="{00000000-0006-0000-0000-000077000000}">
      <text>
        <r>
          <rPr>
            <sz val="10"/>
            <rFont val="Arial"/>
          </rPr>
          <t>reference:AA23,AA24,AA25,AA26,AA27,AA28,AA29
mrs:(AA23,+,10.0000)  (AA24,+,10.0000)  (AA25,+,10.0000)  (AA26,+,10.0000)  (AA27,+,10.0000)  (AA28,+,10.0000)  (AA29,+,10.0000)  
Rotate:True</t>
        </r>
      </text>
    </comment>
    <comment ref="H31" authorId="0" shapeId="0" xr:uid="{00000000-0006-0000-0000-000078000000}">
      <text>
        <r>
          <rPr>
            <sz val="10"/>
            <rFont val="Arial"/>
          </rPr>
          <t>reference:G31
mrs:
Rotate:True</t>
        </r>
      </text>
    </comment>
    <comment ref="I31" authorId="0" shapeId="0" xr:uid="{00000000-0006-0000-0000-000079000000}">
      <text>
        <r>
          <rPr>
            <sz val="10"/>
            <rFont val="Arial"/>
          </rPr>
          <t>reference:H31
mrs:
Rotate:True</t>
        </r>
      </text>
    </comment>
    <comment ref="J31" authorId="0" shapeId="0" xr:uid="{00000000-0006-0000-0000-00007A000000}">
      <text>
        <r>
          <rPr>
            <sz val="10"/>
            <rFont val="Arial"/>
          </rPr>
          <t>reference:I31
mrs:
Rotate:True</t>
        </r>
      </text>
    </comment>
    <comment ref="K31" authorId="0" shapeId="0" xr:uid="{00000000-0006-0000-0000-00007B000000}">
      <text>
        <r>
          <rPr>
            <sz val="10"/>
            <rFont val="Arial"/>
          </rPr>
          <t>reference:J31
mrs:
Rotate:True</t>
        </r>
      </text>
    </comment>
    <comment ref="L31" authorId="0" shapeId="0" xr:uid="{00000000-0006-0000-0000-00007C000000}">
      <text>
        <r>
          <rPr>
            <sz val="10"/>
            <rFont val="Arial"/>
          </rPr>
          <t>reference:K31
mrs:
Rotate:True</t>
        </r>
      </text>
    </comment>
    <comment ref="M31" authorId="0" shapeId="0" xr:uid="{00000000-0006-0000-0000-00007D000000}">
      <text>
        <r>
          <rPr>
            <sz val="10"/>
            <rFont val="Arial"/>
          </rPr>
          <t>reference:L31
mrs:
Rotate:True</t>
        </r>
      </text>
    </comment>
    <comment ref="N31" authorId="0" shapeId="0" xr:uid="{00000000-0006-0000-0000-00007E000000}">
      <text>
        <r>
          <rPr>
            <sz val="10"/>
            <rFont val="Arial"/>
          </rPr>
          <t>reference:M31
mrs:
Rotate:True</t>
        </r>
      </text>
    </comment>
    <comment ref="O31" authorId="0" shapeId="0" xr:uid="{00000000-0006-0000-0000-00007F000000}">
      <text>
        <r>
          <rPr>
            <sz val="10"/>
            <rFont val="Arial"/>
          </rPr>
          <t>reference:N31
mrs:
Rotate:True</t>
        </r>
      </text>
    </comment>
    <comment ref="P31" authorId="0" shapeId="0" xr:uid="{00000000-0006-0000-0000-000080000000}">
      <text>
        <r>
          <rPr>
            <sz val="10"/>
            <rFont val="Arial"/>
          </rPr>
          <t>reference:O31
mrs:
Rotate:True</t>
        </r>
      </text>
    </comment>
    <comment ref="Q31" authorId="0" shapeId="0" xr:uid="{00000000-0006-0000-0000-000081000000}">
      <text>
        <r>
          <rPr>
            <sz val="10"/>
            <rFont val="Arial"/>
          </rPr>
          <t>reference:P31
mrs:
Rotate:True</t>
        </r>
      </text>
    </comment>
    <comment ref="R31" authorId="0" shapeId="0" xr:uid="{00000000-0006-0000-0000-000082000000}">
      <text>
        <r>
          <rPr>
            <sz val="10"/>
            <rFont val="Arial"/>
          </rPr>
          <t>reference:Q31
mrs:
Rotate:True</t>
        </r>
      </text>
    </comment>
    <comment ref="S31" authorId="0" shapeId="0" xr:uid="{00000000-0006-0000-0000-000083000000}">
      <text>
        <r>
          <rPr>
            <sz val="10"/>
            <rFont val="Arial"/>
          </rPr>
          <t>reference:R31
mrs:
Rotate:True</t>
        </r>
      </text>
    </comment>
    <comment ref="T31" authorId="0" shapeId="0" xr:uid="{00000000-0006-0000-0000-000084000000}">
      <text>
        <r>
          <rPr>
            <sz val="10"/>
            <rFont val="Arial"/>
          </rPr>
          <t>reference:S31
mrs:
Rotate:True</t>
        </r>
      </text>
    </comment>
    <comment ref="U31" authorId="0" shapeId="0" xr:uid="{00000000-0006-0000-0000-000085000000}">
      <text>
        <r>
          <rPr>
            <sz val="10"/>
            <rFont val="Arial"/>
          </rPr>
          <t>reference:T31
mrs:
Rotate:True</t>
        </r>
      </text>
    </comment>
    <comment ref="V31" authorId="0" shapeId="0" xr:uid="{00000000-0006-0000-0000-000086000000}">
      <text>
        <r>
          <rPr>
            <sz val="10"/>
            <rFont val="Arial"/>
          </rPr>
          <t>reference:U31
mrs:
Rotate:True</t>
        </r>
      </text>
    </comment>
    <comment ref="W31" authorId="0" shapeId="0" xr:uid="{00000000-0006-0000-0000-000087000000}">
      <text>
        <r>
          <rPr>
            <sz val="10"/>
            <rFont val="Arial"/>
          </rPr>
          <t>reference:V31
mrs:
Rotate:True</t>
        </r>
      </text>
    </comment>
    <comment ref="X31" authorId="0" shapeId="0" xr:uid="{00000000-0006-0000-0000-000088000000}">
      <text>
        <r>
          <rPr>
            <sz val="10"/>
            <rFont val="Arial"/>
          </rPr>
          <t>reference:W31
mrs:
Rotate:True</t>
        </r>
      </text>
    </comment>
    <comment ref="Y31" authorId="0" shapeId="0" xr:uid="{00000000-0006-0000-0000-000089000000}">
      <text>
        <r>
          <rPr>
            <sz val="10"/>
            <rFont val="Arial"/>
          </rPr>
          <t>reference:X31
mrs:
Rotate:True</t>
        </r>
      </text>
    </comment>
    <comment ref="Z31" authorId="0" shapeId="0" xr:uid="{00000000-0006-0000-0000-00008A000000}">
      <text>
        <r>
          <rPr>
            <sz val="10"/>
            <rFont val="Arial"/>
          </rPr>
          <t>reference:Y31
mrs:
Rotate:True</t>
        </r>
      </text>
    </comment>
    <comment ref="AA31" authorId="0" shapeId="0" xr:uid="{00000000-0006-0000-0000-00008B000000}">
      <text>
        <r>
          <rPr>
            <sz val="10"/>
            <rFont val="Arial"/>
          </rPr>
          <t>reference:Z31
mrs:
Rotate:True</t>
        </r>
      </text>
    </comment>
    <comment ref="C32" authorId="0" shapeId="0" xr:uid="{00000000-0006-0000-0000-00008C000000}">
      <text>
        <r>
          <rPr>
            <sz val="10"/>
            <rFont val="Arial"/>
          </rPr>
          <t>reference:G32,H32,I32,J32,K32,L32,M32,N32,O32,P32,Q32,R32,S32,T32,U32,V32,W32,X32,Y32,Z32,AA32
mrs:(G32,+,10.0000)  (H32,+,10.0000)  (I32,+,10.0000)  (J32,+,10.0000)  (K32,+,10.0000)  (L32,+,10.0000)  (M32,+,10.0000)  (N32,+,10.0000)  (O32,+,10.0000)  (P32,+,10.0000)  (Q32,+,10.0000)  (R32,+,10.0000)  (S32,+,10.0000)  (T32,+,10.0000)  (U32,+,10.0000)  (V32,+,10.0000)  (W32,+,10.0000)  (X32,+,10.0000)  (Y32,+,10.0000)  (Z32,+,10.0000)  (AA32,+,10.0000)  
Rotate:True</t>
        </r>
      </text>
    </comment>
    <comment ref="G32" authorId="0" shapeId="0" xr:uid="{00000000-0006-0000-0000-00008D000000}">
      <text>
        <r>
          <rPr>
            <sz val="10"/>
            <rFont val="Arial"/>
          </rPr>
          <t>reference:G30,G31
mrs:
Rotate:True</t>
        </r>
      </text>
    </comment>
    <comment ref="H32" authorId="0" shapeId="0" xr:uid="{00000000-0006-0000-0000-00008E000000}">
      <text>
        <r>
          <rPr>
            <sz val="10"/>
            <rFont val="Arial"/>
          </rPr>
          <t>reference:H30,H31
mrs:
Rotate:True</t>
        </r>
      </text>
    </comment>
    <comment ref="I32" authorId="0" shapeId="0" xr:uid="{00000000-0006-0000-0000-00008F000000}">
      <text>
        <r>
          <rPr>
            <sz val="10"/>
            <rFont val="Arial"/>
          </rPr>
          <t>reference:I30,I31
mrs:
Rotate:True</t>
        </r>
      </text>
    </comment>
    <comment ref="J32" authorId="0" shapeId="0" xr:uid="{00000000-0006-0000-0000-000090000000}">
      <text>
        <r>
          <rPr>
            <sz val="10"/>
            <rFont val="Arial"/>
          </rPr>
          <t>reference:J30,J31
mrs:
Rotate:True</t>
        </r>
      </text>
    </comment>
    <comment ref="K32" authorId="0" shapeId="0" xr:uid="{00000000-0006-0000-0000-000091000000}">
      <text>
        <r>
          <rPr>
            <sz val="10"/>
            <rFont val="Arial"/>
          </rPr>
          <t>reference:K30,K31
mrs:
Rotate:True</t>
        </r>
      </text>
    </comment>
    <comment ref="L32" authorId="0" shapeId="0" xr:uid="{00000000-0006-0000-0000-000092000000}">
      <text>
        <r>
          <rPr>
            <sz val="10"/>
            <rFont val="Arial"/>
          </rPr>
          <t>reference:L30,L31
mrs:
Rotate:True</t>
        </r>
      </text>
    </comment>
    <comment ref="M32" authorId="0" shapeId="0" xr:uid="{00000000-0006-0000-0000-000093000000}">
      <text>
        <r>
          <rPr>
            <sz val="10"/>
            <rFont val="Arial"/>
          </rPr>
          <t>reference:M30,M31
mrs:
Rotate:True</t>
        </r>
      </text>
    </comment>
    <comment ref="N32" authorId="0" shapeId="0" xr:uid="{00000000-0006-0000-0000-000094000000}">
      <text>
        <r>
          <rPr>
            <sz val="10"/>
            <rFont val="Arial"/>
          </rPr>
          <t>reference:N30,N31
mrs:
Rotate:True</t>
        </r>
      </text>
    </comment>
    <comment ref="O32" authorId="0" shapeId="0" xr:uid="{00000000-0006-0000-0000-000095000000}">
      <text>
        <r>
          <rPr>
            <sz val="10"/>
            <rFont val="Arial"/>
          </rPr>
          <t>reference:O30,O31
mrs:
Rotate:True</t>
        </r>
      </text>
    </comment>
    <comment ref="P32" authorId="0" shapeId="0" xr:uid="{00000000-0006-0000-0000-000096000000}">
      <text>
        <r>
          <rPr>
            <sz val="10"/>
            <rFont val="Arial"/>
          </rPr>
          <t>reference:P30,P31
mrs:
Rotate:True</t>
        </r>
      </text>
    </comment>
    <comment ref="Q32" authorId="0" shapeId="0" xr:uid="{00000000-0006-0000-0000-000097000000}">
      <text>
        <r>
          <rPr>
            <sz val="10"/>
            <rFont val="Arial"/>
          </rPr>
          <t>reference:Q30,Q31
mrs:
Rotate:True</t>
        </r>
      </text>
    </comment>
    <comment ref="R32" authorId="0" shapeId="0" xr:uid="{00000000-0006-0000-0000-000098000000}">
      <text>
        <r>
          <rPr>
            <sz val="10"/>
            <rFont val="Arial"/>
          </rPr>
          <t>reference:R30,R31
mrs:
Rotate:True</t>
        </r>
      </text>
    </comment>
    <comment ref="S32" authorId="0" shapeId="0" xr:uid="{00000000-0006-0000-0000-000099000000}">
      <text>
        <r>
          <rPr>
            <sz val="10"/>
            <rFont val="Arial"/>
          </rPr>
          <t>reference:S30,S31
mrs:
Rotate:True</t>
        </r>
      </text>
    </comment>
    <comment ref="T32" authorId="0" shapeId="0" xr:uid="{00000000-0006-0000-0000-00009A000000}">
      <text>
        <r>
          <rPr>
            <sz val="10"/>
            <rFont val="Arial"/>
          </rPr>
          <t>reference:T30,T31
mrs:
Rotate:True</t>
        </r>
      </text>
    </comment>
    <comment ref="U32" authorId="0" shapeId="0" xr:uid="{00000000-0006-0000-0000-00009B000000}">
      <text>
        <r>
          <rPr>
            <sz val="10"/>
            <rFont val="Arial"/>
          </rPr>
          <t>reference:U30,U31
mrs:
Rotate:True</t>
        </r>
      </text>
    </comment>
    <comment ref="V32" authorId="0" shapeId="0" xr:uid="{00000000-0006-0000-0000-00009C000000}">
      <text>
        <r>
          <rPr>
            <sz val="10"/>
            <rFont val="Arial"/>
          </rPr>
          <t>reference:V30,V31
mrs:
Rotate:True</t>
        </r>
      </text>
    </comment>
    <comment ref="W32" authorId="0" shapeId="0" xr:uid="{00000000-0006-0000-0000-00009D000000}">
      <text>
        <r>
          <rPr>
            <sz val="10"/>
            <rFont val="Arial"/>
          </rPr>
          <t>reference:W30,W31
mrs:
Rotate:True</t>
        </r>
      </text>
    </comment>
    <comment ref="X32" authorId="0" shapeId="0" xr:uid="{00000000-0006-0000-0000-00009E000000}">
      <text>
        <r>
          <rPr>
            <sz val="10"/>
            <rFont val="Arial"/>
          </rPr>
          <t>reference:X30,X31
mrs:
Rotate:True</t>
        </r>
      </text>
    </comment>
    <comment ref="Y32" authorId="0" shapeId="0" xr:uid="{00000000-0006-0000-0000-00009F000000}">
      <text>
        <r>
          <rPr>
            <sz val="10"/>
            <rFont val="Arial"/>
          </rPr>
          <t>reference:Y30,Y31
mrs:
Rotate:True</t>
        </r>
      </text>
    </comment>
    <comment ref="Z32" authorId="0" shapeId="0" xr:uid="{00000000-0006-0000-0000-0000A0000000}">
      <text>
        <r>
          <rPr>
            <sz val="10"/>
            <rFont val="Arial"/>
          </rPr>
          <t>reference:Z30,Z31
mrs:
Rotate:True</t>
        </r>
      </text>
    </comment>
    <comment ref="AA32" authorId="0" shapeId="0" xr:uid="{00000000-0006-0000-0000-0000A1000000}">
      <text>
        <r>
          <rPr>
            <sz val="10"/>
            <rFont val="Arial"/>
          </rPr>
          <t>reference:AA30,AA31
mrs:
Rotate:True</t>
        </r>
      </text>
    </comment>
    <comment ref="C35" authorId="0" shapeId="0" xr:uid="{00000000-0006-0000-0000-0000A2000000}">
      <text>
        <r>
          <rPr>
            <sz val="10"/>
            <rFont val="Arial"/>
          </rPr>
          <t>reference:C32
mrs:(C32,+,10.0000)  
Rotate:True</t>
        </r>
      </text>
    </comment>
    <comment ref="G35" authorId="0" shapeId="0" xr:uid="{00000000-0006-0000-0000-0000A3000000}">
      <text>
        <r>
          <rPr>
            <sz val="10"/>
            <rFont val="Arial"/>
          </rPr>
          <t>reference:G32,H32,I32,J32,K32,L32,M32,N32,O32,P32,Q32,R32,S32,T32,U32,V32,W32,X32,Y32,Z32,AA32
mrs:
forward:True
2.0:(G32:AA32,)
add:G32:AA32:21.0
Rotate:True</t>
        </r>
      </text>
    </comment>
    <comment ref="C36" authorId="0" shapeId="0" xr:uid="{00000000-0006-0000-0000-0000A4000000}">
      <text>
        <r>
          <rPr>
            <sz val="10"/>
            <rFont val="Arial"/>
          </rPr>
          <t>reference:C20
mrs:(C20,+,10.0000)  
Rotate:True</t>
        </r>
      </text>
    </comment>
    <comment ref="G36" authorId="0" shapeId="0" xr:uid="{00000000-0006-0000-0000-0000A5000000}">
      <text>
        <r>
          <rPr>
            <sz val="10"/>
            <rFont val="Arial"/>
          </rPr>
          <t>reference:G20,H20,I20,J20,K20,L20,M20,N20,O20,P20,Q20,R20,S20,T20,U20,V20,W20,X20,Y20,Z20,AA20
mrs:
forward:True
2.0:(G20:AA20,)
add:G20:AA20:21.0
Rotate:True</t>
        </r>
      </text>
    </comment>
    <comment ref="C38" authorId="0" shapeId="0" xr:uid="{00000000-0006-0000-0000-0000A6000000}">
      <text>
        <r>
          <rPr>
            <sz val="10"/>
            <rFont val="Arial"/>
          </rPr>
          <t>reference:C35,C36
mrs:
Rotate:True</t>
        </r>
      </text>
    </comment>
    <comment ref="G38" authorId="0" shapeId="0" xr:uid="{00000000-0006-0000-0000-0000A7000000}">
      <text>
        <r>
          <rPr>
            <sz val="10"/>
            <rFont val="Arial"/>
          </rPr>
          <t>reference:G35,G36
mrs:
Rotate:True</t>
        </r>
      </text>
    </comment>
    <comment ref="C39" authorId="0" shapeId="0" xr:uid="{00000000-0006-0000-0000-0000A8000000}">
      <text>
        <r>
          <rPr>
            <sz val="10"/>
            <rFont val="Arial"/>
          </rPr>
          <t>reference:C35,C36
mrs:(C35,+,10.0000)  (C36,+,-10.0000)  
Rotate:True</t>
        </r>
      </text>
    </comment>
    <comment ref="G39" authorId="0" shapeId="0" xr:uid="{00000000-0006-0000-0000-0000A9000000}">
      <text>
        <r>
          <rPr>
            <sz val="10"/>
            <rFont val="Arial"/>
          </rPr>
          <t>reference:G35,G36
mrs:(G35,+,10.0000)  (G36,+,-10.0000)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T13" authorId="0" shapeId="0" xr:uid="{00000000-0006-0000-0100-000001000000}">
      <text>
        <r>
          <rPr>
            <sz val="10"/>
            <rFont val="Arial"/>
          </rPr>
          <t>reference:T3,T4,T5,T6,T7,T8,T9,T10,T11
mrs:(T3,+,1.1111)  (T4,+,1.1111)  (T5,+,1.1111)  (T6,+,1.1111)  (T7,+,1.1111)  (T8,+,1.1111)  (T9,+,1.1111)  (T10,+,1.1111)  (T11,+,1.1111)  
Rotate:True</t>
        </r>
      </text>
    </comment>
    <comment ref="V13" authorId="0" shapeId="0" xr:uid="{00000000-0006-0000-0100-000002000000}">
      <text>
        <r>
          <rPr>
            <sz val="10"/>
            <rFont val="Arial"/>
          </rPr>
          <t>reference:V3,V4,V5,V6,V7,V8,V9,V10,V11
mrs:(V3,+,1.1111)  (V4,+,1.1111)  (V5,+,1.1111)  (V6,+,1.1111)  (V7,+,1.1111)  (V8,+,1.1111)  (V9,+,1.1111)  (V10,+,1.1111)  (V11,+,1.1111)  
Rotate:True</t>
        </r>
      </text>
    </comment>
    <comment ref="X13" authorId="0" shapeId="0" xr:uid="{00000000-0006-0000-0100-000003000000}">
      <text>
        <r>
          <rPr>
            <sz val="10"/>
            <rFont val="Arial"/>
          </rPr>
          <t>reference:X3,X4,X5,X6,X7,X8,X9,X10,X11
mrs:(X3,+,1.1111)  (X4,+,1.1111)  (X5,+,1.1111)  (X6,+,1.1111)  (X7,+,1.1111)  (X8,+,1.1111)  (X9,+,1.1111)  (X10,+,1.1111)  (X11,+,1.1111)  
Rotate:True</t>
        </r>
      </text>
    </comment>
    <comment ref="Y13" authorId="0" shapeId="0" xr:uid="{00000000-0006-0000-0100-000004000000}">
      <text>
        <r>
          <rPr>
            <sz val="10"/>
            <rFont val="Arial"/>
          </rPr>
          <t>reference:Y3,Y4,Y5,Y6,Y7,Y8,Y9,Y10,Y11
mrs:(Y3,+,1.1111)  (Y4,+,1.1111)  (Y5,+,1.1111)  (Y6,+,1.1111)  (Y7,+,1.1111)  (Y8,+,1.1111)  (Y9,+,1.1111)  (Y10,+,1.1111)  (Y11,+,1.1111)  
Rotate:True</t>
        </r>
      </text>
    </comment>
    <comment ref="Z13" authorId="0" shapeId="0" xr:uid="{00000000-0006-0000-0100-000005000000}">
      <text>
        <r>
          <rPr>
            <sz val="10"/>
            <rFont val="Arial"/>
          </rPr>
          <t>reference:Z3,Z4,Z5,Z6,Z7,Z8,Z9,Z10,Z11
mrs:(Z3,+,1.1111)  (Z4,+,1.1111)  (Z5,+,1.1111)  (Z6,+,1.1111)  (Z7,+,1.1111)  (Z8,+,1.1111)  (Z9,+,1.1111)  (Z10,+,1.1111)  (Z11,+,1.1111)  
Rotate:True</t>
        </r>
      </text>
    </comment>
    <comment ref="AB13" authorId="0" shapeId="0" xr:uid="{00000000-0006-0000-0100-000006000000}">
      <text>
        <r>
          <rPr>
            <sz val="10"/>
            <rFont val="Arial"/>
          </rPr>
          <t>reference:AB3,AB4,AB5,AB6,AB7,AB8,AB9,AB10,AB11
mrs:(AB3,+,1.1111)  (AB4,+,1.1111)  (AB5,+,1.1111)  (AB6,+,1.1111)  (AB7,+,1.1111)  (AB8,+,1.1111)  (AB9,+,1.1111)  (AB10,+,1.1111)  (AB11,+,1.1111)  
Rotate:True</t>
        </r>
      </text>
    </comment>
    <comment ref="AC13" authorId="0" shapeId="0" xr:uid="{00000000-0006-0000-0100-000007000000}">
      <text>
        <r>
          <rPr>
            <sz val="10"/>
            <rFont val="Arial"/>
          </rPr>
          <t>reference:AC3,AC4,AC5,AC6,AC7,AC8,AC9,AC10,AC11
mrs:(AC3,+,1.1111)  (AC4,+,1.1111)  (AC5,+,1.1111)  (AC6,+,1.1111)  (AC7,+,1.1111)  (AC8,+,1.1111)  (AC9,+,1.1111)  (AC10,+,1.1111)  (AC11,+,1.1111)  
Rotate:True</t>
        </r>
      </text>
    </comment>
    <comment ref="AD13" authorId="0" shapeId="0" xr:uid="{00000000-0006-0000-0100-000008000000}">
      <text>
        <r>
          <rPr>
            <sz val="10"/>
            <rFont val="Arial"/>
          </rPr>
          <t>reference:AD3,AD4,AD5,AD6,AD7,AD8,AD9,AD10,AD11
mrs:(AD3,+,1.1111)  (AD4,+,1.1111)  (AD5,+,1.1111)  (AD6,+,1.1111)  (AD7,+,1.1111)  (AD8,+,1.1111)  (AD9,+,1.1111)  (AD10,+,1.1111)  (AD11,+,1.1111)  
Rotate:True</t>
        </r>
      </text>
    </comment>
    <comment ref="AE13" authorId="0" shapeId="0" xr:uid="{00000000-0006-0000-0100-000009000000}">
      <text>
        <r>
          <rPr>
            <sz val="10"/>
            <rFont val="Arial"/>
          </rPr>
          <t>reference:AE3,AE4,AE5,AE6,AE7,AE8,AE9,AE10
mrs:(AE3,+,1.2500)  (AE4,+,1.2500)  (AE5,+,1.2500)  (AE6,+,1.2500)  (AE7,+,1.2500)  (AE8,+,1.2500)  (AE9,+,1.2500)  (AE10,+,1.2500)  
Rotate:True</t>
        </r>
      </text>
    </comment>
    <comment ref="C37" authorId="0" shapeId="0" xr:uid="{00000000-0006-0000-0100-00000A000000}">
      <text>
        <r>
          <rPr>
            <sz val="10"/>
            <rFont val="Arial"/>
          </rPr>
          <t>reference:C34
mrs:
Rotate:True</t>
        </r>
      </text>
    </comment>
    <comment ref="C38" authorId="0" shapeId="0" xr:uid="{00000000-0006-0000-0100-00000B000000}">
      <text>
        <r>
          <rPr>
            <sz val="10"/>
            <rFont val="Arial"/>
          </rPr>
          <t>reference:C35
mrs:
Rotate:True</t>
        </r>
      </text>
    </comment>
    <comment ref="C40" authorId="0" shapeId="0" xr:uid="{00000000-0006-0000-0100-00000C000000}">
      <text>
        <r>
          <rPr>
            <sz val="10"/>
            <rFont val="Arial"/>
          </rPr>
          <t>reference:C37
mrs:
Rotate:True</t>
        </r>
      </text>
    </comment>
    <comment ref="C41" authorId="0" shapeId="0" xr:uid="{00000000-0006-0000-0100-00000D000000}">
      <text>
        <r>
          <rPr>
            <sz val="10"/>
            <rFont val="Arial"/>
          </rPr>
          <t>reference:C38
mrs:
Rotate:True</t>
        </r>
      </text>
    </comment>
    <comment ref="C44" authorId="0" shapeId="0" xr:uid="{00000000-0006-0000-0100-00000E000000}">
      <text>
        <r>
          <rPr>
            <sz val="10"/>
            <rFont val="Arial"/>
          </rPr>
          <t>reference:C40,C41
mrs:(C40,+,10.0000)  (C41,+,-10.0000)  
Rotate:True</t>
        </r>
      </text>
    </comment>
    <comment ref="C50" authorId="0" shapeId="0" xr:uid="{00000000-0006-0000-0100-00000F000000}">
      <text>
        <r>
          <rPr>
            <sz val="10"/>
            <rFont val="Arial"/>
          </rPr>
          <t>reference:C47
mrs:
Rotate:True</t>
        </r>
      </text>
    </comment>
    <comment ref="C51" authorId="0" shapeId="0" xr:uid="{00000000-0006-0000-0100-000010000000}">
      <text>
        <r>
          <rPr>
            <sz val="10"/>
            <rFont val="Arial"/>
          </rPr>
          <t>reference:C48
mrs:
Rotate:True</t>
        </r>
      </text>
    </comment>
    <comment ref="C53" authorId="0" shapeId="0" xr:uid="{00000000-0006-0000-0100-000011000000}">
      <text>
        <r>
          <rPr>
            <sz val="10"/>
            <rFont val="Arial"/>
          </rPr>
          <t>reference:C50
mrs:
Rotate:True</t>
        </r>
      </text>
    </comment>
    <comment ref="C54" authorId="0" shapeId="0" xr:uid="{00000000-0006-0000-0100-000012000000}">
      <text>
        <r>
          <rPr>
            <sz val="10"/>
            <rFont val="Arial"/>
          </rPr>
          <t>reference:C51
mrs:
Rotate:True</t>
        </r>
      </text>
    </comment>
    <comment ref="C57" authorId="0" shapeId="0" xr:uid="{00000000-0006-0000-0100-000013000000}">
      <text>
        <r>
          <rPr>
            <sz val="10"/>
            <rFont val="Arial"/>
          </rPr>
          <t>reference:C53,C54
mrs:(C53,+,10.0000)  (C54,+,-10.0000)  
Rotate:True</t>
        </r>
      </text>
    </comment>
    <comment ref="C63" authorId="0" shapeId="0" xr:uid="{00000000-0006-0000-0100-000014000000}">
      <text>
        <r>
          <rPr>
            <sz val="10"/>
            <rFont val="Arial"/>
          </rPr>
          <t>reference:C60
mrs:
Rotate:True</t>
        </r>
      </text>
    </comment>
    <comment ref="C64" authorId="0" shapeId="0" xr:uid="{00000000-0006-0000-0100-000015000000}">
      <text>
        <r>
          <rPr>
            <sz val="10"/>
            <rFont val="Arial"/>
          </rPr>
          <t>reference:C61
mrs:
Rotate:True</t>
        </r>
      </text>
    </comment>
    <comment ref="C66" authorId="0" shapeId="0" xr:uid="{00000000-0006-0000-0100-000016000000}">
      <text>
        <r>
          <rPr>
            <sz val="10"/>
            <rFont val="Arial"/>
          </rPr>
          <t>reference:C63
mrs:
Rotate:True</t>
        </r>
      </text>
    </comment>
    <comment ref="C67" authorId="0" shapeId="0" xr:uid="{00000000-0006-0000-0100-000017000000}">
      <text>
        <r>
          <rPr>
            <sz val="10"/>
            <rFont val="Arial"/>
          </rPr>
          <t>reference:C64
mrs:
Rotate:True</t>
        </r>
      </text>
    </comment>
    <comment ref="C70" authorId="0" shapeId="0" xr:uid="{00000000-0006-0000-0100-000018000000}">
      <text>
        <r>
          <rPr>
            <sz val="10"/>
            <rFont val="Arial"/>
          </rPr>
          <t>reference:C66,C67
mrs:(C66,+,10.0000)  (C67,+,-10.0000)  
Rotate:True</t>
        </r>
      </text>
    </comment>
    <comment ref="C74" authorId="0" shapeId="0" xr:uid="{00000000-0006-0000-0100-000019000000}">
      <text>
        <r>
          <rPr>
            <sz val="10"/>
            <rFont val="Arial"/>
          </rPr>
          <t>reference:Y13
mrs:(Y13,+,10.0000)  
Rotate:True</t>
        </r>
      </text>
    </comment>
    <comment ref="C75" authorId="0" shapeId="0" xr:uid="{00000000-0006-0000-0100-00001A000000}">
      <text>
        <r>
          <rPr>
            <sz val="10"/>
            <rFont val="Arial"/>
          </rPr>
          <t>reference:C74
mrs:
Rotate:True</t>
        </r>
      </text>
    </comment>
    <comment ref="C76" authorId="0" shapeId="0" xr:uid="{00000000-0006-0000-0100-00001B000000}">
      <text>
        <r>
          <rPr>
            <sz val="10"/>
            <rFont val="Arial"/>
          </rPr>
          <t>reference:C75
mrs:
Rotate:True</t>
        </r>
      </text>
    </comment>
    <comment ref="C77" authorId="0" shapeId="0" xr:uid="{00000000-0006-0000-0100-00001C000000}">
      <text>
        <r>
          <rPr>
            <sz val="10"/>
            <rFont val="Arial"/>
          </rPr>
          <t>reference:C76
mrs:
Rotate:True</t>
        </r>
      </text>
    </comment>
    <comment ref="C81" authorId="0" shapeId="0" xr:uid="{00000000-0006-0000-0100-00001D000000}">
      <text>
        <r>
          <rPr>
            <sz val="10"/>
            <rFont val="Arial"/>
          </rPr>
          <t>reference:AB13
mrs:(AB13,+,10.0000)  
Rotate:True</t>
        </r>
      </text>
    </comment>
    <comment ref="C82" authorId="0" shapeId="0" xr:uid="{00000000-0006-0000-0100-00001E000000}">
      <text>
        <r>
          <rPr>
            <sz val="10"/>
            <rFont val="Arial"/>
          </rPr>
          <t>reference:C81
mrs:
Rotate:True</t>
        </r>
      </text>
    </comment>
    <comment ref="C83" authorId="0" shapeId="0" xr:uid="{00000000-0006-0000-0100-00001F000000}">
      <text>
        <r>
          <rPr>
            <sz val="10"/>
            <rFont val="Arial"/>
          </rPr>
          <t>reference:C82
mrs:
Rotate:True</t>
        </r>
      </text>
    </comment>
    <comment ref="C86" authorId="0" shapeId="0" xr:uid="{00000000-0006-0000-0100-000020000000}">
      <text>
        <r>
          <rPr>
            <sz val="10"/>
            <rFont val="Arial"/>
          </rPr>
          <t>reference:AC13
mrs:(AC13,+,10.0000)  
Rotate:True</t>
        </r>
      </text>
    </comment>
    <comment ref="C87" authorId="0" shapeId="0" xr:uid="{00000000-0006-0000-0100-000021000000}">
      <text>
        <r>
          <rPr>
            <sz val="10"/>
            <rFont val="Arial"/>
          </rPr>
          <t>reference:C86
mrs:
Rotate:True</t>
        </r>
      </text>
    </comment>
    <comment ref="C88" authorId="0" shapeId="0" xr:uid="{00000000-0006-0000-0100-000022000000}">
      <text>
        <r>
          <rPr>
            <sz val="10"/>
            <rFont val="Arial"/>
          </rPr>
          <t>reference:C87
mrs:
Rotate:True</t>
        </r>
      </text>
    </comment>
    <comment ref="C92" authorId="0" shapeId="0" xr:uid="{00000000-0006-0000-0100-000023000000}">
      <text>
        <r>
          <rPr>
            <sz val="10"/>
            <rFont val="Arial"/>
          </rPr>
          <t>reference:AD13
mrs:(AD13,+,10.0000)  
Rotate:True</t>
        </r>
      </text>
    </comment>
    <comment ref="C93" authorId="0" shapeId="0" xr:uid="{00000000-0006-0000-0100-000024000000}">
      <text>
        <r>
          <rPr>
            <sz val="10"/>
            <rFont val="Arial"/>
          </rPr>
          <t>reference:C92
mrs:
Rotate:True</t>
        </r>
      </text>
    </comment>
    <comment ref="C94" authorId="0" shapeId="0" xr:uid="{00000000-0006-0000-0100-000025000000}">
      <text>
        <r>
          <rPr>
            <sz val="10"/>
            <rFont val="Arial"/>
          </rPr>
          <t>reference:C93
mrs:
Rotate:True</t>
        </r>
      </text>
    </comment>
    <comment ref="C112" authorId="0" shapeId="0" xr:uid="{00000000-0006-0000-0100-000026000000}">
      <text>
        <r>
          <rPr>
            <sz val="10"/>
            <rFont val="Arial"/>
          </rPr>
          <t>reference:AE13
mrs:(AE13,+,10.0000)  
Rotate:True</t>
        </r>
      </text>
    </comment>
    <comment ref="C113" authorId="0" shapeId="0" xr:uid="{00000000-0006-0000-0100-000027000000}">
      <text>
        <r>
          <rPr>
            <sz val="10"/>
            <rFont val="Arial"/>
          </rPr>
          <t>reference:C112
mrs:
Rotate:True</t>
        </r>
      </text>
    </comment>
  </commentList>
</comments>
</file>

<file path=xl/sharedStrings.xml><?xml version="1.0" encoding="utf-8"?>
<sst xmlns="http://schemas.openxmlformats.org/spreadsheetml/2006/main" count="294" uniqueCount="207">
  <si>
    <t xml:space="preserve">Cost-Benefit Analysis of a MHU </t>
  </si>
  <si>
    <t>Summation of costs and benefits over the period of analysis (20 years)</t>
  </si>
  <si>
    <t>S#</t>
  </si>
  <si>
    <t>Description</t>
  </si>
  <si>
    <t>Costs:</t>
  </si>
  <si>
    <t>Construction:</t>
  </si>
  <si>
    <t>AKRSP contribution to construction</t>
  </si>
  <si>
    <t>AKRSP contribution</t>
  </si>
  <si>
    <t>Community contribution to construction</t>
  </si>
  <si>
    <t>Community contribution</t>
  </si>
  <si>
    <t>Operation &amp; Maintenance costs</t>
  </si>
  <si>
    <t>Connection costs</t>
  </si>
  <si>
    <t>Cost of household Wiring</t>
  </si>
  <si>
    <t>Cost of Household Wiring</t>
  </si>
  <si>
    <t>Cost of tube lights</t>
  </si>
  <si>
    <t>Cost of Tube lights</t>
  </si>
  <si>
    <t>cost of tubelight unit replacement (excluding the bulb)</t>
  </si>
  <si>
    <t>Cost of energy-saving bulbs</t>
  </si>
  <si>
    <t>Cost of Energy Saving bulbs</t>
  </si>
  <si>
    <t>cost of transportation and labour for recycling</t>
  </si>
  <si>
    <t>cost of 11 washing machines @ Rs 3000</t>
  </si>
  <si>
    <t>cost of 20 butter churners @ Rs 700</t>
  </si>
  <si>
    <t>cost of environmental clean up in year 2020</t>
  </si>
  <si>
    <t>Total costs</t>
  </si>
  <si>
    <t>MICROHYDEL BEST CASE SCENARIO</t>
  </si>
  <si>
    <t>DF @ 12%</t>
  </si>
  <si>
    <t>Present value of costs</t>
  </si>
  <si>
    <t>Benefits:</t>
  </si>
  <si>
    <t>Saving on Kerosene oil</t>
  </si>
  <si>
    <t>Saving on batteries</t>
  </si>
  <si>
    <t>Profits from the sale of handicrafts attributed to Electricity</t>
  </si>
  <si>
    <t>Value of time saved washing clothes</t>
  </si>
  <si>
    <t>Value of time saved butter churning</t>
  </si>
  <si>
    <t>benefits from selling off the scrap (bulbs and tubes)</t>
  </si>
  <si>
    <t>scrap value (2% of total cost of the project)</t>
  </si>
  <si>
    <t>Total benefits</t>
  </si>
  <si>
    <t>Present value of benefits</t>
  </si>
  <si>
    <t>Present value of Benefits</t>
  </si>
  <si>
    <t>Present value of Costs</t>
  </si>
  <si>
    <t>B/C Ratio</t>
  </si>
  <si>
    <t>NPV</t>
  </si>
  <si>
    <t>Assumptions:</t>
  </si>
  <si>
    <t>AKRSP contributed Rs. 240,000 in 1993. Equivalent to Rs. 240,000/0.4825 in year 2000 prices. This  cost also includes the supervision cost amounting to 5% of the total cost of the project.</t>
  </si>
  <si>
    <t xml:space="preserve">Communtiy contribution was Rs. 21,780 in 1993. Equivalent to Rs. 21,780 in year 2000 prices. </t>
  </si>
  <si>
    <t>Assumed maintenance costs for these studies = Rs. 55,200 p.a.. This includes Chowkidar (Rs. 12,00p.m.), Operator (Rs.1,800 p.m.), maintenance and large repairs and supplies (Rs.1,000 p.m.), and channel maintanance (Rs. 600 p.m.)</t>
  </si>
  <si>
    <t>This figure has been adjusted for this particular MHU i.e. no chowkidar, Operator receives Rs. 1,200 p.m.and large repairs average Rs. 1,500 p.m.</t>
  </si>
  <si>
    <t>Average connection charges per household equal Rs. 500. Assume half the households connected in year one and the remainder in year two.</t>
  </si>
  <si>
    <t>Average electricity bill p.a. per household is Rs. 675. Average bill for the village as a whole p.a. is Rs. 675 * 30 households</t>
  </si>
  <si>
    <t>Average cost of wiring per household is Rs. 4297. Assume that wiring is done in the first two years after project construction</t>
  </si>
  <si>
    <t>Each hh. has an average of 5.67 tube lights (the whole unit) that have to be replaced once a year at a cost of Rs 170.</t>
  </si>
  <si>
    <t>Each hh. has an average of 4.22 energy-saving bulbs that have to be replaced every 1 month and cost Rs. 15</t>
  </si>
  <si>
    <t xml:space="preserve">Kerosene oil valued at Rs. 13 per liter. Average consumption p.a. per household before project was 164 litres. Current average consumption p.a. per household is 26 litres </t>
  </si>
  <si>
    <t xml:space="preserve">One pair batteries valued at Rs. 18. Average consumption per month per hh. before construction was 7.44 pairs. Average current consumption per month per hh. Is 0.78 pairs </t>
  </si>
  <si>
    <t>Each hh. now makes Rs. 300 per month profit from the sale of handicrafts</t>
  </si>
  <si>
    <t>11 hh's have access to w. machines: before spending 14 hours per week washing, now only spend 4 hours. Therefore time saving of 10 hours per week for these 11 hh's at Rs. 60 per day</t>
  </si>
  <si>
    <t>20 hh's have access to butter churners: before spending 7 hours per week churning butter, now only spend 1 hours. Therefore time saving of 6 hours per week for these 20 hh's at Rs. 60 per day</t>
  </si>
  <si>
    <t xml:space="preserve">The costs associated with recycling tubelights and bulbs is transportaiton and labour. Cost of transportation is Rs 1000 per year for two round trips and Rs 120 for the labour (2 days per year). </t>
  </si>
  <si>
    <t>The benefits associated with recycling is the scrap value of the bulbs and the tubelights at the rate of 10% of the actual values of the bulbs and tubes.</t>
  </si>
  <si>
    <t>The marke value of a butter churner is Rs. 700 per unit.</t>
  </si>
  <si>
    <t>The market value of washing machine is Rs. 3000 per unit.</t>
  </si>
  <si>
    <t>Sensitivity tests:</t>
  </si>
  <si>
    <t>a</t>
  </si>
  <si>
    <t>A damage to the head works in the year 10 costing Rs. 10,000</t>
  </si>
  <si>
    <t>b</t>
  </si>
  <si>
    <t>Major flood damage to power channel after year 10 costing Rs. 25,000</t>
  </si>
  <si>
    <t>c</t>
  </si>
  <si>
    <t>Assume that community has to replace 5 poles after 10 years costing Rs. 500 per pole</t>
  </si>
  <si>
    <t>d</t>
  </si>
  <si>
    <t>In year 7 there is refurbishment of turbine and generator - costs are Rs. 50,000</t>
  </si>
  <si>
    <t>e</t>
  </si>
  <si>
    <t>Replacement of part of penstock pipe costing Rs. 5,000 after the year 10</t>
  </si>
  <si>
    <t>f</t>
  </si>
  <si>
    <t>25% of the houses need re-wiring at the cost of Rs (4297*30) in year 10</t>
  </si>
  <si>
    <t xml:space="preserve">suspicious:K19,  </t>
  </si>
  <si>
    <t>Household</t>
  </si>
  <si>
    <t>Impact on w'load of males</t>
  </si>
  <si>
    <t>Impact on w'load of females</t>
  </si>
  <si>
    <t>Activities now doing in evening not doing before</t>
  </si>
  <si>
    <t>Impact on Education of Children</t>
  </si>
  <si>
    <t>Fuels using before</t>
  </si>
  <si>
    <t>Fuels using today</t>
  </si>
  <si>
    <t>Quantities used 'before' month</t>
  </si>
  <si>
    <t>Quantities used 'today' per month</t>
  </si>
  <si>
    <t>Average size of bill per month</t>
  </si>
  <si>
    <t>No. of tube lights</t>
  </si>
  <si>
    <t>No. of Energy Savers</t>
  </si>
  <si>
    <t>Cost of wiring house</t>
  </si>
  <si>
    <t>When wired?</t>
  </si>
  <si>
    <t>What electrical appliances</t>
  </si>
  <si>
    <t>More economical than other fuels?</t>
  </si>
  <si>
    <t>Other</t>
  </si>
  <si>
    <t>Washing clothes</t>
  </si>
  <si>
    <t>Ironing</t>
  </si>
  <si>
    <t>Cleaning lanterns</t>
  </si>
  <si>
    <t>Butter churning</t>
  </si>
  <si>
    <t>Education</t>
  </si>
  <si>
    <t>Radio</t>
  </si>
  <si>
    <t>Socialising</t>
  </si>
  <si>
    <t>Handicrafts</t>
  </si>
  <si>
    <t>Cooking</t>
  </si>
  <si>
    <t>Heating</t>
  </si>
  <si>
    <t>Lighting</t>
  </si>
  <si>
    <t>K. Oil (litres)</t>
  </si>
  <si>
    <t>Liquid Gas</t>
  </si>
  <si>
    <t>Fuelwood (maunds)</t>
  </si>
  <si>
    <t>Battery (Rs. in year 2000 prices)</t>
  </si>
  <si>
    <t>K. Oil</t>
  </si>
  <si>
    <t>Liquid Gas (kg)</t>
  </si>
  <si>
    <t>Battery (in year 2000 prices)</t>
  </si>
  <si>
    <t>B. Churner</t>
  </si>
  <si>
    <t>Iron</t>
  </si>
  <si>
    <t>H. rod</t>
  </si>
  <si>
    <t>TV</t>
  </si>
  <si>
    <t>Fridge</t>
  </si>
  <si>
    <t>Juicer</t>
  </si>
  <si>
    <t>W. Machine</t>
  </si>
  <si>
    <t>Fan</t>
  </si>
  <si>
    <t>Yes</t>
  </si>
  <si>
    <t>No</t>
  </si>
  <si>
    <t>more studying - more light</t>
  </si>
  <si>
    <t>wood</t>
  </si>
  <si>
    <t>kerosene</t>
  </si>
  <si>
    <t>cells</t>
  </si>
  <si>
    <t>electricity</t>
  </si>
  <si>
    <t>cutting wood</t>
  </si>
  <si>
    <t>wood/gas</t>
  </si>
  <si>
    <t>Reduced risk of theft (animals and humans</t>
  </si>
  <si>
    <t>studying longer</t>
  </si>
  <si>
    <t>Advantages - handicrafts, studying</t>
  </si>
  <si>
    <t>no children</t>
  </si>
  <si>
    <t>Handicrafts and education</t>
  </si>
  <si>
    <t>playing games</t>
  </si>
  <si>
    <t>more homework - less strain on eyes</t>
  </si>
  <si>
    <t>education, reduced expend. On K. oil</t>
  </si>
  <si>
    <t>2-3 hours extra study time</t>
  </si>
  <si>
    <t>less kerosene use</t>
  </si>
  <si>
    <t>cell</t>
  </si>
  <si>
    <t>education, handicrafts</t>
  </si>
  <si>
    <t>Analysis:</t>
  </si>
  <si>
    <t>Rs. 60 per gallon</t>
  </si>
  <si>
    <t>Rs. 27 per kg???</t>
  </si>
  <si>
    <t>(a) Workload:</t>
  </si>
  <si>
    <t>No major impact on workload of men.</t>
  </si>
  <si>
    <t>4.5 litres in 1 gallon</t>
  </si>
  <si>
    <t>Regarding impact on women's time, time is reduced in activities including: washing of clothes, butter churning, cleaning lanterns</t>
  </si>
  <si>
    <t>(b) How spending the evenings?</t>
  </si>
  <si>
    <t>Education/reading, socialising, listening to the radio, making handicrafts are all activities that they are now doing more of.</t>
  </si>
  <si>
    <t>© Impact on Education</t>
  </si>
  <si>
    <t>75% of households said that their children were spending longer hours studying during the evenings and that the strain on the eyes had reduced.</t>
  </si>
  <si>
    <t>(d) Fuel-use before</t>
  </si>
  <si>
    <t>Before the project 100% of households were using wood for cooking and heating. 100% of households were using kerosene oil for lighting and batteries for their radios.</t>
  </si>
  <si>
    <t>(e) Fuel-use after</t>
  </si>
  <si>
    <t>After the project 100% of households are still using wood for heating and cooking. Electricity has however totally replaced the use of kerosene oil (for lighting) and batteries (for radios.)</t>
  </si>
  <si>
    <t>(f) Fuel saving</t>
  </si>
  <si>
    <t>The use of kerosene oil has reduced:</t>
  </si>
  <si>
    <t xml:space="preserve">Average consumption per hh. per annum before: </t>
  </si>
  <si>
    <t>Average consumption per hh. per annum 'today':</t>
  </si>
  <si>
    <t>Average cosumption p.a. for the whole village before</t>
  </si>
  <si>
    <t>Average cosumption p.a. for the whole village today</t>
  </si>
  <si>
    <t>Value of consumption p.a. for the whole village before</t>
  </si>
  <si>
    <t>Value of consumption p.a. for the whole village today</t>
  </si>
  <si>
    <t>Value of K. oil per gallon is Rs. 50</t>
  </si>
  <si>
    <t>Value of savings on K. oil p.a. for the village as a whole is</t>
  </si>
  <si>
    <t>The use of batteries</t>
  </si>
  <si>
    <t xml:space="preserve">Average consumption (pairs) per hh. per month before: </t>
  </si>
  <si>
    <t>Average consumption (pairs) per hh. per month 'today':</t>
  </si>
  <si>
    <t>Average cosumption (pairs) p.a. for the whole village before</t>
  </si>
  <si>
    <t>Average cosumption (pairs) p.a. for the whole village today</t>
  </si>
  <si>
    <t>Value of 1 pair of batteries is Rs. 18</t>
  </si>
  <si>
    <t>Value of savings on batteries p.a. for the village as a whole is</t>
  </si>
  <si>
    <t>The use of firewood</t>
  </si>
  <si>
    <t xml:space="preserve">Average consumption (maunds) per hh. per annum before: </t>
  </si>
  <si>
    <t>Average consumption (maunds) per hh. per annum 'today':</t>
  </si>
  <si>
    <t>Average cosumption (maunds) p.a. for the whole village before</t>
  </si>
  <si>
    <t>Average cosumption (maunds) p.a. for the whole village today</t>
  </si>
  <si>
    <t>Value of firewood per maund is Rs. 70</t>
  </si>
  <si>
    <t>Value of savings on firewood p.a. for the village as a whole is</t>
  </si>
  <si>
    <t>Use of Liquid Gas</t>
  </si>
  <si>
    <t>0 kg of gas used before the project</t>
  </si>
  <si>
    <t>Current average consumption per month per hh.</t>
  </si>
  <si>
    <t>Current average consumption per annum per hh.</t>
  </si>
  <si>
    <t>Current average consumption per annum for the village as a whole</t>
  </si>
  <si>
    <t>Value of consumption per annum for the village as a whole</t>
  </si>
  <si>
    <t>Rs. 35 per Kg of gas</t>
  </si>
  <si>
    <t>(g) Electricity bill</t>
  </si>
  <si>
    <t>Average size of bill per month per hh.</t>
  </si>
  <si>
    <t>Average size of bill per annum per hh.</t>
  </si>
  <si>
    <t>Average annual electricity bill for the whole village</t>
  </si>
  <si>
    <t>(h) Bulbs and tube lights</t>
  </si>
  <si>
    <t>Average no. of tube lights per hh</t>
  </si>
  <si>
    <t>Average no. of tube lights for the whole village</t>
  </si>
  <si>
    <t>Average value of tube lights in the village as a whole p.a.</t>
  </si>
  <si>
    <t>Tube light costs Rs. 50 and has to be changed 6 times per annum.</t>
  </si>
  <si>
    <t>Average no. of energy saving bulbs per hh</t>
  </si>
  <si>
    <t>Average no. of energy saving bulbs for the whole village</t>
  </si>
  <si>
    <t>Average value of energy saving bulbs in the village as a whole p.a.</t>
  </si>
  <si>
    <t>Energy saving bulbs cost Rs. 15 and has to be changed 1 times per annum.</t>
  </si>
  <si>
    <t>(I) More economical?</t>
  </si>
  <si>
    <t>100% of hh's said that it is more economical than using the previous sources of fuel.</t>
  </si>
  <si>
    <t>(j) Household appliances</t>
  </si>
  <si>
    <t>Butter churner</t>
  </si>
  <si>
    <t>Heating rod</t>
  </si>
  <si>
    <t>Washing machine</t>
  </si>
  <si>
    <t>(k) Wiring costs</t>
  </si>
  <si>
    <t>Average cost of wiring per hh</t>
  </si>
  <si>
    <t>Average cost of wiring for the whole village</t>
  </si>
  <si>
    <t xml:space="preserve">suspicious:C57,  C44,  AE13,  C74,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</si>
</sst>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00"/>
    <numFmt numFmtId="177" formatCode="0.000"/>
    <numFmt numFmtId="178" formatCode="#,##0.0000"/>
  </numFmts>
  <fonts count="10" x14ac:knownFonts="1">
    <font>
      <sz val="10"/>
      <name val="Arial"/>
    </font>
    <font>
      <b/>
      <sz val="10"/>
      <name val="Arial"/>
      <family val="2"/>
    </font>
    <font>
      <sz val="10"/>
      <name val="Arial"/>
      <family val="2"/>
    </font>
    <font>
      <b/>
      <sz val="12"/>
      <name val="Arial"/>
      <family val="2"/>
    </font>
    <font>
      <b/>
      <sz val="14"/>
      <name val="Arial"/>
      <family val="2"/>
    </font>
    <font>
      <sz val="10"/>
      <color indexed="10"/>
      <name val="Arial"/>
      <family val="2"/>
    </font>
    <font>
      <sz val="10"/>
      <color indexed="12"/>
      <name val="Arial"/>
      <family val="2"/>
    </font>
    <font>
      <b/>
      <sz val="10"/>
      <color indexed="8"/>
      <name val="Arial"/>
      <family val="2"/>
    </font>
    <font>
      <b/>
      <sz val="14"/>
      <color indexed="10"/>
      <name val="Arial"/>
      <family val="2"/>
    </font>
    <font>
      <sz val="9"/>
      <name val="宋体"/>
      <family val="3"/>
      <charset val="134"/>
    </font>
  </fonts>
  <fills count="22">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18"/>
        <bgColor indexed="64"/>
      </patternFill>
    </fill>
    <fill>
      <patternFill patternType="solid">
        <fgColor indexed="31"/>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
      <patternFill patternType="solid">
        <fgColor rgb="FF556B2F"/>
      </patternFill>
    </fill>
    <fill>
      <patternFill patternType="solid">
        <fgColor rgb="FFEE00EE"/>
      </patternFill>
    </fill>
    <fill>
      <patternFill patternType="solid">
        <fgColor rgb="FFB22222"/>
      </patternFill>
    </fill>
    <fill>
      <patternFill patternType="solid">
        <fgColor rgb="FFEE9A00"/>
      </patternFill>
    </fill>
    <fill>
      <patternFill patternType="solid">
        <fgColor rgb="FFFA8072"/>
      </patternFill>
    </fill>
    <fill>
      <patternFill patternType="solid">
        <fgColor rgb="FFDB7093"/>
      </patternFill>
    </fill>
    <fill>
      <patternFill patternType="solid">
        <fgColor rgb="FFB9D3EE"/>
      </patternFill>
    </fill>
    <fill>
      <patternFill patternType="lightGrid">
        <fgColor rgb="FFFF00FF"/>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1" fillId="2" borderId="1" xfId="0" applyFont="1" applyFill="1" applyBorder="1"/>
    <xf numFmtId="0" fontId="1" fillId="0" borderId="1" xfId="0" applyFont="1" applyBorder="1"/>
    <xf numFmtId="0" fontId="0" fillId="2" borderId="1" xfId="0" applyFill="1" applyBorder="1"/>
    <xf numFmtId="0" fontId="2" fillId="2" borderId="1" xfId="0" applyFont="1" applyFill="1" applyBorder="1"/>
    <xf numFmtId="0" fontId="2" fillId="0" borderId="1" xfId="0" applyFont="1" applyBorder="1"/>
    <xf numFmtId="1" fontId="1" fillId="2" borderId="1" xfId="0" applyNumberFormat="1" applyFont="1" applyFill="1" applyBorder="1"/>
    <xf numFmtId="1" fontId="2" fillId="2" borderId="1" xfId="0" applyNumberFormat="1" applyFont="1" applyFill="1" applyBorder="1"/>
    <xf numFmtId="1" fontId="0" fillId="2" borderId="1" xfId="0" applyNumberFormat="1" applyFill="1" applyBorder="1"/>
    <xf numFmtId="2" fontId="1" fillId="2" borderId="1" xfId="0" applyNumberFormat="1" applyFont="1" applyFill="1" applyBorder="1"/>
    <xf numFmtId="2" fontId="2" fillId="2" borderId="1" xfId="0" applyNumberFormat="1" applyFont="1" applyFill="1" applyBorder="1"/>
    <xf numFmtId="2" fontId="0" fillId="2" borderId="1" xfId="0" applyNumberFormat="1" applyFill="1" applyBorder="1"/>
    <xf numFmtId="0" fontId="0" fillId="0" borderId="1" xfId="0" applyBorder="1"/>
    <xf numFmtId="1" fontId="0" fillId="0" borderId="1" xfId="0" applyNumberFormat="1" applyBorder="1" applyAlignment="1">
      <alignment horizontal="left"/>
    </xf>
    <xf numFmtId="1" fontId="0" fillId="3" borderId="1" xfId="0" applyNumberFormat="1" applyFill="1" applyBorder="1" applyAlignment="1">
      <alignment horizontal="center"/>
    </xf>
    <xf numFmtId="1" fontId="1" fillId="3" borderId="1" xfId="0" applyNumberFormat="1" applyFont="1" applyFill="1" applyBorder="1" applyAlignment="1">
      <alignment horizontal="center"/>
    </xf>
    <xf numFmtId="1" fontId="0" fillId="4" borderId="1" xfId="0" applyNumberFormat="1" applyFill="1" applyBorder="1" applyAlignment="1">
      <alignment horizontal="center"/>
    </xf>
    <xf numFmtId="1" fontId="0" fillId="0" borderId="1" xfId="0" applyNumberFormat="1" applyBorder="1" applyAlignment="1">
      <alignment horizontal="center"/>
    </xf>
    <xf numFmtId="3" fontId="0" fillId="0" borderId="1" xfId="0" applyNumberFormat="1" applyBorder="1" applyAlignment="1">
      <alignment horizontal="center"/>
    </xf>
    <xf numFmtId="3" fontId="1" fillId="0" borderId="1" xfId="0" applyNumberFormat="1" applyFont="1" applyBorder="1" applyAlignment="1">
      <alignment horizontal="center"/>
    </xf>
    <xf numFmtId="1" fontId="1" fillId="0" borderId="1" xfId="0" applyNumberFormat="1" applyFont="1" applyBorder="1" applyAlignment="1">
      <alignment horizontal="left"/>
    </xf>
    <xf numFmtId="1" fontId="1" fillId="0" borderId="1" xfId="0" applyNumberFormat="1" applyFont="1" applyBorder="1" applyAlignment="1">
      <alignment horizontal="center"/>
    </xf>
    <xf numFmtId="1" fontId="1" fillId="2" borderId="1" xfId="0" applyNumberFormat="1" applyFont="1" applyFill="1" applyBorder="1" applyAlignment="1">
      <alignment horizontal="center"/>
    </xf>
    <xf numFmtId="3" fontId="1" fillId="2" borderId="1" xfId="0" applyNumberFormat="1" applyFont="1" applyFill="1" applyBorder="1" applyAlignment="1">
      <alignment horizontal="center"/>
    </xf>
    <xf numFmtId="1" fontId="5" fillId="0" borderId="1" xfId="0" applyNumberFormat="1" applyFont="1" applyBorder="1" applyAlignment="1">
      <alignment horizontal="center"/>
    </xf>
    <xf numFmtId="1" fontId="2" fillId="0" borderId="1" xfId="0" applyNumberFormat="1" applyFont="1" applyBorder="1" applyAlignment="1">
      <alignment horizontal="center"/>
    </xf>
    <xf numFmtId="1" fontId="4" fillId="0" borderId="1" xfId="0" applyNumberFormat="1" applyFont="1" applyBorder="1" applyAlignment="1">
      <alignment horizontal="center"/>
    </xf>
    <xf numFmtId="1" fontId="4" fillId="0" borderId="1" xfId="0" applyNumberFormat="1" applyFont="1" applyBorder="1" applyAlignment="1">
      <alignment horizontal="left"/>
    </xf>
    <xf numFmtId="3" fontId="4" fillId="0" borderId="1" xfId="0" applyNumberFormat="1" applyFont="1" applyBorder="1" applyAlignment="1">
      <alignment horizontal="center"/>
    </xf>
    <xf numFmtId="1" fontId="4" fillId="5" borderId="1" xfId="0" applyNumberFormat="1" applyFont="1" applyFill="1" applyBorder="1" applyAlignment="1">
      <alignment horizontal="left"/>
    </xf>
    <xf numFmtId="1" fontId="6" fillId="0" borderId="1" xfId="0" applyNumberFormat="1" applyFont="1" applyBorder="1" applyAlignment="1">
      <alignment horizontal="center"/>
    </xf>
    <xf numFmtId="1" fontId="7" fillId="2" borderId="1" xfId="0" applyNumberFormat="1" applyFont="1" applyFill="1" applyBorder="1" applyAlignment="1">
      <alignment horizontal="center"/>
    </xf>
    <xf numFmtId="1" fontId="0" fillId="4" borderId="2" xfId="0" applyNumberFormat="1" applyFill="1" applyBorder="1" applyAlignment="1">
      <alignment horizontal="center"/>
    </xf>
    <xf numFmtId="1" fontId="4" fillId="4" borderId="2" xfId="0" applyNumberFormat="1" applyFont="1" applyFill="1" applyBorder="1" applyAlignment="1">
      <alignment horizontal="center"/>
    </xf>
    <xf numFmtId="1" fontId="0" fillId="0" borderId="3" xfId="0" applyNumberFormat="1" applyBorder="1" applyAlignment="1">
      <alignment horizontal="center"/>
    </xf>
    <xf numFmtId="1" fontId="0" fillId="0" borderId="0" xfId="0" applyNumberFormat="1" applyAlignment="1">
      <alignment horizontal="center"/>
    </xf>
    <xf numFmtId="1" fontId="4" fillId="0" borderId="0" xfId="0" applyNumberFormat="1" applyFont="1" applyAlignment="1">
      <alignment horizontal="center"/>
    </xf>
    <xf numFmtId="1" fontId="4" fillId="0" borderId="0" xfId="0" applyNumberFormat="1" applyFont="1" applyAlignment="1">
      <alignment horizontal="left"/>
    </xf>
    <xf numFmtId="1" fontId="0" fillId="0" borderId="0" xfId="0" applyNumberFormat="1" applyAlignment="1">
      <alignment horizontal="left"/>
    </xf>
    <xf numFmtId="1" fontId="0" fillId="0" borderId="4" xfId="0" applyNumberFormat="1" applyBorder="1" applyAlignment="1">
      <alignment horizontal="center"/>
    </xf>
    <xf numFmtId="1" fontId="1" fillId="3" borderId="4" xfId="0" applyNumberFormat="1" applyFont="1" applyFill="1" applyBorder="1" applyAlignment="1">
      <alignment horizontal="center"/>
    </xf>
    <xf numFmtId="1" fontId="8" fillId="0" borderId="1" xfId="0" applyNumberFormat="1" applyFont="1" applyBorder="1" applyAlignment="1">
      <alignment horizontal="left"/>
    </xf>
    <xf numFmtId="1" fontId="3" fillId="0" borderId="1" xfId="0" applyNumberFormat="1" applyFont="1" applyBorder="1" applyAlignment="1">
      <alignment horizontal="center"/>
    </xf>
    <xf numFmtId="1" fontId="3" fillId="0" borderId="1" xfId="0" applyNumberFormat="1" applyFont="1" applyBorder="1" applyAlignment="1">
      <alignment horizontal="justify"/>
    </xf>
    <xf numFmtId="1" fontId="3" fillId="0" borderId="1" xfId="0" applyNumberFormat="1" applyFont="1" applyBorder="1" applyAlignment="1">
      <alignment horizontal="left"/>
    </xf>
    <xf numFmtId="3" fontId="3" fillId="0" borderId="1" xfId="0" applyNumberFormat="1" applyFont="1" applyBorder="1" applyAlignment="1">
      <alignment horizontal="center"/>
    </xf>
    <xf numFmtId="1" fontId="3" fillId="4" borderId="2" xfId="0" applyNumberFormat="1" applyFont="1" applyFill="1" applyBorder="1" applyAlignment="1">
      <alignment horizontal="center"/>
    </xf>
    <xf numFmtId="1" fontId="3" fillId="0" borderId="0" xfId="0" applyNumberFormat="1" applyFont="1" applyAlignment="1">
      <alignment horizontal="center"/>
    </xf>
    <xf numFmtId="1" fontId="3" fillId="0" borderId="0" xfId="0" applyNumberFormat="1" applyFont="1" applyAlignment="1">
      <alignment horizontal="left"/>
    </xf>
    <xf numFmtId="3" fontId="0" fillId="6" borderId="1" xfId="0" applyNumberFormat="1" applyFill="1" applyBorder="1" applyAlignment="1">
      <alignment horizontal="center"/>
    </xf>
    <xf numFmtId="1" fontId="0" fillId="7" borderId="1" xfId="0" applyNumberFormat="1" applyFill="1" applyBorder="1" applyAlignment="1">
      <alignment horizontal="center"/>
    </xf>
    <xf numFmtId="3" fontId="1" fillId="6" borderId="1" xfId="0" applyNumberFormat="1" applyFont="1" applyFill="1" applyBorder="1" applyAlignment="1">
      <alignment horizontal="center"/>
    </xf>
    <xf numFmtId="1" fontId="0" fillId="8" borderId="1" xfId="0" applyNumberFormat="1" applyFill="1" applyBorder="1" applyAlignment="1">
      <alignment horizontal="center"/>
    </xf>
    <xf numFmtId="176" fontId="0" fillId="3" borderId="1" xfId="0" applyNumberFormat="1" applyFill="1" applyBorder="1" applyAlignment="1">
      <alignment horizontal="center"/>
    </xf>
    <xf numFmtId="176" fontId="0" fillId="0" borderId="1" xfId="0" applyNumberFormat="1" applyBorder="1" applyAlignment="1">
      <alignment horizontal="center"/>
    </xf>
    <xf numFmtId="176" fontId="1" fillId="0" borderId="1" xfId="0" applyNumberFormat="1" applyFont="1" applyBorder="1" applyAlignment="1">
      <alignment horizontal="center"/>
    </xf>
    <xf numFmtId="176" fontId="0" fillId="4" borderId="1" xfId="0" applyNumberFormat="1" applyFill="1" applyBorder="1" applyAlignment="1">
      <alignment horizontal="center"/>
    </xf>
    <xf numFmtId="176" fontId="0" fillId="9" borderId="1" xfId="0" applyNumberFormat="1" applyFill="1" applyBorder="1" applyAlignment="1">
      <alignment horizontal="center"/>
    </xf>
    <xf numFmtId="176" fontId="0" fillId="21" borderId="1" xfId="0" applyNumberFormat="1" applyFill="1" applyBorder="1" applyAlignment="1">
      <alignment horizontal="center"/>
    </xf>
    <xf numFmtId="1" fontId="0" fillId="11" borderId="1" xfId="0" applyNumberFormat="1" applyFill="1" applyBorder="1" applyAlignment="1">
      <alignment horizontal="center"/>
    </xf>
    <xf numFmtId="1" fontId="0" fillId="12" borderId="1" xfId="0" applyNumberFormat="1" applyFill="1" applyBorder="1" applyAlignment="1">
      <alignment horizontal="center"/>
    </xf>
    <xf numFmtId="1" fontId="0" fillId="13" borderId="1" xfId="0" applyNumberFormat="1" applyFill="1" applyBorder="1" applyAlignment="1">
      <alignment horizontal="center"/>
    </xf>
    <xf numFmtId="1" fontId="0" fillId="14" borderId="1" xfId="0" applyNumberFormat="1" applyFill="1" applyBorder="1" applyAlignment="1">
      <alignment horizontal="center"/>
    </xf>
    <xf numFmtId="1" fontId="0" fillId="10" borderId="1" xfId="0" applyNumberFormat="1" applyFill="1" applyBorder="1" applyAlignment="1">
      <alignment horizontal="center"/>
    </xf>
    <xf numFmtId="3" fontId="1" fillId="15" borderId="1" xfId="0" applyNumberFormat="1" applyFont="1" applyFill="1" applyBorder="1" applyAlignment="1">
      <alignment horizontal="center"/>
    </xf>
    <xf numFmtId="1" fontId="0" fillId="16" borderId="1" xfId="0" applyNumberFormat="1" applyFill="1" applyBorder="1" applyAlignment="1">
      <alignment horizontal="center"/>
    </xf>
    <xf numFmtId="3" fontId="1" fillId="17" borderId="1" xfId="0" applyNumberFormat="1" applyFont="1" applyFill="1" applyBorder="1" applyAlignment="1">
      <alignment horizontal="center"/>
    </xf>
    <xf numFmtId="1" fontId="0" fillId="18" borderId="1" xfId="0" applyNumberFormat="1" applyFill="1" applyBorder="1" applyAlignment="1">
      <alignment horizontal="center"/>
    </xf>
    <xf numFmtId="178" fontId="1" fillId="19" borderId="1" xfId="0" applyNumberFormat="1" applyFont="1" applyFill="1" applyBorder="1" applyAlignment="1">
      <alignment horizontal="center"/>
    </xf>
    <xf numFmtId="177" fontId="0" fillId="19" borderId="1" xfId="0" applyNumberFormat="1" applyFill="1" applyBorder="1" applyAlignment="1">
      <alignment horizontal="center"/>
    </xf>
    <xf numFmtId="3" fontId="1" fillId="20" borderId="1" xfId="0" applyNumberFormat="1" applyFont="1" applyFill="1" applyBorder="1" applyAlignment="1">
      <alignment horizontal="center"/>
    </xf>
    <xf numFmtId="1" fontId="0" fillId="20" borderId="4" xfId="0" applyNumberFormat="1" applyFill="1" applyBorder="1" applyAlignment="1">
      <alignment horizontal="center"/>
    </xf>
    <xf numFmtId="0" fontId="0" fillId="6" borderId="1" xfId="0" applyFill="1" applyBorder="1"/>
    <xf numFmtId="1" fontId="0" fillId="21" borderId="1" xfId="0" applyNumberFormat="1" applyFill="1" applyBorder="1"/>
    <xf numFmtId="2" fontId="0" fillId="8" borderId="1" xfId="0" applyNumberFormat="1" applyFill="1" applyBorder="1"/>
    <xf numFmtId="2" fontId="0" fillId="21" borderId="1" xfId="0" applyNumberFormat="1" applyFill="1" applyBorder="1"/>
    <xf numFmtId="2" fontId="0" fillId="11" borderId="1" xfId="0" applyNumberFormat="1" applyFill="1" applyBorder="1"/>
    <xf numFmtId="2" fontId="0" fillId="13" borderId="1" xfId="0" applyNumberFormat="1" applyFill="1" applyBorder="1"/>
    <xf numFmtId="2" fontId="0" fillId="14" borderId="1" xfId="0" applyNumberFormat="1" applyFill="1" applyBorder="1"/>
    <xf numFmtId="2" fontId="0" fillId="15" borderId="1" xfId="0" applyNumberFormat="1" applyFill="1" applyBorder="1"/>
    <xf numFmtId="2" fontId="0" fillId="16" borderId="1" xfId="0" applyNumberFormat="1" applyFill="1" applyBorder="1"/>
    <xf numFmtId="2" fontId="0" fillId="17" borderId="1" xfId="0" applyNumberFormat="1" applyFill="1" applyBorder="1"/>
    <xf numFmtId="0" fontId="1" fillId="0" borderId="1" xfId="0" applyFont="1" applyBorder="1" applyAlignment="1">
      <alignment horizontal="center"/>
    </xf>
    <xf numFmtId="0" fontId="0" fillId="0" borderId="5" xfId="0" applyBorder="1"/>
    <xf numFmtId="0" fontId="0" fillId="0" borderId="6" xfId="0" applyBorder="1"/>
    <xf numFmtId="0" fontId="1" fillId="2" borderId="1" xfId="0" applyFont="1" applyFill="1" applyBorder="1" applyAlignment="1">
      <alignment horizontal="center"/>
    </xf>
    <xf numFmtId="2" fontId="1" fillId="2" borderId="1" xfId="0" applyNumberFormat="1" applyFont="1" applyFill="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941176470588241"/>
          <c:y val="0.12254960626151901"/>
          <c:w val="0.77176470588235291"/>
          <c:h val="0.53921826755068336"/>
        </c:manualLayout>
      </c:layout>
      <c:lineChart>
        <c:grouping val="standard"/>
        <c:varyColors val="0"/>
        <c:ser>
          <c:idx val="0"/>
          <c:order val="0"/>
          <c:tx>
            <c:v>PV of costs</c:v>
          </c:tx>
          <c:spPr>
            <a:ln w="12700">
              <a:solidFill>
                <a:srgbClr val="000080"/>
              </a:solidFill>
              <a:prstDash val="solid"/>
            </a:ln>
          </c:spPr>
          <c:marker>
            <c:symbol val="diamond"/>
            <c:size val="5"/>
            <c:spPr>
              <a:solidFill>
                <a:srgbClr val="000080"/>
              </a:solidFill>
              <a:ln>
                <a:solidFill>
                  <a:srgbClr val="000080"/>
                </a:solidFill>
                <a:prstDash val="solid"/>
              </a:ln>
            </c:spPr>
          </c:marker>
          <c:val>
            <c:numRef>
              <c:f>CBA!$G$20:$AA$20</c:f>
              <c:numCache>
                <c:formatCode>0</c:formatCode>
                <c:ptCount val="21"/>
                <c:pt idx="0">
                  <c:v>542549.22279792745</c:v>
                </c:pt>
                <c:pt idx="1">
                  <c:v>187493.75</c:v>
                </c:pt>
                <c:pt idx="2">
                  <c:v>166847.09821428571</c:v>
                </c:pt>
                <c:pt idx="3">
                  <c:v>105156.99025145771</c:v>
                </c:pt>
                <c:pt idx="4">
                  <c:v>9514483.9285714272</c:v>
                </c:pt>
                <c:pt idx="5">
                  <c:v>8011018.8137755087</c:v>
                </c:pt>
                <c:pt idx="6">
                  <c:v>6641921.8636115137</c:v>
                </c:pt>
                <c:pt idx="7">
                  <c:v>5930287.3782245656</c:v>
                </c:pt>
                <c:pt idx="8">
                  <c:v>5294899.444843363</c:v>
                </c:pt>
                <c:pt idx="9">
                  <c:v>4727588.790038716</c:v>
                </c:pt>
                <c:pt idx="10">
                  <c:v>8108918.1100201495</c:v>
                </c:pt>
                <c:pt idx="11">
                  <c:v>3768804.8389977007</c:v>
                </c:pt>
                <c:pt idx="12">
                  <c:v>3365004.3205336612</c:v>
                </c:pt>
                <c:pt idx="13">
                  <c:v>3004468.143333626</c:v>
                </c:pt>
                <c:pt idx="14">
                  <c:v>2682560.8422621656</c:v>
                </c:pt>
                <c:pt idx="15">
                  <c:v>2395143.6091626473</c:v>
                </c:pt>
                <c:pt idx="16">
                  <c:v>2138521.0796095063</c:v>
                </c:pt>
                <c:pt idx="17">
                  <c:v>1909393.8210799163</c:v>
                </c:pt>
                <c:pt idx="18">
                  <c:v>1704815.9116784965</c:v>
                </c:pt>
                <c:pt idx="19">
                  <c:v>1522157.0639986577</c:v>
                </c:pt>
                <c:pt idx="20">
                  <c:v>1904301.4525842215</c:v>
                </c:pt>
              </c:numCache>
            </c:numRef>
          </c:val>
          <c:smooth val="0"/>
          <c:extLst>
            <c:ext xmlns:c16="http://schemas.microsoft.com/office/drawing/2014/chart" uri="{C3380CC4-5D6E-409C-BE32-E72D297353CC}">
              <c16:uniqueId val="{00000000-CFC4-4DC6-ADE4-2D476475FEF2}"/>
            </c:ext>
          </c:extLst>
        </c:ser>
        <c:ser>
          <c:idx val="1"/>
          <c:order val="1"/>
          <c:tx>
            <c:v>PV of benefits</c:v>
          </c:tx>
          <c:spPr>
            <a:ln w="12700">
              <a:solidFill>
                <a:srgbClr val="99CCFF"/>
              </a:solidFill>
              <a:prstDash val="solid"/>
            </a:ln>
          </c:spPr>
          <c:marker>
            <c:symbol val="x"/>
            <c:size val="5"/>
            <c:spPr>
              <a:noFill/>
              <a:ln>
                <a:solidFill>
                  <a:srgbClr val="99CCFF"/>
                </a:solidFill>
                <a:prstDash val="solid"/>
              </a:ln>
            </c:spPr>
          </c:marker>
          <c:val>
            <c:numRef>
              <c:f>CBA!$G$32:$AA$32</c:f>
              <c:numCache>
                <c:formatCode>0</c:formatCode>
                <c:ptCount val="21"/>
                <c:pt idx="0">
                  <c:v>0</c:v>
                </c:pt>
                <c:pt idx="1">
                  <c:v>269695.17857142852</c:v>
                </c:pt>
                <c:pt idx="2">
                  <c:v>240799.2665816326</c:v>
                </c:pt>
                <c:pt idx="3">
                  <c:v>214999.34516217196</c:v>
                </c:pt>
                <c:pt idx="4">
                  <c:v>191963.70103765355</c:v>
                </c:pt>
                <c:pt idx="5">
                  <c:v>171396.16164076209</c:v>
                </c:pt>
                <c:pt idx="6">
                  <c:v>153032.28717925187</c:v>
                </c:pt>
                <c:pt idx="7">
                  <c:v>136635.97069576057</c:v>
                </c:pt>
                <c:pt idx="8">
                  <c:v>121996.40240692908</c:v>
                </c:pt>
                <c:pt idx="9">
                  <c:v>108925.35929190095</c:v>
                </c:pt>
                <c:pt idx="10">
                  <c:v>97254.785082054412</c:v>
                </c:pt>
                <c:pt idx="11">
                  <c:v>86834.629537548579</c:v>
                </c:pt>
                <c:pt idx="12">
                  <c:v>77530.919229954088</c:v>
                </c:pt>
                <c:pt idx="13">
                  <c:v>69224.035026744721</c:v>
                </c:pt>
                <c:pt idx="14">
                  <c:v>61807.17413102206</c:v>
                </c:pt>
                <c:pt idx="15">
                  <c:v>55184.976902698269</c:v>
                </c:pt>
                <c:pt idx="16">
                  <c:v>49272.300805980594</c:v>
                </c:pt>
                <c:pt idx="17">
                  <c:v>43993.125719625525</c:v>
                </c:pt>
                <c:pt idx="18">
                  <c:v>39279.576535379929</c:v>
                </c:pt>
                <c:pt idx="19">
                  <c:v>35071.050478017794</c:v>
                </c:pt>
                <c:pt idx="20">
                  <c:v>32438.324383291652</c:v>
                </c:pt>
              </c:numCache>
            </c:numRef>
          </c:val>
          <c:smooth val="0"/>
          <c:extLst>
            <c:ext xmlns:c16="http://schemas.microsoft.com/office/drawing/2014/chart" uri="{C3380CC4-5D6E-409C-BE32-E72D297353CC}">
              <c16:uniqueId val="{00000001-CFC4-4DC6-ADE4-2D476475FEF2}"/>
            </c:ext>
          </c:extLst>
        </c:ser>
        <c:dLbls>
          <c:showLegendKey val="0"/>
          <c:showVal val="0"/>
          <c:showCatName val="0"/>
          <c:showSerName val="0"/>
          <c:showPercent val="0"/>
          <c:showBubbleSize val="0"/>
        </c:dLbls>
        <c:marker val="1"/>
        <c:smooth val="0"/>
        <c:axId val="734444504"/>
        <c:axId val="1"/>
      </c:lineChart>
      <c:catAx>
        <c:axId val="734444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120000" vert="horz"/>
          <a:lstStyle/>
          <a:p>
            <a:pPr>
              <a:defRPr sz="1000" b="0" i="0" strike="noStrike" baseline="0">
                <a:solidFill>
                  <a:srgbClr val="000000"/>
                </a:solidFill>
                <a:latin typeface="Arial"/>
                <a:ea typeface="Arial"/>
                <a:cs typeface="Arial"/>
              </a:defRPr>
            </a:pPr>
            <a:endParaRPr lang="zh-CN"/>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strike="noStrike" baseline="0">
                <a:solidFill>
                  <a:srgbClr val="000000"/>
                </a:solidFill>
                <a:latin typeface="Arial"/>
                <a:ea typeface="Arial"/>
                <a:cs typeface="Arial"/>
              </a:defRPr>
            </a:pPr>
            <a:endParaRPr lang="zh-CN"/>
          </a:p>
        </c:txPr>
        <c:crossAx val="734444504"/>
        <c:crosses val="autoZero"/>
        <c:crossBetween val="between"/>
      </c:valAx>
    </c:plotArea>
    <c:legend>
      <c:legendPos val="b"/>
      <c:layout>
        <c:manualLayout>
          <c:xMode val="edge"/>
          <c:yMode val="edge"/>
          <c:x val="0.31529411764705878"/>
          <c:y val="0.84804327532971113"/>
          <c:w val="0.53176470588235292"/>
          <c:h val="0.1176476220110582"/>
        </c:manualLayout>
      </c:layout>
      <c:overlay val="0"/>
      <c:spPr>
        <a:solidFill>
          <a:srgbClr val="FFFFFF"/>
        </a:solidFill>
        <a:ln w="3175">
          <a:solidFill>
            <a:srgbClr val="000000"/>
          </a:solidFill>
          <a:prstDash val="solid"/>
        </a:ln>
      </c:spPr>
      <c:txPr>
        <a:bodyPr/>
        <a:lstStyle/>
        <a:p>
          <a:pPr>
            <a:defRPr sz="920" b="0" i="0" strike="noStrike" baseline="0">
              <a:solidFill>
                <a:srgbClr val="000000"/>
              </a:solidFill>
              <a:latin typeface="Arial"/>
              <a:ea typeface="Arial"/>
              <a:cs typeface="Arial"/>
            </a:defRPr>
          </a:pPr>
          <a:endParaRPr lang="zh-CN"/>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27</xdr:col>
      <xdr:colOff>361950</xdr:colOff>
      <xdr:row>18</xdr:row>
      <xdr:rowOff>123825</xdr:rowOff>
    </xdr:from>
    <xdr:to>
      <xdr:col>34</xdr:col>
      <xdr:colOff>142875</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I100"/>
  <sheetViews>
    <sheetView tabSelected="1" topLeftCell="Y15" workbookViewId="0">
      <selection activeCell="AB17" sqref="AB17:AI31"/>
    </sheetView>
  </sheetViews>
  <sheetFormatPr defaultRowHeight="12.75" x14ac:dyDescent="0.2"/>
  <cols>
    <col min="1" max="1" width="6" style="17" customWidth="1"/>
    <col min="2" max="2" width="108.42578125" style="17" customWidth="1"/>
    <col min="3" max="3" width="81.140625" style="18" customWidth="1"/>
    <col min="4" max="4" width="7" style="16" customWidth="1"/>
    <col min="5" max="5" width="5.7109375" style="17" customWidth="1"/>
    <col min="6" max="6" width="49" style="17" customWidth="1"/>
    <col min="7" max="8" width="16" style="17" customWidth="1"/>
    <col min="9" max="9" width="17.7109375" style="17" bestFit="1" customWidth="1"/>
    <col min="10" max="10" width="13.28515625" style="17" customWidth="1"/>
    <col min="11" max="11" width="16.42578125" style="17" customWidth="1"/>
    <col min="12" max="12" width="9.140625" style="17" customWidth="1"/>
    <col min="13" max="13" width="12.7109375" style="17" customWidth="1"/>
    <col min="14" max="17" width="9.140625" style="17" customWidth="1"/>
    <col min="18" max="18" width="10.140625" style="17" customWidth="1"/>
    <col min="19" max="19" width="9.140625" style="17" customWidth="1"/>
    <col min="20" max="16384" width="9.140625" style="17"/>
  </cols>
  <sheetData>
    <row r="1" spans="1:27" ht="18" customHeight="1" x14ac:dyDescent="0.25">
      <c r="B1" s="29" t="s">
        <v>0</v>
      </c>
    </row>
    <row r="2" spans="1:27" ht="15.75" customHeight="1" x14ac:dyDescent="0.25">
      <c r="C2" s="45" t="s">
        <v>1</v>
      </c>
      <c r="E2" s="31" t="s">
        <v>2</v>
      </c>
      <c r="F2" s="31" t="s">
        <v>3</v>
      </c>
      <c r="G2" s="31">
        <v>2000</v>
      </c>
      <c r="H2" s="31">
        <v>2001</v>
      </c>
      <c r="I2" s="31">
        <v>2002</v>
      </c>
      <c r="J2" s="31">
        <v>2003</v>
      </c>
      <c r="K2" s="31">
        <v>2004</v>
      </c>
      <c r="L2" s="31">
        <v>2005</v>
      </c>
      <c r="M2" s="31">
        <v>2006</v>
      </c>
      <c r="N2" s="31">
        <v>2007</v>
      </c>
      <c r="O2" s="31">
        <v>2008</v>
      </c>
      <c r="P2" s="31">
        <v>2009</v>
      </c>
      <c r="Q2" s="31">
        <v>2010</v>
      </c>
      <c r="R2" s="31">
        <v>2011</v>
      </c>
      <c r="S2" s="31">
        <v>2012</v>
      </c>
      <c r="T2" s="31">
        <v>2013</v>
      </c>
      <c r="U2" s="31">
        <v>2014</v>
      </c>
      <c r="V2" s="31">
        <v>2015</v>
      </c>
      <c r="W2" s="31">
        <v>2016</v>
      </c>
      <c r="X2" s="31">
        <v>2017</v>
      </c>
      <c r="Y2" s="31">
        <v>2018</v>
      </c>
      <c r="Z2" s="31">
        <v>2019</v>
      </c>
      <c r="AA2" s="31">
        <v>2020</v>
      </c>
    </row>
    <row r="3" spans="1:27" ht="15.75" customHeight="1" x14ac:dyDescent="0.25">
      <c r="A3" s="17" t="s">
        <v>2</v>
      </c>
      <c r="B3" s="44" t="s">
        <v>4</v>
      </c>
    </row>
    <row r="4" spans="1:27" x14ac:dyDescent="0.2">
      <c r="B4" s="20"/>
      <c r="F4" s="20" t="s">
        <v>5</v>
      </c>
    </row>
    <row r="5" spans="1:27" x14ac:dyDescent="0.2">
      <c r="A5" s="17">
        <v>1</v>
      </c>
      <c r="B5" s="30" t="s">
        <v>6</v>
      </c>
      <c r="C5" s="49">
        <f>SUM(G5:AA5)</f>
        <v>497409.32642487047</v>
      </c>
      <c r="E5" s="17">
        <v>1</v>
      </c>
      <c r="F5" s="17" t="s">
        <v>7</v>
      </c>
      <c r="G5" s="17">
        <f>240000/0.4825</f>
        <v>497409.32642487047</v>
      </c>
    </row>
    <row r="6" spans="1:27" x14ac:dyDescent="0.2">
      <c r="A6" s="17">
        <v>2</v>
      </c>
      <c r="B6" s="17" t="s">
        <v>8</v>
      </c>
      <c r="C6" s="49">
        <f>SUM(G6:AA6)</f>
        <v>45139.896373056996</v>
      </c>
      <c r="E6" s="17">
        <v>2</v>
      </c>
      <c r="F6" s="17" t="s">
        <v>9</v>
      </c>
      <c r="G6" s="17">
        <f>21780/0.4825</f>
        <v>45139.896373056996</v>
      </c>
    </row>
    <row r="8" spans="1:27" x14ac:dyDescent="0.2">
      <c r="A8" s="17">
        <v>3</v>
      </c>
      <c r="B8" s="24" t="s">
        <v>10</v>
      </c>
      <c r="C8" s="49">
        <f>SUM(G8:AA8)</f>
        <v>884500</v>
      </c>
      <c r="E8" s="17">
        <v>3</v>
      </c>
      <c r="F8" s="17" t="s">
        <v>10</v>
      </c>
      <c r="H8" s="17">
        <f t="shared" ref="H8:P8" si="0">55200-(1200*12)-(600*12)+(500*12)</f>
        <v>39600</v>
      </c>
      <c r="I8" s="17">
        <f t="shared" si="0"/>
        <v>39600</v>
      </c>
      <c r="J8" s="17">
        <f t="shared" si="0"/>
        <v>39600</v>
      </c>
      <c r="K8" s="17">
        <f t="shared" si="0"/>
        <v>39600</v>
      </c>
      <c r="L8" s="17">
        <f t="shared" si="0"/>
        <v>39600</v>
      </c>
      <c r="M8" s="17">
        <f t="shared" si="0"/>
        <v>39600</v>
      </c>
      <c r="N8" s="17">
        <f t="shared" si="0"/>
        <v>39600</v>
      </c>
      <c r="O8" s="17">
        <f t="shared" si="0"/>
        <v>39600</v>
      </c>
      <c r="P8" s="17">
        <f t="shared" si="0"/>
        <v>39600</v>
      </c>
      <c r="Q8" s="17">
        <f>55200-(1200*12)-(600*12)+(500*12)+10000+25000+(500*5)+50000+5000</f>
        <v>132100</v>
      </c>
      <c r="R8" s="17">
        <f t="shared" ref="R8:AA8" si="1">55200-(1200*12)-(600*12)+(500*12)</f>
        <v>39600</v>
      </c>
      <c r="S8" s="17">
        <f t="shared" si="1"/>
        <v>39600</v>
      </c>
      <c r="T8" s="17">
        <f t="shared" si="1"/>
        <v>39600</v>
      </c>
      <c r="U8" s="17">
        <f t="shared" si="1"/>
        <v>39600</v>
      </c>
      <c r="V8" s="17">
        <f t="shared" si="1"/>
        <v>39600</v>
      </c>
      <c r="W8" s="17">
        <f t="shared" si="1"/>
        <v>39600</v>
      </c>
      <c r="X8" s="17">
        <f t="shared" si="1"/>
        <v>39600</v>
      </c>
      <c r="Y8" s="17">
        <f t="shared" si="1"/>
        <v>39600</v>
      </c>
      <c r="Z8" s="17">
        <f t="shared" si="1"/>
        <v>39600</v>
      </c>
      <c r="AA8" s="17">
        <f t="shared" si="1"/>
        <v>39600</v>
      </c>
    </row>
    <row r="9" spans="1:27" x14ac:dyDescent="0.2">
      <c r="A9" s="17">
        <v>4</v>
      </c>
      <c r="B9" s="17" t="s">
        <v>11</v>
      </c>
      <c r="C9" s="49">
        <f>SUM(G9:AA9)</f>
        <v>15000</v>
      </c>
      <c r="E9" s="17">
        <v>4</v>
      </c>
      <c r="F9" s="17" t="s">
        <v>11</v>
      </c>
      <c r="H9" s="17">
        <f>500*15</f>
        <v>7500</v>
      </c>
      <c r="I9" s="17">
        <f>500*15</f>
        <v>7500</v>
      </c>
    </row>
    <row r="10" spans="1:27" x14ac:dyDescent="0.2">
      <c r="A10" s="17">
        <v>6</v>
      </c>
      <c r="B10" s="17" t="s">
        <v>12</v>
      </c>
      <c r="C10" s="49">
        <f>SUM(G10:AA10)</f>
        <v>160972.5</v>
      </c>
      <c r="E10" s="17">
        <v>6</v>
      </c>
      <c r="F10" s="17" t="s">
        <v>13</v>
      </c>
      <c r="H10" s="17">
        <f>4297*15</f>
        <v>64455</v>
      </c>
      <c r="I10" s="17">
        <f>4297*15</f>
        <v>64455</v>
      </c>
      <c r="Q10" s="17">
        <f>4275*7.5</f>
        <v>32062.5</v>
      </c>
    </row>
    <row r="11" spans="1:27" x14ac:dyDescent="0.2">
      <c r="A11" s="17">
        <v>7</v>
      </c>
      <c r="B11" s="24" t="s">
        <v>14</v>
      </c>
      <c r="C11" s="49">
        <f>SUM(G11:AA11)</f>
        <v>1020600</v>
      </c>
      <c r="E11" s="17">
        <v>7</v>
      </c>
      <c r="F11" s="17" t="s">
        <v>15</v>
      </c>
      <c r="H11" s="17">
        <f t="shared" ref="H11:AA11" si="2">5.67*30*50*6</f>
        <v>51030</v>
      </c>
      <c r="I11" s="17">
        <f t="shared" si="2"/>
        <v>51030</v>
      </c>
      <c r="J11" s="17">
        <f t="shared" si="2"/>
        <v>51030</v>
      </c>
      <c r="K11" s="17">
        <f t="shared" si="2"/>
        <v>51030</v>
      </c>
      <c r="L11" s="17">
        <f t="shared" si="2"/>
        <v>51030</v>
      </c>
      <c r="M11" s="17">
        <f t="shared" si="2"/>
        <v>51030</v>
      </c>
      <c r="N11" s="17">
        <f t="shared" si="2"/>
        <v>51030</v>
      </c>
      <c r="O11" s="17">
        <f t="shared" si="2"/>
        <v>51030</v>
      </c>
      <c r="P11" s="17">
        <f t="shared" si="2"/>
        <v>51030</v>
      </c>
      <c r="Q11" s="17">
        <f t="shared" si="2"/>
        <v>51030</v>
      </c>
      <c r="R11" s="17">
        <f t="shared" si="2"/>
        <v>51030</v>
      </c>
      <c r="S11" s="17">
        <f t="shared" si="2"/>
        <v>51030</v>
      </c>
      <c r="T11" s="17">
        <f t="shared" si="2"/>
        <v>51030</v>
      </c>
      <c r="U11" s="17">
        <f t="shared" si="2"/>
        <v>51030</v>
      </c>
      <c r="V11" s="17">
        <f t="shared" si="2"/>
        <v>51030</v>
      </c>
      <c r="W11" s="17">
        <f t="shared" si="2"/>
        <v>51030</v>
      </c>
      <c r="X11" s="17">
        <f t="shared" si="2"/>
        <v>51030</v>
      </c>
      <c r="Y11" s="17">
        <f t="shared" si="2"/>
        <v>51030</v>
      </c>
      <c r="Z11" s="17">
        <f t="shared" si="2"/>
        <v>51030</v>
      </c>
      <c r="AA11" s="17">
        <f t="shared" si="2"/>
        <v>51030</v>
      </c>
    </row>
    <row r="12" spans="1:27" x14ac:dyDescent="0.2">
      <c r="B12" s="24"/>
      <c r="E12" s="17">
        <v>8</v>
      </c>
      <c r="F12" s="17" t="s">
        <v>16</v>
      </c>
      <c r="H12" s="17">
        <f t="shared" ref="H12:AA12" si="3">5.75*1*30*120</f>
        <v>20700</v>
      </c>
      <c r="I12" s="17">
        <f t="shared" si="3"/>
        <v>20700</v>
      </c>
      <c r="J12" s="17">
        <f t="shared" si="3"/>
        <v>20700</v>
      </c>
      <c r="K12" s="17">
        <f t="shared" si="3"/>
        <v>20700</v>
      </c>
      <c r="L12" s="17">
        <f t="shared" si="3"/>
        <v>20700</v>
      </c>
      <c r="M12" s="17">
        <f t="shared" si="3"/>
        <v>20700</v>
      </c>
      <c r="N12" s="17">
        <f t="shared" si="3"/>
        <v>20700</v>
      </c>
      <c r="O12" s="17">
        <f t="shared" si="3"/>
        <v>20700</v>
      </c>
      <c r="P12" s="17">
        <f t="shared" si="3"/>
        <v>20700</v>
      </c>
      <c r="Q12" s="17">
        <f t="shared" si="3"/>
        <v>20700</v>
      </c>
      <c r="R12" s="17">
        <f t="shared" si="3"/>
        <v>20700</v>
      </c>
      <c r="S12" s="17">
        <f t="shared" si="3"/>
        <v>20700</v>
      </c>
      <c r="T12" s="17">
        <f t="shared" si="3"/>
        <v>20700</v>
      </c>
      <c r="U12" s="17">
        <f t="shared" si="3"/>
        <v>20700</v>
      </c>
      <c r="V12" s="17">
        <f t="shared" si="3"/>
        <v>20700</v>
      </c>
      <c r="W12" s="17">
        <f t="shared" si="3"/>
        <v>20700</v>
      </c>
      <c r="X12" s="17">
        <f t="shared" si="3"/>
        <v>20700</v>
      </c>
      <c r="Y12" s="17">
        <f t="shared" si="3"/>
        <v>20700</v>
      </c>
      <c r="Z12" s="17">
        <f t="shared" si="3"/>
        <v>20700</v>
      </c>
      <c r="AA12" s="17">
        <f t="shared" si="3"/>
        <v>20700</v>
      </c>
    </row>
    <row r="13" spans="1:27" x14ac:dyDescent="0.2">
      <c r="A13" s="17">
        <v>8</v>
      </c>
      <c r="B13" s="24" t="s">
        <v>17</v>
      </c>
      <c r="C13" s="49">
        <f>SUM(G13:AA13)</f>
        <v>455759.99999999994</v>
      </c>
      <c r="E13" s="17">
        <v>9</v>
      </c>
      <c r="F13" s="17" t="s">
        <v>18</v>
      </c>
      <c r="H13" s="17">
        <f t="shared" ref="H13:AA13" si="4">4.22*30*12*15</f>
        <v>22787.999999999996</v>
      </c>
      <c r="I13" s="17">
        <f t="shared" si="4"/>
        <v>22787.999999999996</v>
      </c>
      <c r="J13" s="17">
        <f t="shared" si="4"/>
        <v>22787.999999999996</v>
      </c>
      <c r="K13" s="17">
        <f t="shared" si="4"/>
        <v>22787.999999999996</v>
      </c>
      <c r="L13" s="17">
        <f t="shared" si="4"/>
        <v>22787.999999999996</v>
      </c>
      <c r="M13" s="17">
        <f t="shared" si="4"/>
        <v>22787.999999999996</v>
      </c>
      <c r="N13" s="17">
        <f t="shared" si="4"/>
        <v>22787.999999999996</v>
      </c>
      <c r="O13" s="17">
        <f t="shared" si="4"/>
        <v>22787.999999999996</v>
      </c>
      <c r="P13" s="17">
        <f t="shared" si="4"/>
        <v>22787.999999999996</v>
      </c>
      <c r="Q13" s="17">
        <f t="shared" si="4"/>
        <v>22787.999999999996</v>
      </c>
      <c r="R13" s="17">
        <f t="shared" si="4"/>
        <v>22787.999999999996</v>
      </c>
      <c r="S13" s="17">
        <f t="shared" si="4"/>
        <v>22787.999999999996</v>
      </c>
      <c r="T13" s="17">
        <f t="shared" si="4"/>
        <v>22787.999999999996</v>
      </c>
      <c r="U13" s="17">
        <f t="shared" si="4"/>
        <v>22787.999999999996</v>
      </c>
      <c r="V13" s="17">
        <f t="shared" si="4"/>
        <v>22787.999999999996</v>
      </c>
      <c r="W13" s="17">
        <f t="shared" si="4"/>
        <v>22787.999999999996</v>
      </c>
      <c r="X13" s="17">
        <f t="shared" si="4"/>
        <v>22787.999999999996</v>
      </c>
      <c r="Y13" s="17">
        <f t="shared" si="4"/>
        <v>22787.999999999996</v>
      </c>
      <c r="Z13" s="17">
        <f t="shared" si="4"/>
        <v>22787.999999999996</v>
      </c>
      <c r="AA13" s="17">
        <f t="shared" si="4"/>
        <v>22787.999999999996</v>
      </c>
    </row>
    <row r="14" spans="1:27" x14ac:dyDescent="0.2">
      <c r="E14" s="17">
        <v>10</v>
      </c>
      <c r="F14" s="17" t="s">
        <v>19</v>
      </c>
      <c r="H14" s="17">
        <f t="shared" ref="H14:AA14" si="5">(500*2)+(60*2)</f>
        <v>1120</v>
      </c>
      <c r="I14" s="17">
        <f t="shared" si="5"/>
        <v>1120</v>
      </c>
      <c r="J14" s="17">
        <f t="shared" si="5"/>
        <v>1120</v>
      </c>
      <c r="K14" s="17">
        <f t="shared" si="5"/>
        <v>1120</v>
      </c>
      <c r="L14" s="17">
        <f t="shared" si="5"/>
        <v>1120</v>
      </c>
      <c r="M14" s="17">
        <f t="shared" si="5"/>
        <v>1120</v>
      </c>
      <c r="N14" s="17">
        <f t="shared" si="5"/>
        <v>1120</v>
      </c>
      <c r="O14" s="17">
        <f t="shared" si="5"/>
        <v>1120</v>
      </c>
      <c r="P14" s="17">
        <f t="shared" si="5"/>
        <v>1120</v>
      </c>
      <c r="Q14" s="17">
        <f t="shared" si="5"/>
        <v>1120</v>
      </c>
      <c r="R14" s="17">
        <f t="shared" si="5"/>
        <v>1120</v>
      </c>
      <c r="S14" s="17">
        <f t="shared" si="5"/>
        <v>1120</v>
      </c>
      <c r="T14" s="17">
        <f t="shared" si="5"/>
        <v>1120</v>
      </c>
      <c r="U14" s="17">
        <f t="shared" si="5"/>
        <v>1120</v>
      </c>
      <c r="V14" s="17">
        <f t="shared" si="5"/>
        <v>1120</v>
      </c>
      <c r="W14" s="17">
        <f t="shared" si="5"/>
        <v>1120</v>
      </c>
      <c r="X14" s="17">
        <f t="shared" si="5"/>
        <v>1120</v>
      </c>
      <c r="Y14" s="17">
        <f t="shared" si="5"/>
        <v>1120</v>
      </c>
      <c r="Z14" s="17">
        <f t="shared" si="5"/>
        <v>1120</v>
      </c>
      <c r="AA14" s="17">
        <f t="shared" si="5"/>
        <v>1120</v>
      </c>
    </row>
    <row r="15" spans="1:27" x14ac:dyDescent="0.2">
      <c r="E15" s="17">
        <v>11</v>
      </c>
      <c r="F15" s="17" t="s">
        <v>20</v>
      </c>
      <c r="J15" s="17">
        <f>3*3000</f>
        <v>9000</v>
      </c>
      <c r="K15" s="17">
        <f>5*3000</f>
        <v>15000</v>
      </c>
      <c r="L15" s="17">
        <f>3*3000</f>
        <v>9000</v>
      </c>
    </row>
    <row r="16" spans="1:27" x14ac:dyDescent="0.2">
      <c r="E16" s="17">
        <v>12</v>
      </c>
      <c r="F16" s="17" t="s">
        <v>21</v>
      </c>
      <c r="H16" s="17">
        <f>4*700</f>
        <v>2800</v>
      </c>
      <c r="I16" s="17">
        <f>3*700</f>
        <v>2100</v>
      </c>
      <c r="J16" s="17">
        <f>5*700</f>
        <v>3500</v>
      </c>
      <c r="K16" s="17">
        <f>6*700</f>
        <v>4200</v>
      </c>
      <c r="L16" s="17">
        <f>2*700</f>
        <v>1400</v>
      </c>
    </row>
    <row r="17" spans="1:31" x14ac:dyDescent="0.2">
      <c r="E17" s="17">
        <v>13</v>
      </c>
      <c r="F17" s="17" t="s">
        <v>22</v>
      </c>
      <c r="AA17" s="50">
        <f>0.1*G5+0.1*G6</f>
        <v>54254.92227979275</v>
      </c>
    </row>
    <row r="18" spans="1:31" s="14" customFormat="1" x14ac:dyDescent="0.2">
      <c r="A18" s="17"/>
      <c r="B18" s="21" t="s">
        <v>23</v>
      </c>
      <c r="C18" s="51">
        <f>SUM(G18:AA18)</f>
        <v>3617036.6450777203</v>
      </c>
      <c r="D18" s="16"/>
      <c r="F18" s="14" t="s">
        <v>23</v>
      </c>
      <c r="G18" s="52">
        <f t="shared" ref="G18:AA18" si="6">SUM(G5:G17)</f>
        <v>542549.22279792745</v>
      </c>
      <c r="H18" s="52">
        <f t="shared" si="6"/>
        <v>209993</v>
      </c>
      <c r="I18" s="52">
        <f t="shared" si="6"/>
        <v>209293</v>
      </c>
      <c r="J18" s="52">
        <f t="shared" si="6"/>
        <v>147738</v>
      </c>
      <c r="K18" s="52">
        <f t="shared" si="6"/>
        <v>154438</v>
      </c>
      <c r="L18" s="52">
        <f t="shared" si="6"/>
        <v>145638</v>
      </c>
      <c r="M18" s="52">
        <f t="shared" si="6"/>
        <v>135238</v>
      </c>
      <c r="N18" s="52">
        <f t="shared" si="6"/>
        <v>135238</v>
      </c>
      <c r="O18" s="52">
        <f t="shared" si="6"/>
        <v>135238</v>
      </c>
      <c r="P18" s="52">
        <f t="shared" si="6"/>
        <v>135238</v>
      </c>
      <c r="Q18" s="52">
        <f t="shared" si="6"/>
        <v>259800.5</v>
      </c>
      <c r="R18" s="52">
        <f t="shared" si="6"/>
        <v>135238</v>
      </c>
      <c r="S18" s="52">
        <f t="shared" si="6"/>
        <v>135238</v>
      </c>
      <c r="T18" s="52">
        <f t="shared" si="6"/>
        <v>135238</v>
      </c>
      <c r="U18" s="52">
        <f t="shared" si="6"/>
        <v>135238</v>
      </c>
      <c r="V18" s="52">
        <f t="shared" si="6"/>
        <v>135238</v>
      </c>
      <c r="W18" s="52">
        <f t="shared" si="6"/>
        <v>135238</v>
      </c>
      <c r="X18" s="52">
        <f t="shared" si="6"/>
        <v>135238</v>
      </c>
      <c r="Y18" s="52">
        <f t="shared" si="6"/>
        <v>135238</v>
      </c>
      <c r="Z18" s="52">
        <f t="shared" si="6"/>
        <v>135238</v>
      </c>
      <c r="AA18" s="52">
        <f t="shared" si="6"/>
        <v>189492.92227979275</v>
      </c>
      <c r="AE18" s="14" t="s">
        <v>24</v>
      </c>
    </row>
    <row r="19" spans="1:31" s="53" customFormat="1" x14ac:dyDescent="0.2">
      <c r="A19" s="54"/>
      <c r="B19" s="55"/>
      <c r="C19" s="19"/>
      <c r="D19" s="56"/>
      <c r="F19" s="53" t="s">
        <v>25</v>
      </c>
      <c r="G19" s="53">
        <v>1</v>
      </c>
      <c r="H19" s="57">
        <f>G19*(1/1.12)</f>
        <v>0.89285714285714279</v>
      </c>
      <c r="I19" s="57">
        <f>H19*(1/1.12)</f>
        <v>0.79719387755102034</v>
      </c>
      <c r="J19" s="57">
        <f>I19*(1/1.12)</f>
        <v>0.71178024781341098</v>
      </c>
      <c r="K19" s="58">
        <f>69*(1/1.12)</f>
        <v>61.607142857142854</v>
      </c>
      <c r="L19" s="57">
        <f t="shared" ref="L19:AA19" si="7">K19*(1/1.12)</f>
        <v>55.0063775510204</v>
      </c>
      <c r="M19" s="57">
        <f t="shared" si="7"/>
        <v>49.11283709912535</v>
      </c>
      <c r="N19" s="57">
        <f t="shared" si="7"/>
        <v>43.850747409933348</v>
      </c>
      <c r="O19" s="57">
        <f t="shared" si="7"/>
        <v>39.152453044583346</v>
      </c>
      <c r="P19" s="57">
        <f t="shared" si="7"/>
        <v>34.957547361235129</v>
      </c>
      <c r="Q19" s="57">
        <f t="shared" si="7"/>
        <v>31.21209585824565</v>
      </c>
      <c r="R19" s="57">
        <f t="shared" si="7"/>
        <v>27.86794273057647</v>
      </c>
      <c r="S19" s="57">
        <f t="shared" si="7"/>
        <v>24.88209172372899</v>
      </c>
      <c r="T19" s="57">
        <f t="shared" si="7"/>
        <v>22.216153324758025</v>
      </c>
      <c r="U19" s="57">
        <f t="shared" si="7"/>
        <v>19.835851182819663</v>
      </c>
      <c r="V19" s="57">
        <f t="shared" si="7"/>
        <v>17.710581413231839</v>
      </c>
      <c r="W19" s="57">
        <f t="shared" si="7"/>
        <v>15.813019118956998</v>
      </c>
      <c r="X19" s="57">
        <f t="shared" si="7"/>
        <v>14.118767070497318</v>
      </c>
      <c r="Y19" s="57">
        <f t="shared" si="7"/>
        <v>12.606042027229748</v>
      </c>
      <c r="Z19" s="57">
        <f t="shared" si="7"/>
        <v>11.255394667169417</v>
      </c>
      <c r="AA19" s="57">
        <f t="shared" si="7"/>
        <v>10.049459524258408</v>
      </c>
    </row>
    <row r="20" spans="1:31" s="14" customFormat="1" x14ac:dyDescent="0.2">
      <c r="A20" s="17"/>
      <c r="B20" s="21" t="s">
        <v>26</v>
      </c>
      <c r="C20" s="51">
        <f>SUM(G20:AA20)</f>
        <v>73626336.47358951</v>
      </c>
      <c r="D20" s="16"/>
      <c r="F20" s="14" t="s">
        <v>26</v>
      </c>
      <c r="G20" s="59">
        <f t="shared" ref="G20:AA20" si="8">G18*G19</f>
        <v>542549.22279792745</v>
      </c>
      <c r="H20" s="59">
        <f t="shared" si="8"/>
        <v>187493.75</v>
      </c>
      <c r="I20" s="59">
        <f t="shared" si="8"/>
        <v>166847.09821428571</v>
      </c>
      <c r="J20" s="59">
        <f t="shared" si="8"/>
        <v>105156.99025145771</v>
      </c>
      <c r="K20" s="59">
        <f t="shared" si="8"/>
        <v>9514483.9285714272</v>
      </c>
      <c r="L20" s="59">
        <f t="shared" si="8"/>
        <v>8011018.8137755087</v>
      </c>
      <c r="M20" s="59">
        <f t="shared" si="8"/>
        <v>6641921.8636115137</v>
      </c>
      <c r="N20" s="59">
        <f t="shared" si="8"/>
        <v>5930287.3782245656</v>
      </c>
      <c r="O20" s="59">
        <f t="shared" si="8"/>
        <v>5294899.444843363</v>
      </c>
      <c r="P20" s="59">
        <f t="shared" si="8"/>
        <v>4727588.790038716</v>
      </c>
      <c r="Q20" s="59">
        <f t="shared" si="8"/>
        <v>8108918.1100201495</v>
      </c>
      <c r="R20" s="59">
        <f t="shared" si="8"/>
        <v>3768804.8389977007</v>
      </c>
      <c r="S20" s="59">
        <f t="shared" si="8"/>
        <v>3365004.3205336612</v>
      </c>
      <c r="T20" s="59">
        <f t="shared" si="8"/>
        <v>3004468.143333626</v>
      </c>
      <c r="U20" s="59">
        <f t="shared" si="8"/>
        <v>2682560.8422621656</v>
      </c>
      <c r="V20" s="59">
        <f t="shared" si="8"/>
        <v>2395143.6091626473</v>
      </c>
      <c r="W20" s="59">
        <f t="shared" si="8"/>
        <v>2138521.0796095063</v>
      </c>
      <c r="X20" s="59">
        <f t="shared" si="8"/>
        <v>1909393.8210799163</v>
      </c>
      <c r="Y20" s="59">
        <f t="shared" si="8"/>
        <v>1704815.9116784965</v>
      </c>
      <c r="Z20" s="59">
        <f t="shared" si="8"/>
        <v>1522157.0639986577</v>
      </c>
      <c r="AA20" s="59">
        <f t="shared" si="8"/>
        <v>1904301.4525842215</v>
      </c>
    </row>
    <row r="22" spans="1:31" ht="15.75" customHeight="1" x14ac:dyDescent="0.25">
      <c r="B22" s="44" t="s">
        <v>27</v>
      </c>
    </row>
    <row r="23" spans="1:31" x14ac:dyDescent="0.2">
      <c r="A23" s="17">
        <v>9</v>
      </c>
      <c r="B23" s="25" t="s">
        <v>28</v>
      </c>
      <c r="C23" s="49">
        <f>SUM(G23:AA23)</f>
        <v>1076400</v>
      </c>
      <c r="E23" s="17">
        <v>9</v>
      </c>
      <c r="F23" s="17" t="s">
        <v>28</v>
      </c>
      <c r="H23" s="17">
        <f t="shared" ref="H23:AA23" si="9">(164-26)*30*13</f>
        <v>53820</v>
      </c>
      <c r="I23" s="17">
        <f t="shared" si="9"/>
        <v>53820</v>
      </c>
      <c r="J23" s="17">
        <f t="shared" si="9"/>
        <v>53820</v>
      </c>
      <c r="K23" s="17">
        <f t="shared" si="9"/>
        <v>53820</v>
      </c>
      <c r="L23" s="17">
        <f t="shared" si="9"/>
        <v>53820</v>
      </c>
      <c r="M23" s="17">
        <f t="shared" si="9"/>
        <v>53820</v>
      </c>
      <c r="N23" s="17">
        <f t="shared" si="9"/>
        <v>53820</v>
      </c>
      <c r="O23" s="17">
        <f t="shared" si="9"/>
        <v>53820</v>
      </c>
      <c r="P23" s="17">
        <f t="shared" si="9"/>
        <v>53820</v>
      </c>
      <c r="Q23" s="17">
        <f t="shared" si="9"/>
        <v>53820</v>
      </c>
      <c r="R23" s="17">
        <f t="shared" si="9"/>
        <v>53820</v>
      </c>
      <c r="S23" s="17">
        <f t="shared" si="9"/>
        <v>53820</v>
      </c>
      <c r="T23" s="17">
        <f t="shared" si="9"/>
        <v>53820</v>
      </c>
      <c r="U23" s="17">
        <f t="shared" si="9"/>
        <v>53820</v>
      </c>
      <c r="V23" s="17">
        <f t="shared" si="9"/>
        <v>53820</v>
      </c>
      <c r="W23" s="17">
        <f t="shared" si="9"/>
        <v>53820</v>
      </c>
      <c r="X23" s="17">
        <f t="shared" si="9"/>
        <v>53820</v>
      </c>
      <c r="Y23" s="17">
        <f t="shared" si="9"/>
        <v>53820</v>
      </c>
      <c r="Z23" s="17">
        <f t="shared" si="9"/>
        <v>53820</v>
      </c>
      <c r="AA23" s="17">
        <f t="shared" si="9"/>
        <v>53820</v>
      </c>
    </row>
    <row r="24" spans="1:31" x14ac:dyDescent="0.2">
      <c r="A24" s="17">
        <v>10</v>
      </c>
      <c r="B24" s="25" t="s">
        <v>29</v>
      </c>
      <c r="C24" s="49">
        <f>SUM(G24:AA24)</f>
        <v>863136.00000000023</v>
      </c>
      <c r="E24" s="17">
        <v>10</v>
      </c>
      <c r="F24" s="17" t="s">
        <v>29</v>
      </c>
      <c r="H24" s="17">
        <f t="shared" ref="H24:AA24" si="10">(7.44-0.78)*12*30*18</f>
        <v>43156.799999999996</v>
      </c>
      <c r="I24" s="17">
        <f t="shared" si="10"/>
        <v>43156.799999999996</v>
      </c>
      <c r="J24" s="17">
        <f t="shared" si="10"/>
        <v>43156.799999999996</v>
      </c>
      <c r="K24" s="17">
        <f t="shared" si="10"/>
        <v>43156.799999999996</v>
      </c>
      <c r="L24" s="17">
        <f t="shared" si="10"/>
        <v>43156.799999999996</v>
      </c>
      <c r="M24" s="17">
        <f t="shared" si="10"/>
        <v>43156.799999999996</v>
      </c>
      <c r="N24" s="17">
        <f t="shared" si="10"/>
        <v>43156.799999999996</v>
      </c>
      <c r="O24" s="17">
        <f t="shared" si="10"/>
        <v>43156.799999999996</v>
      </c>
      <c r="P24" s="17">
        <f t="shared" si="10"/>
        <v>43156.799999999996</v>
      </c>
      <c r="Q24" s="17">
        <f t="shared" si="10"/>
        <v>43156.799999999996</v>
      </c>
      <c r="R24" s="17">
        <f t="shared" si="10"/>
        <v>43156.799999999996</v>
      </c>
      <c r="S24" s="17">
        <f t="shared" si="10"/>
        <v>43156.799999999996</v>
      </c>
      <c r="T24" s="17">
        <f t="shared" si="10"/>
        <v>43156.799999999996</v>
      </c>
      <c r="U24" s="17">
        <f t="shared" si="10"/>
        <v>43156.799999999996</v>
      </c>
      <c r="V24" s="17">
        <f t="shared" si="10"/>
        <v>43156.799999999996</v>
      </c>
      <c r="W24" s="17">
        <f t="shared" si="10"/>
        <v>43156.799999999996</v>
      </c>
      <c r="X24" s="17">
        <f t="shared" si="10"/>
        <v>43156.799999999996</v>
      </c>
      <c r="Y24" s="17">
        <f t="shared" si="10"/>
        <v>43156.799999999996</v>
      </c>
      <c r="Z24" s="17">
        <f t="shared" si="10"/>
        <v>43156.799999999996</v>
      </c>
      <c r="AA24" s="17">
        <f t="shared" si="10"/>
        <v>43156.799999999996</v>
      </c>
    </row>
    <row r="25" spans="1:31" x14ac:dyDescent="0.2">
      <c r="A25" s="17">
        <v>11</v>
      </c>
      <c r="B25" s="24" t="s">
        <v>30</v>
      </c>
      <c r="C25" s="49">
        <f>SUM(G25:AA25)</f>
        <v>2160000</v>
      </c>
      <c r="E25" s="17">
        <v>11</v>
      </c>
      <c r="F25" s="17" t="s">
        <v>30</v>
      </c>
      <c r="H25" s="17">
        <f t="shared" ref="H25:AA25" si="11">300*12*30</f>
        <v>108000</v>
      </c>
      <c r="I25" s="17">
        <f t="shared" si="11"/>
        <v>108000</v>
      </c>
      <c r="J25" s="17">
        <f t="shared" si="11"/>
        <v>108000</v>
      </c>
      <c r="K25" s="17">
        <f t="shared" si="11"/>
        <v>108000</v>
      </c>
      <c r="L25" s="17">
        <f t="shared" si="11"/>
        <v>108000</v>
      </c>
      <c r="M25" s="17">
        <f t="shared" si="11"/>
        <v>108000</v>
      </c>
      <c r="N25" s="17">
        <f t="shared" si="11"/>
        <v>108000</v>
      </c>
      <c r="O25" s="17">
        <f t="shared" si="11"/>
        <v>108000</v>
      </c>
      <c r="P25" s="17">
        <f t="shared" si="11"/>
        <v>108000</v>
      </c>
      <c r="Q25" s="17">
        <f t="shared" si="11"/>
        <v>108000</v>
      </c>
      <c r="R25" s="17">
        <f t="shared" si="11"/>
        <v>108000</v>
      </c>
      <c r="S25" s="17">
        <f t="shared" si="11"/>
        <v>108000</v>
      </c>
      <c r="T25" s="17">
        <f t="shared" si="11"/>
        <v>108000</v>
      </c>
      <c r="U25" s="17">
        <f t="shared" si="11"/>
        <v>108000</v>
      </c>
      <c r="V25" s="17">
        <f t="shared" si="11"/>
        <v>108000</v>
      </c>
      <c r="W25" s="17">
        <f t="shared" si="11"/>
        <v>108000</v>
      </c>
      <c r="X25" s="17">
        <f t="shared" si="11"/>
        <v>108000</v>
      </c>
      <c r="Y25" s="17">
        <f t="shared" si="11"/>
        <v>108000</v>
      </c>
      <c r="Z25" s="17">
        <f t="shared" si="11"/>
        <v>108000</v>
      </c>
      <c r="AA25" s="17">
        <f t="shared" si="11"/>
        <v>108000</v>
      </c>
    </row>
    <row r="26" spans="1:31" x14ac:dyDescent="0.2">
      <c r="A26" s="17">
        <v>12</v>
      </c>
      <c r="B26" s="24" t="s">
        <v>31</v>
      </c>
      <c r="C26" s="49">
        <f>SUM(G26:AA26)</f>
        <v>858000</v>
      </c>
      <c r="E26" s="17">
        <v>12</v>
      </c>
      <c r="F26" s="17" t="s">
        <v>31</v>
      </c>
      <c r="H26" s="17">
        <f t="shared" ref="H26:AA26" si="12">((11*10*52)/8)*60</f>
        <v>42900</v>
      </c>
      <c r="I26" s="17">
        <f t="shared" si="12"/>
        <v>42900</v>
      </c>
      <c r="J26" s="17">
        <f t="shared" si="12"/>
        <v>42900</v>
      </c>
      <c r="K26" s="17">
        <f t="shared" si="12"/>
        <v>42900</v>
      </c>
      <c r="L26" s="17">
        <f t="shared" si="12"/>
        <v>42900</v>
      </c>
      <c r="M26" s="17">
        <f t="shared" si="12"/>
        <v>42900</v>
      </c>
      <c r="N26" s="17">
        <f t="shared" si="12"/>
        <v>42900</v>
      </c>
      <c r="O26" s="17">
        <f t="shared" si="12"/>
        <v>42900</v>
      </c>
      <c r="P26" s="17">
        <f t="shared" si="12"/>
        <v>42900</v>
      </c>
      <c r="Q26" s="17">
        <f t="shared" si="12"/>
        <v>42900</v>
      </c>
      <c r="R26" s="17">
        <f t="shared" si="12"/>
        <v>42900</v>
      </c>
      <c r="S26" s="17">
        <f t="shared" si="12"/>
        <v>42900</v>
      </c>
      <c r="T26" s="17">
        <f t="shared" si="12"/>
        <v>42900</v>
      </c>
      <c r="U26" s="17">
        <f t="shared" si="12"/>
        <v>42900</v>
      </c>
      <c r="V26" s="17">
        <f t="shared" si="12"/>
        <v>42900</v>
      </c>
      <c r="W26" s="17">
        <f t="shared" si="12"/>
        <v>42900</v>
      </c>
      <c r="X26" s="17">
        <f t="shared" si="12"/>
        <v>42900</v>
      </c>
      <c r="Y26" s="17">
        <f t="shared" si="12"/>
        <v>42900</v>
      </c>
      <c r="Z26" s="17">
        <f t="shared" si="12"/>
        <v>42900</v>
      </c>
      <c r="AA26" s="17">
        <f t="shared" si="12"/>
        <v>42900</v>
      </c>
    </row>
    <row r="27" spans="1:31" x14ac:dyDescent="0.2">
      <c r="A27" s="17">
        <v>13</v>
      </c>
      <c r="B27" s="24" t="s">
        <v>32</v>
      </c>
      <c r="C27" s="49">
        <f>SUM(G27:AA27)</f>
        <v>936000</v>
      </c>
      <c r="E27" s="17">
        <v>13</v>
      </c>
      <c r="F27" s="17" t="s">
        <v>32</v>
      </c>
      <c r="H27" s="17">
        <f t="shared" ref="H27:AA27" si="13">((20*6*52)/8)*60</f>
        <v>46800</v>
      </c>
      <c r="I27" s="17">
        <f t="shared" si="13"/>
        <v>46800</v>
      </c>
      <c r="J27" s="17">
        <f t="shared" si="13"/>
        <v>46800</v>
      </c>
      <c r="K27" s="17">
        <f t="shared" si="13"/>
        <v>46800</v>
      </c>
      <c r="L27" s="17">
        <f t="shared" si="13"/>
        <v>46800</v>
      </c>
      <c r="M27" s="17">
        <f t="shared" si="13"/>
        <v>46800</v>
      </c>
      <c r="N27" s="17">
        <f t="shared" si="13"/>
        <v>46800</v>
      </c>
      <c r="O27" s="17">
        <f t="shared" si="13"/>
        <v>46800</v>
      </c>
      <c r="P27" s="17">
        <f t="shared" si="13"/>
        <v>46800</v>
      </c>
      <c r="Q27" s="17">
        <f t="shared" si="13"/>
        <v>46800</v>
      </c>
      <c r="R27" s="17">
        <f t="shared" si="13"/>
        <v>46800</v>
      </c>
      <c r="S27" s="17">
        <f t="shared" si="13"/>
        <v>46800</v>
      </c>
      <c r="T27" s="17">
        <f t="shared" si="13"/>
        <v>46800</v>
      </c>
      <c r="U27" s="17">
        <f t="shared" si="13"/>
        <v>46800</v>
      </c>
      <c r="V27" s="17">
        <f t="shared" si="13"/>
        <v>46800</v>
      </c>
      <c r="W27" s="17">
        <f t="shared" si="13"/>
        <v>46800</v>
      </c>
      <c r="X27" s="17">
        <f t="shared" si="13"/>
        <v>46800</v>
      </c>
      <c r="Y27" s="17">
        <f t="shared" si="13"/>
        <v>46800</v>
      </c>
      <c r="Z27" s="17">
        <f t="shared" si="13"/>
        <v>46800</v>
      </c>
      <c r="AA27" s="17">
        <f t="shared" si="13"/>
        <v>46800</v>
      </c>
    </row>
    <row r="28" spans="1:31" x14ac:dyDescent="0.2">
      <c r="E28" s="17">
        <v>14</v>
      </c>
      <c r="F28" s="17" t="s">
        <v>33</v>
      </c>
      <c r="H28" s="60">
        <f t="shared" ref="H28:AA28" si="14">0.1*(H11)+0.1*(H13)</f>
        <v>7381.7999999999993</v>
      </c>
      <c r="I28" s="60">
        <f t="shared" si="14"/>
        <v>7381.7999999999993</v>
      </c>
      <c r="J28" s="60">
        <f t="shared" si="14"/>
        <v>7381.7999999999993</v>
      </c>
      <c r="K28" s="60">
        <f t="shared" si="14"/>
        <v>7381.7999999999993</v>
      </c>
      <c r="L28" s="60">
        <f t="shared" si="14"/>
        <v>7381.7999999999993</v>
      </c>
      <c r="M28" s="60">
        <f t="shared" si="14"/>
        <v>7381.7999999999993</v>
      </c>
      <c r="N28" s="60">
        <f t="shared" si="14"/>
        <v>7381.7999999999993</v>
      </c>
      <c r="O28" s="60">
        <f t="shared" si="14"/>
        <v>7381.7999999999993</v>
      </c>
      <c r="P28" s="60">
        <f t="shared" si="14"/>
        <v>7381.7999999999993</v>
      </c>
      <c r="Q28" s="60">
        <f t="shared" si="14"/>
        <v>7381.7999999999993</v>
      </c>
      <c r="R28" s="60">
        <f t="shared" si="14"/>
        <v>7381.7999999999993</v>
      </c>
      <c r="S28" s="60">
        <f t="shared" si="14"/>
        <v>7381.7999999999993</v>
      </c>
      <c r="T28" s="60">
        <f t="shared" si="14"/>
        <v>7381.7999999999993</v>
      </c>
      <c r="U28" s="60">
        <f t="shared" si="14"/>
        <v>7381.7999999999993</v>
      </c>
      <c r="V28" s="60">
        <f t="shared" si="14"/>
        <v>7381.7999999999993</v>
      </c>
      <c r="W28" s="60">
        <f t="shared" si="14"/>
        <v>7381.7999999999993</v>
      </c>
      <c r="X28" s="60">
        <f t="shared" si="14"/>
        <v>7381.7999999999993</v>
      </c>
      <c r="Y28" s="60">
        <f t="shared" si="14"/>
        <v>7381.7999999999993</v>
      </c>
      <c r="Z28" s="60">
        <f t="shared" si="14"/>
        <v>7381.7999999999993</v>
      </c>
      <c r="AA28" s="60">
        <f t="shared" si="14"/>
        <v>7381.7999999999993</v>
      </c>
    </row>
    <row r="29" spans="1:31" x14ac:dyDescent="0.2">
      <c r="F29" s="17" t="s">
        <v>34</v>
      </c>
      <c r="AA29" s="61">
        <f>0.02*G5+0.02*G6</f>
        <v>10850.984455958551</v>
      </c>
    </row>
    <row r="30" spans="1:31" s="14" customFormat="1" x14ac:dyDescent="0.2">
      <c r="A30" s="17"/>
      <c r="B30" s="21" t="s">
        <v>35</v>
      </c>
      <c r="C30" s="51">
        <f>SUM(G30:AA30)</f>
        <v>6052022.9844559571</v>
      </c>
      <c r="D30" s="16"/>
      <c r="F30" s="14" t="s">
        <v>35</v>
      </c>
      <c r="G30" s="62">
        <f t="shared" ref="G30:AA30" si="15">SUM(G23:G29)</f>
        <v>0</v>
      </c>
      <c r="H30" s="62">
        <f t="shared" si="15"/>
        <v>302058.59999999998</v>
      </c>
      <c r="I30" s="62">
        <f t="shared" si="15"/>
        <v>302058.59999999998</v>
      </c>
      <c r="J30" s="62">
        <f t="shared" si="15"/>
        <v>302058.59999999998</v>
      </c>
      <c r="K30" s="62">
        <f t="shared" si="15"/>
        <v>302058.59999999998</v>
      </c>
      <c r="L30" s="62">
        <f t="shared" si="15"/>
        <v>302058.59999999998</v>
      </c>
      <c r="M30" s="62">
        <f t="shared" si="15"/>
        <v>302058.59999999998</v>
      </c>
      <c r="N30" s="62">
        <f t="shared" si="15"/>
        <v>302058.59999999998</v>
      </c>
      <c r="O30" s="62">
        <f t="shared" si="15"/>
        <v>302058.59999999998</v>
      </c>
      <c r="P30" s="62">
        <f t="shared" si="15"/>
        <v>302058.59999999998</v>
      </c>
      <c r="Q30" s="62">
        <f t="shared" si="15"/>
        <v>302058.59999999998</v>
      </c>
      <c r="R30" s="62">
        <f t="shared" si="15"/>
        <v>302058.59999999998</v>
      </c>
      <c r="S30" s="62">
        <f t="shared" si="15"/>
        <v>302058.59999999998</v>
      </c>
      <c r="T30" s="62">
        <f t="shared" si="15"/>
        <v>302058.59999999998</v>
      </c>
      <c r="U30" s="62">
        <f t="shared" si="15"/>
        <v>302058.59999999998</v>
      </c>
      <c r="V30" s="62">
        <f t="shared" si="15"/>
        <v>302058.59999999998</v>
      </c>
      <c r="W30" s="62">
        <f t="shared" si="15"/>
        <v>302058.59999999998</v>
      </c>
      <c r="X30" s="62">
        <f t="shared" si="15"/>
        <v>302058.59999999998</v>
      </c>
      <c r="Y30" s="62">
        <f t="shared" si="15"/>
        <v>302058.59999999998</v>
      </c>
      <c r="Z30" s="62">
        <f t="shared" si="15"/>
        <v>302058.59999999998</v>
      </c>
      <c r="AA30" s="62">
        <f t="shared" si="15"/>
        <v>312909.58445595851</v>
      </c>
    </row>
    <row r="31" spans="1:31" s="53" customFormat="1" x14ac:dyDescent="0.2">
      <c r="A31" s="54"/>
      <c r="B31" s="55"/>
      <c r="C31" s="19"/>
      <c r="D31" s="56"/>
      <c r="F31" s="53" t="s">
        <v>25</v>
      </c>
      <c r="G31" s="53">
        <v>1</v>
      </c>
      <c r="H31" s="57">
        <f t="shared" ref="H31:AA31" si="16">G31*(1/1.12)</f>
        <v>0.89285714285714279</v>
      </c>
      <c r="I31" s="57">
        <f t="shared" si="16"/>
        <v>0.79719387755102034</v>
      </c>
      <c r="J31" s="57">
        <f t="shared" si="16"/>
        <v>0.71178024781341098</v>
      </c>
      <c r="K31" s="57">
        <f t="shared" si="16"/>
        <v>0.63551807840483121</v>
      </c>
      <c r="L31" s="57">
        <f t="shared" si="16"/>
        <v>0.5674268557185993</v>
      </c>
      <c r="M31" s="57">
        <f t="shared" si="16"/>
        <v>0.50663112117732079</v>
      </c>
      <c r="N31" s="57">
        <f t="shared" si="16"/>
        <v>0.45234921533689354</v>
      </c>
      <c r="O31" s="57">
        <f t="shared" si="16"/>
        <v>0.40388322797936921</v>
      </c>
      <c r="P31" s="57">
        <f t="shared" si="16"/>
        <v>0.36061002498157962</v>
      </c>
      <c r="Q31" s="57">
        <f t="shared" si="16"/>
        <v>0.32197323659069604</v>
      </c>
      <c r="R31" s="57">
        <f t="shared" si="16"/>
        <v>0.28747610409883573</v>
      </c>
      <c r="S31" s="57">
        <f t="shared" si="16"/>
        <v>0.25667509294538904</v>
      </c>
      <c r="T31" s="57">
        <f t="shared" si="16"/>
        <v>0.22917419012981163</v>
      </c>
      <c r="U31" s="57">
        <f t="shared" si="16"/>
        <v>0.20461981261590323</v>
      </c>
      <c r="V31" s="57">
        <f t="shared" si="16"/>
        <v>0.1826962612641993</v>
      </c>
      <c r="W31" s="57">
        <f t="shared" si="16"/>
        <v>0.16312166184303509</v>
      </c>
      <c r="X31" s="57">
        <f t="shared" si="16"/>
        <v>0.14564434093128131</v>
      </c>
      <c r="Y31" s="57">
        <f t="shared" si="16"/>
        <v>0.13003959011721544</v>
      </c>
      <c r="Z31" s="57">
        <f t="shared" si="16"/>
        <v>0.11610677689037092</v>
      </c>
      <c r="AA31" s="57">
        <f t="shared" si="16"/>
        <v>0.10366676508068833</v>
      </c>
    </row>
    <row r="32" spans="1:31" s="14" customFormat="1" x14ac:dyDescent="0.2">
      <c r="A32" s="17"/>
      <c r="B32" s="21" t="s">
        <v>36</v>
      </c>
      <c r="C32" s="51">
        <f>SUM(G32:AA32)</f>
        <v>2257334.5703998092</v>
      </c>
      <c r="D32" s="16"/>
      <c r="F32" s="14" t="s">
        <v>36</v>
      </c>
      <c r="G32" s="63">
        <f t="shared" ref="G32:AA32" si="17">G30*G31</f>
        <v>0</v>
      </c>
      <c r="H32" s="63">
        <f t="shared" si="17"/>
        <v>269695.17857142852</v>
      </c>
      <c r="I32" s="63">
        <f t="shared" si="17"/>
        <v>240799.2665816326</v>
      </c>
      <c r="J32" s="63">
        <f t="shared" si="17"/>
        <v>214999.34516217196</v>
      </c>
      <c r="K32" s="63">
        <f t="shared" si="17"/>
        <v>191963.70103765355</v>
      </c>
      <c r="L32" s="63">
        <f t="shared" si="17"/>
        <v>171396.16164076209</v>
      </c>
      <c r="M32" s="63">
        <f t="shared" si="17"/>
        <v>153032.28717925187</v>
      </c>
      <c r="N32" s="63">
        <f t="shared" si="17"/>
        <v>136635.97069576057</v>
      </c>
      <c r="O32" s="63">
        <f t="shared" si="17"/>
        <v>121996.40240692908</v>
      </c>
      <c r="P32" s="63">
        <f t="shared" si="17"/>
        <v>108925.35929190095</v>
      </c>
      <c r="Q32" s="63">
        <f t="shared" si="17"/>
        <v>97254.785082054412</v>
      </c>
      <c r="R32" s="63">
        <f t="shared" si="17"/>
        <v>86834.629537548579</v>
      </c>
      <c r="S32" s="63">
        <f t="shared" si="17"/>
        <v>77530.919229954088</v>
      </c>
      <c r="T32" s="63">
        <f t="shared" si="17"/>
        <v>69224.035026744721</v>
      </c>
      <c r="U32" s="63">
        <f t="shared" si="17"/>
        <v>61807.17413102206</v>
      </c>
      <c r="V32" s="63">
        <f t="shared" si="17"/>
        <v>55184.976902698269</v>
      </c>
      <c r="W32" s="63">
        <f t="shared" si="17"/>
        <v>49272.300805980594</v>
      </c>
      <c r="X32" s="63">
        <f t="shared" si="17"/>
        <v>43993.125719625525</v>
      </c>
      <c r="Y32" s="63">
        <f t="shared" si="17"/>
        <v>39279.576535379929</v>
      </c>
      <c r="Z32" s="63">
        <f t="shared" si="17"/>
        <v>35071.050478017794</v>
      </c>
      <c r="AA32" s="63">
        <f t="shared" si="17"/>
        <v>32438.324383291652</v>
      </c>
    </row>
    <row r="35" spans="1:61" x14ac:dyDescent="0.2">
      <c r="B35" s="22" t="s">
        <v>37</v>
      </c>
      <c r="C35" s="64">
        <f>C32</f>
        <v>2257334.5703998092</v>
      </c>
      <c r="F35" s="15" t="s">
        <v>37</v>
      </c>
      <c r="G35" s="65">
        <f>SUM(G32:AA32)</f>
        <v>2257334.5703998092</v>
      </c>
    </row>
    <row r="36" spans="1:61" x14ac:dyDescent="0.2">
      <c r="B36" s="22" t="s">
        <v>38</v>
      </c>
      <c r="C36" s="66">
        <f>C20</f>
        <v>73626336.47358951</v>
      </c>
      <c r="F36" s="15" t="s">
        <v>38</v>
      </c>
      <c r="G36" s="67">
        <f>SUM(G20:AA20)</f>
        <v>73626336.47358951</v>
      </c>
    </row>
    <row r="37" spans="1:61" x14ac:dyDescent="0.2">
      <c r="B37" s="22"/>
      <c r="C37" s="23"/>
      <c r="F37" s="15"/>
      <c r="G37" s="14"/>
    </row>
    <row r="38" spans="1:61" x14ac:dyDescent="0.2">
      <c r="B38" s="22" t="s">
        <v>39</v>
      </c>
      <c r="C38" s="68">
        <f>C35/C36</f>
        <v>3.0659335755616975E-2</v>
      </c>
      <c r="F38" s="15" t="s">
        <v>39</v>
      </c>
      <c r="G38" s="69">
        <f>G35/G36</f>
        <v>3.0659335755616975E-2</v>
      </c>
    </row>
    <row r="39" spans="1:61" ht="13.5" customHeight="1" thickBot="1" x14ac:dyDescent="0.25">
      <c r="B39" s="22" t="s">
        <v>40</v>
      </c>
      <c r="C39" s="70">
        <f>C35-C36</f>
        <v>-71369001.903189704</v>
      </c>
      <c r="E39" s="39"/>
      <c r="F39" s="40" t="s">
        <v>40</v>
      </c>
      <c r="G39" s="71">
        <f>G35-G36</f>
        <v>-71369001.903189704</v>
      </c>
      <c r="H39" s="39"/>
      <c r="I39" s="39"/>
      <c r="J39" s="39"/>
      <c r="K39" s="39"/>
      <c r="L39" s="39"/>
      <c r="M39" s="39"/>
      <c r="N39" s="39"/>
      <c r="O39" s="39"/>
      <c r="P39" s="39"/>
      <c r="Q39" s="39"/>
      <c r="R39" s="39"/>
      <c r="S39" s="39"/>
      <c r="T39" s="39"/>
      <c r="U39" s="39"/>
      <c r="V39" s="39"/>
      <c r="W39" s="39"/>
      <c r="X39" s="39"/>
      <c r="Y39" s="39"/>
      <c r="Z39" s="39"/>
      <c r="AA39" s="39"/>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row>
    <row r="40" spans="1:61" x14ac:dyDescent="0.2">
      <c r="D40" s="32"/>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row>
    <row r="41" spans="1:61" s="26" customFormat="1" ht="18" customHeight="1" x14ac:dyDescent="0.25">
      <c r="B41" s="27" t="s">
        <v>41</v>
      </c>
      <c r="C41" s="28"/>
      <c r="D41" s="33"/>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row>
    <row r="42" spans="1:61" s="26" customFormat="1" ht="18" customHeight="1" x14ac:dyDescent="0.25">
      <c r="C42" s="28"/>
      <c r="D42" s="33"/>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row>
    <row r="43" spans="1:61" s="26" customFormat="1" ht="18" customHeight="1" x14ac:dyDescent="0.25">
      <c r="A43" s="42">
        <v>1</v>
      </c>
      <c r="B43" s="44" t="s">
        <v>42</v>
      </c>
      <c r="C43" s="28"/>
      <c r="D43" s="33"/>
      <c r="E43" s="36"/>
      <c r="F43" s="37"/>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row>
    <row r="44" spans="1:61" s="26" customFormat="1" ht="18" customHeight="1" x14ac:dyDescent="0.25">
      <c r="A44" s="42">
        <v>2</v>
      </c>
      <c r="B44" s="44" t="s">
        <v>43</v>
      </c>
      <c r="C44" s="28"/>
      <c r="D44" s="33"/>
      <c r="E44" s="36"/>
      <c r="F44" s="37"/>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row>
    <row r="45" spans="1:61" s="26" customFormat="1" ht="18" customHeight="1" x14ac:dyDescent="0.25">
      <c r="A45" s="42">
        <v>3</v>
      </c>
      <c r="B45" s="44" t="s">
        <v>44</v>
      </c>
      <c r="C45" s="28"/>
      <c r="D45" s="33"/>
      <c r="E45" s="36"/>
      <c r="F45" s="37"/>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row>
    <row r="46" spans="1:61" s="26" customFormat="1" ht="18" customHeight="1" x14ac:dyDescent="0.25">
      <c r="A46" s="42"/>
      <c r="B46" s="44" t="s">
        <v>45</v>
      </c>
      <c r="C46" s="28"/>
      <c r="D46" s="33"/>
      <c r="E46" s="36"/>
      <c r="F46" s="37"/>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row>
    <row r="47" spans="1:61" s="26" customFormat="1" ht="18" customHeight="1" x14ac:dyDescent="0.25">
      <c r="A47" s="42">
        <v>4</v>
      </c>
      <c r="B47" s="44" t="s">
        <v>46</v>
      </c>
      <c r="C47" s="28"/>
      <c r="D47" s="33"/>
      <c r="E47" s="36"/>
      <c r="F47" s="37"/>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row>
    <row r="48" spans="1:61" s="26" customFormat="1" ht="27.75" customHeight="1" x14ac:dyDescent="0.25">
      <c r="A48" s="42">
        <v>5</v>
      </c>
      <c r="B48" s="44" t="s">
        <v>47</v>
      </c>
      <c r="C48" s="28"/>
      <c r="D48" s="33"/>
      <c r="E48" s="36"/>
      <c r="F48" s="37"/>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row>
    <row r="49" spans="1:61" s="26" customFormat="1" ht="18" customHeight="1" x14ac:dyDescent="0.25">
      <c r="A49" s="42">
        <v>6</v>
      </c>
      <c r="B49" s="44" t="s">
        <v>48</v>
      </c>
      <c r="C49" s="28"/>
      <c r="D49" s="33"/>
      <c r="E49" s="36"/>
      <c r="F49" s="37"/>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row>
    <row r="50" spans="1:61" s="26" customFormat="1" ht="18" customHeight="1" x14ac:dyDescent="0.25">
      <c r="A50" s="42">
        <v>7</v>
      </c>
      <c r="B50" s="44" t="s">
        <v>49</v>
      </c>
      <c r="C50" s="28"/>
      <c r="D50" s="33"/>
      <c r="E50" s="36"/>
      <c r="F50" s="37"/>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row>
    <row r="51" spans="1:61" s="26" customFormat="1" ht="18" customHeight="1" x14ac:dyDescent="0.25">
      <c r="A51" s="42">
        <v>8</v>
      </c>
      <c r="B51" s="44" t="s">
        <v>50</v>
      </c>
      <c r="C51" s="28"/>
      <c r="D51" s="33"/>
      <c r="E51" s="36"/>
      <c r="F51" s="37"/>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row>
    <row r="52" spans="1:61" s="26" customFormat="1" ht="18" customHeight="1" x14ac:dyDescent="0.25">
      <c r="A52" s="42">
        <v>9</v>
      </c>
      <c r="B52" s="44" t="s">
        <v>51</v>
      </c>
      <c r="C52" s="28"/>
      <c r="D52" s="33"/>
      <c r="E52" s="36"/>
      <c r="F52" s="37"/>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row>
    <row r="53" spans="1:61" s="26" customFormat="1" ht="18" customHeight="1" x14ac:dyDescent="0.25">
      <c r="A53" s="42">
        <v>10</v>
      </c>
      <c r="B53" s="44" t="s">
        <v>52</v>
      </c>
      <c r="C53" s="28"/>
      <c r="D53" s="33"/>
      <c r="E53" s="36"/>
      <c r="F53" s="37"/>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row>
    <row r="54" spans="1:61" s="26" customFormat="1" ht="18" customHeight="1" x14ac:dyDescent="0.25">
      <c r="A54" s="42">
        <v>11</v>
      </c>
      <c r="B54" s="44" t="s">
        <v>53</v>
      </c>
      <c r="C54" s="28"/>
      <c r="D54" s="33"/>
      <c r="E54" s="36"/>
      <c r="F54" s="37"/>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row>
    <row r="55" spans="1:61" s="26" customFormat="1" ht="18" customHeight="1" x14ac:dyDescent="0.25">
      <c r="A55" s="42">
        <v>12</v>
      </c>
      <c r="B55" s="44" t="s">
        <v>54</v>
      </c>
      <c r="C55" s="28"/>
      <c r="D55" s="33"/>
      <c r="E55" s="36"/>
      <c r="F55" s="37"/>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row>
    <row r="56" spans="1:61" s="26" customFormat="1" ht="18" customHeight="1" x14ac:dyDescent="0.25">
      <c r="A56" s="42">
        <v>13</v>
      </c>
      <c r="B56" s="44" t="s">
        <v>55</v>
      </c>
      <c r="C56" s="28"/>
      <c r="D56" s="33"/>
      <c r="E56" s="36"/>
      <c r="F56" s="37"/>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row>
    <row r="57" spans="1:61" ht="15.75" customHeight="1" x14ac:dyDescent="0.25">
      <c r="A57" s="42">
        <v>14</v>
      </c>
      <c r="B57" s="44" t="s">
        <v>56</v>
      </c>
      <c r="D57" s="32"/>
      <c r="E57" s="35"/>
      <c r="F57" s="38"/>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row>
    <row r="58" spans="1:61" ht="15.75" customHeight="1" x14ac:dyDescent="0.25">
      <c r="A58" s="42">
        <v>15</v>
      </c>
      <c r="B58" s="44" t="s">
        <v>57</v>
      </c>
      <c r="D58" s="32"/>
      <c r="E58" s="35"/>
      <c r="F58" s="38"/>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row>
    <row r="59" spans="1:61" s="42" customFormat="1" ht="15.75" customHeight="1" x14ac:dyDescent="0.25">
      <c r="A59" s="42">
        <v>16</v>
      </c>
      <c r="B59" s="44" t="s">
        <v>58</v>
      </c>
      <c r="C59" s="45"/>
      <c r="D59" s="46"/>
      <c r="E59" s="47"/>
      <c r="F59" s="48"/>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row>
    <row r="60" spans="1:61" s="42" customFormat="1" ht="15.75" customHeight="1" x14ac:dyDescent="0.25">
      <c r="A60" s="42">
        <v>17</v>
      </c>
      <c r="B60" s="44" t="s">
        <v>59</v>
      </c>
      <c r="C60" s="45"/>
      <c r="D60" s="46"/>
      <c r="E60" s="47"/>
      <c r="F60" s="48"/>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row>
    <row r="61" spans="1:61" s="42" customFormat="1" ht="15.75" customHeight="1" x14ac:dyDescent="0.25">
      <c r="B61" s="44"/>
      <c r="C61" s="45"/>
      <c r="D61" s="46"/>
      <c r="E61" s="47"/>
      <c r="F61" s="48"/>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row>
    <row r="62" spans="1:61" s="42" customFormat="1" ht="15.75" customHeight="1" x14ac:dyDescent="0.25">
      <c r="B62" s="44"/>
      <c r="C62" s="45"/>
      <c r="D62" s="46"/>
      <c r="E62" s="47"/>
      <c r="F62" s="48"/>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row>
    <row r="71" spans="1:61" ht="15.75" customHeight="1" x14ac:dyDescent="0.25">
      <c r="A71" s="42"/>
      <c r="B71" s="42"/>
      <c r="D71" s="32"/>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row>
    <row r="72" spans="1:61" x14ac:dyDescent="0.2">
      <c r="D72" s="32"/>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row>
    <row r="73" spans="1:61" x14ac:dyDescent="0.2">
      <c r="D73" s="32"/>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row>
    <row r="74" spans="1:61" x14ac:dyDescent="0.2">
      <c r="D74" s="32"/>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row>
    <row r="75" spans="1:61" x14ac:dyDescent="0.2">
      <c r="D75" s="32"/>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row>
    <row r="76" spans="1:61" x14ac:dyDescent="0.2">
      <c r="D76" s="32"/>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row>
    <row r="77" spans="1:61" x14ac:dyDescent="0.2">
      <c r="D77" s="32"/>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row>
    <row r="78" spans="1:61" ht="18" customHeight="1" x14ac:dyDescent="0.25">
      <c r="B78" s="41" t="s">
        <v>60</v>
      </c>
      <c r="D78" s="32"/>
      <c r="E78" s="35"/>
      <c r="F78" s="38"/>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row>
    <row r="79" spans="1:61" x14ac:dyDescent="0.2">
      <c r="B79" s="13"/>
      <c r="D79" s="32"/>
      <c r="E79" s="35"/>
      <c r="F79" s="38"/>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row>
    <row r="80" spans="1:61" ht="15.75" customHeight="1" x14ac:dyDescent="0.25">
      <c r="A80" s="42" t="s">
        <v>61</v>
      </c>
      <c r="B80" s="43" t="s">
        <v>62</v>
      </c>
      <c r="D80" s="32"/>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row>
    <row r="81" spans="1:61" ht="15.75" customHeight="1" x14ac:dyDescent="0.25">
      <c r="A81" s="42" t="s">
        <v>63</v>
      </c>
      <c r="B81" s="43" t="s">
        <v>64</v>
      </c>
      <c r="D81" s="32"/>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row>
    <row r="82" spans="1:61" ht="15.75" customHeight="1" x14ac:dyDescent="0.25">
      <c r="A82" s="42" t="s">
        <v>65</v>
      </c>
      <c r="B82" s="43" t="s">
        <v>66</v>
      </c>
      <c r="D82" s="32"/>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row>
    <row r="83" spans="1:61" ht="15.75" customHeight="1" x14ac:dyDescent="0.25">
      <c r="A83" s="42" t="s">
        <v>67</v>
      </c>
      <c r="B83" s="43" t="s">
        <v>68</v>
      </c>
      <c r="D83" s="32"/>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row>
    <row r="84" spans="1:61" ht="15.75" customHeight="1" x14ac:dyDescent="0.25">
      <c r="A84" s="42" t="s">
        <v>69</v>
      </c>
      <c r="B84" s="43" t="s">
        <v>70</v>
      </c>
      <c r="D84" s="32"/>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row>
    <row r="85" spans="1:61" ht="15.75" customHeight="1" x14ac:dyDescent="0.25">
      <c r="A85" s="42" t="s">
        <v>71</v>
      </c>
      <c r="B85" s="43" t="s">
        <v>72</v>
      </c>
      <c r="D85" s="32"/>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row>
    <row r="86" spans="1:61" x14ac:dyDescent="0.2">
      <c r="D86" s="32"/>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row>
    <row r="87" spans="1:61" x14ac:dyDescent="0.2">
      <c r="D87" s="32"/>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row>
    <row r="88" spans="1:61" x14ac:dyDescent="0.2">
      <c r="D88" s="32"/>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row>
    <row r="89" spans="1:61" x14ac:dyDescent="0.2">
      <c r="D89" s="32"/>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row>
    <row r="90" spans="1:61" x14ac:dyDescent="0.2">
      <c r="D90" s="32"/>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row>
    <row r="91" spans="1:61" x14ac:dyDescent="0.2">
      <c r="D91" s="32"/>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row>
    <row r="92" spans="1:61" x14ac:dyDescent="0.2">
      <c r="D92" s="32"/>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row>
    <row r="93" spans="1:61" x14ac:dyDescent="0.2">
      <c r="D93" s="32"/>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row>
    <row r="94" spans="1:61" x14ac:dyDescent="0.2">
      <c r="D94" s="32"/>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row>
    <row r="95" spans="1:61" x14ac:dyDescent="0.2">
      <c r="D95" s="32"/>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row>
    <row r="96" spans="1:61" x14ac:dyDescent="0.2">
      <c r="D96" s="32"/>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row>
    <row r="97" spans="1:61" x14ac:dyDescent="0.2">
      <c r="D97" s="32"/>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row>
    <row r="98" spans="1:61" x14ac:dyDescent="0.2">
      <c r="D98" s="32"/>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row>
    <row r="99" spans="1:61" x14ac:dyDescent="0.2">
      <c r="D99" s="32"/>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row>
    <row r="100" spans="1:61" x14ac:dyDescent="0.2">
      <c r="A100" t="s">
        <v>73</v>
      </c>
    </row>
  </sheetData>
  <phoneticPr fontId="9" type="noConversion"/>
  <pageMargins left="0.75" right="0.75" top="1" bottom="1" header="0.5" footer="0.5"/>
  <pageSetup paperSize="9"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R114"/>
  <sheetViews>
    <sheetView topLeftCell="AS1" zoomScale="75" workbookViewId="0">
      <selection activeCell="AE13" sqref="AE13"/>
    </sheetView>
  </sheetViews>
  <sheetFormatPr defaultRowHeight="12.75" x14ac:dyDescent="0.2"/>
  <cols>
    <col min="1" max="1" width="10.5703125" style="3" bestFit="1" customWidth="1"/>
    <col min="2" max="2" width="39.7109375" style="12" customWidth="1"/>
    <col min="3" max="3" width="26.5703125" style="11" bestFit="1" customWidth="1"/>
    <col min="4" max="5" width="26.5703125" style="3" customWidth="1"/>
    <col min="6" max="6" width="15" style="3" bestFit="1" customWidth="1"/>
    <col min="7" max="8" width="26" style="12" customWidth="1"/>
    <col min="9" max="9" width="16.5703125" style="12" customWidth="1"/>
    <col min="10" max="10" width="13.5703125" style="12" customWidth="1"/>
    <col min="11" max="11" width="30.140625" style="3" bestFit="1" customWidth="1"/>
    <col min="12" max="15" width="9.140625" style="12" customWidth="1"/>
    <col min="16" max="19" width="9.140625" style="3" customWidth="1"/>
    <col min="20" max="20" width="9.140625" style="12" customWidth="1"/>
    <col min="21" max="21" width="10.7109375" style="12" bestFit="1" customWidth="1"/>
    <col min="22" max="22" width="22" style="12" customWidth="1"/>
    <col min="23" max="23" width="26.28515625" style="12" customWidth="1"/>
    <col min="24" max="24" width="9.140625" style="3" customWidth="1"/>
    <col min="25" max="25" width="15.140625" style="3" customWidth="1"/>
    <col min="26" max="26" width="20.140625" style="3" customWidth="1"/>
    <col min="27" max="27" width="28.140625" style="3" customWidth="1"/>
    <col min="28" max="28" width="28.28515625" style="12" bestFit="1" customWidth="1"/>
    <col min="29" max="29" width="16.28515625" style="3" bestFit="1" customWidth="1"/>
    <col min="30" max="30" width="19.85546875" style="12" bestFit="1" customWidth="1"/>
    <col min="31" max="31" width="19.42578125" style="8" bestFit="1" customWidth="1"/>
    <col min="32" max="32" width="13.140625" style="12" bestFit="1" customWidth="1"/>
    <col min="33" max="33" width="25.140625" style="3" bestFit="1" customWidth="1"/>
    <col min="34" max="39" width="9.140625" style="3" customWidth="1"/>
    <col min="40" max="40" width="11.7109375" style="3" bestFit="1" customWidth="1"/>
    <col min="41" max="41" width="9.140625" style="3" customWidth="1"/>
    <col min="42" max="42" width="21.85546875" style="12" customWidth="1"/>
    <col min="43" max="43" width="12.5703125" style="12" customWidth="1"/>
    <col min="44" max="44" width="9.140625" style="3" customWidth="1"/>
    <col min="45" max="45" width="9.140625" style="12" customWidth="1"/>
    <col min="46" max="16384" width="9.140625" style="12"/>
  </cols>
  <sheetData>
    <row r="1" spans="1:44" s="2" customFormat="1" x14ac:dyDescent="0.2">
      <c r="A1" s="1" t="s">
        <v>74</v>
      </c>
      <c r="B1" s="2" t="s">
        <v>75</v>
      </c>
      <c r="C1" s="86" t="s">
        <v>76</v>
      </c>
      <c r="D1" s="83"/>
      <c r="E1" s="83"/>
      <c r="F1" s="84"/>
      <c r="G1" s="82" t="s">
        <v>77</v>
      </c>
      <c r="H1" s="83"/>
      <c r="I1" s="83"/>
      <c r="J1" s="84"/>
      <c r="K1" s="1" t="s">
        <v>78</v>
      </c>
      <c r="L1" s="82" t="s">
        <v>79</v>
      </c>
      <c r="M1" s="83"/>
      <c r="N1" s="83"/>
      <c r="O1" s="84"/>
      <c r="P1" s="85" t="s">
        <v>80</v>
      </c>
      <c r="Q1" s="83"/>
      <c r="R1" s="83"/>
      <c r="S1" s="84"/>
      <c r="T1" s="82" t="s">
        <v>81</v>
      </c>
      <c r="U1" s="83"/>
      <c r="V1" s="83"/>
      <c r="W1" s="84"/>
      <c r="X1" s="85" t="s">
        <v>82</v>
      </c>
      <c r="Y1" s="83"/>
      <c r="Z1" s="83"/>
      <c r="AA1" s="84"/>
      <c r="AB1" s="2" t="s">
        <v>83</v>
      </c>
      <c r="AC1" s="1" t="s">
        <v>84</v>
      </c>
      <c r="AD1" s="2" t="s">
        <v>85</v>
      </c>
      <c r="AE1" s="6" t="s">
        <v>86</v>
      </c>
      <c r="AF1" s="2" t="s">
        <v>87</v>
      </c>
      <c r="AG1" s="85" t="s">
        <v>88</v>
      </c>
      <c r="AH1" s="83"/>
      <c r="AI1" s="83"/>
      <c r="AJ1" s="83"/>
      <c r="AK1" s="83"/>
      <c r="AL1" s="83"/>
      <c r="AM1" s="83"/>
      <c r="AN1" s="83"/>
      <c r="AO1" s="84"/>
      <c r="AP1" s="82" t="s">
        <v>89</v>
      </c>
      <c r="AQ1" s="84"/>
      <c r="AR1" s="1" t="s">
        <v>90</v>
      </c>
    </row>
    <row r="2" spans="1:44" s="2" customFormat="1" x14ac:dyDescent="0.2">
      <c r="A2" s="1"/>
      <c r="C2" s="9" t="s">
        <v>91</v>
      </c>
      <c r="D2" s="1" t="s">
        <v>92</v>
      </c>
      <c r="E2" s="1" t="s">
        <v>93</v>
      </c>
      <c r="F2" s="1" t="s">
        <v>94</v>
      </c>
      <c r="G2" s="2" t="s">
        <v>95</v>
      </c>
      <c r="H2" s="2" t="s">
        <v>96</v>
      </c>
      <c r="I2" s="2" t="s">
        <v>97</v>
      </c>
      <c r="J2" s="2" t="s">
        <v>98</v>
      </c>
      <c r="K2" s="1"/>
      <c r="L2" s="2" t="s">
        <v>99</v>
      </c>
      <c r="M2" s="2" t="s">
        <v>100</v>
      </c>
      <c r="N2" s="2" t="s">
        <v>101</v>
      </c>
      <c r="O2" s="2" t="s">
        <v>96</v>
      </c>
      <c r="P2" s="1" t="s">
        <v>99</v>
      </c>
      <c r="Q2" s="1" t="s">
        <v>100</v>
      </c>
      <c r="R2" s="1" t="s">
        <v>101</v>
      </c>
      <c r="S2" s="1" t="s">
        <v>96</v>
      </c>
      <c r="T2" s="2" t="s">
        <v>102</v>
      </c>
      <c r="U2" s="2" t="s">
        <v>103</v>
      </c>
      <c r="V2" s="2" t="s">
        <v>104</v>
      </c>
      <c r="W2" s="2" t="s">
        <v>105</v>
      </c>
      <c r="X2" s="1" t="s">
        <v>106</v>
      </c>
      <c r="Y2" s="1" t="s">
        <v>107</v>
      </c>
      <c r="Z2" s="1" t="s">
        <v>104</v>
      </c>
      <c r="AA2" s="1" t="s">
        <v>108</v>
      </c>
      <c r="AC2" s="1"/>
      <c r="AE2" s="6"/>
      <c r="AG2" s="1" t="s">
        <v>109</v>
      </c>
      <c r="AH2" s="1" t="s">
        <v>110</v>
      </c>
      <c r="AI2" s="1" t="s">
        <v>111</v>
      </c>
      <c r="AJ2" s="1" t="s">
        <v>112</v>
      </c>
      <c r="AK2" s="1" t="s">
        <v>113</v>
      </c>
      <c r="AL2" s="1" t="s">
        <v>114</v>
      </c>
      <c r="AM2" s="1" t="s">
        <v>96</v>
      </c>
      <c r="AN2" s="1" t="s">
        <v>115</v>
      </c>
      <c r="AO2" s="1" t="s">
        <v>116</v>
      </c>
      <c r="AP2" s="2" t="s">
        <v>117</v>
      </c>
      <c r="AQ2" s="2" t="s">
        <v>118</v>
      </c>
      <c r="AR2" s="1"/>
    </row>
    <row r="3" spans="1:44" s="5" customFormat="1" x14ac:dyDescent="0.2">
      <c r="A3" s="4">
        <v>1</v>
      </c>
      <c r="C3" s="10"/>
      <c r="D3" s="4"/>
      <c r="E3" s="4"/>
      <c r="F3" s="4"/>
      <c r="G3" s="5">
        <v>1</v>
      </c>
      <c r="I3" s="5">
        <v>1</v>
      </c>
      <c r="J3" s="5">
        <v>1</v>
      </c>
      <c r="K3" s="3" t="s">
        <v>119</v>
      </c>
      <c r="L3" s="12" t="s">
        <v>120</v>
      </c>
      <c r="M3" s="12" t="s">
        <v>120</v>
      </c>
      <c r="N3" s="12" t="s">
        <v>121</v>
      </c>
      <c r="O3" s="12" t="s">
        <v>122</v>
      </c>
      <c r="P3" s="3" t="s">
        <v>120</v>
      </c>
      <c r="Q3" s="3" t="s">
        <v>120</v>
      </c>
      <c r="R3" s="3" t="s">
        <v>123</v>
      </c>
      <c r="S3" s="3" t="s">
        <v>123</v>
      </c>
      <c r="T3" s="5">
        <f>4*4.54596</f>
        <v>18.18384</v>
      </c>
      <c r="U3" s="5">
        <v>0</v>
      </c>
      <c r="V3" s="5">
        <v>10</v>
      </c>
      <c r="W3" s="5">
        <f>8*18</f>
        <v>144</v>
      </c>
      <c r="X3" s="4">
        <f>4.54596</f>
        <v>4.54596</v>
      </c>
      <c r="Y3" s="4">
        <v>0</v>
      </c>
      <c r="Z3" s="4">
        <v>10</v>
      </c>
      <c r="AA3" s="4">
        <v>0</v>
      </c>
      <c r="AB3" s="5">
        <v>50</v>
      </c>
      <c r="AC3" s="4">
        <v>4</v>
      </c>
      <c r="AD3" s="5">
        <v>2</v>
      </c>
      <c r="AE3" s="7">
        <f>2500/0.797</f>
        <v>3136.7628607277288</v>
      </c>
      <c r="AF3" s="5">
        <v>1998</v>
      </c>
      <c r="AG3" s="4"/>
      <c r="AH3" s="4"/>
      <c r="AI3" s="4"/>
      <c r="AJ3" s="4"/>
      <c r="AK3" s="4"/>
      <c r="AL3" s="4"/>
      <c r="AM3" s="4">
        <v>1</v>
      </c>
      <c r="AN3" s="4"/>
      <c r="AO3" s="4">
        <v>1</v>
      </c>
      <c r="AP3" s="5">
        <v>1</v>
      </c>
      <c r="AR3" s="4"/>
    </row>
    <row r="4" spans="1:44" x14ac:dyDescent="0.2">
      <c r="A4" s="3">
        <v>2</v>
      </c>
      <c r="B4" s="12" t="s">
        <v>124</v>
      </c>
      <c r="G4" s="12">
        <v>1</v>
      </c>
      <c r="J4" s="12">
        <v>1</v>
      </c>
      <c r="K4" s="3" t="s">
        <v>119</v>
      </c>
      <c r="L4" s="12" t="s">
        <v>120</v>
      </c>
      <c r="M4" s="12" t="s">
        <v>120</v>
      </c>
      <c r="N4" s="12" t="s">
        <v>121</v>
      </c>
      <c r="O4" s="12" t="s">
        <v>122</v>
      </c>
      <c r="P4" s="3" t="s">
        <v>125</v>
      </c>
      <c r="Q4" s="3" t="s">
        <v>120</v>
      </c>
      <c r="R4" s="3" t="s">
        <v>123</v>
      </c>
      <c r="S4" s="3" t="s">
        <v>123</v>
      </c>
      <c r="T4" s="12">
        <v>10</v>
      </c>
      <c r="U4" s="12">
        <v>0</v>
      </c>
      <c r="V4" s="12">
        <v>8</v>
      </c>
      <c r="W4" s="12">
        <v>0</v>
      </c>
      <c r="X4" s="3">
        <v>1</v>
      </c>
      <c r="Y4" s="3">
        <v>5</v>
      </c>
      <c r="Z4" s="3">
        <v>8</v>
      </c>
      <c r="AA4" s="3">
        <v>0</v>
      </c>
      <c r="AB4" s="12">
        <v>100</v>
      </c>
      <c r="AC4" s="3">
        <v>4</v>
      </c>
      <c r="AD4" s="12">
        <v>3</v>
      </c>
      <c r="AE4" s="8">
        <v>2000</v>
      </c>
      <c r="AO4" s="3">
        <v>1</v>
      </c>
      <c r="AP4" s="12">
        <v>1</v>
      </c>
      <c r="AR4" s="3" t="s">
        <v>126</v>
      </c>
    </row>
    <row r="5" spans="1:44" x14ac:dyDescent="0.2">
      <c r="A5" s="3">
        <v>3</v>
      </c>
      <c r="E5" s="3">
        <v>1</v>
      </c>
      <c r="G5" s="12">
        <v>1</v>
      </c>
      <c r="H5" s="12">
        <v>1</v>
      </c>
      <c r="K5" s="3" t="s">
        <v>127</v>
      </c>
      <c r="L5" s="12" t="s">
        <v>120</v>
      </c>
      <c r="M5" s="12" t="s">
        <v>120</v>
      </c>
      <c r="N5" s="12" t="s">
        <v>121</v>
      </c>
      <c r="O5" s="12" t="s">
        <v>122</v>
      </c>
      <c r="P5" s="3" t="s">
        <v>120</v>
      </c>
      <c r="Q5" s="3" t="s">
        <v>120</v>
      </c>
      <c r="R5" s="3" t="s">
        <v>123</v>
      </c>
      <c r="S5" s="3" t="s">
        <v>123</v>
      </c>
      <c r="T5" s="12">
        <v>8</v>
      </c>
      <c r="U5" s="12">
        <v>0</v>
      </c>
      <c r="V5" s="12">
        <v>12</v>
      </c>
      <c r="W5" s="12">
        <f>8*18</f>
        <v>144</v>
      </c>
      <c r="X5" s="3">
        <v>1</v>
      </c>
      <c r="Y5" s="3">
        <v>2</v>
      </c>
      <c r="Z5" s="3">
        <v>12</v>
      </c>
      <c r="AA5" s="3">
        <v>0</v>
      </c>
      <c r="AB5" s="12">
        <v>50</v>
      </c>
      <c r="AC5" s="3">
        <v>3</v>
      </c>
      <c r="AD5" s="12">
        <v>1</v>
      </c>
      <c r="AO5" s="3">
        <v>2</v>
      </c>
      <c r="AP5" s="12">
        <v>1</v>
      </c>
      <c r="AR5" s="3" t="s">
        <v>128</v>
      </c>
    </row>
    <row r="6" spans="1:44" x14ac:dyDescent="0.2">
      <c r="A6" s="3">
        <v>4</v>
      </c>
      <c r="C6" s="11">
        <v>1</v>
      </c>
      <c r="F6" s="3">
        <v>1</v>
      </c>
      <c r="G6" s="12" t="s">
        <v>129</v>
      </c>
      <c r="K6" s="3" t="s">
        <v>129</v>
      </c>
      <c r="L6" s="12" t="s">
        <v>120</v>
      </c>
      <c r="M6" s="12" t="s">
        <v>120</v>
      </c>
      <c r="N6" s="12" t="s">
        <v>121</v>
      </c>
      <c r="O6" s="12" t="s">
        <v>122</v>
      </c>
      <c r="P6" s="3" t="s">
        <v>120</v>
      </c>
      <c r="Q6" s="3" t="s">
        <v>120</v>
      </c>
      <c r="R6" s="3" t="s">
        <v>123</v>
      </c>
      <c r="S6" s="3" t="s">
        <v>123</v>
      </c>
      <c r="T6" s="12">
        <v>10</v>
      </c>
      <c r="U6" s="12">
        <v>0</v>
      </c>
      <c r="V6" s="12">
        <v>10</v>
      </c>
      <c r="W6" s="12">
        <f>15*18</f>
        <v>270</v>
      </c>
      <c r="X6" s="3">
        <v>1</v>
      </c>
      <c r="Y6" s="3">
        <v>4</v>
      </c>
      <c r="Z6" s="3">
        <v>10</v>
      </c>
      <c r="AA6" s="3">
        <f>5*18</f>
        <v>90</v>
      </c>
      <c r="AC6" s="3">
        <v>5</v>
      </c>
      <c r="AD6" s="12">
        <v>3</v>
      </c>
      <c r="AE6" s="8">
        <v>2000</v>
      </c>
      <c r="AG6" s="3">
        <v>1</v>
      </c>
      <c r="AM6" s="3">
        <v>1</v>
      </c>
      <c r="AN6" s="3">
        <v>1</v>
      </c>
      <c r="AO6" s="3">
        <v>1</v>
      </c>
      <c r="AP6" s="12">
        <v>1</v>
      </c>
      <c r="AR6" s="3" t="s">
        <v>130</v>
      </c>
    </row>
    <row r="7" spans="1:44" x14ac:dyDescent="0.2">
      <c r="A7" s="3">
        <v>5</v>
      </c>
      <c r="C7" s="11">
        <v>1</v>
      </c>
      <c r="F7" s="3">
        <v>1</v>
      </c>
      <c r="G7" s="12">
        <v>1</v>
      </c>
      <c r="I7" s="12" t="s">
        <v>131</v>
      </c>
      <c r="J7" s="12">
        <v>1</v>
      </c>
      <c r="K7" s="3" t="s">
        <v>132</v>
      </c>
      <c r="L7" s="12" t="s">
        <v>120</v>
      </c>
      <c r="M7" s="12" t="s">
        <v>120</v>
      </c>
      <c r="N7" s="12" t="s">
        <v>121</v>
      </c>
      <c r="O7" s="12" t="s">
        <v>122</v>
      </c>
      <c r="P7" s="3" t="s">
        <v>120</v>
      </c>
      <c r="Q7" s="3" t="s">
        <v>120</v>
      </c>
      <c r="R7" s="3" t="s">
        <v>123</v>
      </c>
      <c r="S7" s="3" t="s">
        <v>123</v>
      </c>
      <c r="T7" s="12">
        <v>20</v>
      </c>
      <c r="U7" s="12">
        <v>0</v>
      </c>
      <c r="V7" s="12">
        <v>8</v>
      </c>
      <c r="W7" s="12">
        <f>15*18</f>
        <v>270</v>
      </c>
      <c r="X7" s="3">
        <v>1</v>
      </c>
      <c r="Y7" s="3">
        <v>5</v>
      </c>
      <c r="Z7" s="3">
        <v>8</v>
      </c>
      <c r="AA7" s="3">
        <v>0</v>
      </c>
      <c r="AB7" s="12">
        <v>50</v>
      </c>
      <c r="AC7" s="3">
        <v>5</v>
      </c>
      <c r="AD7" s="12">
        <v>5</v>
      </c>
      <c r="AE7" s="8">
        <f>4800/0.797</f>
        <v>6022.5846925972392</v>
      </c>
      <c r="AF7" s="12">
        <v>1998</v>
      </c>
      <c r="AG7" s="3">
        <v>1</v>
      </c>
      <c r="AH7" s="3">
        <v>1</v>
      </c>
      <c r="AI7" s="3">
        <v>1</v>
      </c>
      <c r="AM7" s="3">
        <v>1</v>
      </c>
      <c r="AN7" s="3">
        <v>1</v>
      </c>
      <c r="AO7" s="3">
        <v>4</v>
      </c>
      <c r="AP7" s="12">
        <v>1</v>
      </c>
      <c r="AR7" s="3" t="s">
        <v>133</v>
      </c>
    </row>
    <row r="8" spans="1:44" x14ac:dyDescent="0.2">
      <c r="A8" s="3">
        <v>6</v>
      </c>
      <c r="D8" s="3">
        <v>1</v>
      </c>
      <c r="F8" s="3">
        <v>1</v>
      </c>
      <c r="G8" s="12">
        <v>1</v>
      </c>
      <c r="K8" s="3" t="s">
        <v>134</v>
      </c>
      <c r="L8" s="12" t="s">
        <v>120</v>
      </c>
      <c r="M8" s="12" t="s">
        <v>120</v>
      </c>
      <c r="N8" s="12" t="s">
        <v>121</v>
      </c>
      <c r="O8" s="12" t="s">
        <v>122</v>
      </c>
      <c r="P8" s="3" t="s">
        <v>120</v>
      </c>
      <c r="Q8" s="3" t="s">
        <v>120</v>
      </c>
      <c r="R8" s="3" t="s">
        <v>123</v>
      </c>
      <c r="S8" s="3" t="s">
        <v>123</v>
      </c>
      <c r="T8" s="12">
        <f>3*4.54596</f>
        <v>13.637879999999999</v>
      </c>
      <c r="U8" s="12">
        <v>0</v>
      </c>
      <c r="V8" s="12">
        <v>10</v>
      </c>
      <c r="W8" s="12">
        <f>16*18</f>
        <v>288</v>
      </c>
      <c r="X8" s="3">
        <v>0</v>
      </c>
      <c r="Y8" s="3">
        <v>0</v>
      </c>
      <c r="Z8" s="3">
        <v>5</v>
      </c>
      <c r="AA8" s="3">
        <v>0</v>
      </c>
      <c r="AB8" s="12">
        <v>50</v>
      </c>
      <c r="AC8" s="3">
        <v>8</v>
      </c>
      <c r="AD8" s="12">
        <v>8</v>
      </c>
      <c r="AE8" s="8">
        <f>4200/0.712</f>
        <v>5898.8764044943819</v>
      </c>
      <c r="AF8" s="12">
        <v>1997</v>
      </c>
      <c r="AG8" s="3">
        <v>1</v>
      </c>
      <c r="AH8" s="3">
        <v>1</v>
      </c>
      <c r="AI8" s="3">
        <v>1</v>
      </c>
      <c r="AM8" s="3">
        <v>1</v>
      </c>
      <c r="AO8" s="3">
        <v>1</v>
      </c>
      <c r="AP8" s="12">
        <v>1</v>
      </c>
      <c r="AR8" s="3" t="s">
        <v>135</v>
      </c>
    </row>
    <row r="9" spans="1:44" x14ac:dyDescent="0.2">
      <c r="A9" s="3">
        <v>7</v>
      </c>
      <c r="G9" s="12">
        <v>1</v>
      </c>
      <c r="K9" s="3" t="s">
        <v>119</v>
      </c>
      <c r="L9" s="12" t="s">
        <v>120</v>
      </c>
      <c r="M9" s="12" t="s">
        <v>120</v>
      </c>
      <c r="N9" s="12" t="s">
        <v>121</v>
      </c>
      <c r="O9" s="12" t="s">
        <v>122</v>
      </c>
      <c r="P9" s="3" t="s">
        <v>120</v>
      </c>
      <c r="Q9" s="3" t="s">
        <v>120</v>
      </c>
      <c r="R9" s="3" t="s">
        <v>123</v>
      </c>
      <c r="S9" s="3" t="s">
        <v>136</v>
      </c>
      <c r="T9" s="12">
        <f>2.5*4.54596</f>
        <v>11.3649</v>
      </c>
      <c r="U9" s="12">
        <v>0</v>
      </c>
      <c r="V9" s="12">
        <v>11</v>
      </c>
      <c r="W9" s="12">
        <f>1*18</f>
        <v>18</v>
      </c>
      <c r="X9" s="3">
        <v>4.54596</v>
      </c>
      <c r="Y9" s="3">
        <v>3</v>
      </c>
      <c r="Z9" s="3">
        <v>9</v>
      </c>
      <c r="AA9" s="3">
        <f>1*18</f>
        <v>18</v>
      </c>
      <c r="AB9" s="12">
        <v>50</v>
      </c>
      <c r="AC9" s="3">
        <v>5</v>
      </c>
      <c r="AD9" s="12">
        <v>4</v>
      </c>
      <c r="AE9" s="8">
        <v>4000</v>
      </c>
      <c r="AF9" s="12">
        <v>1999</v>
      </c>
      <c r="AG9" s="3">
        <v>1</v>
      </c>
      <c r="AH9" s="3">
        <v>1</v>
      </c>
      <c r="AM9" s="3">
        <v>1</v>
      </c>
      <c r="AN9" s="3">
        <v>1</v>
      </c>
      <c r="AO9" s="3">
        <v>2</v>
      </c>
      <c r="AP9" s="12">
        <v>1</v>
      </c>
      <c r="AR9" s="3" t="s">
        <v>137</v>
      </c>
    </row>
    <row r="10" spans="1:44" x14ac:dyDescent="0.2">
      <c r="A10" s="3">
        <v>8</v>
      </c>
      <c r="T10" s="12">
        <f>3*4.54596</f>
        <v>13.637879999999999</v>
      </c>
      <c r="U10" s="12">
        <v>0</v>
      </c>
      <c r="V10" s="12">
        <v>15</v>
      </c>
      <c r="W10" s="12">
        <v>0</v>
      </c>
      <c r="X10" s="3">
        <f>4.54596</f>
        <v>4.54596</v>
      </c>
      <c r="Y10" s="3">
        <v>10</v>
      </c>
      <c r="Z10" s="3">
        <v>15</v>
      </c>
      <c r="AA10" s="3">
        <v>0</v>
      </c>
      <c r="AB10" s="12">
        <v>50</v>
      </c>
      <c r="AC10" s="3">
        <v>10</v>
      </c>
      <c r="AD10" s="12">
        <v>6</v>
      </c>
      <c r="AE10" s="8">
        <f>5000/0.712</f>
        <v>7022.4719101123601</v>
      </c>
      <c r="AF10" s="12">
        <v>1997</v>
      </c>
      <c r="AG10" s="3">
        <v>1</v>
      </c>
      <c r="AH10" s="3">
        <v>1</v>
      </c>
      <c r="AJ10" s="3">
        <v>1</v>
      </c>
      <c r="AK10" s="3">
        <v>1</v>
      </c>
      <c r="AL10" s="3">
        <v>1</v>
      </c>
      <c r="AM10" s="3">
        <v>1</v>
      </c>
      <c r="AN10" s="3">
        <v>1</v>
      </c>
      <c r="AO10" s="3">
        <v>4</v>
      </c>
    </row>
    <row r="11" spans="1:44" x14ac:dyDescent="0.2">
      <c r="A11" s="3">
        <v>9</v>
      </c>
      <c r="K11" s="3">
        <f>6/8*100</f>
        <v>75</v>
      </c>
      <c r="T11" s="12">
        <f>4*4.54596</f>
        <v>18.18384</v>
      </c>
      <c r="U11" s="12">
        <v>0</v>
      </c>
      <c r="V11" s="12">
        <v>10</v>
      </c>
      <c r="W11" s="12">
        <f>4*18</f>
        <v>72</v>
      </c>
      <c r="X11" s="3">
        <v>2</v>
      </c>
      <c r="Y11" s="3">
        <v>11</v>
      </c>
      <c r="Z11" s="3">
        <v>10</v>
      </c>
      <c r="AA11" s="3">
        <f>1*18</f>
        <v>18</v>
      </c>
      <c r="AB11" s="12">
        <v>50</v>
      </c>
      <c r="AC11" s="3">
        <v>7</v>
      </c>
      <c r="AD11" s="12">
        <v>6</v>
      </c>
      <c r="AG11" s="3">
        <v>1</v>
      </c>
      <c r="AH11" s="3">
        <v>1</v>
      </c>
      <c r="AL11" s="3">
        <v>1</v>
      </c>
      <c r="AM11" s="3">
        <v>1</v>
      </c>
      <c r="AN11" s="3">
        <v>1</v>
      </c>
      <c r="AO11" s="3">
        <v>1</v>
      </c>
    </row>
    <row r="13" spans="1:44" x14ac:dyDescent="0.2">
      <c r="T13" s="72">
        <f>AVERAGE(T3:T11)</f>
        <v>13.667593333333334</v>
      </c>
      <c r="V13" s="72">
        <f>AVERAGE(V3:V11)</f>
        <v>10.444444444444445</v>
      </c>
      <c r="X13" s="72">
        <f>AVERAGE(X3:X11)</f>
        <v>2.181986666666667</v>
      </c>
      <c r="Y13" s="72">
        <f>AVERAGE(Y3:Y11)</f>
        <v>4.4444444444444446</v>
      </c>
      <c r="Z13" s="72">
        <f>AVERAGE(Z3:Z11)</f>
        <v>9.6666666666666661</v>
      </c>
      <c r="AB13" s="72">
        <f>AVERAGE(AB3:AB11)</f>
        <v>56.25</v>
      </c>
      <c r="AC13" s="72">
        <f>AVERAGE(AC3:AC11)</f>
        <v>5.666666666666667</v>
      </c>
      <c r="AD13" s="72">
        <f>AVERAGE(AD3:AD11)</f>
        <v>4.2222222222222223</v>
      </c>
      <c r="AE13" s="73">
        <f>AVERAGE(AE3:AE10)</f>
        <v>4297.2422668473873</v>
      </c>
    </row>
    <row r="15" spans="1:44" x14ac:dyDescent="0.2">
      <c r="A15" s="1" t="s">
        <v>138</v>
      </c>
      <c r="T15" s="12" t="s">
        <v>139</v>
      </c>
      <c r="Y15" s="3" t="s">
        <v>140</v>
      </c>
    </row>
    <row r="16" spans="1:44" x14ac:dyDescent="0.2">
      <c r="A16" s="1" t="s">
        <v>141</v>
      </c>
    </row>
    <row r="17" spans="1:20" x14ac:dyDescent="0.2">
      <c r="A17" s="3" t="s">
        <v>142</v>
      </c>
      <c r="T17" s="12" t="s">
        <v>143</v>
      </c>
    </row>
    <row r="18" spans="1:20" x14ac:dyDescent="0.2">
      <c r="A18" s="3" t="s">
        <v>144</v>
      </c>
    </row>
    <row r="20" spans="1:20" x14ac:dyDescent="0.2">
      <c r="A20" s="1" t="s">
        <v>145</v>
      </c>
    </row>
    <row r="21" spans="1:20" x14ac:dyDescent="0.2">
      <c r="A21" s="3" t="s">
        <v>146</v>
      </c>
    </row>
    <row r="23" spans="1:20" x14ac:dyDescent="0.2">
      <c r="A23" s="1" t="s">
        <v>147</v>
      </c>
    </row>
    <row r="24" spans="1:20" x14ac:dyDescent="0.2">
      <c r="A24" s="3" t="s">
        <v>148</v>
      </c>
    </row>
    <row r="26" spans="1:20" x14ac:dyDescent="0.2">
      <c r="A26" s="1" t="s">
        <v>149</v>
      </c>
    </row>
    <row r="27" spans="1:20" x14ac:dyDescent="0.2">
      <c r="A27" s="3" t="s">
        <v>150</v>
      </c>
    </row>
    <row r="29" spans="1:20" x14ac:dyDescent="0.2">
      <c r="A29" s="1" t="s">
        <v>151</v>
      </c>
    </row>
    <row r="30" spans="1:20" x14ac:dyDescent="0.2">
      <c r="A30" s="3" t="s">
        <v>152</v>
      </c>
    </row>
    <row r="32" spans="1:20" x14ac:dyDescent="0.2">
      <c r="A32" s="1" t="s">
        <v>153</v>
      </c>
    </row>
    <row r="33" spans="1:3" x14ac:dyDescent="0.2">
      <c r="A33" s="1" t="s">
        <v>154</v>
      </c>
    </row>
    <row r="34" spans="1:3" x14ac:dyDescent="0.2">
      <c r="A34" s="3" t="s">
        <v>155</v>
      </c>
      <c r="C34" s="11">
        <f>13.66759*12</f>
        <v>164.01107999999999</v>
      </c>
    </row>
    <row r="35" spans="1:3" x14ac:dyDescent="0.2">
      <c r="A35" s="3" t="s">
        <v>156</v>
      </c>
      <c r="C35" s="11">
        <f>2.181987*12</f>
        <v>26.183844000000001</v>
      </c>
    </row>
    <row r="37" spans="1:3" x14ac:dyDescent="0.2">
      <c r="A37" s="3" t="s">
        <v>157</v>
      </c>
      <c r="C37" s="74">
        <f>C34*31</f>
        <v>5084.3434799999995</v>
      </c>
    </row>
    <row r="38" spans="1:3" x14ac:dyDescent="0.2">
      <c r="A38" s="3" t="s">
        <v>158</v>
      </c>
      <c r="C38" s="74">
        <f>C35*31</f>
        <v>811.699164</v>
      </c>
    </row>
    <row r="40" spans="1:3" x14ac:dyDescent="0.2">
      <c r="A40" s="3" t="s">
        <v>159</v>
      </c>
      <c r="C40" s="74">
        <f>(C37/4.54596)*50</f>
        <v>55921.559802549949</v>
      </c>
    </row>
    <row r="41" spans="1:3" x14ac:dyDescent="0.2">
      <c r="A41" s="3" t="s">
        <v>160</v>
      </c>
      <c r="C41" s="74">
        <f>(C38/4.54596)*50</f>
        <v>8927.6980439775107</v>
      </c>
    </row>
    <row r="42" spans="1:3" x14ac:dyDescent="0.2">
      <c r="A42" s="3" t="s">
        <v>161</v>
      </c>
    </row>
    <row r="44" spans="1:3" x14ac:dyDescent="0.2">
      <c r="A44" s="3" t="s">
        <v>162</v>
      </c>
      <c r="C44" s="75">
        <f>C40-C41</f>
        <v>46993.861758572442</v>
      </c>
    </row>
    <row r="46" spans="1:3" x14ac:dyDescent="0.2">
      <c r="A46" s="1" t="s">
        <v>163</v>
      </c>
    </row>
    <row r="47" spans="1:3" x14ac:dyDescent="0.2">
      <c r="A47" s="3" t="s">
        <v>164</v>
      </c>
      <c r="C47" s="11">
        <f>(8+0+8+15+15+16+1+0+4)/9</f>
        <v>7.4444444444444446</v>
      </c>
    </row>
    <row r="48" spans="1:3" x14ac:dyDescent="0.2">
      <c r="A48" s="3" t="s">
        <v>165</v>
      </c>
      <c r="C48" s="11">
        <f>(0+0+0+5+0+0+1+0+1)/9</f>
        <v>0.77777777777777779</v>
      </c>
    </row>
    <row r="50" spans="1:3" x14ac:dyDescent="0.2">
      <c r="A50" s="3" t="s">
        <v>166</v>
      </c>
      <c r="C50" s="74">
        <f>C47*31*12</f>
        <v>2769.333333333333</v>
      </c>
    </row>
    <row r="51" spans="1:3" x14ac:dyDescent="0.2">
      <c r="A51" s="3" t="s">
        <v>167</v>
      </c>
      <c r="C51" s="74">
        <f>C48*12*31</f>
        <v>289.33333333333337</v>
      </c>
    </row>
    <row r="53" spans="1:3" x14ac:dyDescent="0.2">
      <c r="A53" s="3" t="s">
        <v>159</v>
      </c>
      <c r="C53" s="74">
        <f>C50*18</f>
        <v>49847.999999999993</v>
      </c>
    </row>
    <row r="54" spans="1:3" x14ac:dyDescent="0.2">
      <c r="A54" s="3" t="s">
        <v>160</v>
      </c>
      <c r="C54" s="74">
        <f>C51*18</f>
        <v>5208.0000000000009</v>
      </c>
    </row>
    <row r="55" spans="1:3" x14ac:dyDescent="0.2">
      <c r="A55" s="3" t="s">
        <v>168</v>
      </c>
    </row>
    <row r="57" spans="1:3" x14ac:dyDescent="0.2">
      <c r="A57" s="3" t="s">
        <v>169</v>
      </c>
      <c r="C57" s="75">
        <f>C53-C54</f>
        <v>44639.999999999993</v>
      </c>
    </row>
    <row r="59" spans="1:3" x14ac:dyDescent="0.2">
      <c r="A59" s="1" t="s">
        <v>170</v>
      </c>
    </row>
    <row r="60" spans="1:3" x14ac:dyDescent="0.2">
      <c r="A60" s="3" t="s">
        <v>171</v>
      </c>
      <c r="C60" s="11">
        <f>10.44*12</f>
        <v>125.28</v>
      </c>
    </row>
    <row r="61" spans="1:3" x14ac:dyDescent="0.2">
      <c r="A61" s="3" t="s">
        <v>172</v>
      </c>
      <c r="C61" s="11">
        <f>9.66*12</f>
        <v>115.92</v>
      </c>
    </row>
    <row r="63" spans="1:3" x14ac:dyDescent="0.2">
      <c r="A63" s="3" t="s">
        <v>173</v>
      </c>
      <c r="C63" s="74">
        <f>C60*31</f>
        <v>3883.68</v>
      </c>
    </row>
    <row r="64" spans="1:3" x14ac:dyDescent="0.2">
      <c r="A64" s="3" t="s">
        <v>174</v>
      </c>
      <c r="C64" s="74">
        <f>C61*31</f>
        <v>3593.52</v>
      </c>
    </row>
    <row r="66" spans="1:3" x14ac:dyDescent="0.2">
      <c r="A66" s="3" t="s">
        <v>159</v>
      </c>
      <c r="C66" s="74">
        <f>C63*70</f>
        <v>271857.59999999998</v>
      </c>
    </row>
    <row r="67" spans="1:3" x14ac:dyDescent="0.2">
      <c r="A67" s="3" t="s">
        <v>160</v>
      </c>
      <c r="C67" s="74">
        <f>C64*70</f>
        <v>251546.4</v>
      </c>
    </row>
    <row r="68" spans="1:3" x14ac:dyDescent="0.2">
      <c r="A68" s="3" t="s">
        <v>175</v>
      </c>
    </row>
    <row r="70" spans="1:3" x14ac:dyDescent="0.2">
      <c r="A70" s="3" t="s">
        <v>176</v>
      </c>
      <c r="C70" s="76">
        <f>C66-C67</f>
        <v>20311.199999999983</v>
      </c>
    </row>
    <row r="72" spans="1:3" x14ac:dyDescent="0.2">
      <c r="A72" s="1" t="s">
        <v>177</v>
      </c>
    </row>
    <row r="73" spans="1:3" x14ac:dyDescent="0.2">
      <c r="A73" s="3" t="s">
        <v>178</v>
      </c>
    </row>
    <row r="74" spans="1:3" x14ac:dyDescent="0.2">
      <c r="A74" s="3" t="s">
        <v>179</v>
      </c>
      <c r="C74" s="75">
        <f>Y13</f>
        <v>4.4444444444444446</v>
      </c>
    </row>
    <row r="75" spans="1:3" x14ac:dyDescent="0.2">
      <c r="A75" s="3" t="s">
        <v>180</v>
      </c>
      <c r="C75" s="77">
        <f>C74*12</f>
        <v>53.333333333333336</v>
      </c>
    </row>
    <row r="76" spans="1:3" x14ac:dyDescent="0.2">
      <c r="A76" s="3" t="s">
        <v>181</v>
      </c>
      <c r="C76" s="77">
        <f>C75*31</f>
        <v>1653.3333333333335</v>
      </c>
    </row>
    <row r="77" spans="1:3" x14ac:dyDescent="0.2">
      <c r="A77" s="3" t="s">
        <v>182</v>
      </c>
      <c r="C77" s="77">
        <f>C76*35</f>
        <v>57866.666666666672</v>
      </c>
    </row>
    <row r="78" spans="1:3" x14ac:dyDescent="0.2">
      <c r="A78" s="3" t="s">
        <v>183</v>
      </c>
    </row>
    <row r="80" spans="1:3" x14ac:dyDescent="0.2">
      <c r="A80" s="1" t="s">
        <v>184</v>
      </c>
    </row>
    <row r="81" spans="1:3" x14ac:dyDescent="0.2">
      <c r="A81" s="3" t="s">
        <v>185</v>
      </c>
      <c r="C81" s="78">
        <f>AB13</f>
        <v>56.25</v>
      </c>
    </row>
    <row r="82" spans="1:3" x14ac:dyDescent="0.2">
      <c r="A82" s="3" t="s">
        <v>186</v>
      </c>
      <c r="C82" s="77">
        <f>C81*12</f>
        <v>675</v>
      </c>
    </row>
    <row r="83" spans="1:3" x14ac:dyDescent="0.2">
      <c r="A83" s="3" t="s">
        <v>187</v>
      </c>
      <c r="C83" s="77">
        <f>C82*31</f>
        <v>20925</v>
      </c>
    </row>
    <row r="85" spans="1:3" x14ac:dyDescent="0.2">
      <c r="A85" s="1" t="s">
        <v>188</v>
      </c>
    </row>
    <row r="86" spans="1:3" x14ac:dyDescent="0.2">
      <c r="A86" s="3" t="s">
        <v>189</v>
      </c>
      <c r="C86" s="79">
        <f>AC13</f>
        <v>5.666666666666667</v>
      </c>
    </row>
    <row r="87" spans="1:3" x14ac:dyDescent="0.2">
      <c r="A87" s="3" t="s">
        <v>190</v>
      </c>
      <c r="C87" s="77">
        <f>31*C86</f>
        <v>175.66666666666669</v>
      </c>
    </row>
    <row r="88" spans="1:3" x14ac:dyDescent="0.2">
      <c r="A88" s="3" t="s">
        <v>191</v>
      </c>
      <c r="C88" s="77">
        <f>C87*50*6</f>
        <v>52700</v>
      </c>
    </row>
    <row r="89" spans="1:3" x14ac:dyDescent="0.2">
      <c r="A89" s="3" t="s">
        <v>192</v>
      </c>
    </row>
    <row r="92" spans="1:3" x14ac:dyDescent="0.2">
      <c r="A92" s="3" t="s">
        <v>193</v>
      </c>
      <c r="C92" s="80">
        <f>AD13</f>
        <v>4.2222222222222223</v>
      </c>
    </row>
    <row r="93" spans="1:3" x14ac:dyDescent="0.2">
      <c r="A93" s="3" t="s">
        <v>194</v>
      </c>
      <c r="C93" s="77">
        <f>C92*31</f>
        <v>130.88888888888889</v>
      </c>
    </row>
    <row r="94" spans="1:3" x14ac:dyDescent="0.2">
      <c r="A94" s="3" t="s">
        <v>195</v>
      </c>
      <c r="C94" s="77">
        <f>C93*15</f>
        <v>1963.3333333333333</v>
      </c>
    </row>
    <row r="95" spans="1:3" x14ac:dyDescent="0.2">
      <c r="A95" s="3" t="s">
        <v>196</v>
      </c>
    </row>
    <row r="97" spans="1:3" x14ac:dyDescent="0.2">
      <c r="A97" s="1" t="s">
        <v>197</v>
      </c>
    </row>
    <row r="98" spans="1:3" x14ac:dyDescent="0.2">
      <c r="A98" s="3" t="s">
        <v>198</v>
      </c>
    </row>
    <row r="100" spans="1:3" x14ac:dyDescent="0.2">
      <c r="A100" s="1" t="s">
        <v>199</v>
      </c>
    </row>
    <row r="101" spans="1:3" x14ac:dyDescent="0.2">
      <c r="A101" s="3" t="s">
        <v>200</v>
      </c>
      <c r="C101" s="11">
        <f>6/9*100</f>
        <v>66.666666666666657</v>
      </c>
    </row>
    <row r="102" spans="1:3" x14ac:dyDescent="0.2">
      <c r="A102" s="3" t="s">
        <v>110</v>
      </c>
      <c r="C102" s="11">
        <f>5/9*100</f>
        <v>55.555555555555557</v>
      </c>
    </row>
    <row r="103" spans="1:3" x14ac:dyDescent="0.2">
      <c r="A103" s="3" t="s">
        <v>201</v>
      </c>
      <c r="C103" s="11">
        <f>2/9*100</f>
        <v>22.222222222222221</v>
      </c>
    </row>
    <row r="104" spans="1:3" x14ac:dyDescent="0.2">
      <c r="A104" s="3" t="s">
        <v>112</v>
      </c>
      <c r="C104" s="11">
        <f>1/9*100</f>
        <v>11.111111111111111</v>
      </c>
    </row>
    <row r="105" spans="1:3" x14ac:dyDescent="0.2">
      <c r="A105" s="3" t="s">
        <v>113</v>
      </c>
      <c r="C105" s="11">
        <f>1/9*100</f>
        <v>11.111111111111111</v>
      </c>
    </row>
    <row r="106" spans="1:3" x14ac:dyDescent="0.2">
      <c r="A106" s="3" t="s">
        <v>114</v>
      </c>
      <c r="C106" s="11">
        <f>2/9*100</f>
        <v>22.222222222222221</v>
      </c>
    </row>
    <row r="107" spans="1:3" x14ac:dyDescent="0.2">
      <c r="A107" s="3" t="s">
        <v>96</v>
      </c>
      <c r="C107" s="11">
        <f>7/9*100</f>
        <v>77.777777777777786</v>
      </c>
    </row>
    <row r="108" spans="1:3" x14ac:dyDescent="0.2">
      <c r="A108" s="3" t="s">
        <v>202</v>
      </c>
      <c r="C108" s="11">
        <f>5/9*100</f>
        <v>55.555555555555557</v>
      </c>
    </row>
    <row r="109" spans="1:3" x14ac:dyDescent="0.2">
      <c r="A109" s="3" t="s">
        <v>116</v>
      </c>
      <c r="C109" s="11">
        <v>100</v>
      </c>
    </row>
    <row r="111" spans="1:3" x14ac:dyDescent="0.2">
      <c r="A111" s="1" t="s">
        <v>203</v>
      </c>
    </row>
    <row r="112" spans="1:3" x14ac:dyDescent="0.2">
      <c r="A112" s="3" t="s">
        <v>204</v>
      </c>
      <c r="C112" s="81">
        <f>AE13</f>
        <v>4297.2422668473873</v>
      </c>
    </row>
    <row r="113" spans="1:3" x14ac:dyDescent="0.2">
      <c r="A113" s="3" t="s">
        <v>205</v>
      </c>
      <c r="C113" s="77">
        <f>C112*31</f>
        <v>133214.51027226902</v>
      </c>
    </row>
    <row r="114" spans="1:3" x14ac:dyDescent="0.2">
      <c r="A114" t="s">
        <v>206</v>
      </c>
    </row>
  </sheetData>
  <mergeCells count="8">
    <mergeCell ref="T1:W1"/>
    <mergeCell ref="X1:AA1"/>
    <mergeCell ref="AG1:AO1"/>
    <mergeCell ref="AP1:AQ1"/>
    <mergeCell ref="C1:F1"/>
    <mergeCell ref="G1:J1"/>
    <mergeCell ref="L1:O1"/>
    <mergeCell ref="P1:S1"/>
  </mergeCells>
  <phoneticPr fontId="9" type="noConversion"/>
  <pageMargins left="0.75" right="0.75" top="1" bottom="1" header="0.5" footer="0.5"/>
  <pageSetup paperSize="9" scale="72" fitToHeight="2" orientation="landscape" horizontalDpi="180" verticalDpi="18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CBA</vt:lpstr>
      <vt:lpstr>Individ. Hh. Analysis</vt:lpstr>
      <vt:lpstr>CBA!Print_Area</vt:lpstr>
      <vt:lpstr>'Individ. Hh. Analysis'!Print_Area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Burhanuddin</dc:creator>
  <cp:lastModifiedBy>xbany</cp:lastModifiedBy>
  <cp:lastPrinted>2000-05-25T18:42:32Z</cp:lastPrinted>
  <dcterms:created xsi:type="dcterms:W3CDTF">2000-02-07T12:43:48Z</dcterms:created>
  <dcterms:modified xsi:type="dcterms:W3CDTF">2021-01-12T04:36:34Z</dcterms:modified>
</cp:coreProperties>
</file>