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financial\SEEDED\xlsx\"/>
    </mc:Choice>
  </mc:AlternateContent>
  <xr:revisionPtr revIDLastSave="0" documentId="13_ncr:1_{D30BEABC-64B3-416A-A59C-36725D4D26EC}" xr6:coauthVersionLast="46" xr6:coauthVersionMax="46" xr10:uidLastSave="{00000000-0000-0000-0000-000000000000}"/>
  <bookViews>
    <workbookView xWindow="2340" yWindow="0" windowWidth="21750" windowHeight="15750" tabRatio="601" xr2:uid="{00000000-000D-0000-FFFF-FFFF00000000}"/>
  </bookViews>
  <sheets>
    <sheet name="P&amp;L" sheetId="1" r:id="rId1"/>
    <sheet name="P&amp;L Crib" sheetId="2" state="hidden" r:id="rId2"/>
    <sheet name="BS" sheetId="3" r:id="rId3"/>
    <sheet name="BS Crib" sheetId="4" state="hidden" r:id="rId4"/>
    <sheet name="CF" sheetId="5" r:id="rId5"/>
  </sheets>
  <definedNames>
    <definedName name="_xlnm.Print_Area" localSheetId="3">'BS Crib'!$8:$204</definedName>
    <definedName name="_xlnm.Print_Area" localSheetId="0">'P&amp;L'!$A$1:$L$58</definedName>
    <definedName name="_xlnm.Print_Area" localSheetId="1">'P&amp;L Crib'!$9:$128</definedName>
    <definedName name="_xlnm.Print_Titles" localSheetId="3">'BS Crib'!$1:$7</definedName>
    <definedName name="_xlnm.Print_Titles" localSheetId="1">'P&amp;L Crib'!$1:$8</definedName>
  </definedNames>
  <calcPr calcId="181029"/>
</workbook>
</file>

<file path=xl/calcChain.xml><?xml version="1.0" encoding="utf-8"?>
<calcChain xmlns="http://schemas.openxmlformats.org/spreadsheetml/2006/main">
  <c r="G73" i="5" l="1"/>
  <c r="G71" i="5"/>
  <c r="G68" i="5"/>
  <c r="G58" i="5"/>
  <c r="G56" i="5"/>
  <c r="I54" i="5"/>
  <c r="H54" i="5"/>
  <c r="E54" i="5"/>
  <c r="D54" i="5"/>
  <c r="G53" i="5"/>
  <c r="G52" i="5"/>
  <c r="G54" i="5" s="1"/>
  <c r="I49" i="5"/>
  <c r="H49" i="5"/>
  <c r="E49" i="5"/>
  <c r="G48" i="5"/>
  <c r="G47" i="5"/>
  <c r="G46" i="5"/>
  <c r="G45" i="5"/>
  <c r="G44" i="5"/>
  <c r="G43" i="5"/>
  <c r="G42" i="5"/>
  <c r="G41" i="5"/>
  <c r="G40" i="5"/>
  <c r="G39" i="5"/>
  <c r="D38" i="5"/>
  <c r="D49" i="5" s="1"/>
  <c r="G37" i="5"/>
  <c r="I33" i="5"/>
  <c r="E33" i="5"/>
  <c r="G33" i="5" s="1"/>
  <c r="G32" i="5"/>
  <c r="G31" i="5"/>
  <c r="G30" i="5"/>
  <c r="G29" i="5"/>
  <c r="G27" i="5"/>
  <c r="G26" i="5"/>
  <c r="G25" i="5"/>
  <c r="G24" i="5"/>
  <c r="G23" i="5"/>
  <c r="G22" i="5"/>
  <c r="G21" i="5"/>
  <c r="G20" i="5"/>
  <c r="G19" i="5"/>
  <c r="G18" i="5"/>
  <c r="E17" i="5"/>
  <c r="E34" i="5" s="1"/>
  <c r="E60" i="5" s="1"/>
  <c r="E64" i="5" s="1"/>
  <c r="G16" i="5"/>
  <c r="I14" i="5"/>
  <c r="I34" i="5" s="1"/>
  <c r="I60" i="5" s="1"/>
  <c r="I64" i="5" s="1"/>
  <c r="H14" i="5"/>
  <c r="H34" i="5" s="1"/>
  <c r="H60" i="5" s="1"/>
  <c r="H64" i="5" s="1"/>
  <c r="G14" i="5"/>
  <c r="E14" i="5"/>
  <c r="D14" i="5"/>
  <c r="D34" i="5" s="1"/>
  <c r="G13" i="5"/>
  <c r="G12" i="5"/>
  <c r="G11" i="5"/>
  <c r="F201" i="4"/>
  <c r="G197" i="4"/>
  <c r="D197" i="4"/>
  <c r="J191" i="4"/>
  <c r="H191" i="4"/>
  <c r="F191" i="4"/>
  <c r="F189" i="4"/>
  <c r="J188" i="4"/>
  <c r="H188" i="4"/>
  <c r="H197" i="4" s="1"/>
  <c r="G188" i="4"/>
  <c r="J187" i="4"/>
  <c r="G187" i="4"/>
  <c r="F187" i="4"/>
  <c r="D187" i="4"/>
  <c r="G185" i="4"/>
  <c r="G184" i="4"/>
  <c r="F184" i="4"/>
  <c r="F197" i="4" s="1"/>
  <c r="D184" i="4"/>
  <c r="J182" i="4"/>
  <c r="G182" i="4"/>
  <c r="J181" i="4"/>
  <c r="J197" i="4" s="1"/>
  <c r="J176" i="4"/>
  <c r="F176" i="4"/>
  <c r="D176" i="4"/>
  <c r="H172" i="4"/>
  <c r="H176" i="4" s="1"/>
  <c r="G172" i="4"/>
  <c r="G176" i="4" s="1"/>
  <c r="J169" i="4"/>
  <c r="G169" i="4"/>
  <c r="F169" i="4"/>
  <c r="D169" i="4"/>
  <c r="J168" i="4"/>
  <c r="H168" i="4"/>
  <c r="H169" i="4" s="1"/>
  <c r="J166" i="4"/>
  <c r="F148" i="4"/>
  <c r="J147" i="4"/>
  <c r="J148" i="4" s="1"/>
  <c r="H147" i="4"/>
  <c r="G147" i="4"/>
  <c r="G148" i="4" s="1"/>
  <c r="F147" i="4"/>
  <c r="G144" i="4"/>
  <c r="D144" i="4"/>
  <c r="D148" i="4" s="1"/>
  <c r="H139" i="4"/>
  <c r="H148" i="4" s="1"/>
  <c r="H133" i="4"/>
  <c r="J126" i="4"/>
  <c r="H126" i="4"/>
  <c r="G126" i="4"/>
  <c r="F126" i="4"/>
  <c r="G125" i="4"/>
  <c r="D125" i="4"/>
  <c r="D126" i="4" s="1"/>
  <c r="H123" i="4"/>
  <c r="G123" i="4"/>
  <c r="F120" i="4"/>
  <c r="H118" i="4"/>
  <c r="G118" i="4"/>
  <c r="D118" i="4"/>
  <c r="J116" i="4"/>
  <c r="H116" i="4"/>
  <c r="G116" i="4"/>
  <c r="F116" i="4"/>
  <c r="D116" i="4"/>
  <c r="D107" i="4"/>
  <c r="D150" i="4" s="1"/>
  <c r="D199" i="4" s="1"/>
  <c r="D203" i="4" s="1"/>
  <c r="G106" i="4"/>
  <c r="F106" i="4"/>
  <c r="D106" i="4"/>
  <c r="J105" i="4"/>
  <c r="J107" i="4" s="1"/>
  <c r="H105" i="4"/>
  <c r="H107" i="4" s="1"/>
  <c r="H150" i="4" s="1"/>
  <c r="G105" i="4"/>
  <c r="G107" i="4" s="1"/>
  <c r="F105" i="4"/>
  <c r="F107" i="4" s="1"/>
  <c r="F150" i="4" s="1"/>
  <c r="F199" i="4" s="1"/>
  <c r="F203" i="4" s="1"/>
  <c r="A102" i="4"/>
  <c r="J97" i="4"/>
  <c r="H97" i="4"/>
  <c r="G97" i="4"/>
  <c r="G92" i="4"/>
  <c r="F92" i="4"/>
  <c r="D92" i="4"/>
  <c r="J91" i="4"/>
  <c r="J88" i="4"/>
  <c r="G88" i="4"/>
  <c r="F88" i="4"/>
  <c r="D88" i="4"/>
  <c r="J86" i="4"/>
  <c r="J98" i="4" s="1"/>
  <c r="H86" i="4"/>
  <c r="H98" i="4" s="1"/>
  <c r="G86" i="4"/>
  <c r="G98" i="4" s="1"/>
  <c r="F86" i="4"/>
  <c r="F98" i="4" s="1"/>
  <c r="D86" i="4"/>
  <c r="D98" i="4" s="1"/>
  <c r="G82" i="4"/>
  <c r="G79" i="4"/>
  <c r="F79" i="4"/>
  <c r="D79" i="4"/>
  <c r="J77" i="4"/>
  <c r="H77" i="4"/>
  <c r="G75" i="4"/>
  <c r="D74" i="4"/>
  <c r="G72" i="4"/>
  <c r="H71" i="4"/>
  <c r="H79" i="4" s="1"/>
  <c r="D71" i="4"/>
  <c r="J69" i="4"/>
  <c r="J79" i="4" s="1"/>
  <c r="G64" i="4"/>
  <c r="F64" i="4"/>
  <c r="D64" i="4"/>
  <c r="J63" i="4"/>
  <c r="J62" i="4"/>
  <c r="J64" i="4" s="1"/>
  <c r="H62" i="4"/>
  <c r="H64" i="4" s="1"/>
  <c r="G62" i="4"/>
  <c r="J59" i="4"/>
  <c r="D59" i="4"/>
  <c r="H58" i="4"/>
  <c r="G58" i="4"/>
  <c r="G59" i="4" s="1"/>
  <c r="F58" i="4"/>
  <c r="F59" i="4" s="1"/>
  <c r="D58" i="4"/>
  <c r="H56" i="4"/>
  <c r="H59" i="4" s="1"/>
  <c r="J48" i="4"/>
  <c r="G48" i="4"/>
  <c r="F48" i="4"/>
  <c r="H47" i="4"/>
  <c r="H43" i="4"/>
  <c r="H39" i="4"/>
  <c r="G38" i="4"/>
  <c r="F38" i="4"/>
  <c r="D38" i="4"/>
  <c r="D48" i="4" s="1"/>
  <c r="H37" i="4"/>
  <c r="H48" i="4" s="1"/>
  <c r="J29" i="4"/>
  <c r="G29" i="4"/>
  <c r="H26" i="4"/>
  <c r="G26" i="4"/>
  <c r="F26" i="4"/>
  <c r="D26" i="4"/>
  <c r="D29" i="4" s="1"/>
  <c r="H25" i="4"/>
  <c r="H24" i="4"/>
  <c r="H29" i="4" s="1"/>
  <c r="F24" i="4"/>
  <c r="F29" i="4" s="1"/>
  <c r="F21" i="4"/>
  <c r="F50" i="4" s="1"/>
  <c r="G15" i="4"/>
  <c r="G21" i="4" s="1"/>
  <c r="G50" i="4" s="1"/>
  <c r="G100" i="4" s="1"/>
  <c r="J14" i="4"/>
  <c r="J21" i="4" s="1"/>
  <c r="J50" i="4" s="1"/>
  <c r="J100" i="4" s="1"/>
  <c r="H14" i="4"/>
  <c r="H21" i="4" s="1"/>
  <c r="H50" i="4" s="1"/>
  <c r="H100" i="4" s="1"/>
  <c r="G14" i="4"/>
  <c r="G12" i="4"/>
  <c r="F12" i="4"/>
  <c r="D12" i="4"/>
  <c r="D21" i="4" s="1"/>
  <c r="F11" i="4"/>
  <c r="J8" i="4"/>
  <c r="A4" i="4"/>
  <c r="E51" i="3"/>
  <c r="E42" i="3"/>
  <c r="D42" i="3"/>
  <c r="E40" i="3"/>
  <c r="D40" i="3"/>
  <c r="D51" i="3" s="1"/>
  <c r="E39" i="3"/>
  <c r="E36" i="3"/>
  <c r="D27" i="3"/>
  <c r="E21" i="3"/>
  <c r="E18" i="3"/>
  <c r="D18" i="3"/>
  <c r="D19" i="3" s="1"/>
  <c r="D28" i="3" s="1"/>
  <c r="E17" i="3"/>
  <c r="E19" i="3" s="1"/>
  <c r="E28" i="3" s="1"/>
  <c r="N126" i="2"/>
  <c r="L126" i="2"/>
  <c r="Q126" i="2" s="1"/>
  <c r="H126" i="2"/>
  <c r="F126" i="2"/>
  <c r="D126" i="2"/>
  <c r="S126" i="2" s="1"/>
  <c r="L125" i="2"/>
  <c r="J125" i="2"/>
  <c r="H125" i="2"/>
  <c r="F125" i="2"/>
  <c r="D125" i="2"/>
  <c r="S125" i="2" s="1"/>
  <c r="N124" i="2"/>
  <c r="L124" i="2"/>
  <c r="Q124" i="2" s="1"/>
  <c r="J124" i="2"/>
  <c r="H124" i="2"/>
  <c r="F124" i="2"/>
  <c r="D124" i="2"/>
  <c r="S124" i="2" s="1"/>
  <c r="L123" i="2"/>
  <c r="D123" i="2"/>
  <c r="L122" i="2"/>
  <c r="H122" i="2"/>
  <c r="F122" i="2"/>
  <c r="D122" i="2"/>
  <c r="S122" i="2" s="1"/>
  <c r="S117" i="2"/>
  <c r="Q117" i="2"/>
  <c r="N116" i="2"/>
  <c r="L116" i="2"/>
  <c r="J116" i="2"/>
  <c r="H116" i="2"/>
  <c r="F116" i="2"/>
  <c r="D116" i="2"/>
  <c r="S115" i="2"/>
  <c r="S116" i="2" s="1"/>
  <c r="Q115" i="2"/>
  <c r="Q116" i="2" s="1"/>
  <c r="S114" i="2"/>
  <c r="Q114" i="2"/>
  <c r="S109" i="2"/>
  <c r="Q109" i="2"/>
  <c r="J103" i="2"/>
  <c r="F103" i="2"/>
  <c r="D103" i="2"/>
  <c r="S102" i="2"/>
  <c r="Q102" i="2"/>
  <c r="S101" i="2"/>
  <c r="Q101" i="2"/>
  <c r="Q100" i="2"/>
  <c r="S99" i="2"/>
  <c r="Q99" i="2"/>
  <c r="H99" i="2"/>
  <c r="H103" i="2" s="1"/>
  <c r="S98" i="2"/>
  <c r="Q98" i="2"/>
  <c r="S97" i="2"/>
  <c r="Q97" i="2"/>
  <c r="S96" i="2"/>
  <c r="N96" i="2"/>
  <c r="L96" i="2"/>
  <c r="L103" i="2" s="1"/>
  <c r="S95" i="2"/>
  <c r="S103" i="2" s="1"/>
  <c r="Q95" i="2"/>
  <c r="N95" i="2"/>
  <c r="N103" i="2" s="1"/>
  <c r="S91" i="2"/>
  <c r="N91" i="2"/>
  <c r="Q91" i="2" s="1"/>
  <c r="J91" i="2"/>
  <c r="H91" i="2"/>
  <c r="S87" i="2"/>
  <c r="Q87" i="2"/>
  <c r="J87" i="2"/>
  <c r="H87" i="2"/>
  <c r="L81" i="2"/>
  <c r="Q81" i="2" s="1"/>
  <c r="D81" i="2"/>
  <c r="S81" i="2" s="1"/>
  <c r="N79" i="2"/>
  <c r="L79" i="2"/>
  <c r="H79" i="2"/>
  <c r="F79" i="2"/>
  <c r="D79" i="2"/>
  <c r="S78" i="2"/>
  <c r="Q78" i="2"/>
  <c r="Q77" i="2"/>
  <c r="J77" i="2"/>
  <c r="J79" i="2" s="1"/>
  <c r="F77" i="2"/>
  <c r="S77" i="2" s="1"/>
  <c r="S76" i="2"/>
  <c r="Q76" i="2"/>
  <c r="S75" i="2"/>
  <c r="Q75" i="2"/>
  <c r="S74" i="2"/>
  <c r="Q74" i="2"/>
  <c r="S73" i="2"/>
  <c r="Q73" i="2"/>
  <c r="S72" i="2"/>
  <c r="S79" i="2" s="1"/>
  <c r="Q72" i="2"/>
  <c r="Q79" i="2" s="1"/>
  <c r="L72" i="2"/>
  <c r="S69" i="2"/>
  <c r="Q69" i="2"/>
  <c r="J69" i="2"/>
  <c r="J126" i="2" s="1"/>
  <c r="F69" i="2"/>
  <c r="D69" i="2"/>
  <c r="S68" i="2"/>
  <c r="Q68" i="2"/>
  <c r="S67" i="2"/>
  <c r="Q67" i="2"/>
  <c r="Q66" i="2"/>
  <c r="J66" i="2"/>
  <c r="H66" i="2"/>
  <c r="F66" i="2"/>
  <c r="S66" i="2" s="1"/>
  <c r="S65" i="2"/>
  <c r="N65" i="2"/>
  <c r="Q65" i="2" s="1"/>
  <c r="J63" i="2"/>
  <c r="J70" i="2" s="1"/>
  <c r="H63" i="2"/>
  <c r="H70" i="2" s="1"/>
  <c r="D63" i="2"/>
  <c r="D70" i="2" s="1"/>
  <c r="S62" i="2"/>
  <c r="Q62" i="2"/>
  <c r="D62" i="2"/>
  <c r="S61" i="2"/>
  <c r="Q61" i="2"/>
  <c r="S60" i="2"/>
  <c r="Q60" i="2"/>
  <c r="S59" i="2"/>
  <c r="Q59" i="2"/>
  <c r="S58" i="2"/>
  <c r="L58" i="2"/>
  <c r="Q58" i="2" s="1"/>
  <c r="S57" i="2"/>
  <c r="Q57" i="2"/>
  <c r="N57" i="2"/>
  <c r="F57" i="2"/>
  <c r="S56" i="2"/>
  <c r="Q56" i="2"/>
  <c r="N56" i="2"/>
  <c r="S55" i="2"/>
  <c r="Q55" i="2"/>
  <c r="S54" i="2"/>
  <c r="Q54" i="2"/>
  <c r="S53" i="2"/>
  <c r="Q53" i="2"/>
  <c r="S52" i="2"/>
  <c r="N52" i="2"/>
  <c r="Q52" i="2" s="1"/>
  <c r="S51" i="2"/>
  <c r="Q51" i="2"/>
  <c r="N51" i="2"/>
  <c r="S50" i="2"/>
  <c r="N50" i="2"/>
  <c r="Q50" i="2" s="1"/>
  <c r="J50" i="2"/>
  <c r="N49" i="2"/>
  <c r="Q49" i="2" s="1"/>
  <c r="L49" i="2"/>
  <c r="J49" i="2"/>
  <c r="H49" i="2"/>
  <c r="F49" i="2"/>
  <c r="S49" i="2" s="1"/>
  <c r="D49" i="2"/>
  <c r="S48" i="2"/>
  <c r="N48" i="2"/>
  <c r="Q48" i="2" s="1"/>
  <c r="S47" i="2"/>
  <c r="Q47" i="2"/>
  <c r="S46" i="2"/>
  <c r="Q46" i="2"/>
  <c r="N45" i="2"/>
  <c r="N63" i="2" s="1"/>
  <c r="N70" i="2" s="1"/>
  <c r="L45" i="2"/>
  <c r="L63" i="2" s="1"/>
  <c r="L70" i="2" s="1"/>
  <c r="J45" i="2"/>
  <c r="F45" i="2"/>
  <c r="F63" i="2" s="1"/>
  <c r="F70" i="2" s="1"/>
  <c r="D45" i="2"/>
  <c r="S45" i="2" s="1"/>
  <c r="S63" i="2" s="1"/>
  <c r="L42" i="2"/>
  <c r="J42" i="2"/>
  <c r="F42" i="2"/>
  <c r="D42" i="2"/>
  <c r="S41" i="2"/>
  <c r="Q41" i="2"/>
  <c r="S40" i="2"/>
  <c r="N40" i="2"/>
  <c r="Q40" i="2" s="1"/>
  <c r="S39" i="2"/>
  <c r="Q39" i="2"/>
  <c r="L39" i="2"/>
  <c r="H39" i="2"/>
  <c r="H42" i="2" s="1"/>
  <c r="S38" i="2"/>
  <c r="N38" i="2"/>
  <c r="N42" i="2" s="1"/>
  <c r="S37" i="2"/>
  <c r="S42" i="2" s="1"/>
  <c r="L37" i="2"/>
  <c r="Q37" i="2" s="1"/>
  <c r="H34" i="2"/>
  <c r="S33" i="2"/>
  <c r="Q33" i="2"/>
  <c r="N33" i="2"/>
  <c r="N32" i="2"/>
  <c r="N123" i="2" s="1"/>
  <c r="L32" i="2"/>
  <c r="J32" i="2"/>
  <c r="H32" i="2"/>
  <c r="F32" i="2"/>
  <c r="F123" i="2" s="1"/>
  <c r="S31" i="2"/>
  <c r="N31" i="2"/>
  <c r="Q31" i="2" s="1"/>
  <c r="J31" i="2"/>
  <c r="J122" i="2" s="1"/>
  <c r="L29" i="2"/>
  <c r="L34" i="2" s="1"/>
  <c r="J29" i="2"/>
  <c r="H29" i="2"/>
  <c r="F29" i="2"/>
  <c r="F34" i="2" s="1"/>
  <c r="D29" i="2"/>
  <c r="D34" i="2" s="1"/>
  <c r="S28" i="2"/>
  <c r="Q28" i="2"/>
  <c r="N28" i="2"/>
  <c r="S27" i="2"/>
  <c r="S29" i="2" s="1"/>
  <c r="N27" i="2"/>
  <c r="N29" i="2" s="1"/>
  <c r="N34" i="2" s="1"/>
  <c r="L21" i="2"/>
  <c r="J21" i="2"/>
  <c r="H21" i="2"/>
  <c r="F21" i="2"/>
  <c r="D21" i="2"/>
  <c r="S20" i="2"/>
  <c r="S21" i="2" s="1"/>
  <c r="Q20" i="2"/>
  <c r="Q21" i="2" s="1"/>
  <c r="S19" i="2"/>
  <c r="Q19" i="2"/>
  <c r="N19" i="2"/>
  <c r="N21" i="2" s="1"/>
  <c r="L17" i="2"/>
  <c r="J17" i="2"/>
  <c r="J23" i="2" s="1"/>
  <c r="F17" i="2"/>
  <c r="D17" i="2"/>
  <c r="S16" i="2"/>
  <c r="S17" i="2" s="1"/>
  <c r="L16" i="2"/>
  <c r="Q16" i="2" s="1"/>
  <c r="J16" i="2"/>
  <c r="J123" i="2" s="1"/>
  <c r="H16" i="2"/>
  <c r="H17" i="2" s="1"/>
  <c r="H23" i="2" s="1"/>
  <c r="H83" i="2" s="1"/>
  <c r="H106" i="2" s="1"/>
  <c r="H112" i="2" s="1"/>
  <c r="H119" i="2" s="1"/>
  <c r="F16" i="2"/>
  <c r="S15" i="2"/>
  <c r="N15" i="2"/>
  <c r="N122" i="2" s="1"/>
  <c r="N13" i="2"/>
  <c r="L13" i="2"/>
  <c r="L23" i="2" s="1"/>
  <c r="L83" i="2" s="1"/>
  <c r="J13" i="2"/>
  <c r="J121" i="2" s="1"/>
  <c r="H13" i="2"/>
  <c r="H121" i="2" s="1"/>
  <c r="F13" i="2"/>
  <c r="F23" i="2" s="1"/>
  <c r="F83" i="2" s="1"/>
  <c r="F106" i="2" s="1"/>
  <c r="F112" i="2" s="1"/>
  <c r="F119" i="2" s="1"/>
  <c r="D13" i="2"/>
  <c r="D23" i="2" s="1"/>
  <c r="D83" i="2" s="1"/>
  <c r="D106" i="2" s="1"/>
  <c r="D112" i="2" s="1"/>
  <c r="D119" i="2" s="1"/>
  <c r="S12" i="2"/>
  <c r="Q12" i="2"/>
  <c r="S11" i="2"/>
  <c r="S13" i="2" s="1"/>
  <c r="Q11" i="2"/>
  <c r="Q13" i="2" s="1"/>
  <c r="N11" i="2"/>
  <c r="N71" i="1"/>
  <c r="M71" i="1"/>
  <c r="K71" i="1"/>
  <c r="N70" i="1"/>
  <c r="K53" i="1" s="1"/>
  <c r="M70" i="1"/>
  <c r="M69" i="1"/>
  <c r="N67" i="1"/>
  <c r="N64" i="1"/>
  <c r="K64" i="1" s="1"/>
  <c r="K72" i="1" s="1"/>
  <c r="H54" i="1" s="1"/>
  <c r="M64" i="1"/>
  <c r="M72" i="1" s="1"/>
  <c r="K63" i="1"/>
  <c r="N62" i="1"/>
  <c r="K62" i="1"/>
  <c r="K70" i="1" s="1"/>
  <c r="H53" i="1" s="1"/>
  <c r="N61" i="1"/>
  <c r="N69" i="1" s="1"/>
  <c r="K51" i="1" s="1"/>
  <c r="M61" i="1"/>
  <c r="K61" i="1"/>
  <c r="K69" i="1" s="1"/>
  <c r="H51" i="1" s="1"/>
  <c r="O54" i="1"/>
  <c r="P53" i="1"/>
  <c r="O53" i="1"/>
  <c r="L53" i="1"/>
  <c r="K52" i="1"/>
  <c r="O51" i="1"/>
  <c r="I45" i="1"/>
  <c r="H45" i="1"/>
  <c r="I44" i="1"/>
  <c r="H44" i="1"/>
  <c r="I39" i="1"/>
  <c r="H39" i="1"/>
  <c r="P35" i="1"/>
  <c r="O35" i="1"/>
  <c r="L35" i="1"/>
  <c r="K35" i="1"/>
  <c r="H35" i="1" s="1"/>
  <c r="I35" i="1"/>
  <c r="I34" i="1"/>
  <c r="H34" i="1"/>
  <c r="I33" i="1"/>
  <c r="H33" i="1"/>
  <c r="I32" i="1"/>
  <c r="H32" i="1"/>
  <c r="P29" i="1"/>
  <c r="P37" i="1" s="1"/>
  <c r="P42" i="1" s="1"/>
  <c r="P47" i="1" s="1"/>
  <c r="P27" i="1"/>
  <c r="L27" i="1"/>
  <c r="L29" i="1" s="1"/>
  <c r="I26" i="1"/>
  <c r="H26" i="1"/>
  <c r="I25" i="1"/>
  <c r="H25" i="1"/>
  <c r="O23" i="1"/>
  <c r="H23" i="1" s="1"/>
  <c r="L23" i="1"/>
  <c r="K23" i="1"/>
  <c r="K27" i="1" s="1"/>
  <c r="I23" i="1"/>
  <c r="I21" i="1"/>
  <c r="H21" i="1"/>
  <c r="I20" i="1"/>
  <c r="H20" i="1"/>
  <c r="P17" i="1"/>
  <c r="O17" i="1"/>
  <c r="L17" i="1"/>
  <c r="K17" i="1"/>
  <c r="K29" i="1" s="1"/>
  <c r="I17" i="1"/>
  <c r="I16" i="1"/>
  <c r="H16" i="1"/>
  <c r="I15" i="1"/>
  <c r="H15" i="1"/>
  <c r="I14" i="1"/>
  <c r="H14" i="1"/>
  <c r="D204" i="4" l="1"/>
  <c r="S70" i="2"/>
  <c r="G150" i="4"/>
  <c r="G199" i="4" s="1"/>
  <c r="G203" i="4" s="1"/>
  <c r="G204" i="4" s="1"/>
  <c r="Q122" i="2"/>
  <c r="F204" i="4"/>
  <c r="K37" i="1"/>
  <c r="K42" i="1" s="1"/>
  <c r="I29" i="1"/>
  <c r="I37" i="1" s="1"/>
  <c r="L37" i="1"/>
  <c r="L42" i="1" s="1"/>
  <c r="S123" i="2"/>
  <c r="F100" i="4"/>
  <c r="J127" i="2"/>
  <c r="Q123" i="2"/>
  <c r="D50" i="4"/>
  <c r="D100" i="4" s="1"/>
  <c r="H199" i="4"/>
  <c r="H203" i="4" s="1"/>
  <c r="H204" i="4" s="1"/>
  <c r="J83" i="2"/>
  <c r="J106" i="2" s="1"/>
  <c r="J112" i="2" s="1"/>
  <c r="J119" i="2" s="1"/>
  <c r="Q42" i="2"/>
  <c r="L106" i="2"/>
  <c r="L112" i="2" s="1"/>
  <c r="L119" i="2" s="1"/>
  <c r="J150" i="4"/>
  <c r="J199" i="4" s="1"/>
  <c r="J203" i="4" s="1"/>
  <c r="J204" i="4" s="1"/>
  <c r="S23" i="2"/>
  <c r="N23" i="2"/>
  <c r="N83" i="2" s="1"/>
  <c r="N106" i="2" s="1"/>
  <c r="N112" i="2" s="1"/>
  <c r="N119" i="2" s="1"/>
  <c r="G34" i="5"/>
  <c r="D60" i="5"/>
  <c r="J34" i="2"/>
  <c r="F121" i="2"/>
  <c r="F127" i="2" s="1"/>
  <c r="D121" i="2"/>
  <c r="O27" i="1"/>
  <c r="O29" i="1" s="1"/>
  <c r="Q32" i="2"/>
  <c r="G17" i="5"/>
  <c r="H17" i="1"/>
  <c r="N17" i="2"/>
  <c r="S32" i="2"/>
  <c r="S34" i="2" s="1"/>
  <c r="Q38" i="2"/>
  <c r="Q45" i="2"/>
  <c r="Q63" i="2" s="1"/>
  <c r="Q70" i="2" s="1"/>
  <c r="Q96" i="2"/>
  <c r="Q103" i="2" s="1"/>
  <c r="H123" i="2"/>
  <c r="H127" i="2" s="1"/>
  <c r="G38" i="5"/>
  <c r="G49" i="5" s="1"/>
  <c r="Q27" i="2"/>
  <c r="Q29" i="2" s="1"/>
  <c r="Q15" i="2"/>
  <c r="Q17" i="2" s="1"/>
  <c r="Q23" i="2" s="1"/>
  <c r="N121" i="2"/>
  <c r="N125" i="2"/>
  <c r="Q125" i="2" s="1"/>
  <c r="L121" i="2"/>
  <c r="N72" i="1"/>
  <c r="K54" i="1" s="1"/>
  <c r="I27" i="1"/>
  <c r="O37" i="1" l="1"/>
  <c r="O42" i="1" s="1"/>
  <c r="O47" i="1" s="1"/>
  <c r="H29" i="1"/>
  <c r="H37" i="1" s="1"/>
  <c r="S83" i="2"/>
  <c r="S106" i="2" s="1"/>
  <c r="S112" i="2" s="1"/>
  <c r="S119" i="2" s="1"/>
  <c r="I42" i="1"/>
  <c r="L47" i="1"/>
  <c r="I47" i="1" s="1"/>
  <c r="L127" i="2"/>
  <c r="Q121" i="2"/>
  <c r="Q127" i="2" s="1"/>
  <c r="S121" i="2"/>
  <c r="S127" i="2" s="1"/>
  <c r="D127" i="2"/>
  <c r="N127" i="2"/>
  <c r="H42" i="1"/>
  <c r="K47" i="1"/>
  <c r="H47" i="1" s="1"/>
  <c r="G60" i="5"/>
  <c r="G64" i="5" s="1"/>
  <c r="D64" i="5"/>
  <c r="Q34" i="2"/>
  <c r="Q83" i="2" s="1"/>
  <c r="Q106" i="2" s="1"/>
  <c r="Q112" i="2" s="1"/>
  <c r="Q119" i="2" s="1"/>
  <c r="H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H14" authorId="0" shapeId="0" xr:uid="{00000000-0006-0000-0000-000001000000}">
      <text>
        <r>
          <rPr>
            <sz val="10"/>
            <rFont val="Arial"/>
          </rPr>
          <t>reference:K14,O14
mrs:(K14,+,10.0000)  (O14,+,-10.0000)  
Rotate:True</t>
        </r>
      </text>
    </comment>
    <comment ref="I14" authorId="0" shapeId="0" xr:uid="{00000000-0006-0000-0000-000002000000}">
      <text>
        <r>
          <rPr>
            <sz val="10"/>
            <rFont val="Arial"/>
          </rPr>
          <t>reference:L14,P14
mrs:(L14,+,10.0000)  (P14,+,-10.0000)  
Rotate:True</t>
        </r>
      </text>
    </comment>
    <comment ref="H15" authorId="0" shapeId="0" xr:uid="{00000000-0006-0000-0000-000003000000}">
      <text>
        <r>
          <rPr>
            <sz val="10"/>
            <rFont val="Arial"/>
          </rPr>
          <t>reference:K15,O15
mrs:(K15,+,10.0000)  (O15,+,-10.0000)  
Rotate:True</t>
        </r>
      </text>
    </comment>
    <comment ref="I15" authorId="0" shapeId="0" xr:uid="{00000000-0006-0000-0000-000004000000}">
      <text>
        <r>
          <rPr>
            <sz val="10"/>
            <rFont val="Arial"/>
          </rPr>
          <t>reference:L15,P15
mrs:(L15,+,10.0000)  (P15,+,-10.0000)  
Rotate:True</t>
        </r>
      </text>
    </comment>
    <comment ref="H16" authorId="0" shapeId="0" xr:uid="{00000000-0006-0000-0000-000005000000}">
      <text>
        <r>
          <rPr>
            <sz val="10"/>
            <rFont val="Arial"/>
          </rPr>
          <t>reference:K16,O16
mrs:(K16,+,10.0000)  (O16,+,-10.0000)  
Rotate:True</t>
        </r>
      </text>
    </comment>
    <comment ref="I16" authorId="0" shapeId="0" xr:uid="{00000000-0006-0000-0000-000006000000}">
      <text>
        <r>
          <rPr>
            <sz val="10"/>
            <rFont val="Arial"/>
          </rPr>
          <t>reference:L16,P16
mrs:(L16,+,10.0000)  (P16,+,-10.0000)  
Rotate:True</t>
        </r>
      </text>
    </comment>
    <comment ref="H17" authorId="0" shapeId="0" xr:uid="{00000000-0006-0000-0000-000007000000}">
      <text>
        <r>
          <rPr>
            <sz val="10"/>
            <rFont val="Arial"/>
          </rPr>
          <t>reference:K17,O17
mrs:(K17,+,10.0000)  (O17,+,-10.0000)  
Rotate:True</t>
        </r>
      </text>
    </comment>
    <comment ref="I17" authorId="0" shapeId="0" xr:uid="{00000000-0006-0000-0000-000008000000}">
      <text>
        <r>
          <rPr>
            <sz val="10"/>
            <rFont val="Arial"/>
          </rPr>
          <t>reference:L17,P17
mrs:(L17,+,10.0000)  (P17,+,-10.0000)  
Rotate:True</t>
        </r>
      </text>
    </comment>
    <comment ref="K17" authorId="0" shapeId="0" xr:uid="{00000000-0006-0000-0000-000009000000}">
      <text>
        <r>
          <rPr>
            <sz val="10"/>
            <rFont val="Arial"/>
          </rPr>
          <t>reference:K14,K15,K16
mrs:(K14,+,10.0000)  (K15,+,10.0000)  (K16,+,10.0000)  
Rotate:True</t>
        </r>
      </text>
    </comment>
    <comment ref="L17" authorId="0" shapeId="0" xr:uid="{00000000-0006-0000-0000-00000A000000}">
      <text>
        <r>
          <rPr>
            <sz val="10"/>
            <rFont val="Arial"/>
          </rPr>
          <t>reference:L14,L15,L16
mrs:(L14,+,10.0000)  (L15,+,10.0000)  (L16,+,10.0000)  
Rotate:True</t>
        </r>
      </text>
    </comment>
    <comment ref="O17" authorId="0" shapeId="0" xr:uid="{00000000-0006-0000-0000-00000B000000}">
      <text>
        <r>
          <rPr>
            <sz val="10"/>
            <rFont val="Arial"/>
          </rPr>
          <t>reference:O14,O15,O16
mrs:(O14,+,10.0000)  (O15,+,10.0000)  (O16,+,10.0000)  
Rotate:True</t>
        </r>
      </text>
    </comment>
    <comment ref="P17" authorId="0" shapeId="0" xr:uid="{00000000-0006-0000-0000-00000C000000}">
      <text>
        <r>
          <rPr>
            <sz val="10"/>
            <rFont val="Arial"/>
          </rPr>
          <t>reference:P14,P15,P16
mrs:(P14,+,10.0000)  (P15,+,10.0000)  (P16,+,10.0000)  
Rotate:True</t>
        </r>
      </text>
    </comment>
    <comment ref="H20" authorId="0" shapeId="0" xr:uid="{00000000-0006-0000-0000-00000D000000}">
      <text>
        <r>
          <rPr>
            <sz val="10"/>
            <rFont val="Arial"/>
          </rPr>
          <t>reference:K20,O20
mrs:(K20,+,10.0000)  (O20,+,-10.0000)  
Rotate:True</t>
        </r>
      </text>
    </comment>
    <comment ref="I20" authorId="0" shapeId="0" xr:uid="{00000000-0006-0000-0000-00000E000000}">
      <text>
        <r>
          <rPr>
            <sz val="10"/>
            <rFont val="Arial"/>
          </rPr>
          <t>reference:L20,P20
mrs:(L20,+,10.0000)  (P20,+,-10.0000)  
Rotate:True</t>
        </r>
      </text>
    </comment>
    <comment ref="H21" authorId="0" shapeId="0" xr:uid="{00000000-0006-0000-0000-00000F000000}">
      <text>
        <r>
          <rPr>
            <sz val="10"/>
            <rFont val="Arial"/>
          </rPr>
          <t>reference:K21,O21
mrs:(K21,+,10.0000)  (O21,+,-10.0000)  
Rotate:True</t>
        </r>
      </text>
    </comment>
    <comment ref="I21" authorId="0" shapeId="0" xr:uid="{00000000-0006-0000-0000-000010000000}">
      <text>
        <r>
          <rPr>
            <sz val="10"/>
            <rFont val="Arial"/>
          </rPr>
          <t>reference:L21,P21
mrs:(L21,+,10.0000)  (P21,+,-10.0000)  
Rotate:True</t>
        </r>
      </text>
    </comment>
    <comment ref="H23" authorId="0" shapeId="0" xr:uid="{00000000-0006-0000-0000-000011000000}">
      <text>
        <r>
          <rPr>
            <sz val="10"/>
            <rFont val="Arial"/>
          </rPr>
          <t>reference:K23,O23
mrs:(K23,+,10.0000)  (O23,+,-10.0000)  
Rotate:True</t>
        </r>
      </text>
    </comment>
    <comment ref="I23" authorId="0" shapeId="0" xr:uid="{00000000-0006-0000-0000-000012000000}">
      <text>
        <r>
          <rPr>
            <sz val="10"/>
            <rFont val="Arial"/>
          </rPr>
          <t>reference:L23,P23
mrs:(L23,+,10.0000)  (P23,+,-10.0000)  
Rotate:True</t>
        </r>
      </text>
    </comment>
    <comment ref="H25" authorId="0" shapeId="0" xr:uid="{00000000-0006-0000-0000-000013000000}">
      <text>
        <r>
          <rPr>
            <sz val="10"/>
            <rFont val="Arial"/>
          </rPr>
          <t>reference:K25,O25
mrs:(K25,+,10.0000)  (O25,+,-10.0000)  
Rotate:True</t>
        </r>
      </text>
    </comment>
    <comment ref="I25" authorId="0" shapeId="0" xr:uid="{00000000-0006-0000-0000-000014000000}">
      <text>
        <r>
          <rPr>
            <sz val="10"/>
            <rFont val="Arial"/>
          </rPr>
          <t>reference:L25,P25
mrs:(L25,+,10.0000)  (P25,+,-10.0000)  
Rotate:True</t>
        </r>
      </text>
    </comment>
    <comment ref="H26" authorId="0" shapeId="0" xr:uid="{00000000-0006-0000-0000-000015000000}">
      <text>
        <r>
          <rPr>
            <sz val="10"/>
            <rFont val="Arial"/>
          </rPr>
          <t>reference:K26,O26
mrs:(K26,+,10.0000)  (O26,+,-10.0000)  
Rotate:True</t>
        </r>
      </text>
    </comment>
    <comment ref="I26" authorId="0" shapeId="0" xr:uid="{00000000-0006-0000-0000-000016000000}">
      <text>
        <r>
          <rPr>
            <sz val="10"/>
            <rFont val="Arial"/>
          </rPr>
          <t>reference:L26,P26
mrs:(L26,+,10.0000)  (P26,+,-10.0000)  
Rotate:True</t>
        </r>
      </text>
    </comment>
    <comment ref="H27" authorId="0" shapeId="0" xr:uid="{00000000-0006-0000-0000-000017000000}">
      <text>
        <r>
          <rPr>
            <sz val="10"/>
            <rFont val="Arial"/>
          </rPr>
          <t>reference:K27,O27
mrs:(K27,+,10.0000)  (O27,+,-10.0000)  
Rotate:True</t>
        </r>
      </text>
    </comment>
    <comment ref="I27" authorId="0" shapeId="0" xr:uid="{00000000-0006-0000-0000-000018000000}">
      <text>
        <r>
          <rPr>
            <sz val="10"/>
            <rFont val="Arial"/>
          </rPr>
          <t>reference:L27,P27
mrs:(L27,+,10.0000)  (P27,+,-10.0000)  
Rotate:True</t>
        </r>
      </text>
    </comment>
    <comment ref="K27" authorId="0" shapeId="0" xr:uid="{00000000-0006-0000-0000-000019000000}">
      <text>
        <r>
          <rPr>
            <sz val="10"/>
            <rFont val="Arial"/>
          </rPr>
          <t>reference:K20,K21,K22,K23,K24,K25,K26
mrs:(K20,+,10.0000)  (K21,+,10.0000)  (K22,+,10.0000)  (K23,+,10.0000)  (K24,+,10.0000)  (K25,+,10.0000)  (K26,+,10.0000)  
Rotate:True</t>
        </r>
      </text>
    </comment>
    <comment ref="L27" authorId="0" shapeId="0" xr:uid="{00000000-0006-0000-0000-00001A000000}">
      <text>
        <r>
          <rPr>
            <sz val="10"/>
            <rFont val="Arial"/>
          </rPr>
          <t>reference:L20,L21,L22,L23,L24,L25,L26
mrs:(L20,+,10.0000)  (L21,+,10.0000)  (L22,+,10.0000)  (L23,+,10.0000)  (L24,+,10.0000)  (L25,+,10.0000)  (L26,+,10.0000)  
Rotate:True</t>
        </r>
      </text>
    </comment>
    <comment ref="O27" authorId="0" shapeId="0" xr:uid="{00000000-0006-0000-0000-00001B000000}">
      <text>
        <r>
          <rPr>
            <sz val="10"/>
            <rFont val="Arial"/>
          </rPr>
          <t>reference:O20,O21,O22,O23,O24,O25,O26
mrs:(O20,+,10.0000)  (O21,+,10.0000)  (O22,+,10.0000)  (O23,+,10.0000)  (O24,+,10.0000)  (O25,+,10.0000)  (O26,+,10.0000)  
Rotate:True</t>
        </r>
      </text>
    </comment>
    <comment ref="P27" authorId="0" shapeId="0" xr:uid="{00000000-0006-0000-0000-00001C000000}">
      <text>
        <r>
          <rPr>
            <sz val="10"/>
            <rFont val="Arial"/>
          </rPr>
          <t>reference:P20,P21,P22,P23,P24,P25,P26
mrs:(P20,+,10.0000)  (P21,+,10.0000)  (P22,+,10.0000)  (P23,+,10.0000)  (P24,+,10.0000)  (P25,+,10.0000)  (P26,+,10.0000)  
Rotate:True</t>
        </r>
      </text>
    </comment>
    <comment ref="H29" authorId="0" shapeId="0" xr:uid="{00000000-0006-0000-0000-00001D000000}">
      <text>
        <r>
          <rPr>
            <sz val="10"/>
            <rFont val="Arial"/>
          </rPr>
          <t>reference:K29,O29
mrs:(K29,+,10.0000)  (O29,+,-10.0000)  
Rotate:True</t>
        </r>
      </text>
    </comment>
    <comment ref="I29" authorId="0" shapeId="0" xr:uid="{00000000-0006-0000-0000-00001E000000}">
      <text>
        <r>
          <rPr>
            <sz val="10"/>
            <rFont val="Arial"/>
          </rPr>
          <t>reference:L29,P29
mrs:(L29,+,10.0000)  (P29,+,-10.0000)  
Rotate:True</t>
        </r>
      </text>
    </comment>
    <comment ref="K29" authorId="0" shapeId="0" xr:uid="{00000000-0006-0000-0000-00001F000000}">
      <text>
        <r>
          <rPr>
            <sz val="10"/>
            <rFont val="Arial"/>
          </rPr>
          <t>reference:K17,K27
mrs:(K17,+,10.0000)  (K27,+,-10.0000)  
Rotate:True</t>
        </r>
      </text>
    </comment>
    <comment ref="L29" authorId="0" shapeId="0" xr:uid="{00000000-0006-0000-0000-000020000000}">
      <text>
        <r>
          <rPr>
            <sz val="10"/>
            <rFont val="Arial"/>
          </rPr>
          <t>reference:L17,L27
mrs:(L17,+,10.0000)  (L27,+,-10.0000)  
Rotate:True</t>
        </r>
      </text>
    </comment>
    <comment ref="O29" authorId="0" shapeId="0" xr:uid="{00000000-0006-0000-0000-000021000000}">
      <text>
        <r>
          <rPr>
            <sz val="10"/>
            <rFont val="Arial"/>
          </rPr>
          <t>reference:O17,O27
mrs:(O17,+,10.0000)  (O27,+,-10.0000)  
Rotate:True</t>
        </r>
      </text>
    </comment>
    <comment ref="P29" authorId="0" shapeId="0" xr:uid="{00000000-0006-0000-0000-000022000000}">
      <text>
        <r>
          <rPr>
            <sz val="10"/>
            <rFont val="Arial"/>
          </rPr>
          <t>reference:P17,P27
mrs:(P17,+,10.0000)  (P27,+,-10.0000)  
Rotate:True</t>
        </r>
      </text>
    </comment>
    <comment ref="H32" authorId="0" shapeId="0" xr:uid="{00000000-0006-0000-0000-000023000000}">
      <text>
        <r>
          <rPr>
            <sz val="10"/>
            <rFont val="Arial"/>
          </rPr>
          <t>reference:K32,O32
mrs:(K32,+,10.0000)  (O32,+,-10.0000)  
Rotate:True</t>
        </r>
      </text>
    </comment>
    <comment ref="I32" authorId="0" shapeId="0" xr:uid="{00000000-0006-0000-0000-000024000000}">
      <text>
        <r>
          <rPr>
            <sz val="10"/>
            <rFont val="Arial"/>
          </rPr>
          <t>reference:L32,P32
mrs:(L32,+,10.0000)  (P32,+,-10.0000)  
Rotate:True</t>
        </r>
      </text>
    </comment>
    <comment ref="H33" authorId="0" shapeId="0" xr:uid="{00000000-0006-0000-0000-000025000000}">
      <text>
        <r>
          <rPr>
            <sz val="10"/>
            <rFont val="Arial"/>
          </rPr>
          <t>reference:K33,O33
mrs:(K33,+,10.0000)  (O33,+,-10.0000)  
Rotate:True</t>
        </r>
      </text>
    </comment>
    <comment ref="I33" authorId="0" shapeId="0" xr:uid="{00000000-0006-0000-0000-000026000000}">
      <text>
        <r>
          <rPr>
            <sz val="10"/>
            <rFont val="Arial"/>
          </rPr>
          <t>reference:L33,P33
mrs:(L33,+,10.0000)  (P33,+,-10.0000)  
Rotate:True</t>
        </r>
      </text>
    </comment>
    <comment ref="H34" authorId="0" shapeId="0" xr:uid="{00000000-0006-0000-0000-000027000000}">
      <text>
        <r>
          <rPr>
            <sz val="10"/>
            <rFont val="Arial"/>
          </rPr>
          <t>reference:K34,O34
mrs:(K34,+,10.0000)  (O34,+,-10.0000)  
Rotate:True</t>
        </r>
      </text>
    </comment>
    <comment ref="I34" authorId="0" shapeId="0" xr:uid="{00000000-0006-0000-0000-000028000000}">
      <text>
        <r>
          <rPr>
            <sz val="10"/>
            <rFont val="Arial"/>
          </rPr>
          <t>reference:L34,P34
mrs:(L34,+,10.0000)  (P34,+,-10.0000)  
Rotate:True</t>
        </r>
      </text>
    </comment>
    <comment ref="H35" authorId="0" shapeId="0" xr:uid="{00000000-0006-0000-0000-000029000000}">
      <text>
        <r>
          <rPr>
            <sz val="10"/>
            <rFont val="Arial"/>
          </rPr>
          <t>reference:K35,O35
mrs:(K35,+,10.0000)  (O35,+,-10.0000)  
Rotate:True</t>
        </r>
      </text>
    </comment>
    <comment ref="I35" authorId="0" shapeId="0" xr:uid="{00000000-0006-0000-0000-00002A000000}">
      <text>
        <r>
          <rPr>
            <sz val="10"/>
            <rFont val="Arial"/>
          </rPr>
          <t>reference:L35,P35
mrs:(L35,+,10.0000)  (P35,+,-10.0000)  
Rotate:True</t>
        </r>
      </text>
    </comment>
    <comment ref="K35" authorId="0" shapeId="0" xr:uid="{00000000-0006-0000-0000-00002B000000}">
      <text>
        <r>
          <rPr>
            <sz val="10"/>
            <rFont val="Arial"/>
          </rPr>
          <t>reference:K32,K33,K34
mrs:(K32,+,10.0000)  (K33,+,10.0000)  (K34,+,10.0000)  
Rotate:True</t>
        </r>
      </text>
    </comment>
    <comment ref="L35" authorId="0" shapeId="0" xr:uid="{00000000-0006-0000-0000-00002C000000}">
      <text>
        <r>
          <rPr>
            <sz val="10"/>
            <rFont val="Arial"/>
          </rPr>
          <t>reference:L32,L33,L34
mrs:(L32,+,10.0000)  (L33,+,10.0000)  (L34,+,10.0000)  
Rotate:True</t>
        </r>
      </text>
    </comment>
    <comment ref="O35" authorId="0" shapeId="0" xr:uid="{00000000-0006-0000-0000-00002D000000}">
      <text>
        <r>
          <rPr>
            <sz val="10"/>
            <rFont val="Arial"/>
          </rPr>
          <t>reference:O32,O33,O34
mrs:(O32,+,10.0000)  (O33,+,10.0000)  (O34,+,10.0000)  
Rotate:True</t>
        </r>
      </text>
    </comment>
    <comment ref="P35" authorId="0" shapeId="0" xr:uid="{00000000-0006-0000-0000-00002E000000}">
      <text>
        <r>
          <rPr>
            <sz val="10"/>
            <rFont val="Arial"/>
          </rPr>
          <t>reference:P32,P33,P34
mrs:(P32,+,10.0000)  (P33,+,10.0000)  (P34,+,10.0000)  
Rotate:True</t>
        </r>
      </text>
    </comment>
    <comment ref="H37" authorId="0" shapeId="0" xr:uid="{00000000-0006-0000-0000-00002F000000}">
      <text>
        <r>
          <rPr>
            <sz val="10"/>
            <rFont val="Arial"/>
          </rPr>
          <t>reference:H29,H35
mrs:(H29,+,10.0000)  (H35,+,10.0000)  
Rotate:True</t>
        </r>
      </text>
    </comment>
    <comment ref="I37" authorId="0" shapeId="0" xr:uid="{00000000-0006-0000-0000-000030000000}">
      <text>
        <r>
          <rPr>
            <sz val="10"/>
            <rFont val="Arial"/>
          </rPr>
          <t>reference:I29,I35
mrs:(I29,+,10.0000)  (I35,+,10.0000)  
Rotate:True</t>
        </r>
      </text>
    </comment>
    <comment ref="K37" authorId="0" shapeId="0" xr:uid="{00000000-0006-0000-0000-000031000000}">
      <text>
        <r>
          <rPr>
            <sz val="10"/>
            <rFont val="Arial"/>
          </rPr>
          <t>reference:K29,K35
mrs:(K29,+,10.0000)  (K35,+,10.0000)  
Rotate:True</t>
        </r>
      </text>
    </comment>
    <comment ref="L37" authorId="0" shapeId="0" xr:uid="{00000000-0006-0000-0000-000032000000}">
      <text>
        <r>
          <rPr>
            <sz val="10"/>
            <rFont val="Arial"/>
          </rPr>
          <t>reference:L29,L35
mrs:(L29,+,10.0000)  (L35,+,10.0000)  
Rotate:True</t>
        </r>
      </text>
    </comment>
    <comment ref="O37" authorId="0" shapeId="0" xr:uid="{00000000-0006-0000-0000-000033000000}">
      <text>
        <r>
          <rPr>
            <sz val="10"/>
            <rFont val="Arial"/>
          </rPr>
          <t>reference:O29,O35
mrs:(O29,+,10.0000)  (O35,+,10.0000)  
Rotate:True</t>
        </r>
      </text>
    </comment>
    <comment ref="P37" authorId="0" shapeId="0" xr:uid="{00000000-0006-0000-0000-000034000000}">
      <text>
        <r>
          <rPr>
            <sz val="10"/>
            <rFont val="Arial"/>
          </rPr>
          <t>reference:P29,P35
mrs:(P29,+,10.0000)  (P35,+,10.0000)  
Rotate:True</t>
        </r>
      </text>
    </comment>
    <comment ref="H39" authorId="0" shapeId="0" xr:uid="{00000000-0006-0000-0000-000035000000}">
      <text>
        <r>
          <rPr>
            <sz val="10"/>
            <rFont val="Arial"/>
          </rPr>
          <t>reference:K39,O39
mrs:(K39,+,10.0000)  (O39,+,-10.0000)  
Rotate:True</t>
        </r>
      </text>
    </comment>
    <comment ref="I39" authorId="0" shapeId="0" xr:uid="{00000000-0006-0000-0000-000036000000}">
      <text>
        <r>
          <rPr>
            <sz val="10"/>
            <rFont val="Arial"/>
          </rPr>
          <t>reference:L39,P39
mrs:(L39,+,10.0000)  (P39,+,-10.0000)  
Rotate:True</t>
        </r>
      </text>
    </comment>
    <comment ref="H42" authorId="0" shapeId="0" xr:uid="{00000000-0006-0000-0000-000037000000}">
      <text>
        <r>
          <rPr>
            <sz val="10"/>
            <rFont val="Arial"/>
          </rPr>
          <t>reference:K42,O42
mrs:(K42,+,10.0000)  (O42,+,-10.0000)  
Rotate:True</t>
        </r>
      </text>
    </comment>
    <comment ref="I42" authorId="0" shapeId="0" xr:uid="{00000000-0006-0000-0000-000038000000}">
      <text>
        <r>
          <rPr>
            <sz val="10"/>
            <rFont val="Arial"/>
          </rPr>
          <t>reference:L42,P42
mrs:(L42,+,10.0000)  (P42,+,-10.0000)  
Rotate:True</t>
        </r>
      </text>
    </comment>
    <comment ref="K42" authorId="0" shapeId="0" xr:uid="{00000000-0006-0000-0000-000039000000}">
      <text>
        <r>
          <rPr>
            <sz val="10"/>
            <rFont val="Arial"/>
          </rPr>
          <t>reference:K37,K39
mrs:
Rotate:True</t>
        </r>
      </text>
    </comment>
    <comment ref="L42" authorId="0" shapeId="0" xr:uid="{00000000-0006-0000-0000-00003A000000}">
      <text>
        <r>
          <rPr>
            <sz val="10"/>
            <rFont val="Arial"/>
          </rPr>
          <t>reference:L37,L39
mrs:
Rotate:True</t>
        </r>
      </text>
    </comment>
    <comment ref="O42" authorId="0" shapeId="0" xr:uid="{00000000-0006-0000-0000-00003B000000}">
      <text>
        <r>
          <rPr>
            <sz val="10"/>
            <rFont val="Arial"/>
          </rPr>
          <t>reference:O37,O39
mrs:
Rotate:True</t>
        </r>
      </text>
    </comment>
    <comment ref="P42" authorId="0" shapeId="0" xr:uid="{00000000-0006-0000-0000-00003C000000}">
      <text>
        <r>
          <rPr>
            <sz val="10"/>
            <rFont val="Arial"/>
          </rPr>
          <t>reference:P37,P39
mrs:
Rotate:True</t>
        </r>
      </text>
    </comment>
    <comment ref="H44" authorId="0" shapeId="0" xr:uid="{00000000-0006-0000-0000-00003D000000}">
      <text>
        <r>
          <rPr>
            <sz val="10"/>
            <rFont val="Arial"/>
          </rPr>
          <t>reference:K44,O44
mrs:(K44,+,10.0000)  (O44,+,-10.0000)  
Rotate:True</t>
        </r>
      </text>
    </comment>
    <comment ref="I44" authorId="0" shapeId="0" xr:uid="{00000000-0006-0000-0000-00003E000000}">
      <text>
        <r>
          <rPr>
            <sz val="10"/>
            <rFont val="Arial"/>
          </rPr>
          <t>reference:L44,P44
mrs:(L44,+,10.0000)  (P44,+,-10.0000)  
Rotate:True</t>
        </r>
      </text>
    </comment>
    <comment ref="H45" authorId="0" shapeId="0" xr:uid="{00000000-0006-0000-0000-00003F000000}">
      <text>
        <r>
          <rPr>
            <sz val="10"/>
            <rFont val="Arial"/>
          </rPr>
          <t>reference:K45,O45
mrs:(K45,+,10.0000)  (O45,+,-10.0000)  
Rotate:True</t>
        </r>
      </text>
    </comment>
    <comment ref="I45" authorId="0" shapeId="0" xr:uid="{00000000-0006-0000-0000-000040000000}">
      <text>
        <r>
          <rPr>
            <sz val="10"/>
            <rFont val="Arial"/>
          </rPr>
          <t>reference:L45,P45
mrs:(L45,+,10.0000)  (P45,+,-10.0000)  
Rotate:True</t>
        </r>
      </text>
    </comment>
    <comment ref="H47" authorId="0" shapeId="0" xr:uid="{00000000-0006-0000-0000-000041000000}">
      <text>
        <r>
          <rPr>
            <sz val="10"/>
            <rFont val="Arial"/>
          </rPr>
          <t>reference:K47,O47
mrs:(K47,+,10.0000)  (O47,+,-10.0000)  
Rotate:True</t>
        </r>
      </text>
    </comment>
    <comment ref="I47" authorId="0" shapeId="0" xr:uid="{00000000-0006-0000-0000-000042000000}">
      <text>
        <r>
          <rPr>
            <sz val="10"/>
            <rFont val="Arial"/>
          </rPr>
          <t>reference:L47,P47
mrs:(L47,+,10.0000)  (P47,+,-10.0000)  
Rotate:True</t>
        </r>
      </text>
    </comment>
    <comment ref="K47" authorId="0" shapeId="0" xr:uid="{00000000-0006-0000-0000-000043000000}">
      <text>
        <r>
          <rPr>
            <sz val="10"/>
            <rFont val="Arial"/>
          </rPr>
          <t>reference:K42,K43,K44,K45
mrs:(K42,+,10.0000)  (K43,+,10.0000)  (K44,+,10.0000)  (K45,+,10.0000)  
Rotate:True</t>
        </r>
      </text>
    </comment>
    <comment ref="L47" authorId="0" shapeId="0" xr:uid="{00000000-0006-0000-0000-000044000000}">
      <text>
        <r>
          <rPr>
            <sz val="10"/>
            <rFont val="Arial"/>
          </rPr>
          <t>reference:L42,L43,L44,L45
mrs:(L42,+,10.0000)  (L43,+,10.0000)  (L44,+,10.0000)  (L45,+,10.0000)  
Rotate:True</t>
        </r>
      </text>
    </comment>
    <comment ref="O47" authorId="0" shapeId="0" xr:uid="{00000000-0006-0000-0000-000045000000}">
      <text>
        <r>
          <rPr>
            <sz val="10"/>
            <rFont val="Arial"/>
          </rPr>
          <t>reference:O42,O43,O44,O45
mrs:(O42,+,10.0000)  (O43,+,10.0000)  (O44,+,10.0000)  (O45,+,10.0000)  
Rotate:True</t>
        </r>
      </text>
    </comment>
    <comment ref="P47" authorId="0" shapeId="0" xr:uid="{00000000-0006-0000-0000-000046000000}">
      <text>
        <r>
          <rPr>
            <sz val="10"/>
            <rFont val="Arial"/>
          </rPr>
          <t>reference:P42,P43,P44,P45
mrs:(P42,+,10.0000)  (P43,+,10.0000)  (P44,+,10.0000)  (P45,+,10.0000)  
Rotate:True</t>
        </r>
      </text>
    </comment>
    <comment ref="K52" authorId="0" shapeId="0" xr:uid="{00000000-0006-0000-0000-000047000000}">
      <text>
        <r>
          <rPr>
            <sz val="10"/>
            <rFont val="Arial"/>
          </rPr>
          <t>reference:N71
mrs:(N71,+,10.0000)  
Rotate:True</t>
        </r>
      </text>
    </comment>
    <comment ref="H53" authorId="0" shapeId="0" xr:uid="{00000000-0006-0000-0000-000048000000}">
      <text>
        <r>
          <rPr>
            <sz val="10"/>
            <rFont val="Arial"/>
          </rPr>
          <t>reference:K70
mrs:(K70,+,10.0000)  
Rotate:True</t>
        </r>
      </text>
    </comment>
    <comment ref="K53" authorId="0" shapeId="0" xr:uid="{00000000-0006-0000-0000-000049000000}">
      <text>
        <r>
          <rPr>
            <sz val="10"/>
            <rFont val="Arial"/>
          </rPr>
          <t>reference:N70
mrs:(N70,+,10.0000)  
Rotate:True</t>
        </r>
      </text>
    </comment>
    <comment ref="K61" authorId="0" shapeId="0" xr:uid="{00000000-0006-0000-0000-00004A000000}">
      <text>
        <r>
          <rPr>
            <sz val="10"/>
            <rFont val="Arial"/>
          </rPr>
          <t>reference:M61,N61
mrs:(M61,+,-10.0000)  (N61,+,10.0000)  
Rotate:True</t>
        </r>
      </text>
    </comment>
    <comment ref="K62" authorId="0" shapeId="0" xr:uid="{00000000-0006-0000-0000-00004B000000}">
      <text>
        <r>
          <rPr>
            <sz val="10"/>
            <rFont val="Arial"/>
          </rPr>
          <t>reference:M62,N62
mrs:(M62,+,-10.0000)  (N62,+,10.0000)  
Rotate:True</t>
        </r>
      </text>
    </comment>
    <comment ref="K63" authorId="0" shapeId="0" xr:uid="{00000000-0006-0000-0000-00004C000000}">
      <text>
        <r>
          <rPr>
            <sz val="10"/>
            <rFont val="Arial"/>
          </rPr>
          <t>reference:M63,N63
mrs:(M63,+,-10.0000)  (N63,+,10.0000)  
Rotate:True</t>
        </r>
      </text>
    </comment>
    <comment ref="K64" authorId="0" shapeId="0" xr:uid="{00000000-0006-0000-0000-00004D000000}">
      <text>
        <r>
          <rPr>
            <sz val="10"/>
            <rFont val="Arial"/>
          </rPr>
          <t>reference:M64,N64
mrs:(M64,+,-10.0000)  (N64,+,10.0000)  
Rotate:True</t>
        </r>
      </text>
    </comment>
    <comment ref="M64" authorId="0" shapeId="0" xr:uid="{00000000-0006-0000-0000-00004E000000}">
      <text>
        <r>
          <rPr>
            <sz val="10"/>
            <rFont val="Arial"/>
          </rPr>
          <t>reference:M61,M62,M63
mrs:(M61,+,10.0000)  (M62,+,10.0000)  (M63,+,10.0000)  
Rotate:True</t>
        </r>
      </text>
    </comment>
    <comment ref="N64" authorId="0" shapeId="0" xr:uid="{00000000-0006-0000-0000-00004F000000}">
      <text>
        <r>
          <rPr>
            <sz val="10"/>
            <rFont val="Arial"/>
          </rPr>
          <t>reference:N61,N62,N63
mrs:(N61,+,10.0000)  (N62,+,10.0000)  (N63,+,10.0000)  
Rotate:True</t>
        </r>
      </text>
    </comment>
    <comment ref="K69" authorId="0" shapeId="0" xr:uid="{00000000-0006-0000-0000-000050000000}">
      <text>
        <r>
          <rPr>
            <sz val="10"/>
            <rFont val="Arial"/>
          </rPr>
          <t>reference:K61,K66
mrs:
Rotate:True</t>
        </r>
      </text>
    </comment>
    <comment ref="M69" authorId="0" shapeId="0" xr:uid="{00000000-0006-0000-0000-000051000000}">
      <text>
        <r>
          <rPr>
            <sz val="10"/>
            <rFont val="Arial"/>
          </rPr>
          <t>reference:M61,M66
mrs:
Rotate:True</t>
        </r>
      </text>
    </comment>
    <comment ref="N69" authorId="0" shapeId="0" xr:uid="{00000000-0006-0000-0000-000052000000}">
      <text>
        <r>
          <rPr>
            <sz val="10"/>
            <rFont val="Arial"/>
          </rPr>
          <t>reference:N61,N66
mrs:
Rotate:True</t>
        </r>
      </text>
    </comment>
    <comment ref="K70" authorId="0" shapeId="0" xr:uid="{00000000-0006-0000-0000-000053000000}">
      <text>
        <r>
          <rPr>
            <sz val="10"/>
            <rFont val="Arial"/>
          </rPr>
          <t>reference:K62,K66
mrs:
Rotate:True</t>
        </r>
      </text>
    </comment>
    <comment ref="M70" authorId="0" shapeId="0" xr:uid="{00000000-0006-0000-0000-000054000000}">
      <text>
        <r>
          <rPr>
            <sz val="10"/>
            <rFont val="Arial"/>
          </rPr>
          <t>reference:M62,M66
mrs:
Rotate:True</t>
        </r>
      </text>
    </comment>
    <comment ref="N70" authorId="0" shapeId="0" xr:uid="{00000000-0006-0000-0000-000055000000}">
      <text>
        <r>
          <rPr>
            <sz val="10"/>
            <rFont val="Arial"/>
          </rPr>
          <t>reference:N62,N66
mrs:
Rotate:True</t>
        </r>
      </text>
    </comment>
    <comment ref="K71" authorId="0" shapeId="0" xr:uid="{00000000-0006-0000-0000-000056000000}">
      <text>
        <r>
          <rPr>
            <sz val="10"/>
            <rFont val="Arial"/>
          </rPr>
          <t>reference:K63,K66
mrs:
Rotate:True</t>
        </r>
      </text>
    </comment>
    <comment ref="M71" authorId="0" shapeId="0" xr:uid="{00000000-0006-0000-0000-000057000000}">
      <text>
        <r>
          <rPr>
            <sz val="10"/>
            <rFont val="Arial"/>
          </rPr>
          <t>reference:M63,M66
mrs:
Rotate:True</t>
        </r>
      </text>
    </comment>
    <comment ref="N71" authorId="0" shapeId="0" xr:uid="{00000000-0006-0000-0000-000058000000}">
      <text>
        <r>
          <rPr>
            <sz val="10"/>
            <rFont val="Arial"/>
          </rPr>
          <t>reference:N63,N66
mrs:
Rotate:True</t>
        </r>
      </text>
    </comment>
    <comment ref="K72" authorId="0" shapeId="0" xr:uid="{00000000-0006-0000-0000-000059000000}">
      <text>
        <r>
          <rPr>
            <sz val="10"/>
            <rFont val="Arial"/>
          </rPr>
          <t>reference:K64,K66
mrs:
Rotate:True</t>
        </r>
      </text>
    </comment>
    <comment ref="M72" authorId="0" shapeId="0" xr:uid="{00000000-0006-0000-0000-00005A000000}">
      <text>
        <r>
          <rPr>
            <sz val="10"/>
            <rFont val="Arial"/>
          </rPr>
          <t>reference:M64,M66
mrs:
Rotate:True</t>
        </r>
      </text>
    </comment>
    <comment ref="N72" authorId="0" shapeId="0" xr:uid="{00000000-0006-0000-0000-00005B000000}">
      <text>
        <r>
          <rPr>
            <sz val="10"/>
            <rFont val="Arial"/>
          </rPr>
          <t>reference:N64,N66
mrs: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  <author>Preferred Customer</author>
    <author>JAY LYNCH</author>
  </authors>
  <commentList>
    <comment ref="Q11" authorId="0" shapeId="0" xr:uid="{00000000-0006-0000-0100-000001000000}">
      <text>
        <r>
          <rPr>
            <sz val="10"/>
            <rFont val="Arial"/>
          </rPr>
          <t>reference:L11,N11
mrs:(L11,+,10.0000)  (N11,+,10.0000)  
Rotate:True</t>
        </r>
      </text>
    </comment>
    <comment ref="S11" authorId="0" shapeId="0" xr:uid="{00000000-0006-0000-0100-000002000000}">
      <text>
        <r>
          <rPr>
            <sz val="10"/>
            <rFont val="Arial"/>
          </rPr>
          <t>reference:D11,F11
mrs:(D11,+,10.0000)  (F11,+,10.0000)  
Rotate:True</t>
        </r>
      </text>
    </comment>
    <comment ref="Q12" authorId="0" shapeId="0" xr:uid="{00000000-0006-0000-0100-000003000000}">
      <text>
        <r>
          <rPr>
            <sz val="10"/>
            <rFont val="Arial"/>
          </rPr>
          <t>reference:L12,N12
mrs:(L12,+,10.0000)  (N12,+,10.0000)  
Rotate:True</t>
        </r>
      </text>
    </comment>
    <comment ref="S12" authorId="0" shapeId="0" xr:uid="{00000000-0006-0000-0100-000004000000}">
      <text>
        <r>
          <rPr>
            <sz val="10"/>
            <rFont val="Arial"/>
          </rPr>
          <t>reference:D12,F12
mrs:(D12,+,10.0000)  (F12,+,10.0000)  
Rotate:True</t>
        </r>
      </text>
    </comment>
    <comment ref="D13" authorId="0" shapeId="0" xr:uid="{00000000-0006-0000-0100-000005000000}">
      <text>
        <r>
          <rPr>
            <sz val="10"/>
            <rFont val="Arial"/>
          </rPr>
          <t>reference:D11,D12
mrs:(D11,+,10.0000)  (D12,+,10.0000)  
Rotate:True</t>
        </r>
      </text>
    </comment>
    <comment ref="F13" authorId="0" shapeId="0" xr:uid="{00000000-0006-0000-0100-000006000000}">
      <text>
        <r>
          <rPr>
            <sz val="10"/>
            <rFont val="Arial"/>
          </rPr>
          <t>reference:F11,F12
mrs:(F11,+,10.0000)  (F12,+,10.0000)  
Rotate:True</t>
        </r>
      </text>
    </comment>
    <comment ref="H13" authorId="0" shapeId="0" xr:uid="{00000000-0006-0000-0100-000007000000}">
      <text>
        <r>
          <rPr>
            <sz val="10"/>
            <rFont val="Arial"/>
          </rPr>
          <t>reference:H11,H12
mrs:(H11,+,10.0000)  (H12,+,10.0000)  
Rotate:True</t>
        </r>
      </text>
    </comment>
    <comment ref="J13" authorId="0" shapeId="0" xr:uid="{00000000-0006-0000-0100-000008000000}">
      <text>
        <r>
          <rPr>
            <sz val="10"/>
            <rFont val="Arial"/>
          </rPr>
          <t>reference:J11,J12
mrs:(J11,+,10.0000)  (J12,+,10.0000)  
Rotate:True</t>
        </r>
      </text>
    </comment>
    <comment ref="L13" authorId="0" shapeId="0" xr:uid="{00000000-0006-0000-0100-000009000000}">
      <text>
        <r>
          <rPr>
            <sz val="10"/>
            <rFont val="Arial"/>
          </rPr>
          <t>reference:L11,L12
mrs:(L11,+,10.0000)  (L12,+,10.0000)  
Rotate:True</t>
        </r>
      </text>
    </comment>
    <comment ref="N13" authorId="0" shapeId="0" xr:uid="{00000000-0006-0000-0100-00000A000000}">
      <text>
        <r>
          <rPr>
            <sz val="10"/>
            <rFont val="Arial"/>
          </rPr>
          <t>reference:N11,N12
mrs:(N11,+,10.0000)  (N12,+,10.0000)  
Rotate:True</t>
        </r>
      </text>
    </comment>
    <comment ref="Q13" authorId="0" shapeId="0" xr:uid="{00000000-0006-0000-0100-00000B000000}">
      <text>
        <r>
          <rPr>
            <sz val="10"/>
            <rFont val="Arial"/>
          </rPr>
          <t>reference:Q11,Q12
mrs:(Q11,+,10.0000)  (Q12,+,10.0000)  
Rotate:True</t>
        </r>
      </text>
    </comment>
    <comment ref="S13" authorId="0" shapeId="0" xr:uid="{00000000-0006-0000-0100-00000C000000}">
      <text>
        <r>
          <rPr>
            <sz val="10"/>
            <rFont val="Arial"/>
          </rPr>
          <t>reference:S11,S12
mrs:(S11,+,10.0000)  (S12,+,10.0000)  
Rotate:True</t>
        </r>
      </text>
    </comment>
    <comment ref="Q15" authorId="0" shapeId="0" xr:uid="{00000000-0006-0000-0100-00000D000000}">
      <text>
        <r>
          <rPr>
            <sz val="10"/>
            <rFont val="Arial"/>
          </rPr>
          <t>reference:L15,N15
mrs:(L15,+,10.0000)  (N15,+,10.0000)  
Rotate:True</t>
        </r>
      </text>
    </comment>
    <comment ref="S15" authorId="0" shapeId="0" xr:uid="{00000000-0006-0000-0100-00000E000000}">
      <text>
        <r>
          <rPr>
            <sz val="10"/>
            <rFont val="Arial"/>
          </rPr>
          <t>reference:D15,F15
mrs:(D15,+,10.0000)  (F15,+,10.0000)  
Rotate:True</t>
        </r>
      </text>
    </comment>
    <comment ref="Q16" authorId="0" shapeId="0" xr:uid="{00000000-0006-0000-0100-00000F000000}">
      <text>
        <r>
          <rPr>
            <sz val="10"/>
            <rFont val="Arial"/>
          </rPr>
          <t>reference:L16,N16
mrs:(L16,+,10.0000)  (N16,+,10.0000)  
Rotate:True</t>
        </r>
      </text>
    </comment>
    <comment ref="S16" authorId="0" shapeId="0" xr:uid="{00000000-0006-0000-0100-000010000000}">
      <text>
        <r>
          <rPr>
            <sz val="10"/>
            <rFont val="Arial"/>
          </rPr>
          <t>reference:D16,F16
mrs:(D16,+,10.0000)  (F16,+,10.0000)  
Rotate:True</t>
        </r>
      </text>
    </comment>
    <comment ref="D17" authorId="0" shapeId="0" xr:uid="{00000000-0006-0000-0100-000011000000}">
      <text>
        <r>
          <rPr>
            <sz val="10"/>
            <rFont val="Arial"/>
          </rPr>
          <t>reference:D15,D16
mrs:(D15,+,10.0000)  (D16,+,10.0000)  
Rotate:True</t>
        </r>
      </text>
    </comment>
    <comment ref="F17" authorId="0" shapeId="0" xr:uid="{00000000-0006-0000-0100-000012000000}">
      <text>
        <r>
          <rPr>
            <sz val="10"/>
            <rFont val="Arial"/>
          </rPr>
          <t>reference:F15,F16
mrs:(F15,+,10.0000)  (F16,+,10.0000)  
Rotate:True</t>
        </r>
      </text>
    </comment>
    <comment ref="H17" authorId="0" shapeId="0" xr:uid="{00000000-0006-0000-0100-000013000000}">
      <text>
        <r>
          <rPr>
            <sz val="10"/>
            <rFont val="Arial"/>
          </rPr>
          <t>reference:H15,H16
mrs:(H15,+,10.0000)  (H16,+,10.0000)  
Rotate:True</t>
        </r>
      </text>
    </comment>
    <comment ref="J17" authorId="0" shapeId="0" xr:uid="{00000000-0006-0000-0100-000014000000}">
      <text>
        <r>
          <rPr>
            <sz val="10"/>
            <rFont val="Arial"/>
          </rPr>
          <t>reference:J15,J16
mrs:(J15,+,10.0000)  (J16,+,10.0000)  
Rotate:True</t>
        </r>
      </text>
    </comment>
    <comment ref="L17" authorId="0" shapeId="0" xr:uid="{00000000-0006-0000-0100-000015000000}">
      <text>
        <r>
          <rPr>
            <sz val="10"/>
            <rFont val="Arial"/>
          </rPr>
          <t>reference:L15,L16
mrs:(L15,+,10.0000)  (L16,+,10.0000)  
Rotate:True</t>
        </r>
      </text>
    </comment>
    <comment ref="N17" authorId="0" shapeId="0" xr:uid="{00000000-0006-0000-0100-000016000000}">
      <text>
        <r>
          <rPr>
            <sz val="10"/>
            <rFont val="Arial"/>
          </rPr>
          <t>reference:N15,N16
mrs:(N15,+,10.0000)  (N16,+,10.0000)  
Rotate:True</t>
        </r>
      </text>
    </comment>
    <comment ref="Q17" authorId="0" shapeId="0" xr:uid="{00000000-0006-0000-0100-000017000000}">
      <text>
        <r>
          <rPr>
            <sz val="10"/>
            <rFont val="Arial"/>
          </rPr>
          <t>reference:Q15,Q16
mrs:(Q15,+,10.0000)  (Q16,+,10.0000)  
Rotate:True</t>
        </r>
      </text>
    </comment>
    <comment ref="S17" authorId="0" shapeId="0" xr:uid="{00000000-0006-0000-0100-000018000000}">
      <text>
        <r>
          <rPr>
            <sz val="10"/>
            <rFont val="Arial"/>
          </rPr>
          <t>reference:S15,S16
mrs:(S15,+,10.0000)  (S16,+,10.0000)  
Rotate:True</t>
        </r>
      </text>
    </comment>
    <comment ref="Q19" authorId="0" shapeId="0" xr:uid="{00000000-0006-0000-0100-000019000000}">
      <text>
        <r>
          <rPr>
            <sz val="10"/>
            <rFont val="Arial"/>
          </rPr>
          <t>reference:L19,N19
mrs:(L19,+,10.0000)  (N19,+,10.0000)  
Rotate:True</t>
        </r>
      </text>
    </comment>
    <comment ref="S19" authorId="0" shapeId="0" xr:uid="{00000000-0006-0000-0100-00001A000000}">
      <text>
        <r>
          <rPr>
            <sz val="10"/>
            <rFont val="Arial"/>
          </rPr>
          <t>reference:D19,F19
mrs:(D19,+,10.0000)  (F19,+,10.0000)  
Rotate:True</t>
        </r>
      </text>
    </comment>
    <comment ref="Q20" authorId="0" shapeId="0" xr:uid="{00000000-0006-0000-0100-00001B000000}">
      <text>
        <r>
          <rPr>
            <sz val="10"/>
            <rFont val="Arial"/>
          </rPr>
          <t>reference:L20,N20
mrs:(L20,+,10.0000)  (N20,+,10.0000)  
Rotate:True</t>
        </r>
      </text>
    </comment>
    <comment ref="S20" authorId="0" shapeId="0" xr:uid="{00000000-0006-0000-0100-00001C000000}">
      <text>
        <r>
          <rPr>
            <sz val="10"/>
            <rFont val="Arial"/>
          </rPr>
          <t>reference:D20,F20
mrs:(D20,+,10.0000)  (F20,+,10.0000)  
Rotate:True</t>
        </r>
      </text>
    </comment>
    <comment ref="D21" authorId="0" shapeId="0" xr:uid="{00000000-0006-0000-0100-00001D000000}">
      <text>
        <r>
          <rPr>
            <sz val="10"/>
            <rFont val="Arial"/>
          </rPr>
          <t>reference:D19,D20
mrs:(D19,+,10.0000)  (D20,+,10.0000)  
Rotate:True</t>
        </r>
      </text>
    </comment>
    <comment ref="F21" authorId="0" shapeId="0" xr:uid="{00000000-0006-0000-0100-00001E000000}">
      <text>
        <r>
          <rPr>
            <sz val="10"/>
            <rFont val="Arial"/>
          </rPr>
          <t>reference:F19,F20
mrs:(F19,+,10.0000)  (F20,+,10.0000)  
Rotate:True</t>
        </r>
      </text>
    </comment>
    <comment ref="H21" authorId="0" shapeId="0" xr:uid="{00000000-0006-0000-0100-00001F000000}">
      <text>
        <r>
          <rPr>
            <sz val="10"/>
            <rFont val="Arial"/>
          </rPr>
          <t>reference:H19,H20
mrs:(H19,+,10.0000)  (H20,+,10.0000)  
Rotate:True</t>
        </r>
      </text>
    </comment>
    <comment ref="J21" authorId="0" shapeId="0" xr:uid="{00000000-0006-0000-0100-000020000000}">
      <text>
        <r>
          <rPr>
            <sz val="10"/>
            <rFont val="Arial"/>
          </rPr>
          <t>reference:J19,J20
mrs:(J19,+,10.0000)  (J20,+,10.0000)  
Rotate:True</t>
        </r>
      </text>
    </comment>
    <comment ref="L21" authorId="0" shapeId="0" xr:uid="{00000000-0006-0000-0100-000021000000}">
      <text>
        <r>
          <rPr>
            <sz val="10"/>
            <rFont val="Arial"/>
          </rPr>
          <t>reference:L19,L20
mrs:(L19,+,10.0000)  (L20,+,10.0000)  
Rotate:True</t>
        </r>
      </text>
    </comment>
    <comment ref="N21" authorId="0" shapeId="0" xr:uid="{00000000-0006-0000-0100-000022000000}">
      <text>
        <r>
          <rPr>
            <sz val="10"/>
            <rFont val="Arial"/>
          </rPr>
          <t>reference:N19,N20
mrs:(N19,+,10.0000)  (N20,+,10.0000)  
Rotate:True</t>
        </r>
      </text>
    </comment>
    <comment ref="Q21" authorId="0" shapeId="0" xr:uid="{00000000-0006-0000-0100-000023000000}">
      <text>
        <r>
          <rPr>
            <sz val="10"/>
            <rFont val="Arial"/>
          </rPr>
          <t>reference:Q19,Q20
mrs:(Q19,+,10.0000)  (Q20,+,10.0000)  
Rotate:True</t>
        </r>
      </text>
    </comment>
    <comment ref="S21" authorId="0" shapeId="0" xr:uid="{00000000-0006-0000-0100-000024000000}">
      <text>
        <r>
          <rPr>
            <sz val="10"/>
            <rFont val="Arial"/>
          </rPr>
          <t>reference:S19,S20
mrs:(S19,+,10.0000)  (S20,+,10.0000)  
Rotate:True</t>
        </r>
      </text>
    </comment>
    <comment ref="D23" authorId="0" shapeId="0" xr:uid="{00000000-0006-0000-0100-000025000000}">
      <text>
        <r>
          <rPr>
            <sz val="10"/>
            <rFont val="Arial"/>
          </rPr>
          <t>reference:D13,D17,D21
mrs:(D13,+,10.0000)  (D17,+,10.0000)  (D21,+,10.0000)  
Rotate:True</t>
        </r>
      </text>
    </comment>
    <comment ref="F23" authorId="0" shapeId="0" xr:uid="{00000000-0006-0000-0100-000026000000}">
      <text>
        <r>
          <rPr>
            <sz val="10"/>
            <rFont val="Arial"/>
          </rPr>
          <t>reference:F13,F17,F21
mrs:(F13,+,10.0000)  (F17,+,10.0000)  (F21,+,10.0000)  
Rotate:True</t>
        </r>
      </text>
    </comment>
    <comment ref="H23" authorId="0" shapeId="0" xr:uid="{00000000-0006-0000-0100-000027000000}">
      <text>
        <r>
          <rPr>
            <sz val="10"/>
            <rFont val="Arial"/>
          </rPr>
          <t>reference:H13,H17,H21
mrs:(H13,+,10.0000)  (H17,+,10.0000)  (H21,+,10.0000)  
Rotate:True</t>
        </r>
      </text>
    </comment>
    <comment ref="J23" authorId="0" shapeId="0" xr:uid="{00000000-0006-0000-0100-000028000000}">
      <text>
        <r>
          <rPr>
            <sz val="10"/>
            <rFont val="Arial"/>
          </rPr>
          <t>reference:J13,J17,J21
mrs:(J13,+,10.0000)  (J17,+,10.0000)  (J21,+,10.0000)  
Rotate:True</t>
        </r>
      </text>
    </comment>
    <comment ref="L23" authorId="0" shapeId="0" xr:uid="{00000000-0006-0000-0100-000029000000}">
      <text>
        <r>
          <rPr>
            <sz val="10"/>
            <rFont val="Arial"/>
          </rPr>
          <t>reference:L13,L17,L21
mrs:(L13,+,10.0000)  (L17,+,10.0000)  (L21,+,10.0000)  
Rotate:True</t>
        </r>
      </text>
    </comment>
    <comment ref="N23" authorId="0" shapeId="0" xr:uid="{00000000-0006-0000-0100-00002A000000}">
      <text>
        <r>
          <rPr>
            <sz val="10"/>
            <rFont val="Arial"/>
          </rPr>
          <t>reference:N13,N17,N21
mrs:(N13,+,10.0000)  (N17,+,10.0000)  (N21,+,10.0000)  
Rotate:True</t>
        </r>
      </text>
    </comment>
    <comment ref="Q23" authorId="0" shapeId="0" xr:uid="{00000000-0006-0000-0100-00002B000000}">
      <text>
        <r>
          <rPr>
            <sz val="10"/>
            <rFont val="Arial"/>
          </rPr>
          <t>reference:Q13,Q17,Q21
mrs:(Q13,+,10.0000)  (Q17,+,10.0000)  (Q21,+,10.0000)  
Rotate:True</t>
        </r>
      </text>
    </comment>
    <comment ref="S23" authorId="0" shapeId="0" xr:uid="{00000000-0006-0000-0100-00002C000000}">
      <text>
        <r>
          <rPr>
            <sz val="10"/>
            <rFont val="Arial"/>
          </rPr>
          <t>reference:S13,S17,S21
mrs:(S13,+,10.0000)  (S17,+,10.0000)  (S21,+,10.0000)  
Rotate:True</t>
        </r>
      </text>
    </comment>
    <comment ref="Q27" authorId="0" shapeId="0" xr:uid="{00000000-0006-0000-0100-00002D000000}">
      <text>
        <r>
          <rPr>
            <sz val="10"/>
            <rFont val="Arial"/>
          </rPr>
          <t>reference:L27,N27
mrs:(L27,+,10.0000)  (N27,+,10.0000)  
Rotate:True</t>
        </r>
      </text>
    </comment>
    <comment ref="S27" authorId="0" shapeId="0" xr:uid="{00000000-0006-0000-0100-00002E000000}">
      <text>
        <r>
          <rPr>
            <sz val="10"/>
            <rFont val="Arial"/>
          </rPr>
          <t>reference:D27,F27
mrs:(D27,+,10.0000)  (F27,+,10.0000)  
Rotate:True</t>
        </r>
      </text>
    </comment>
    <comment ref="Q28" authorId="0" shapeId="0" xr:uid="{00000000-0006-0000-0100-00002F000000}">
      <text>
        <r>
          <rPr>
            <sz val="10"/>
            <rFont val="Arial"/>
          </rPr>
          <t>reference:L28,N28
mrs:(L28,+,10.0000)  (N28,+,10.0000)  
Rotate:True</t>
        </r>
      </text>
    </comment>
    <comment ref="S28" authorId="0" shapeId="0" xr:uid="{00000000-0006-0000-0100-000030000000}">
      <text>
        <r>
          <rPr>
            <sz val="10"/>
            <rFont val="Arial"/>
          </rPr>
          <t>reference:D28,F28
mrs:(D28,+,10.0000)  (F28,+,10.0000)  
Rotate:True</t>
        </r>
      </text>
    </comment>
    <comment ref="D29" authorId="0" shapeId="0" xr:uid="{00000000-0006-0000-0100-000031000000}">
      <text>
        <r>
          <rPr>
            <sz val="10"/>
            <rFont val="Arial"/>
          </rPr>
          <t>reference:D27,D28
mrs:(D27,+,10.0000)  (D28,+,10.0000)  
Rotate:True</t>
        </r>
      </text>
    </comment>
    <comment ref="F29" authorId="0" shapeId="0" xr:uid="{00000000-0006-0000-0100-000032000000}">
      <text>
        <r>
          <rPr>
            <sz val="10"/>
            <rFont val="Arial"/>
          </rPr>
          <t>reference:F27,F28
mrs:(F27,+,10.0000)  (F28,+,10.0000)  
Rotate:True</t>
        </r>
      </text>
    </comment>
    <comment ref="H29" authorId="0" shapeId="0" xr:uid="{00000000-0006-0000-0100-000033000000}">
      <text>
        <r>
          <rPr>
            <sz val="10"/>
            <rFont val="Arial"/>
          </rPr>
          <t>reference:H27,H28
mrs:(H27,+,10.0000)  (H28,+,10.0000)  
Rotate:True</t>
        </r>
      </text>
    </comment>
    <comment ref="J29" authorId="0" shapeId="0" xr:uid="{00000000-0006-0000-0100-000034000000}">
      <text>
        <r>
          <rPr>
            <sz val="10"/>
            <rFont val="Arial"/>
          </rPr>
          <t>reference:J27,J28
mrs:(J27,+,10.0000)  (J28,+,10.0000)  
Rotate:True</t>
        </r>
      </text>
    </comment>
    <comment ref="L29" authorId="0" shapeId="0" xr:uid="{00000000-0006-0000-0100-000035000000}">
      <text>
        <r>
          <rPr>
            <sz val="10"/>
            <rFont val="Arial"/>
          </rPr>
          <t>reference:L27,L28
mrs:(L27,+,10.0000)  (L28,+,10.0000)  
Rotate:True</t>
        </r>
      </text>
    </comment>
    <comment ref="N29" authorId="0" shapeId="0" xr:uid="{00000000-0006-0000-0100-000036000000}">
      <text>
        <r>
          <rPr>
            <sz val="10"/>
            <rFont val="Arial"/>
          </rPr>
          <t>reference:N27,N28
mrs:(N27,+,10.0000)  (N28,+,10.0000)  
Rotate:True</t>
        </r>
      </text>
    </comment>
    <comment ref="Q29" authorId="0" shapeId="0" xr:uid="{00000000-0006-0000-0100-000037000000}">
      <text>
        <r>
          <rPr>
            <sz val="10"/>
            <rFont val="Arial"/>
          </rPr>
          <t>reference:Q27,Q28
mrs:(Q27,+,10.0000)  (Q28,+,10.0000)  
Rotate:True</t>
        </r>
      </text>
    </comment>
    <comment ref="S29" authorId="0" shapeId="0" xr:uid="{00000000-0006-0000-0100-000038000000}">
      <text>
        <r>
          <rPr>
            <sz val="10"/>
            <rFont val="Arial"/>
          </rPr>
          <t>reference:S27,S28
mrs:(S27,+,10.0000)  (S28,+,10.0000)  
Rotate:True</t>
        </r>
      </text>
    </comment>
    <comment ref="Q31" authorId="0" shapeId="0" xr:uid="{00000000-0006-0000-0100-000039000000}">
      <text>
        <r>
          <rPr>
            <sz val="10"/>
            <rFont val="Arial"/>
          </rPr>
          <t>reference:L31,N31
mrs:(L31,+,10.0000)  (N31,+,10.0000)  
Rotate:True</t>
        </r>
      </text>
    </comment>
    <comment ref="S31" authorId="0" shapeId="0" xr:uid="{00000000-0006-0000-0100-00003A000000}">
      <text>
        <r>
          <rPr>
            <sz val="10"/>
            <rFont val="Arial"/>
          </rPr>
          <t>reference:D31,F31
mrs:(D31,+,10.0000)  (F31,+,10.0000)  
Rotate:True</t>
        </r>
      </text>
    </comment>
    <comment ref="Q32" authorId="0" shapeId="0" xr:uid="{00000000-0006-0000-0100-00003B000000}">
      <text>
        <r>
          <rPr>
            <sz val="10"/>
            <rFont val="Arial"/>
          </rPr>
          <t>reference:L32,N32
mrs:(L32,+,10.0000)  (N32,+,10.0000)  
Rotate:True</t>
        </r>
      </text>
    </comment>
    <comment ref="S32" authorId="0" shapeId="0" xr:uid="{00000000-0006-0000-0100-00003C000000}">
      <text>
        <r>
          <rPr>
            <sz val="10"/>
            <rFont val="Arial"/>
          </rPr>
          <t>reference:D32,F32
mrs:(D32,+,10.0000)  (F32,+,10.0000)  
Rotate:True</t>
        </r>
      </text>
    </comment>
    <comment ref="Q33" authorId="0" shapeId="0" xr:uid="{00000000-0006-0000-0100-00003D000000}">
      <text>
        <r>
          <rPr>
            <sz val="10"/>
            <rFont val="Arial"/>
          </rPr>
          <t>reference:L33,N33
mrs:(L33,+,10.0000)  (N33,+,10.0000)  
Rotate:True</t>
        </r>
      </text>
    </comment>
    <comment ref="S33" authorId="0" shapeId="0" xr:uid="{00000000-0006-0000-0100-00003E000000}">
      <text>
        <r>
          <rPr>
            <sz val="10"/>
            <rFont val="Arial"/>
          </rPr>
          <t>reference:D33,F33
mrs:(D33,+,10.0000)  (F33,+,10.0000)  
Rotate:True</t>
        </r>
      </text>
    </comment>
    <comment ref="D34" authorId="0" shapeId="0" xr:uid="{00000000-0006-0000-0100-00003F000000}">
      <text>
        <r>
          <rPr>
            <sz val="10"/>
            <rFont val="Arial"/>
          </rPr>
          <t>reference:D29,D30,D31,D32,D33
mrs:(D29,+,10.0000)  (D30,+,10.0000)  (D31,+,10.0000)  (D32,+,10.0000)  (D33,+,10.0000)  
Rotate:True</t>
        </r>
      </text>
    </comment>
    <comment ref="F34" authorId="0" shapeId="0" xr:uid="{00000000-0006-0000-0100-000040000000}">
      <text>
        <r>
          <rPr>
            <sz val="10"/>
            <rFont val="Arial"/>
          </rPr>
          <t>reference:F29,F30,F31,F32,F33
mrs:(F29,+,10.0000)  (F30,+,10.0000)  (F31,+,10.0000)  (F32,+,10.0000)  (F33,+,10.0000)  
Rotate:True</t>
        </r>
      </text>
    </comment>
    <comment ref="H34" authorId="0" shapeId="0" xr:uid="{00000000-0006-0000-0100-000041000000}">
      <text>
        <r>
          <rPr>
            <sz val="10"/>
            <rFont val="Arial"/>
          </rPr>
          <t>reference:H29,H30,H31,H32,H33
mrs:(H29,+,10.0000)  (H30,+,10.0000)  (H31,+,10.0000)  (H32,+,10.0000)  (H33,+,10.0000)  
Rotate:True</t>
        </r>
      </text>
    </comment>
    <comment ref="J34" authorId="0" shapeId="0" xr:uid="{00000000-0006-0000-0100-000042000000}">
      <text>
        <r>
          <rPr>
            <sz val="10"/>
            <rFont val="Arial"/>
          </rPr>
          <t>reference:J29,J30,J31,J32,J33
mrs:(J29,+,10.0000)  (J30,+,10.0000)  (J31,+,10.0000)  (J32,+,10.0000)  (J33,+,10.0000)  
Rotate:True</t>
        </r>
      </text>
    </comment>
    <comment ref="L34" authorId="0" shapeId="0" xr:uid="{00000000-0006-0000-0100-000043000000}">
      <text>
        <r>
          <rPr>
            <sz val="10"/>
            <rFont val="Arial"/>
          </rPr>
          <t>reference:L29,L30,L31,L32,L33
mrs:(L29,+,10.0000)  (L30,+,10.0000)  (L31,+,10.0000)  (L32,+,10.0000)  (L33,+,10.0000)  
Rotate:True</t>
        </r>
      </text>
    </comment>
    <comment ref="N34" authorId="0" shapeId="0" xr:uid="{00000000-0006-0000-0100-000044000000}">
      <text>
        <r>
          <rPr>
            <sz val="10"/>
            <rFont val="Arial"/>
          </rPr>
          <t>reference:N29,N30,N31,N32,N33
mrs:(N29,+,10.0000)  (N30,+,10.0000)  (N31,+,10.0000)  (N32,+,10.0000)  (N33,+,10.0000)  
Rotate:True</t>
        </r>
      </text>
    </comment>
    <comment ref="Q34" authorId="0" shapeId="0" xr:uid="{00000000-0006-0000-0100-000045000000}">
      <text>
        <r>
          <rPr>
            <sz val="10"/>
            <rFont val="Arial"/>
          </rPr>
          <t>reference:Q29,Q30,Q31,Q32,Q33
mrs:(Q29,+,10.0000)  (Q30,+,10.0000)  (Q31,+,10.0000)  (Q32,+,10.0000)  (Q33,+,10.0000)  
Rotate:True</t>
        </r>
      </text>
    </comment>
    <comment ref="S34" authorId="0" shapeId="0" xr:uid="{00000000-0006-0000-0100-000046000000}">
      <text>
        <r>
          <rPr>
            <sz val="10"/>
            <rFont val="Arial"/>
          </rPr>
          <t>reference:S29,S30,S31,S32,S33
mrs:(S29,+,10.0000)  (S30,+,10.0000)  (S31,+,10.0000)  (S32,+,10.0000)  (S33,+,10.0000)  
Rotate:True</t>
        </r>
      </text>
    </comment>
    <comment ref="Q37" authorId="0" shapeId="0" xr:uid="{00000000-0006-0000-0100-000047000000}">
      <text>
        <r>
          <rPr>
            <sz val="10"/>
            <rFont val="Arial"/>
          </rPr>
          <t>reference:L37,N37
mrs:(L37,+,10.0000)  (N37,+,10.0000)  
Rotate:True</t>
        </r>
      </text>
    </comment>
    <comment ref="S37" authorId="0" shapeId="0" xr:uid="{00000000-0006-0000-0100-000048000000}">
      <text>
        <r>
          <rPr>
            <sz val="10"/>
            <rFont val="Arial"/>
          </rPr>
          <t>reference:D37,F37
mrs:(D37,+,10.0000)  (F37,+,10.0000)  
Rotate:True</t>
        </r>
      </text>
    </comment>
    <comment ref="Q38" authorId="0" shapeId="0" xr:uid="{00000000-0006-0000-0100-000049000000}">
      <text>
        <r>
          <rPr>
            <sz val="10"/>
            <rFont val="Arial"/>
          </rPr>
          <t>reference:L38,N38
mrs:(L38,+,10.0000)  (N38,+,10.0000)  
Rotate:True</t>
        </r>
      </text>
    </comment>
    <comment ref="S38" authorId="0" shapeId="0" xr:uid="{00000000-0006-0000-0100-00004A000000}">
      <text>
        <r>
          <rPr>
            <sz val="10"/>
            <rFont val="Arial"/>
          </rPr>
          <t>reference:D38,F38
mrs:(D38,+,10.0000)  (F38,+,10.0000)  
Rotate:True</t>
        </r>
      </text>
    </comment>
    <comment ref="N39" authorId="1" shapeId="0" xr:uid="{00000000-0006-0000-0100-00004B000000}">
      <text>
        <r>
          <rPr>
            <sz val="10"/>
            <rFont val="Arial"/>
          </rPr>
          <t xml:space="preserve">Collard.Kelly:Rounding problem with earnings from ops-cannot adjust EBITDA-have to adjust depreciation
</t>
        </r>
      </text>
    </comment>
    <comment ref="Q39" authorId="0" shapeId="0" xr:uid="{00000000-0006-0000-0100-00004C000000}">
      <text>
        <r>
          <rPr>
            <sz val="10"/>
            <rFont val="Arial"/>
          </rPr>
          <t>reference:L39,N39
mrs:(L39,+,10.0000)  (N39,+,10.0000)  
Rotate:True</t>
        </r>
      </text>
    </comment>
    <comment ref="S39" authorId="0" shapeId="0" xr:uid="{00000000-0006-0000-0100-00004D000000}">
      <text>
        <r>
          <rPr>
            <sz val="10"/>
            <rFont val="Arial"/>
          </rPr>
          <t>reference:D39,F39
mrs:(D39,+,10.0000)  (F39,+,10.0000)  
Rotate:True</t>
        </r>
      </text>
    </comment>
    <comment ref="Q40" authorId="0" shapeId="0" xr:uid="{00000000-0006-0000-0100-00004E000000}">
      <text>
        <r>
          <rPr>
            <sz val="10"/>
            <rFont val="Arial"/>
          </rPr>
          <t>reference:L40,N40
mrs:(L40,+,10.0000)  (N40,+,10.0000)  
Rotate:True</t>
        </r>
      </text>
    </comment>
    <comment ref="S40" authorId="0" shapeId="0" xr:uid="{00000000-0006-0000-0100-00004F000000}">
      <text>
        <r>
          <rPr>
            <sz val="10"/>
            <rFont val="Arial"/>
          </rPr>
          <t>reference:D40,F40
mrs:(D40,+,10.0000)  (F40,+,10.0000)  
Rotate:True</t>
        </r>
      </text>
    </comment>
    <comment ref="Q41" authorId="0" shapeId="0" xr:uid="{00000000-0006-0000-0100-000050000000}">
      <text>
        <r>
          <rPr>
            <sz val="10"/>
            <rFont val="Arial"/>
          </rPr>
          <t>reference:L41,N41
mrs:(L41,+,10.0000)  (N41,+,10.0000)  
Rotate:True</t>
        </r>
      </text>
    </comment>
    <comment ref="S41" authorId="0" shapeId="0" xr:uid="{00000000-0006-0000-0100-000051000000}">
      <text>
        <r>
          <rPr>
            <sz val="10"/>
            <rFont val="Arial"/>
          </rPr>
          <t>reference:D41,F41
mrs:(D41,+,10.0000)  (F41,+,10.0000)  
Rotate:True</t>
        </r>
      </text>
    </comment>
    <comment ref="D42" authorId="0" shapeId="0" xr:uid="{00000000-0006-0000-0100-000052000000}">
      <text>
        <r>
          <rPr>
            <sz val="10"/>
            <rFont val="Arial"/>
          </rPr>
          <t>reference:D37,D38,D39,D40,D41
mrs:(D37,+,10.0000)  (D38,+,10.0000)  (D39,+,10.0000)  (D40,+,10.0000)  (D41,+,10.0000)  
Rotate:True</t>
        </r>
      </text>
    </comment>
    <comment ref="F42" authorId="0" shapeId="0" xr:uid="{00000000-0006-0000-0100-000053000000}">
      <text>
        <r>
          <rPr>
            <sz val="10"/>
            <rFont val="Arial"/>
          </rPr>
          <t>reference:F37,F38,F39,F40,F41
mrs:(F37,+,10.0000)  (F38,+,10.0000)  (F39,+,10.0000)  (F40,+,10.0000)  (F41,+,10.0000)  
Rotate:True</t>
        </r>
      </text>
    </comment>
    <comment ref="H42" authorId="0" shapeId="0" xr:uid="{00000000-0006-0000-0100-000054000000}">
      <text>
        <r>
          <rPr>
            <sz val="10"/>
            <rFont val="Arial"/>
          </rPr>
          <t>reference:H37,H38,H39,H40,H41
mrs:(H37,+,10.0000)  (H38,+,10.0000)  (H39,+,10.0000)  (H40,+,10.0000)  (H41,+,10.0000)  
Rotate:True</t>
        </r>
      </text>
    </comment>
    <comment ref="J42" authorId="0" shapeId="0" xr:uid="{00000000-0006-0000-0100-000055000000}">
      <text>
        <r>
          <rPr>
            <sz val="10"/>
            <rFont val="Arial"/>
          </rPr>
          <t>reference:J37,J38,J39,J40,J41
mrs:(J37,+,10.0000)  (J38,+,10.0000)  (J39,+,10.0000)  (J40,+,10.0000)  (J41,+,10.0000)  
Rotate:True</t>
        </r>
      </text>
    </comment>
    <comment ref="L42" authorId="0" shapeId="0" xr:uid="{00000000-0006-0000-0100-000056000000}">
      <text>
        <r>
          <rPr>
            <sz val="10"/>
            <rFont val="Arial"/>
          </rPr>
          <t>reference:L37,L38,L39,L40,L41
mrs:(L37,+,10.0000)  (L38,+,10.0000)  (L39,+,10.0000)  (L40,+,10.0000)  (L41,+,10.0000)  
Rotate:True</t>
        </r>
      </text>
    </comment>
    <comment ref="N42" authorId="0" shapeId="0" xr:uid="{00000000-0006-0000-0100-000057000000}">
      <text>
        <r>
          <rPr>
            <sz val="10"/>
            <rFont val="Arial"/>
          </rPr>
          <t>reference:N37,N38,N39,N40,N41
mrs:(N37,+,10.0000)  (N38,+,10.0000)  (N39,+,10.0000)  (N40,+,10.0000)  (N41,+,10.0000)  
Rotate:True</t>
        </r>
      </text>
    </comment>
    <comment ref="Q42" authorId="0" shapeId="0" xr:uid="{00000000-0006-0000-0100-000058000000}">
      <text>
        <r>
          <rPr>
            <sz val="10"/>
            <rFont val="Arial"/>
          </rPr>
          <t>reference:Q37,Q38,Q39,Q40,Q41
mrs:(Q37,+,10.0000)  (Q38,+,10.0000)  (Q39,+,10.0000)  (Q40,+,10.0000)  (Q41,+,10.0000)  
Rotate:True</t>
        </r>
      </text>
    </comment>
    <comment ref="S42" authorId="0" shapeId="0" xr:uid="{00000000-0006-0000-0100-000059000000}">
      <text>
        <r>
          <rPr>
            <sz val="10"/>
            <rFont val="Arial"/>
          </rPr>
          <t>reference:S37,S38,S39,S40,S41
mrs:(S37,+,10.0000)  (S38,+,10.0000)  (S39,+,10.0000)  (S40,+,10.0000)  (S41,+,10.0000)  
Rotate:True</t>
        </r>
      </text>
    </comment>
    <comment ref="J45" authorId="1" shapeId="0" xr:uid="{00000000-0006-0000-0100-00005A000000}">
      <text>
        <r>
          <rPr>
            <sz val="10"/>
            <rFont val="Arial"/>
          </rPr>
          <t>Collard.Kelly: $5 million in capitalized professional reclassed against comp due to inconsistencies in coding capitalized professional vs capitalized comp</t>
        </r>
      </text>
    </comment>
    <comment ref="Q45" authorId="0" shapeId="0" xr:uid="{00000000-0006-0000-0100-00005B000000}">
      <text>
        <r>
          <rPr>
            <sz val="10"/>
            <rFont val="Arial"/>
          </rPr>
          <t>reference:L45,N45
mrs:(L45,+,10.0000)  (N45,+,10.0000)  
Rotate:True</t>
        </r>
      </text>
    </comment>
    <comment ref="S45" authorId="0" shapeId="0" xr:uid="{00000000-0006-0000-0100-00005C000000}">
      <text>
        <r>
          <rPr>
            <sz val="10"/>
            <rFont val="Arial"/>
          </rPr>
          <t>reference:D45,F45
mrs:(D45,+,10.0000)  (F45,+,10.0000)  
Rotate:True</t>
        </r>
      </text>
    </comment>
    <comment ref="Q46" authorId="0" shapeId="0" xr:uid="{00000000-0006-0000-0100-00005D000000}">
      <text>
        <r>
          <rPr>
            <sz val="10"/>
            <rFont val="Arial"/>
          </rPr>
          <t>reference:L46,N46
mrs:(L46,+,10.0000)  (N46,+,10.0000)  
Rotate:True</t>
        </r>
      </text>
    </comment>
    <comment ref="S46" authorId="0" shapeId="0" xr:uid="{00000000-0006-0000-0100-00005E000000}">
      <text>
        <r>
          <rPr>
            <sz val="10"/>
            <rFont val="Arial"/>
          </rPr>
          <t>reference:D46,F46
mrs:(D46,+,10.0000)  (F46,+,10.0000)  
Rotate:True</t>
        </r>
      </text>
    </comment>
    <comment ref="Q47" authorId="0" shapeId="0" xr:uid="{00000000-0006-0000-0100-00005F000000}">
      <text>
        <r>
          <rPr>
            <sz val="10"/>
            <rFont val="Arial"/>
          </rPr>
          <t>reference:L47,N47
mrs:(L47,+,10.0000)  (N47,+,10.0000)  
Rotate:True</t>
        </r>
      </text>
    </comment>
    <comment ref="S47" authorId="0" shapeId="0" xr:uid="{00000000-0006-0000-0100-000060000000}">
      <text>
        <r>
          <rPr>
            <sz val="10"/>
            <rFont val="Arial"/>
          </rPr>
          <t>reference:D47,F47
mrs:(D47,+,10.0000)  (F47,+,10.0000)  
Rotate:True</t>
        </r>
      </text>
    </comment>
    <comment ref="Q48" authorId="0" shapeId="0" xr:uid="{00000000-0006-0000-0100-000061000000}">
      <text>
        <r>
          <rPr>
            <sz val="10"/>
            <rFont val="Arial"/>
          </rPr>
          <t>reference:L48,N48
mrs:(L48,+,10.0000)  (N48,+,10.0000)  
Rotate:True</t>
        </r>
      </text>
    </comment>
    <comment ref="S48" authorId="0" shapeId="0" xr:uid="{00000000-0006-0000-0100-000062000000}">
      <text>
        <r>
          <rPr>
            <sz val="10"/>
            <rFont val="Arial"/>
          </rPr>
          <t>reference:D48,F48
mrs:(D48,+,10.0000)  (F48,+,10.0000)  
Rotate:True</t>
        </r>
      </text>
    </comment>
    <comment ref="Q49" authorId="0" shapeId="0" xr:uid="{00000000-0006-0000-0100-000063000000}">
      <text>
        <r>
          <rPr>
            <sz val="10"/>
            <rFont val="Arial"/>
          </rPr>
          <t>reference:L49,N49
mrs:(L49,+,10.0000)  (N49,+,10.0000)  
Rotate:True</t>
        </r>
      </text>
    </comment>
    <comment ref="S49" authorId="0" shapeId="0" xr:uid="{00000000-0006-0000-0100-000064000000}">
      <text>
        <r>
          <rPr>
            <sz val="10"/>
            <rFont val="Arial"/>
          </rPr>
          <t>reference:D49,F49
mrs:(D49,+,10.0000)  (F49,+,10.0000)  
Rotate:True</t>
        </r>
      </text>
    </comment>
    <comment ref="Q50" authorId="0" shapeId="0" xr:uid="{00000000-0006-0000-0100-000065000000}">
      <text>
        <r>
          <rPr>
            <sz val="10"/>
            <rFont val="Arial"/>
          </rPr>
          <t>reference:L50,N50
mrs:(L50,+,10.0000)  (N50,+,10.0000)  
Rotate:True</t>
        </r>
      </text>
    </comment>
    <comment ref="S50" authorId="0" shapeId="0" xr:uid="{00000000-0006-0000-0100-000066000000}">
      <text>
        <r>
          <rPr>
            <sz val="10"/>
            <rFont val="Arial"/>
          </rPr>
          <t>reference:D50,F50
mrs:(D50,+,10.0000)  (F50,+,10.0000)  
Rotate:True</t>
        </r>
      </text>
    </comment>
    <comment ref="Q51" authorId="0" shapeId="0" xr:uid="{00000000-0006-0000-0100-000067000000}">
      <text>
        <r>
          <rPr>
            <sz val="10"/>
            <rFont val="Arial"/>
          </rPr>
          <t>reference:L51,N51
mrs:(L51,+,10.0000)  (N51,+,10.0000)  
Rotate:True</t>
        </r>
      </text>
    </comment>
    <comment ref="S51" authorId="0" shapeId="0" xr:uid="{00000000-0006-0000-0100-000068000000}">
      <text>
        <r>
          <rPr>
            <sz val="10"/>
            <rFont val="Arial"/>
          </rPr>
          <t>reference:D51,F51
mrs:(D51,+,10.0000)  (F51,+,10.0000)  
Rotate:True</t>
        </r>
      </text>
    </comment>
    <comment ref="Q52" authorId="0" shapeId="0" xr:uid="{00000000-0006-0000-0100-000069000000}">
      <text>
        <r>
          <rPr>
            <sz val="10"/>
            <rFont val="Arial"/>
          </rPr>
          <t>reference:L52,N52
mrs:(L52,+,10.0000)  (N52,+,10.0000)  
Rotate:True</t>
        </r>
      </text>
    </comment>
    <comment ref="S52" authorId="0" shapeId="0" xr:uid="{00000000-0006-0000-0100-00006A000000}">
      <text>
        <r>
          <rPr>
            <sz val="10"/>
            <rFont val="Arial"/>
          </rPr>
          <t>reference:D52,F52
mrs:(D52,+,10.0000)  (F52,+,10.0000)  
Rotate:True</t>
        </r>
      </text>
    </comment>
    <comment ref="Q53" authorId="0" shapeId="0" xr:uid="{00000000-0006-0000-0100-00006B000000}">
      <text>
        <r>
          <rPr>
            <sz val="10"/>
            <rFont val="Arial"/>
          </rPr>
          <t>reference:L53,N53
mrs:(L53,+,10.0000)  (N53,+,10.0000)  
Rotate:True</t>
        </r>
      </text>
    </comment>
    <comment ref="S53" authorId="0" shapeId="0" xr:uid="{00000000-0006-0000-0100-00006C000000}">
      <text>
        <r>
          <rPr>
            <sz val="10"/>
            <rFont val="Arial"/>
          </rPr>
          <t>reference:D53,F53
mrs:(D53,+,10.0000)  (F53,+,10.0000)  
Rotate:True</t>
        </r>
      </text>
    </comment>
    <comment ref="Q54" authorId="0" shapeId="0" xr:uid="{00000000-0006-0000-0100-00006D000000}">
      <text>
        <r>
          <rPr>
            <sz val="10"/>
            <rFont val="Arial"/>
          </rPr>
          <t>reference:L54,N54
mrs:(L54,+,10.0000)  (N54,+,10.0000)  
Rotate:True</t>
        </r>
      </text>
    </comment>
    <comment ref="S54" authorId="0" shapeId="0" xr:uid="{00000000-0006-0000-0100-00006E000000}">
      <text>
        <r>
          <rPr>
            <sz val="10"/>
            <rFont val="Arial"/>
          </rPr>
          <t>reference:D54,F54
mrs:(D54,+,10.0000)  (F54,+,10.0000)  
Rotate:True</t>
        </r>
      </text>
    </comment>
    <comment ref="Q55" authorId="0" shapeId="0" xr:uid="{00000000-0006-0000-0100-00006F000000}">
      <text>
        <r>
          <rPr>
            <sz val="10"/>
            <rFont val="Arial"/>
          </rPr>
          <t>reference:L55,N55
mrs:(L55,+,10.0000)  (N55,+,10.0000)  
Rotate:True</t>
        </r>
      </text>
    </comment>
    <comment ref="S55" authorId="0" shapeId="0" xr:uid="{00000000-0006-0000-0100-000070000000}">
      <text>
        <r>
          <rPr>
            <sz val="10"/>
            <rFont val="Arial"/>
          </rPr>
          <t>reference:D55,F55
mrs:(D55,+,10.0000)  (F55,+,10.0000)  
Rotate:True</t>
        </r>
      </text>
    </comment>
    <comment ref="Q56" authorId="0" shapeId="0" xr:uid="{00000000-0006-0000-0100-000071000000}">
      <text>
        <r>
          <rPr>
            <sz val="10"/>
            <rFont val="Arial"/>
          </rPr>
          <t>reference:L56,N56
mrs:(L56,+,10.0000)  (N56,+,10.0000)  
Rotate:True</t>
        </r>
      </text>
    </comment>
    <comment ref="S56" authorId="0" shapeId="0" xr:uid="{00000000-0006-0000-0100-000072000000}">
      <text>
        <r>
          <rPr>
            <sz val="10"/>
            <rFont val="Arial"/>
          </rPr>
          <t>reference:D56,F56
mrs:(D56,+,10.0000)  (F56,+,10.0000)  
Rotate:True</t>
        </r>
      </text>
    </comment>
    <comment ref="Q57" authorId="0" shapeId="0" xr:uid="{00000000-0006-0000-0100-000073000000}">
      <text>
        <r>
          <rPr>
            <sz val="10"/>
            <rFont val="Arial"/>
          </rPr>
          <t>reference:L57,N57
mrs:(L57,+,10.0000)  (N57,+,10.0000)  
Rotate:True</t>
        </r>
      </text>
    </comment>
    <comment ref="S57" authorId="0" shapeId="0" xr:uid="{00000000-0006-0000-0100-000074000000}">
      <text>
        <r>
          <rPr>
            <sz val="10"/>
            <rFont val="Arial"/>
          </rPr>
          <t>reference:D57,F57
mrs:(D57,+,10.0000)  (F57,+,10.0000)  
Rotate:True</t>
        </r>
      </text>
    </comment>
    <comment ref="Q58" authorId="0" shapeId="0" xr:uid="{00000000-0006-0000-0100-000075000000}">
      <text>
        <r>
          <rPr>
            <sz val="10"/>
            <rFont val="Arial"/>
          </rPr>
          <t>reference:L58,N58
mrs:(L58,+,10.0000)  (N58,+,10.0000)  
Rotate:True</t>
        </r>
      </text>
    </comment>
    <comment ref="S58" authorId="0" shapeId="0" xr:uid="{00000000-0006-0000-0100-000076000000}">
      <text>
        <r>
          <rPr>
            <sz val="10"/>
            <rFont val="Arial"/>
          </rPr>
          <t>reference:D58,F58
mrs:(D58,+,10.0000)  (F58,+,10.0000)  
Rotate:True</t>
        </r>
      </text>
    </comment>
    <comment ref="D59" authorId="2" shapeId="0" xr:uid="{00000000-0006-0000-0100-000077000000}">
      <text>
        <r>
          <rPr>
            <sz val="10"/>
            <rFont val="Arial"/>
          </rPr>
          <t xml:space="preserve">JAY LYNCH:
$2 Rounding
Inventory Adjustment
</t>
        </r>
      </text>
    </comment>
    <comment ref="F59" authorId="2" shapeId="0" xr:uid="{00000000-0006-0000-0100-000078000000}">
      <text>
        <r>
          <rPr>
            <sz val="10"/>
            <rFont val="Arial"/>
          </rPr>
          <t xml:space="preserve">JAY LYNCH:
$2 Rounding
Inventory Adjustment
</t>
        </r>
      </text>
    </comment>
    <comment ref="Q59" authorId="0" shapeId="0" xr:uid="{00000000-0006-0000-0100-000079000000}">
      <text>
        <r>
          <rPr>
            <sz val="10"/>
            <rFont val="Arial"/>
          </rPr>
          <t>reference:L59,N59
mrs:(L59,+,10.0000)  (N59,+,10.0000)  
Rotate:True</t>
        </r>
      </text>
    </comment>
    <comment ref="S59" authorId="0" shapeId="0" xr:uid="{00000000-0006-0000-0100-00007A000000}">
      <text>
        <r>
          <rPr>
            <sz val="10"/>
            <rFont val="Arial"/>
          </rPr>
          <t>reference:D59,F59
mrs:(D59,+,10.0000)  (F59,+,10.0000)  
Rotate:True</t>
        </r>
      </text>
    </comment>
    <comment ref="Q60" authorId="0" shapeId="0" xr:uid="{00000000-0006-0000-0100-00007B000000}">
      <text>
        <r>
          <rPr>
            <sz val="10"/>
            <rFont val="Arial"/>
          </rPr>
          <t>reference:L60,N60
mrs:(L60,+,10.0000)  (N60,+,10.0000)  
Rotate:True</t>
        </r>
      </text>
    </comment>
    <comment ref="S60" authorId="0" shapeId="0" xr:uid="{00000000-0006-0000-0100-00007C000000}">
      <text>
        <r>
          <rPr>
            <sz val="10"/>
            <rFont val="Arial"/>
          </rPr>
          <t>reference:D60,F60
mrs:(D60,+,10.0000)  (F60,+,10.0000)  
Rotate:True</t>
        </r>
      </text>
    </comment>
    <comment ref="Q61" authorId="0" shapeId="0" xr:uid="{00000000-0006-0000-0100-00007D000000}">
      <text>
        <r>
          <rPr>
            <sz val="10"/>
            <rFont val="Arial"/>
          </rPr>
          <t>reference:L61,N61
mrs:(L61,+,10.0000)  (N61,+,10.0000)  
Rotate:True</t>
        </r>
      </text>
    </comment>
    <comment ref="S61" authorId="0" shapeId="0" xr:uid="{00000000-0006-0000-0100-00007E000000}">
      <text>
        <r>
          <rPr>
            <sz val="10"/>
            <rFont val="Arial"/>
          </rPr>
          <t>reference:D61,F61
mrs:(D61,+,10.0000)  (F61,+,10.0000)  
Rotate:True</t>
        </r>
      </text>
    </comment>
    <comment ref="Q62" authorId="0" shapeId="0" xr:uid="{00000000-0006-0000-0100-00007F000000}">
      <text>
        <r>
          <rPr>
            <sz val="10"/>
            <rFont val="Arial"/>
          </rPr>
          <t>reference:L62,N62
mrs:(L62,+,10.0000)  (N62,+,10.0000)  
Rotate:True</t>
        </r>
      </text>
    </comment>
    <comment ref="S62" authorId="0" shapeId="0" xr:uid="{00000000-0006-0000-0100-000080000000}">
      <text>
        <r>
          <rPr>
            <sz val="10"/>
            <rFont val="Arial"/>
          </rPr>
          <t>reference:D62,F62
mrs:(D62,+,10.0000)  (F62,+,10.0000)  
Rotate:True</t>
        </r>
      </text>
    </comment>
    <comment ref="D63" authorId="0" shapeId="0" xr:uid="{00000000-0006-0000-0100-000081000000}">
      <text>
        <r>
          <rPr>
            <sz val="10"/>
            <rFont val="Arial"/>
          </rPr>
          <t>reference:D45,D46,D47,D48,D49,D50,D51,D52,D53,D54,D55,D56,D57,D58,D59,D60,D61,D62
mrs:(D45,+,10.0000)  (D46,+,10.0000)  (D47,+,10.0000)  (D48,+,10.0000)  (D49,+,10.0000)  (D50,+,10.0000)  (D51,+,10.0000)  (D52,+,10.0000)  (D53,+,10.0000)  (D54,+,10.0000)  (D55,+,10.0000)  (D56,+,10.0000)  (D57,+,10.0000)  (D58,+,10.0000)  (D59,+,10.0000)  (D60,+,10.0000)  (D61,+,10.0000)  (D62,+,10.0000)  
Rotate:True</t>
        </r>
      </text>
    </comment>
    <comment ref="F63" authorId="0" shapeId="0" xr:uid="{00000000-0006-0000-0100-000082000000}">
      <text>
        <r>
          <rPr>
            <sz val="10"/>
            <rFont val="Arial"/>
          </rPr>
          <t>reference:F45,F46,F47,F48,F49,F50,F51,F52,F53,F54,F55,F56,F57,F58,F59,F60,F61,F62
mrs:(F45,+,10.0000)  (F46,+,10.0000)  (F47,+,10.0000)  (F48,+,10.0000)  (F49,+,10.0000)  (F50,+,10.0000)  (F51,+,10.0000)  (F52,+,10.0000)  (F53,+,10.0000)  (F54,+,10.0000)  (F55,+,10.0000)  (F56,+,10.0000)  (F57,+,10.0000)  (F58,+,10.0000)  (F59,+,10.0000)  (F60,+,10.0000)  (F61,+,10.0000)  (F62,+,10.0000)  
Rotate:True</t>
        </r>
      </text>
    </comment>
    <comment ref="H63" authorId="0" shapeId="0" xr:uid="{00000000-0006-0000-0100-000083000000}">
      <text>
        <r>
          <rPr>
            <sz val="10"/>
            <rFont val="Arial"/>
          </rPr>
          <t>reference:H45,H46,H47,H48,H49,H50,H51,H52,H53,H54,H55,H56,H57,H58,H59,H60,H61,H62
mrs:(H45,+,10.0000)  (H46,+,10.0000)  (H47,+,10.0000)  (H48,+,10.0000)  (H49,+,10.0000)  (H50,+,10.0000)  (H51,+,10.0000)  (H52,+,10.0000)  (H53,+,10.0000)  (H54,+,10.0000)  (H55,+,10.0000)  (H56,+,10.0000)  (H57,+,10.0000)  (H58,+,10.0000)  (H59,+,10.0000)  (H60,+,10.0000)  (H61,+,10.0000)  (H62,+,10.0000)  
Rotate:True</t>
        </r>
      </text>
    </comment>
    <comment ref="J63" authorId="0" shapeId="0" xr:uid="{00000000-0006-0000-0100-000084000000}">
      <text>
        <r>
          <rPr>
            <sz val="10"/>
            <rFont val="Arial"/>
          </rPr>
          <t>reference:J45,J46,J47,J48,J49,J50,J51,J52,J53,J54,J55,J56,J57,J58,J59,J60,J61,J62
mrs:(J45,+,10.0000)  (J46,+,10.0000)  (J47,+,10.0000)  (J48,+,10.0000)  (J49,+,10.0000)  (J50,+,10.0000)  (J51,+,10.0000)  (J52,+,10.0000)  (J53,+,10.0000)  (J54,+,10.0000)  (J55,+,10.0000)  (J56,+,10.0000)  (J57,+,10.0000)  (J58,+,10.0000)  (J59,+,10.0000)  (J60,+,10.0000)  (J61,+,10.0000)  (J62,+,10.0000)  
Rotate:True</t>
        </r>
      </text>
    </comment>
    <comment ref="L63" authorId="0" shapeId="0" xr:uid="{00000000-0006-0000-0100-000085000000}">
      <text>
        <r>
          <rPr>
            <sz val="10"/>
            <rFont val="Arial"/>
          </rPr>
          <t>reference:L45,L46,L47,L48,L49,L50,L51,L52,L53,L54,L55,L56,L57,L58,L59,L60,L61,L62
mrs:(L45,+,10.0000)  (L46,+,10.0000)  (L47,+,10.0000)  (L48,+,10.0000)  (L49,+,10.0000)  (L50,+,10.0000)  (L51,+,10.0000)  (L52,+,10.0000)  (L53,+,10.0000)  (L54,+,10.0000)  (L55,+,10.0000)  (L56,+,10.0000)  (L57,+,10.0000)  (L58,+,10.0000)  (L59,+,10.0000)  (L60,+,10.0000)  (L61,+,10.0000)  (L62,+,10.0000)  
Rotate:True</t>
        </r>
      </text>
    </comment>
    <comment ref="N63" authorId="0" shapeId="0" xr:uid="{00000000-0006-0000-0100-000086000000}">
      <text>
        <r>
          <rPr>
            <sz val="10"/>
            <rFont val="Arial"/>
          </rPr>
          <t>reference:N45,N46,N47,N48,N49,N50,N51,N52,N53,N54,N55,N56,N57,N58,N59,N60,N61,N62
mrs:(N45,+,10.0000)  (N46,+,10.0000)  (N47,+,10.0000)  (N48,+,10.0000)  (N49,+,10.0000)  (N50,+,10.0000)  (N51,+,10.0000)  (N52,+,10.0000)  (N53,+,10.0000)  (N54,+,10.0000)  (N55,+,10.0000)  (N56,+,10.0000)  (N57,+,10.0000)  (N58,+,10.0000)  (N59,+,10.0000)  (N60,+,10.0000)  (N61,+,10.0000)  (N62,+,10.0000)  
Rotate:True</t>
        </r>
      </text>
    </comment>
    <comment ref="Q63" authorId="0" shapeId="0" xr:uid="{00000000-0006-0000-0100-000087000000}">
      <text>
        <r>
          <rPr>
            <sz val="10"/>
            <rFont val="Arial"/>
          </rPr>
          <t>reference:Q45,Q46,Q47,Q48,Q49,Q50,Q51,Q52,Q53,Q54,Q55,Q56,Q57,Q58,Q59,Q60,Q61,Q62
mrs:(Q45,+,10.0000)  (Q46,+,10.0000)  (Q47,+,10.0000)  (Q48,+,10.0000)  (Q49,+,10.0000)  (Q50,+,10.0000)  (Q51,+,10.0000)  (Q52,+,10.0000)  (Q53,+,10.0000)  (Q54,+,10.0000)  (Q55,+,10.0000)  (Q56,+,10.0000)  (Q57,+,10.0000)  (Q58,+,10.0000)  (Q59,+,10.0000)  (Q60,+,10.0000)  (Q61,+,10.0000)  (Q62,+,10.0000)  
Rotate:True</t>
        </r>
      </text>
    </comment>
    <comment ref="S63" authorId="0" shapeId="0" xr:uid="{00000000-0006-0000-0100-000088000000}">
      <text>
        <r>
          <rPr>
            <sz val="10"/>
            <rFont val="Arial"/>
          </rPr>
          <t>reference:S45,S46,S47,S48,S49,S50,S51,S52,S53,S54,S55,S56,S57,S58,S59,S60,S61,S62
mrs:(S45,+,10.0000)  (S46,+,10.0000)  (S47,+,10.0000)  (S48,+,10.0000)  (S49,+,10.0000)  (S50,+,10.0000)  (S51,+,10.0000)  (S52,+,10.0000)  (S53,+,10.0000)  (S54,+,10.0000)  (S55,+,10.0000)  (S56,+,10.0000)  (S57,+,10.0000)  (S58,+,10.0000)  (S59,+,10.0000)  (S60,+,10.0000)  (S61,+,10.0000)  (S62,+,10.0000)  
Rotate:True</t>
        </r>
      </text>
    </comment>
    <comment ref="Q65" authorId="0" shapeId="0" xr:uid="{00000000-0006-0000-0100-000089000000}">
      <text>
        <r>
          <rPr>
            <sz val="10"/>
            <rFont val="Arial"/>
          </rPr>
          <t>reference:L65,N65
mrs:(L65,+,10.0000)  (N65,+,10.0000)  
Rotate:True</t>
        </r>
      </text>
    </comment>
    <comment ref="S65" authorId="0" shapeId="0" xr:uid="{00000000-0006-0000-0100-00008A000000}">
      <text>
        <r>
          <rPr>
            <sz val="10"/>
            <rFont val="Arial"/>
          </rPr>
          <t>reference:D65,F65
mrs:(D65,+,10.0000)  (F65,+,10.0000)  
Rotate:True</t>
        </r>
      </text>
    </comment>
    <comment ref="Q66" authorId="0" shapeId="0" xr:uid="{00000000-0006-0000-0100-00008B000000}">
      <text>
        <r>
          <rPr>
            <sz val="10"/>
            <rFont val="Arial"/>
          </rPr>
          <t>reference:L66,N66
mrs:(L66,+,10.0000)  (N66,+,10.0000)  
Rotate:True</t>
        </r>
      </text>
    </comment>
    <comment ref="S66" authorId="0" shapeId="0" xr:uid="{00000000-0006-0000-0100-00008C000000}">
      <text>
        <r>
          <rPr>
            <sz val="10"/>
            <rFont val="Arial"/>
          </rPr>
          <t>reference:D66,F66
mrs:(D66,+,10.0000)  (F66,+,10.0000)  
Rotate:True</t>
        </r>
      </text>
    </comment>
    <comment ref="Q67" authorId="0" shapeId="0" xr:uid="{00000000-0006-0000-0100-00008D000000}">
      <text>
        <r>
          <rPr>
            <sz val="10"/>
            <rFont val="Arial"/>
          </rPr>
          <t>reference:L67,N67
mrs:(L67,+,10.0000)  (N67,+,10.0000)  
Rotate:True</t>
        </r>
      </text>
    </comment>
    <comment ref="S67" authorId="0" shapeId="0" xr:uid="{00000000-0006-0000-0100-00008E000000}">
      <text>
        <r>
          <rPr>
            <sz val="10"/>
            <rFont val="Arial"/>
          </rPr>
          <t>reference:D67,F67
mrs:(D67,+,10.0000)  (F67,+,10.0000)  
Rotate:True</t>
        </r>
      </text>
    </comment>
    <comment ref="Q68" authorId="0" shapeId="0" xr:uid="{00000000-0006-0000-0100-00008F000000}">
      <text>
        <r>
          <rPr>
            <sz val="10"/>
            <rFont val="Arial"/>
          </rPr>
          <t>reference:L68,N68
mrs:(L68,+,10.0000)  (N68,+,10.0000)  
Rotate:True</t>
        </r>
      </text>
    </comment>
    <comment ref="S68" authorId="0" shapeId="0" xr:uid="{00000000-0006-0000-0100-000090000000}">
      <text>
        <r>
          <rPr>
            <sz val="10"/>
            <rFont val="Arial"/>
          </rPr>
          <t>reference:D68,F68
mrs:(D68,+,10.0000)  (F68,+,10.0000)  
Rotate:True</t>
        </r>
      </text>
    </comment>
    <comment ref="Q69" authorId="0" shapeId="0" xr:uid="{00000000-0006-0000-0100-000091000000}">
      <text>
        <r>
          <rPr>
            <sz val="10"/>
            <rFont val="Arial"/>
          </rPr>
          <t>reference:L69,N69
mrs:(L69,+,10.0000)  (N69,+,10.0000)  
Rotate:True</t>
        </r>
      </text>
    </comment>
    <comment ref="S69" authorId="0" shapeId="0" xr:uid="{00000000-0006-0000-0100-000092000000}">
      <text>
        <r>
          <rPr>
            <sz val="10"/>
            <rFont val="Arial"/>
          </rPr>
          <t>reference:D69,F69
mrs:(D69,+,10.0000)  (F69,+,10.0000)  
Rotate:True</t>
        </r>
      </text>
    </comment>
    <comment ref="D70" authorId="0" shapeId="0" xr:uid="{00000000-0006-0000-0100-000093000000}">
      <text>
        <r>
          <rPr>
            <sz val="10"/>
            <rFont val="Arial"/>
          </rPr>
          <t>reference:D63,D64,D65,D66,D67,D68,D69
mrs:(D63,+,10.0000)  (D64,+,10.0000)  (D65,+,10.0000)  (D66,+,10.0000)  (D67,+,10.0000)  (D68,+,10.0000)  (D69,+,10.0000)  
Rotate:True</t>
        </r>
      </text>
    </comment>
    <comment ref="F70" authorId="0" shapeId="0" xr:uid="{00000000-0006-0000-0100-000094000000}">
      <text>
        <r>
          <rPr>
            <sz val="10"/>
            <rFont val="Arial"/>
          </rPr>
          <t>reference:F63,F64,F65,F66,F67,F68,F69
mrs:(F63,+,10.0000)  (F64,+,10.0000)  (F65,+,10.0000)  (F66,+,10.0000)  (F67,+,10.0000)  (F68,+,10.0000)  (F69,+,10.0000)  
Rotate:True</t>
        </r>
      </text>
    </comment>
    <comment ref="H70" authorId="0" shapeId="0" xr:uid="{00000000-0006-0000-0100-000095000000}">
      <text>
        <r>
          <rPr>
            <sz val="10"/>
            <rFont val="Arial"/>
          </rPr>
          <t>reference:H63,H64,H65,H66,H67,H68,H69
mrs:(H63,+,10.0000)  (H64,+,10.0000)  (H65,+,10.0000)  (H66,+,10.0000)  (H67,+,10.0000)  (H68,+,10.0000)  (H69,+,10.0000)  
Rotate:True</t>
        </r>
      </text>
    </comment>
    <comment ref="J70" authorId="0" shapeId="0" xr:uid="{00000000-0006-0000-0100-000096000000}">
      <text>
        <r>
          <rPr>
            <sz val="10"/>
            <rFont val="Arial"/>
          </rPr>
          <t>reference:J63,J64,J65,J66,J67,J68,J69
mrs:(J63,+,10.0000)  (J64,+,10.0000)  (J65,+,10.0000)  (J66,+,10.0000)  (J67,+,10.0000)  (J68,+,10.0000)  (J69,+,10.0000)  
Rotate:True</t>
        </r>
      </text>
    </comment>
    <comment ref="L70" authorId="0" shapeId="0" xr:uid="{00000000-0006-0000-0100-000097000000}">
      <text>
        <r>
          <rPr>
            <sz val="10"/>
            <rFont val="Arial"/>
          </rPr>
          <t>reference:L63,L64,L65,L66,L67,L68,L69
mrs:(L63,+,10.0000)  (L64,+,10.0000)  (L65,+,10.0000)  (L66,+,10.0000)  (L67,+,10.0000)  (L68,+,10.0000)  (L69,+,10.0000)  
Rotate:True</t>
        </r>
      </text>
    </comment>
    <comment ref="N70" authorId="0" shapeId="0" xr:uid="{00000000-0006-0000-0100-000098000000}">
      <text>
        <r>
          <rPr>
            <sz val="10"/>
            <rFont val="Arial"/>
          </rPr>
          <t>reference:N63,N64,N65,N66,N67,N68,N69
mrs:(N63,+,10.0000)  (N64,+,10.0000)  (N65,+,10.0000)  (N66,+,10.0000)  (N67,+,10.0000)  (N68,+,10.0000)  (N69,+,10.0000)  
Rotate:True</t>
        </r>
      </text>
    </comment>
    <comment ref="Q70" authorId="0" shapeId="0" xr:uid="{00000000-0006-0000-0100-000099000000}">
      <text>
        <r>
          <rPr>
            <sz val="10"/>
            <rFont val="Arial"/>
          </rPr>
          <t>reference:Q63,Q64,Q65,Q66,Q67,Q68,Q69
mrs:(Q63,+,10.0000)  (Q64,+,10.0000)  (Q65,+,10.0000)  (Q66,+,10.0000)  (Q67,+,10.0000)  (Q68,+,10.0000)  (Q69,+,10.0000)  
Rotate:True</t>
        </r>
      </text>
    </comment>
    <comment ref="S70" authorId="0" shapeId="0" xr:uid="{00000000-0006-0000-0100-00009A000000}">
      <text>
        <r>
          <rPr>
            <sz val="10"/>
            <rFont val="Arial"/>
          </rPr>
          <t>reference:S63,S64,S65,S66,S67,S68,S69
mrs:(S63,+,10.0000)  (S64,+,10.0000)  (S65,+,10.0000)  (S66,+,10.0000)  (S67,+,10.0000)  (S68,+,10.0000)  (S69,+,10.0000)  
Rotate:True</t>
        </r>
      </text>
    </comment>
    <comment ref="Q72" authorId="0" shapeId="0" xr:uid="{00000000-0006-0000-0100-00009B000000}">
      <text>
        <r>
          <rPr>
            <sz val="10"/>
            <rFont val="Arial"/>
          </rPr>
          <t>reference:L72,N72
mrs:(L72,+,10.0000)  (N72,+,10.0000)  
Rotate:True</t>
        </r>
      </text>
    </comment>
    <comment ref="S72" authorId="0" shapeId="0" xr:uid="{00000000-0006-0000-0100-00009C000000}">
      <text>
        <r>
          <rPr>
            <sz val="10"/>
            <rFont val="Arial"/>
          </rPr>
          <t>reference:D72,F72
mrs:(D72,+,10.0000)  (F72,+,10.0000)  
Rotate:True</t>
        </r>
      </text>
    </comment>
    <comment ref="Q73" authorId="0" shapeId="0" xr:uid="{00000000-0006-0000-0100-00009D000000}">
      <text>
        <r>
          <rPr>
            <sz val="10"/>
            <rFont val="Arial"/>
          </rPr>
          <t>reference:L73,N73
mrs:(L73,+,10.0000)  (N73,+,10.0000)  
Rotate:True</t>
        </r>
      </text>
    </comment>
    <comment ref="S73" authorId="0" shapeId="0" xr:uid="{00000000-0006-0000-0100-00009E000000}">
      <text>
        <r>
          <rPr>
            <sz val="10"/>
            <rFont val="Arial"/>
          </rPr>
          <t>reference:D73,F73
mrs:(D73,+,10.0000)  (F73,+,10.0000)  
Rotate:True</t>
        </r>
      </text>
    </comment>
    <comment ref="H74" authorId="1" shapeId="0" xr:uid="{00000000-0006-0000-0100-00009F000000}">
      <text>
        <r>
          <rPr>
            <sz val="10"/>
            <rFont val="Arial"/>
          </rPr>
          <t xml:space="preserve">Collard.Kelly:
Reclassed from miscellanious income - severance/restructuirng fees $5 million
</t>
        </r>
      </text>
    </comment>
    <comment ref="Q74" authorId="0" shapeId="0" xr:uid="{00000000-0006-0000-0100-0000A0000000}">
      <text>
        <r>
          <rPr>
            <sz val="10"/>
            <rFont val="Arial"/>
          </rPr>
          <t>reference:L74,N74
mrs:(L74,+,10.0000)  (N74,+,10.0000)  
Rotate:True</t>
        </r>
      </text>
    </comment>
    <comment ref="S74" authorId="0" shapeId="0" xr:uid="{00000000-0006-0000-0100-0000A1000000}">
      <text>
        <r>
          <rPr>
            <sz val="10"/>
            <rFont val="Arial"/>
          </rPr>
          <t>reference:D74,F74
mrs:(D74,+,10.0000)  (F74,+,10.0000)  
Rotate:True</t>
        </r>
      </text>
    </comment>
    <comment ref="Q75" authorId="0" shapeId="0" xr:uid="{00000000-0006-0000-0100-0000A2000000}">
      <text>
        <r>
          <rPr>
            <sz val="10"/>
            <rFont val="Arial"/>
          </rPr>
          <t>reference:L75,N75
mrs:(L75,+,10.0000)  (N75,+,10.0000)  
Rotate:True</t>
        </r>
      </text>
    </comment>
    <comment ref="S75" authorId="0" shapeId="0" xr:uid="{00000000-0006-0000-0100-0000A3000000}">
      <text>
        <r>
          <rPr>
            <sz val="10"/>
            <rFont val="Arial"/>
          </rPr>
          <t>reference:D75,F75
mrs:(D75,+,10.0000)  (F75,+,10.0000)  
Rotate:True</t>
        </r>
      </text>
    </comment>
    <comment ref="Q76" authorId="0" shapeId="0" xr:uid="{00000000-0006-0000-0100-0000A4000000}">
      <text>
        <r>
          <rPr>
            <sz val="10"/>
            <rFont val="Arial"/>
          </rPr>
          <t>reference:L76,N76
mrs:(L76,+,10.0000)  (N76,+,10.0000)  
Rotate:True</t>
        </r>
      </text>
    </comment>
    <comment ref="S76" authorId="0" shapeId="0" xr:uid="{00000000-0006-0000-0100-0000A5000000}">
      <text>
        <r>
          <rPr>
            <sz val="10"/>
            <rFont val="Arial"/>
          </rPr>
          <t>reference:D76,F76
mrs:(D76,+,10.0000)  (F76,+,10.0000)  
Rotate:True</t>
        </r>
      </text>
    </comment>
    <comment ref="Q77" authorId="0" shapeId="0" xr:uid="{00000000-0006-0000-0100-0000A6000000}">
      <text>
        <r>
          <rPr>
            <sz val="10"/>
            <rFont val="Arial"/>
          </rPr>
          <t>reference:L77,N77
mrs:(L77,+,10.0000)  (N77,+,10.0000)  
Rotate:True</t>
        </r>
      </text>
    </comment>
    <comment ref="S77" authorId="0" shapeId="0" xr:uid="{00000000-0006-0000-0100-0000A7000000}">
      <text>
        <r>
          <rPr>
            <sz val="10"/>
            <rFont val="Arial"/>
          </rPr>
          <t>reference:D77,F77
mrs:(D77,+,10.0000)  (F77,+,10.0000)  
Rotate:True</t>
        </r>
      </text>
    </comment>
    <comment ref="H78" authorId="1" shapeId="0" xr:uid="{00000000-0006-0000-0100-0000A8000000}">
      <text>
        <r>
          <rPr>
            <sz val="10"/>
            <rFont val="Arial"/>
          </rPr>
          <t xml:space="preserve">Collard.Kelly: UK 310-84640-Reduce Impair Leman 
</t>
        </r>
      </text>
    </comment>
    <comment ref="Q78" authorId="0" shapeId="0" xr:uid="{00000000-0006-0000-0100-0000A9000000}">
      <text>
        <r>
          <rPr>
            <sz val="10"/>
            <rFont val="Arial"/>
          </rPr>
          <t>reference:L78,N78
mrs:(L78,+,10.0000)  (N78,+,10.0000)  
Rotate:True</t>
        </r>
      </text>
    </comment>
    <comment ref="S78" authorId="0" shapeId="0" xr:uid="{00000000-0006-0000-0100-0000AA000000}">
      <text>
        <r>
          <rPr>
            <sz val="10"/>
            <rFont val="Arial"/>
          </rPr>
          <t>reference:D78,F78
mrs:(D78,+,10.0000)  (F78,+,10.0000)  
Rotate:True</t>
        </r>
      </text>
    </comment>
    <comment ref="D79" authorId="0" shapeId="0" xr:uid="{00000000-0006-0000-0100-0000AB000000}">
      <text>
        <r>
          <rPr>
            <sz val="10"/>
            <rFont val="Arial"/>
          </rPr>
          <t>reference:D72,D73,D74,D75,D76,D77,D78
mrs:(D72,+,10.0000)  (D73,+,10.0000)  (D74,+,10.0000)  (D75,+,10.0000)  (D76,+,10.0000)  (D77,+,10.0000)  (D78,+,10.0000)  
Rotate:True</t>
        </r>
      </text>
    </comment>
    <comment ref="F79" authorId="0" shapeId="0" xr:uid="{00000000-0006-0000-0100-0000AC000000}">
      <text>
        <r>
          <rPr>
            <sz val="10"/>
            <rFont val="Arial"/>
          </rPr>
          <t>reference:F72,F73,F74,F75,F76,F77,F78
mrs:(F72,+,10.0000)  (F73,+,10.0000)  (F74,+,10.0000)  (F75,+,10.0000)  (F76,+,10.0000)  (F77,+,10.0000)  (F78,+,10.0000)  
Rotate:True</t>
        </r>
      </text>
    </comment>
    <comment ref="H79" authorId="0" shapeId="0" xr:uid="{00000000-0006-0000-0100-0000AD000000}">
      <text>
        <r>
          <rPr>
            <sz val="10"/>
            <rFont val="Arial"/>
          </rPr>
          <t>reference:H72,H73,H74,H75,H76,H77,H78
mrs:(H72,+,10.0000)  (H73,+,10.0000)  (H74,+,10.0000)  (H75,+,10.0000)  (H76,+,10.0000)  (H77,+,10.0000)  (H78,+,10.0000)  
Rotate:True</t>
        </r>
      </text>
    </comment>
    <comment ref="J79" authorId="0" shapeId="0" xr:uid="{00000000-0006-0000-0100-0000AE000000}">
      <text>
        <r>
          <rPr>
            <sz val="10"/>
            <rFont val="Arial"/>
          </rPr>
          <t>reference:J72,J73,J74,J75,J76,J77,J78
mrs:(J72,+,10.0000)  (J73,+,10.0000)  (J74,+,10.0000)  (J75,+,10.0000)  (J76,+,10.0000)  (J77,+,10.0000)  (J78,+,10.0000)  
Rotate:True</t>
        </r>
      </text>
    </comment>
    <comment ref="L79" authorId="0" shapeId="0" xr:uid="{00000000-0006-0000-0100-0000AF000000}">
      <text>
        <r>
          <rPr>
            <sz val="10"/>
            <rFont val="Arial"/>
          </rPr>
          <t>reference:L72,L73,L74,L75,L76,L77,L78
mrs:(L72,+,10.0000)  (L73,+,10.0000)  (L74,+,10.0000)  (L75,+,10.0000)  (L76,+,10.0000)  (L77,+,10.0000)  (L78,+,10.0000)  
Rotate:True</t>
        </r>
      </text>
    </comment>
    <comment ref="N79" authorId="0" shapeId="0" xr:uid="{00000000-0006-0000-0100-0000B0000000}">
      <text>
        <r>
          <rPr>
            <sz val="10"/>
            <rFont val="Arial"/>
          </rPr>
          <t>reference:N72,N73,N74,N75,N76,N77,N78
mrs:(N72,+,10.0000)  (N73,+,10.0000)  (N74,+,10.0000)  (N75,+,10.0000)  (N76,+,10.0000)  (N77,+,10.0000)  (N78,+,10.0000)  
Rotate:True</t>
        </r>
      </text>
    </comment>
    <comment ref="Q79" authorId="0" shapeId="0" xr:uid="{00000000-0006-0000-0100-0000B1000000}">
      <text>
        <r>
          <rPr>
            <sz val="10"/>
            <rFont val="Arial"/>
          </rPr>
          <t>reference:Q72,Q73,Q74,Q75,Q76,Q77,Q78
mrs:(Q72,+,10.0000)  (Q73,+,10.0000)  (Q74,+,10.0000)  (Q75,+,10.0000)  (Q76,+,10.0000)  (Q77,+,10.0000)  (Q78,+,10.0000)  
Rotate:True</t>
        </r>
      </text>
    </comment>
    <comment ref="S79" authorId="0" shapeId="0" xr:uid="{00000000-0006-0000-0100-0000B2000000}">
      <text>
        <r>
          <rPr>
            <sz val="10"/>
            <rFont val="Arial"/>
          </rPr>
          <t>reference:S72,S73,S74,S75,S76,S77,S78
mrs:(S72,+,10.0000)  (S73,+,10.0000)  (S74,+,10.0000)  (S75,+,10.0000)  (S76,+,10.0000)  (S77,+,10.0000)  (S78,+,10.0000)  
Rotate:True</t>
        </r>
      </text>
    </comment>
    <comment ref="Q81" authorId="0" shapeId="0" xr:uid="{00000000-0006-0000-0100-0000B3000000}">
      <text>
        <r>
          <rPr>
            <sz val="10"/>
            <rFont val="Arial"/>
          </rPr>
          <t>reference:L81,N81
mrs:(L81,+,10.0000)  (N81,+,10.0000)  
Rotate:True</t>
        </r>
      </text>
    </comment>
    <comment ref="S81" authorId="0" shapeId="0" xr:uid="{00000000-0006-0000-0100-0000B4000000}">
      <text>
        <r>
          <rPr>
            <sz val="10"/>
            <rFont val="Arial"/>
          </rPr>
          <t>reference:D81,F81
mrs:(D81,+,10.0000)  (F81,+,10.0000)  
Rotate:True</t>
        </r>
      </text>
    </comment>
    <comment ref="D83" authorId="0" shapeId="0" xr:uid="{00000000-0006-0000-0100-0000B5000000}">
      <text>
        <r>
          <rPr>
            <sz val="10"/>
            <rFont val="Arial"/>
          </rPr>
          <t>reference:D23,D34,D42,D70,D79,D81
mrs:(D23,+,10.0000)  (D34,+,-10.0000)  (D42,+,-10.0000)  (D70,+,-10.0000)  (D79,+,-10.0000)  (D81,+,-10.0000)  
Rotate:True</t>
        </r>
      </text>
    </comment>
    <comment ref="F83" authorId="0" shapeId="0" xr:uid="{00000000-0006-0000-0100-0000B6000000}">
      <text>
        <r>
          <rPr>
            <sz val="10"/>
            <rFont val="Arial"/>
          </rPr>
          <t>reference:F23,F34,F42,F70,F79,F81
mrs:(F23,+,10.0000)  (F34,+,-10.0000)  (F42,+,-10.0000)  (F70,+,-10.0000)  (F79,+,-10.0000)  (F81,+,-10.0000)  
Rotate:True</t>
        </r>
      </text>
    </comment>
    <comment ref="H83" authorId="0" shapeId="0" xr:uid="{00000000-0006-0000-0100-0000B7000000}">
      <text>
        <r>
          <rPr>
            <sz val="10"/>
            <rFont val="Arial"/>
          </rPr>
          <t>reference:H23,H34,H42,H70,H79,H81
mrs:(H23,+,10.0000)  (H34,+,-10.0000)  (H42,+,-10.0000)  (H70,+,-10.0000)  (H79,+,-10.0000)  (H81,+,-10.0000)  
Rotate:True</t>
        </r>
      </text>
    </comment>
    <comment ref="J83" authorId="0" shapeId="0" xr:uid="{00000000-0006-0000-0100-0000B8000000}">
      <text>
        <r>
          <rPr>
            <sz val="10"/>
            <rFont val="Arial"/>
          </rPr>
          <t>reference:J23,J34,J42,J70,J79,J81
mrs:(J23,+,10.0000)  (J34,+,-10.0000)  (J42,+,-10.0000)  (J70,+,-10.0000)  (J79,+,-10.0000)  (J81,+,-10.0000)  
Rotate:True</t>
        </r>
      </text>
    </comment>
    <comment ref="L83" authorId="0" shapeId="0" xr:uid="{00000000-0006-0000-0100-0000B9000000}">
      <text>
        <r>
          <rPr>
            <sz val="10"/>
            <rFont val="Arial"/>
          </rPr>
          <t>reference:L23,L34,L42,L70,L79,L81
mrs:(L23,+,10.0000)  (L34,+,-10.0000)  (L42,+,-10.0000)  (L70,+,-10.0000)  (L79,+,-10.0000)  (L81,+,-10.0000)  
Rotate:True</t>
        </r>
      </text>
    </comment>
    <comment ref="N83" authorId="0" shapeId="0" xr:uid="{00000000-0006-0000-0100-0000BA000000}">
      <text>
        <r>
          <rPr>
            <sz val="10"/>
            <rFont val="Arial"/>
          </rPr>
          <t>reference:N23,N34,N42,N70,N79,N81
mrs:(N23,+,10.0000)  (N34,+,-10.0000)  (N42,+,-10.0000)  (N70,+,-10.0000)  (N79,+,-10.0000)  (N81,+,-10.0000)  
Rotate:True</t>
        </r>
      </text>
    </comment>
    <comment ref="Q83" authorId="0" shapeId="0" xr:uid="{00000000-0006-0000-0100-0000BB000000}">
      <text>
        <r>
          <rPr>
            <sz val="10"/>
            <rFont val="Arial"/>
          </rPr>
          <t>reference:Q23,Q34,Q42,Q70,Q79,Q81
mrs:(Q23,+,10.0000)  (Q34,+,-10.0000)  (Q42,+,-10.0000)  (Q70,+,-10.0000)  (Q79,+,-10.0000)  (Q81,+,-10.0000)  
Rotate:True</t>
        </r>
      </text>
    </comment>
    <comment ref="S83" authorId="0" shapeId="0" xr:uid="{00000000-0006-0000-0100-0000BC000000}">
      <text>
        <r>
          <rPr>
            <sz val="10"/>
            <rFont val="Arial"/>
          </rPr>
          <t>reference:S23,S34,S42,S70,S79,S81
mrs:(S23,+,10.0000)  (S34,+,-10.0000)  (S42,+,-10.0000)  (S70,+,-10.0000)  (S79,+,-10.0000)  (S81,+,-10.0000)  
Rotate:True</t>
        </r>
      </text>
    </comment>
    <comment ref="Q87" authorId="0" shapeId="0" xr:uid="{00000000-0006-0000-0100-0000BD000000}">
      <text>
        <r>
          <rPr>
            <sz val="10"/>
            <rFont val="Arial"/>
          </rPr>
          <t>reference:L87,N87
mrs:(L87,+,10.0000)  (N87,+,10.0000)  
Rotate:True</t>
        </r>
      </text>
    </comment>
    <comment ref="S87" authorId="0" shapeId="0" xr:uid="{00000000-0006-0000-0100-0000BE000000}">
      <text>
        <r>
          <rPr>
            <sz val="10"/>
            <rFont val="Arial"/>
          </rPr>
          <t>reference:D87,F87
mrs:(D87,+,10.0000)  (F87,+,10.0000)  
Rotate:True</t>
        </r>
      </text>
    </comment>
    <comment ref="H91" authorId="1" shapeId="0" xr:uid="{00000000-0006-0000-0100-0000BF000000}">
      <text>
        <r>
          <rPr>
            <sz val="10"/>
            <rFont val="Arial"/>
          </rPr>
          <t xml:space="preserve">Collard.Kelly:Reduced by $2 million for overaccrued bank debt interest
</t>
        </r>
      </text>
    </comment>
    <comment ref="Q91" authorId="0" shapeId="0" xr:uid="{00000000-0006-0000-0100-0000C0000000}">
      <text>
        <r>
          <rPr>
            <sz val="10"/>
            <rFont val="Arial"/>
          </rPr>
          <t>reference:L91,N91
mrs:(L91,+,10.0000)  (N91,+,10.0000)  
Rotate:True</t>
        </r>
      </text>
    </comment>
    <comment ref="S91" authorId="0" shapeId="0" xr:uid="{00000000-0006-0000-0100-0000C1000000}">
      <text>
        <r>
          <rPr>
            <sz val="10"/>
            <rFont val="Arial"/>
          </rPr>
          <t>reference:D91,F91
mrs:(D91,+,10.0000)  (F91,+,10.0000)  
Rotate:True</t>
        </r>
      </text>
    </comment>
    <comment ref="Q95" authorId="0" shapeId="0" xr:uid="{00000000-0006-0000-0100-0000C2000000}">
      <text>
        <r>
          <rPr>
            <sz val="10"/>
            <rFont val="Arial"/>
          </rPr>
          <t>reference:L95,N95
mrs:(L95,+,10.0000)  (N95,+,10.0000)  
Rotate:True</t>
        </r>
      </text>
    </comment>
    <comment ref="S95" authorId="0" shapeId="0" xr:uid="{00000000-0006-0000-0100-0000C3000000}">
      <text>
        <r>
          <rPr>
            <sz val="10"/>
            <rFont val="Arial"/>
          </rPr>
          <t>reference:D95,F95
mrs:(D95,+,10.0000)  (F95,+,10.0000)  
Rotate:True</t>
        </r>
      </text>
    </comment>
    <comment ref="Q96" authorId="0" shapeId="0" xr:uid="{00000000-0006-0000-0100-0000C4000000}">
      <text>
        <r>
          <rPr>
            <sz val="10"/>
            <rFont val="Arial"/>
          </rPr>
          <t>reference:L96,N96
mrs:(L96,+,10.0000)  (N96,+,10.0000)  
Rotate:True</t>
        </r>
      </text>
    </comment>
    <comment ref="S96" authorId="0" shapeId="0" xr:uid="{00000000-0006-0000-0100-0000C5000000}">
      <text>
        <r>
          <rPr>
            <sz val="10"/>
            <rFont val="Arial"/>
          </rPr>
          <t>reference:D96,F96
mrs:(D96,+,10.0000)  (F96,+,10.0000)  
Rotate:True</t>
        </r>
      </text>
    </comment>
    <comment ref="H97" authorId="1" shapeId="0" xr:uid="{00000000-0006-0000-0100-0000C6000000}">
      <text>
        <r>
          <rPr>
            <sz val="10"/>
            <rFont val="Arial"/>
          </rPr>
          <t xml:space="preserve">Collard.Kelly: OnFiber B4E Credit Writeoff
</t>
        </r>
      </text>
    </comment>
    <comment ref="Q97" authorId="0" shapeId="0" xr:uid="{00000000-0006-0000-0100-0000C7000000}">
      <text>
        <r>
          <rPr>
            <sz val="10"/>
            <rFont val="Arial"/>
          </rPr>
          <t>reference:L97,N97
mrs:(L97,+,10.0000)  (N97,+,10.0000)  
Rotate:True</t>
        </r>
      </text>
    </comment>
    <comment ref="S97" authorId="0" shapeId="0" xr:uid="{00000000-0006-0000-0100-0000C8000000}">
      <text>
        <r>
          <rPr>
            <sz val="10"/>
            <rFont val="Arial"/>
          </rPr>
          <t>reference:D97,F97
mrs:(D97,+,10.0000)  (F97,+,10.0000)  
Rotate:True</t>
        </r>
      </text>
    </comment>
    <comment ref="Q98" authorId="0" shapeId="0" xr:uid="{00000000-0006-0000-0100-0000C9000000}">
      <text>
        <r>
          <rPr>
            <sz val="10"/>
            <rFont val="Arial"/>
          </rPr>
          <t>reference:L98,N98
mrs:(L98,+,10.0000)  (N98,+,10.0000)  
Rotate:True</t>
        </r>
      </text>
    </comment>
    <comment ref="S98" authorId="0" shapeId="0" xr:uid="{00000000-0006-0000-0100-0000CA000000}">
      <text>
        <r>
          <rPr>
            <sz val="10"/>
            <rFont val="Arial"/>
          </rPr>
          <t>reference:D98,F98
mrs:(D98,+,10.0000)  (F98,+,10.0000)  
Rotate:True</t>
        </r>
      </text>
    </comment>
    <comment ref="D99" authorId="2" shapeId="0" xr:uid="{00000000-0006-0000-0100-0000CB000000}">
      <text>
        <r>
          <rPr>
            <sz val="10"/>
            <rFont val="Arial"/>
          </rPr>
          <t xml:space="preserve">JAY LYNCH:
$1.3 Divine
$1.2 Reversal of Rental Expense to OpEx
$2 FX
$.5 Other
</t>
        </r>
      </text>
    </comment>
    <comment ref="F99" authorId="2" shapeId="0" xr:uid="{00000000-0006-0000-0100-0000CC000000}">
      <text>
        <r>
          <rPr>
            <sz val="10"/>
            <rFont val="Arial"/>
          </rPr>
          <t xml:space="preserve">JAY LYNCH:
$1.3 Divine
$1.2 Reversal of Rental Expense to OpEx
$2 FX
$.5 Other
</t>
        </r>
      </text>
    </comment>
    <comment ref="H99" authorId="1" shapeId="0" xr:uid="{00000000-0006-0000-0100-0000CD000000}">
      <text>
        <r>
          <rPr>
            <sz val="10"/>
            <rFont val="Arial"/>
          </rPr>
          <t xml:space="preserve">Collard.Kelly:
$2 million a/r late fees collected F/C = $14
</t>
        </r>
      </text>
    </comment>
    <comment ref="J99" authorId="1" shapeId="0" xr:uid="{00000000-0006-0000-0100-0000CE000000}">
      <text>
        <r>
          <rPr>
            <sz val="10"/>
            <rFont val="Arial"/>
          </rPr>
          <t xml:space="preserve">Collard.Kelly:
Asia accrual release $2.6 million
</t>
        </r>
      </text>
    </comment>
    <comment ref="Q99" authorId="0" shapeId="0" xr:uid="{00000000-0006-0000-0100-0000CF000000}">
      <text>
        <r>
          <rPr>
            <sz val="10"/>
            <rFont val="Arial"/>
          </rPr>
          <t>reference:L99,N99
mrs:(L99,+,10.0000)  (N99,+,10.0000)  
Rotate:True</t>
        </r>
      </text>
    </comment>
    <comment ref="S99" authorId="0" shapeId="0" xr:uid="{00000000-0006-0000-0100-0000D0000000}">
      <text>
        <r>
          <rPr>
            <sz val="10"/>
            <rFont val="Arial"/>
          </rPr>
          <t>reference:D99,F99
mrs:(D99,+,10.0000)  (F99,+,10.0000)  
Rotate:True</t>
        </r>
      </text>
    </comment>
    <comment ref="Q100" authorId="0" shapeId="0" xr:uid="{00000000-0006-0000-0100-0000D1000000}">
      <text>
        <r>
          <rPr>
            <sz val="10"/>
            <rFont val="Arial"/>
          </rPr>
          <t>reference:L100,N100
mrs:(L100,+,10.0000)  (N100,+,10.0000)  
Rotate:True</t>
        </r>
      </text>
    </comment>
    <comment ref="Q101" authorId="0" shapeId="0" xr:uid="{00000000-0006-0000-0100-0000D2000000}">
      <text>
        <r>
          <rPr>
            <sz val="10"/>
            <rFont val="Arial"/>
          </rPr>
          <t>reference:L101,N101
mrs:(L101,+,10.0000)  (N101,+,10.0000)  
Rotate:True</t>
        </r>
      </text>
    </comment>
    <comment ref="S101" authorId="0" shapeId="0" xr:uid="{00000000-0006-0000-0100-0000D3000000}">
      <text>
        <r>
          <rPr>
            <sz val="10"/>
            <rFont val="Arial"/>
          </rPr>
          <t>reference:D101,F101
mrs:(D101,+,10.0000)  (F101,+,10.0000)  
Rotate:True</t>
        </r>
      </text>
    </comment>
    <comment ref="Q102" authorId="0" shapeId="0" xr:uid="{00000000-0006-0000-0100-0000D4000000}">
      <text>
        <r>
          <rPr>
            <sz val="10"/>
            <rFont val="Arial"/>
          </rPr>
          <t>reference:L102,N102
mrs:(L102,+,10.0000)  (N102,+,10.0000)  
Rotate:True</t>
        </r>
      </text>
    </comment>
    <comment ref="S102" authorId="0" shapeId="0" xr:uid="{00000000-0006-0000-0100-0000D5000000}">
      <text>
        <r>
          <rPr>
            <sz val="10"/>
            <rFont val="Arial"/>
          </rPr>
          <t>reference:D102,F102
mrs:(D102,+,10.0000)  (F102,+,10.0000)  
Rotate:True</t>
        </r>
      </text>
    </comment>
    <comment ref="D103" authorId="0" shapeId="0" xr:uid="{00000000-0006-0000-0100-0000D6000000}">
      <text>
        <r>
          <rPr>
            <sz val="10"/>
            <rFont val="Arial"/>
          </rPr>
          <t>reference:D95,D96,D97,D98,D99,D100,D101,D102
mrs:(D95,+,10.0000)  (D96,+,10.0000)  (D97,+,10.0000)  (D98,+,10.0000)  (D99,+,10.0000)  (D100,+,10.0000)  (D101,+,10.0000)  (D102,+,10.0000)  
Rotate:True</t>
        </r>
      </text>
    </comment>
    <comment ref="F103" authorId="0" shapeId="0" xr:uid="{00000000-0006-0000-0100-0000D7000000}">
      <text>
        <r>
          <rPr>
            <sz val="10"/>
            <rFont val="Arial"/>
          </rPr>
          <t>reference:F95,F96,F97,F98,F99,F100,F101,F102
mrs:(F95,+,10.0000)  (F96,+,10.0000)  (F97,+,10.0000)  (F98,+,10.0000)  (F99,+,10.0000)  (F100,+,10.0000)  (F101,+,10.0000)  (F102,+,10.0000)  
Rotate:True</t>
        </r>
      </text>
    </comment>
    <comment ref="H103" authorId="0" shapeId="0" xr:uid="{00000000-0006-0000-0100-0000D8000000}">
      <text>
        <r>
          <rPr>
            <sz val="10"/>
            <rFont val="Arial"/>
          </rPr>
          <t>reference:H95,H96,H97,H98,H99,H100,H101,H102
mrs:(H95,+,10.0000)  (H96,+,10.0000)  (H97,+,10.0000)  (H98,+,10.0000)  (H99,+,10.0000)  (H100,+,10.0000)  (H101,+,10.0000)  (H102,+,10.0000)  
Rotate:True</t>
        </r>
      </text>
    </comment>
    <comment ref="J103" authorId="0" shapeId="0" xr:uid="{00000000-0006-0000-0100-0000D9000000}">
      <text>
        <r>
          <rPr>
            <sz val="10"/>
            <rFont val="Arial"/>
          </rPr>
          <t>reference:J95,J96,J97,J98,J99,J100,J101,J102
mrs:(J95,+,10.0000)  (J96,+,10.0000)  (J97,+,10.0000)  (J98,+,10.0000)  (J99,+,10.0000)  (J100,+,10.0000)  (J101,+,10.0000)  (J102,+,10.0000)  
Rotate:True</t>
        </r>
      </text>
    </comment>
    <comment ref="L103" authorId="0" shapeId="0" xr:uid="{00000000-0006-0000-0100-0000DA000000}">
      <text>
        <r>
          <rPr>
            <sz val="10"/>
            <rFont val="Arial"/>
          </rPr>
          <t>reference:L95,L96,L97,L98,L99,L100,L101,L102
mrs:(L95,+,10.0000)  (L96,+,10.0000)  (L97,+,10.0000)  (L98,+,10.0000)  (L99,+,10.0000)  (L100,+,10.0000)  (L101,+,10.0000)  (L102,+,10.0000)  
Rotate:True</t>
        </r>
      </text>
    </comment>
    <comment ref="N103" authorId="0" shapeId="0" xr:uid="{00000000-0006-0000-0100-0000DB000000}">
      <text>
        <r>
          <rPr>
            <sz val="10"/>
            <rFont val="Arial"/>
          </rPr>
          <t>reference:N95,N96,N97,N98,N99,N100,N101,N102
mrs:(N95,+,10.0000)  (N96,+,10.0000)  (N97,+,10.0000)  (N98,+,10.0000)  (N99,+,10.0000)  (N100,+,10.0000)  (N101,+,10.0000)  (N102,+,10.0000)  
Rotate:True</t>
        </r>
      </text>
    </comment>
    <comment ref="Q103" authorId="0" shapeId="0" xr:uid="{00000000-0006-0000-0100-0000DC000000}">
      <text>
        <r>
          <rPr>
            <sz val="10"/>
            <rFont val="Arial"/>
          </rPr>
          <t>reference:Q95,Q96,Q97,Q98,Q99,Q100,Q101,Q102
mrs:(Q95,+,10.0000)  (Q96,+,10.0000)  (Q97,+,10.0000)  (Q98,+,10.0000)  (Q99,+,10.0000)  (Q100,+,10.0000)  (Q101,+,10.0000)  (Q102,+,10.0000)  
Rotate:True</t>
        </r>
      </text>
    </comment>
    <comment ref="S103" authorId="0" shapeId="0" xr:uid="{00000000-0006-0000-0100-0000DD000000}">
      <text>
        <r>
          <rPr>
            <sz val="10"/>
            <rFont val="Arial"/>
          </rPr>
          <t>reference:S95,S96,S97,S98,S99,S100,S101,S102
mrs:(S95,+,10.0000)  (S96,+,10.0000)  (S97,+,10.0000)  (S98,+,10.0000)  (S99,+,10.0000)  (S100,+,10.0000)  (S101,+,10.0000)  (S102,+,10.0000)  
Rotate:True</t>
        </r>
      </text>
    </comment>
    <comment ref="D106" authorId="0" shapeId="0" xr:uid="{00000000-0006-0000-0100-0000DE000000}">
      <text>
        <r>
          <rPr>
            <sz val="10"/>
            <rFont val="Arial"/>
          </rPr>
          <t>reference:D83,D87,D91,D103
mrs:(D83,+,10.0000)  (D87,+,10.0000)  (D91,+,10.0000)  (D103,+,10.0000)  
Rotate:True</t>
        </r>
      </text>
    </comment>
    <comment ref="F106" authorId="0" shapeId="0" xr:uid="{00000000-0006-0000-0100-0000DF000000}">
      <text>
        <r>
          <rPr>
            <sz val="10"/>
            <rFont val="Arial"/>
          </rPr>
          <t>reference:F83,F87,F91,F103
mrs:(F83,+,10.0000)  (F87,+,10.0000)  (F91,+,10.0000)  (F103,+,10.0000)  
Rotate:True</t>
        </r>
      </text>
    </comment>
    <comment ref="H106" authorId="0" shapeId="0" xr:uid="{00000000-0006-0000-0100-0000E0000000}">
      <text>
        <r>
          <rPr>
            <sz val="10"/>
            <rFont val="Arial"/>
          </rPr>
          <t>reference:H83,H87,H91,H103
mrs:(H83,+,10.0000)  (H87,+,10.0000)  (H91,+,10.0000)  (H103,+,10.0000)  
Rotate:True</t>
        </r>
      </text>
    </comment>
    <comment ref="J106" authorId="0" shapeId="0" xr:uid="{00000000-0006-0000-0100-0000E1000000}">
      <text>
        <r>
          <rPr>
            <sz val="10"/>
            <rFont val="Arial"/>
          </rPr>
          <t>reference:J83,J87,J91,J103
mrs:(J83,+,10.0000)  (J87,+,10.0000)  (J91,+,10.0000)  (J103,+,10.0000)  
Rotate:True</t>
        </r>
      </text>
    </comment>
    <comment ref="L106" authorId="0" shapeId="0" xr:uid="{00000000-0006-0000-0100-0000E2000000}">
      <text>
        <r>
          <rPr>
            <sz val="10"/>
            <rFont val="Arial"/>
          </rPr>
          <t>reference:L83,L87,L91,L103
mrs:(L83,+,10.0000)  (L87,+,10.0000)  (L91,+,10.0000)  (L103,+,10.0000)  
Rotate:True</t>
        </r>
      </text>
    </comment>
    <comment ref="N106" authorId="0" shapeId="0" xr:uid="{00000000-0006-0000-0100-0000E3000000}">
      <text>
        <r>
          <rPr>
            <sz val="10"/>
            <rFont val="Arial"/>
          </rPr>
          <t>reference:N83,N87,N91,N103
mrs:(N83,+,10.0000)  (N87,+,10.0000)  (N91,+,10.0000)  (N103,+,10.0000)  
Rotate:True</t>
        </r>
      </text>
    </comment>
    <comment ref="Q106" authorId="0" shapeId="0" xr:uid="{00000000-0006-0000-0100-0000E4000000}">
      <text>
        <r>
          <rPr>
            <sz val="10"/>
            <rFont val="Arial"/>
          </rPr>
          <t>reference:Q83,Q87,Q91,Q103
mrs:(Q83,+,10.0000)  (Q87,+,10.0000)  (Q91,+,10.0000)  (Q103,+,10.0000)  
Rotate:True</t>
        </r>
      </text>
    </comment>
    <comment ref="S106" authorId="0" shapeId="0" xr:uid="{00000000-0006-0000-0100-0000E5000000}">
      <text>
        <r>
          <rPr>
            <sz val="10"/>
            <rFont val="Arial"/>
          </rPr>
          <t>reference:S83,S87,S91,S103
mrs:(S83,+,10.0000)  (S87,+,10.0000)  (S91,+,10.0000)  (S103,+,10.0000)  
Rotate:True</t>
        </r>
      </text>
    </comment>
    <comment ref="Q109" authorId="0" shapeId="0" xr:uid="{00000000-0006-0000-0100-0000E6000000}">
      <text>
        <r>
          <rPr>
            <sz val="10"/>
            <rFont val="Arial"/>
          </rPr>
          <t>reference:L109,N109
mrs:(L109,+,10.0000)  (N109,+,10.0000)  
Rotate:True</t>
        </r>
      </text>
    </comment>
    <comment ref="S109" authorId="0" shapeId="0" xr:uid="{00000000-0006-0000-0100-0000E7000000}">
      <text>
        <r>
          <rPr>
            <sz val="10"/>
            <rFont val="Arial"/>
          </rPr>
          <t>reference:D109,F109
mrs:(D109,+,10.0000)  (F109,+,10.0000)  
Rotate:True</t>
        </r>
      </text>
    </comment>
    <comment ref="D112" authorId="0" shapeId="0" xr:uid="{00000000-0006-0000-0100-0000E8000000}">
      <text>
        <r>
          <rPr>
            <sz val="10"/>
            <rFont val="Arial"/>
          </rPr>
          <t>reference:D106,D109
mrs:(D106,+,10.0000)  (D109,+,10.0000)  
Rotate:True</t>
        </r>
      </text>
    </comment>
    <comment ref="F112" authorId="0" shapeId="0" xr:uid="{00000000-0006-0000-0100-0000E9000000}">
      <text>
        <r>
          <rPr>
            <sz val="10"/>
            <rFont val="Arial"/>
          </rPr>
          <t>reference:F106,F109
mrs:(F106,+,10.0000)  (F109,+,10.0000)  
Rotate:True</t>
        </r>
      </text>
    </comment>
    <comment ref="H112" authorId="0" shapeId="0" xr:uid="{00000000-0006-0000-0100-0000EA000000}">
      <text>
        <r>
          <rPr>
            <sz val="10"/>
            <rFont val="Arial"/>
          </rPr>
          <t>reference:H106,H109
mrs:(H106,+,10.0000)  (H109,+,10.0000)  
Rotate:True</t>
        </r>
      </text>
    </comment>
    <comment ref="J112" authorId="0" shapeId="0" xr:uid="{00000000-0006-0000-0100-0000EB000000}">
      <text>
        <r>
          <rPr>
            <sz val="10"/>
            <rFont val="Arial"/>
          </rPr>
          <t>reference:J106,J109
mrs:(J106,+,10.0000)  (J109,+,10.0000)  
Rotate:True</t>
        </r>
      </text>
    </comment>
    <comment ref="L112" authorId="0" shapeId="0" xr:uid="{00000000-0006-0000-0100-0000EC000000}">
      <text>
        <r>
          <rPr>
            <sz val="10"/>
            <rFont val="Arial"/>
          </rPr>
          <t>reference:L106,L109
mrs:(L106,+,10.0000)  (L109,+,10.0000)  
Rotate:True</t>
        </r>
      </text>
    </comment>
    <comment ref="N112" authorId="0" shapeId="0" xr:uid="{00000000-0006-0000-0100-0000ED000000}">
      <text>
        <r>
          <rPr>
            <sz val="10"/>
            <rFont val="Arial"/>
          </rPr>
          <t>reference:N106,N109
mrs:(N106,+,10.0000)  (N109,+,10.0000)  
Rotate:True</t>
        </r>
      </text>
    </comment>
    <comment ref="Q112" authorId="0" shapeId="0" xr:uid="{00000000-0006-0000-0100-0000EE000000}">
      <text>
        <r>
          <rPr>
            <sz val="10"/>
            <rFont val="Arial"/>
          </rPr>
          <t>reference:Q106,Q109
mrs:(Q106,+,10.0000)  (Q109,+,10.0000)  
Rotate:True</t>
        </r>
      </text>
    </comment>
    <comment ref="S112" authorId="0" shapeId="0" xr:uid="{00000000-0006-0000-0100-0000EF000000}">
      <text>
        <r>
          <rPr>
            <sz val="10"/>
            <rFont val="Arial"/>
          </rPr>
          <t>reference:S106,S109
mrs:(S106,+,10.0000)  (S109,+,10.0000)  
Rotate:True</t>
        </r>
      </text>
    </comment>
    <comment ref="Q114" authorId="0" shapeId="0" xr:uid="{00000000-0006-0000-0100-0000F0000000}">
      <text>
        <r>
          <rPr>
            <sz val="10"/>
            <rFont val="Arial"/>
          </rPr>
          <t>reference:L114,N114
mrs:(L114,+,10.0000)  (N114,+,10.0000)  
Rotate:True</t>
        </r>
      </text>
    </comment>
    <comment ref="S114" authorId="0" shapeId="0" xr:uid="{00000000-0006-0000-0100-0000F1000000}">
      <text>
        <r>
          <rPr>
            <sz val="10"/>
            <rFont val="Arial"/>
          </rPr>
          <t>reference:D114,F114
mrs:(D114,+,10.0000)  (F114,+,10.0000)  
Rotate:True</t>
        </r>
      </text>
    </comment>
    <comment ref="Q115" authorId="0" shapeId="0" xr:uid="{00000000-0006-0000-0100-0000F2000000}">
      <text>
        <r>
          <rPr>
            <sz val="10"/>
            <rFont val="Arial"/>
          </rPr>
          <t>reference:L115,N115
mrs:(L115,+,10.0000)  (N115,+,10.0000)  
Rotate:True</t>
        </r>
      </text>
    </comment>
    <comment ref="S115" authorId="0" shapeId="0" xr:uid="{00000000-0006-0000-0100-0000F3000000}">
      <text>
        <r>
          <rPr>
            <sz val="10"/>
            <rFont val="Arial"/>
          </rPr>
          <t>reference:D115,F115
mrs:(D115,+,10.0000)  (F115,+,10.0000)  
Rotate:True</t>
        </r>
      </text>
    </comment>
    <comment ref="D116" authorId="0" shapeId="0" xr:uid="{00000000-0006-0000-0100-0000F4000000}">
      <text>
        <r>
          <rPr>
            <sz val="10"/>
            <rFont val="Arial"/>
          </rPr>
          <t>reference:D114,D115
mrs:(D114,+,10.0000)  (D115,+,10.0000)  
Rotate:True</t>
        </r>
      </text>
    </comment>
    <comment ref="F116" authorId="0" shapeId="0" xr:uid="{00000000-0006-0000-0100-0000F5000000}">
      <text>
        <r>
          <rPr>
            <sz val="10"/>
            <rFont val="Arial"/>
          </rPr>
          <t>reference:F114,F115
mrs:(F114,+,10.0000)  (F115,+,10.0000)  
Rotate:True</t>
        </r>
      </text>
    </comment>
    <comment ref="H116" authorId="0" shapeId="0" xr:uid="{00000000-0006-0000-0100-0000F6000000}">
      <text>
        <r>
          <rPr>
            <sz val="10"/>
            <rFont val="Arial"/>
          </rPr>
          <t>reference:H114,H115
mrs:(H114,+,10.0000)  (H115,+,10.0000)  
Rotate:True</t>
        </r>
      </text>
    </comment>
    <comment ref="J116" authorId="0" shapeId="0" xr:uid="{00000000-0006-0000-0100-0000F7000000}">
      <text>
        <r>
          <rPr>
            <sz val="10"/>
            <rFont val="Arial"/>
          </rPr>
          <t>reference:J114,J115
mrs:(J114,+,10.0000)  (J115,+,10.0000)  
Rotate:True</t>
        </r>
      </text>
    </comment>
    <comment ref="L116" authorId="0" shapeId="0" xr:uid="{00000000-0006-0000-0100-0000F8000000}">
      <text>
        <r>
          <rPr>
            <sz val="10"/>
            <rFont val="Arial"/>
          </rPr>
          <t>reference:L114,L115
mrs:(L114,+,10.0000)  (L115,+,10.0000)  
Rotate:True</t>
        </r>
      </text>
    </comment>
    <comment ref="N116" authorId="0" shapeId="0" xr:uid="{00000000-0006-0000-0100-0000F9000000}">
      <text>
        <r>
          <rPr>
            <sz val="10"/>
            <rFont val="Arial"/>
          </rPr>
          <t>reference:N114,N115
mrs:(N114,+,10.0000)  (N115,+,10.0000)  
Rotate:True</t>
        </r>
      </text>
    </comment>
    <comment ref="Q116" authorId="0" shapeId="0" xr:uid="{00000000-0006-0000-0100-0000FA000000}">
      <text>
        <r>
          <rPr>
            <sz val="10"/>
            <rFont val="Arial"/>
          </rPr>
          <t>reference:Q114,Q115
mrs:(Q114,+,10.0000)  (Q115,+,10.0000)  
Rotate:True</t>
        </r>
      </text>
    </comment>
    <comment ref="S116" authorId="0" shapeId="0" xr:uid="{00000000-0006-0000-0100-0000FB000000}">
      <text>
        <r>
          <rPr>
            <sz val="10"/>
            <rFont val="Arial"/>
          </rPr>
          <t>reference:S114,S115
mrs:(S114,+,10.0000)  (S115,+,10.0000)  
Rotate:True</t>
        </r>
      </text>
    </comment>
    <comment ref="Q117" authorId="0" shapeId="0" xr:uid="{00000000-0006-0000-0100-0000FC000000}">
      <text>
        <r>
          <rPr>
            <sz val="10"/>
            <rFont val="Arial"/>
          </rPr>
          <t>reference:L117,N117
mrs:(L117,+,10.0000)  (N117,+,10.0000)  
Rotate:True</t>
        </r>
      </text>
    </comment>
    <comment ref="S117" authorId="0" shapeId="0" xr:uid="{00000000-0006-0000-0100-0000FD000000}">
      <text>
        <r>
          <rPr>
            <sz val="10"/>
            <rFont val="Arial"/>
          </rPr>
          <t>reference:D117,F117
mrs:(D117,+,10.0000)  (F117,+,10.0000)  
Rotate:True</t>
        </r>
      </text>
    </comment>
    <comment ref="D119" authorId="0" shapeId="0" xr:uid="{00000000-0006-0000-0100-0000FE000000}">
      <text>
        <r>
          <rPr>
            <sz val="10"/>
            <rFont val="Arial"/>
          </rPr>
          <t>reference:D112,D116,D117
mrs:(D112,+,10.0000)  (D116,+,10.0000)  (D117,+,10.0000)  
Rotate:True</t>
        </r>
      </text>
    </comment>
    <comment ref="F119" authorId="0" shapeId="0" xr:uid="{00000000-0006-0000-0100-0000FF000000}">
      <text>
        <r>
          <rPr>
            <sz val="10"/>
            <rFont val="Arial"/>
          </rPr>
          <t>reference:F112,F116,F117
mrs:(F112,+,10.0000)  (F116,+,10.0000)  (F117,+,10.0000)  
Rotate:True</t>
        </r>
      </text>
    </comment>
    <comment ref="H119" authorId="0" shapeId="0" xr:uid="{00000000-0006-0000-0100-000000010000}">
      <text>
        <r>
          <rPr>
            <sz val="10"/>
            <rFont val="Arial"/>
          </rPr>
          <t>reference:H112,H116,H117
mrs:(H112,+,10.0000)  (H116,+,10.0000)  (H117,+,10.0000)  
Rotate:True</t>
        </r>
      </text>
    </comment>
    <comment ref="J119" authorId="0" shapeId="0" xr:uid="{00000000-0006-0000-0100-000001010000}">
      <text>
        <r>
          <rPr>
            <sz val="10"/>
            <rFont val="Arial"/>
          </rPr>
          <t>reference:J112,J116,J117
mrs:(J112,+,10.0000)  (J116,+,10.0000)  (J117,+,10.0000)  
Rotate:True</t>
        </r>
      </text>
    </comment>
    <comment ref="L119" authorId="0" shapeId="0" xr:uid="{00000000-0006-0000-0100-000002010000}">
      <text>
        <r>
          <rPr>
            <sz val="10"/>
            <rFont val="Arial"/>
          </rPr>
          <t>reference:L112,L116,L117
mrs:(L112,+,10.0000)  (L116,+,10.0000)  (L117,+,10.0000)  
Rotate:True</t>
        </r>
      </text>
    </comment>
    <comment ref="N119" authorId="0" shapeId="0" xr:uid="{00000000-0006-0000-0100-000003010000}">
      <text>
        <r>
          <rPr>
            <sz val="10"/>
            <rFont val="Arial"/>
          </rPr>
          <t>reference:N112,N116,N117
mrs:(N112,+,10.0000)  (N116,+,10.0000)  (N117,+,10.0000)  
Rotate:True</t>
        </r>
      </text>
    </comment>
    <comment ref="Q119" authorId="0" shapeId="0" xr:uid="{00000000-0006-0000-0100-000004010000}">
      <text>
        <r>
          <rPr>
            <sz val="10"/>
            <rFont val="Arial"/>
          </rPr>
          <t>reference:Q112,Q116,Q117
mrs:(Q112,+,10.0000)  (Q116,+,10.0000)  (Q117,+,10.0000)  
Rotate:True</t>
        </r>
      </text>
    </comment>
    <comment ref="S119" authorId="0" shapeId="0" xr:uid="{00000000-0006-0000-0100-000005010000}">
      <text>
        <r>
          <rPr>
            <sz val="10"/>
            <rFont val="Arial"/>
          </rPr>
          <t>reference:S112,S116,S117
mrs:(S112,+,10.0000)  (S116,+,10.0000)  (S117,+,10.0000)  
Rotate:True</t>
        </r>
      </text>
    </comment>
    <comment ref="D121" authorId="0" shapeId="0" xr:uid="{00000000-0006-0000-0100-000006010000}">
      <text>
        <r>
          <rPr>
            <sz val="10"/>
            <rFont val="Arial"/>
          </rPr>
          <t>reference:D13,D29,D63,D72,D75,D78
mrs:(D13,+,10.0000)  (D29,+,-10.0000)  (D63,+,-10.0000)  (D72,+,-10.0000)  (D75,+,-10.0000)  (D78,+,-10.0000)  
Rotate:True</t>
        </r>
      </text>
    </comment>
    <comment ref="F121" authorId="0" shapeId="0" xr:uid="{00000000-0006-0000-0100-000007010000}">
      <text>
        <r>
          <rPr>
            <sz val="10"/>
            <rFont val="Arial"/>
          </rPr>
          <t>reference:F13,F29,F63,F72
mrs:(F13,+,10.0000)  (F29,+,-10.0000)  (F63,+,-10.0000)  (F72,+,-10.0000)  
Rotate:True</t>
        </r>
      </text>
    </comment>
    <comment ref="H121" authorId="0" shapeId="0" xr:uid="{00000000-0006-0000-0100-000008010000}">
      <text>
        <r>
          <rPr>
            <sz val="10"/>
            <rFont val="Arial"/>
          </rPr>
          <t>reference:H13,H29,H63,H72,H78
mrs:(H13,+,10.0000)  (H29,+,-10.0000)  (H63,+,-10.0000)  (H72,+,-10.0000)  (H78,+,-10.0000)  
Rotate:True</t>
        </r>
      </text>
    </comment>
    <comment ref="J121" authorId="0" shapeId="0" xr:uid="{00000000-0006-0000-0100-000009010000}">
      <text>
        <r>
          <rPr>
            <sz val="10"/>
            <rFont val="Arial"/>
          </rPr>
          <t>reference:J13,J29,J63,J72,J78
mrs:(J13,+,10.0000)  (J29,+,-10.0000)  (J63,+,-10.0000)  (J72,+,-10.0000)  (J78,+,-10.0000)  
Rotate:True</t>
        </r>
      </text>
    </comment>
    <comment ref="L121" authorId="0" shapeId="0" xr:uid="{00000000-0006-0000-0100-00000A010000}">
      <text>
        <r>
          <rPr>
            <sz val="10"/>
            <rFont val="Arial"/>
          </rPr>
          <t>reference:L13,L29,L63,L72,L75,L78
mrs:(L13,+,10.0000)  (L29,+,-10.0000)  (L63,+,-10.0000)  (L72,+,-10.0000)  (L75,+,-10.0000)  (L78,+,-10.0000)  
Rotate:True</t>
        </r>
      </text>
    </comment>
    <comment ref="N121" authorId="0" shapeId="0" xr:uid="{00000000-0006-0000-0100-00000B010000}">
      <text>
        <r>
          <rPr>
            <sz val="10"/>
            <rFont val="Arial"/>
          </rPr>
          <t>reference:N13,N29,N63,N72,N75,N78
mrs:(N13,+,10.0000)  (N29,+,-10.0000)  (N63,+,-10.0000)  (N72,+,-10.0000)  (N75,+,-10.0000)  (N78,+,-10.0000)  
Rotate:True</t>
        </r>
      </text>
    </comment>
    <comment ref="Q121" authorId="0" shapeId="0" xr:uid="{00000000-0006-0000-0100-00000C010000}">
      <text>
        <r>
          <rPr>
            <sz val="10"/>
            <rFont val="Arial"/>
          </rPr>
          <t>reference:L121,N121
mrs:(L121,+,10.0000)  (N121,+,10.0000)  
Rotate:True</t>
        </r>
      </text>
    </comment>
    <comment ref="S121" authorId="0" shapeId="0" xr:uid="{00000000-0006-0000-0100-00000D010000}">
      <text>
        <r>
          <rPr>
            <sz val="10"/>
            <rFont val="Arial"/>
          </rPr>
          <t>reference:D121,F121
mrs:(D121,+,10.0000)  (F121,+,10.0000)  
Rotate:True</t>
        </r>
      </text>
    </comment>
    <comment ref="D122" authorId="0" shapeId="0" xr:uid="{00000000-0006-0000-0100-00000E010000}">
      <text>
        <r>
          <rPr>
            <sz val="10"/>
            <rFont val="Arial"/>
          </rPr>
          <t>reference:D15,D31,D65,D73,D76
mrs:(D15,+,10.0000)  (D31,+,-10.0000)  (D65,+,-10.0000)  (D73,+,-10.0000)  (D76,+,-10.0000)  
Rotate:True</t>
        </r>
      </text>
    </comment>
    <comment ref="F122" authorId="0" shapeId="0" xr:uid="{00000000-0006-0000-0100-00000F010000}">
      <text>
        <r>
          <rPr>
            <sz val="10"/>
            <rFont val="Arial"/>
          </rPr>
          <t>reference:F15,F31,F65
mrs:(F15,+,10.0000)  (F31,+,-10.0000)  (F65,+,-10.0000)  
Rotate:True</t>
        </r>
      </text>
    </comment>
    <comment ref="H122" authorId="0" shapeId="0" xr:uid="{00000000-0006-0000-0100-000010010000}">
      <text>
        <r>
          <rPr>
            <sz val="10"/>
            <rFont val="Arial"/>
          </rPr>
          <t>reference:H15,H31,H65,H73,H76
mrs:(H15,+,10.0000)  (H31,+,-10.0000)  (H65,+,-10.0000)  (H73,+,-10.0000)  (H76,+,-10.0000)  
Rotate:True</t>
        </r>
      </text>
    </comment>
    <comment ref="J122" authorId="0" shapeId="0" xr:uid="{00000000-0006-0000-0100-000011010000}">
      <text>
        <r>
          <rPr>
            <sz val="10"/>
            <rFont val="Arial"/>
          </rPr>
          <t>reference:J15,J31,J65,J73
mrs:(J15,+,10.0000)  (J31,+,-10.0000)  (J65,+,-10.0000)  (J73,+,-10.0000)  
Rotate:True</t>
        </r>
      </text>
    </comment>
    <comment ref="L122" authorId="0" shapeId="0" xr:uid="{00000000-0006-0000-0100-000012010000}">
      <text>
        <r>
          <rPr>
            <sz val="10"/>
            <rFont val="Arial"/>
          </rPr>
          <t>reference:L15,L31,L65,L73,L76
mrs:(L15,+,10.0000)  (L31,+,-10.0000)  (L65,+,-10.0000)  (L73,+,-10.0000)  (L76,+,-10.0000)  
Rotate:True</t>
        </r>
      </text>
    </comment>
    <comment ref="N122" authorId="0" shapeId="0" xr:uid="{00000000-0006-0000-0100-000013010000}">
      <text>
        <r>
          <rPr>
            <sz val="10"/>
            <rFont val="Arial"/>
          </rPr>
          <t>reference:N15,N31,N65,N73,N76
mrs:(N15,+,10.0000)  (N31,+,-10.0000)  (N65,+,-10.0000)  (N73,+,-10.0000)  (N76,+,-10.0000)  
Rotate:True</t>
        </r>
      </text>
    </comment>
    <comment ref="Q122" authorId="0" shapeId="0" xr:uid="{00000000-0006-0000-0100-000014010000}">
      <text>
        <r>
          <rPr>
            <sz val="10"/>
            <rFont val="Arial"/>
          </rPr>
          <t>reference:L122,N122
mrs:(L122,+,10.0000)  (N122,+,10.0000)  
Rotate:True</t>
        </r>
      </text>
    </comment>
    <comment ref="S122" authorId="0" shapeId="0" xr:uid="{00000000-0006-0000-0100-000015010000}">
      <text>
        <r>
          <rPr>
            <sz val="10"/>
            <rFont val="Arial"/>
          </rPr>
          <t>reference:D122,F122
mrs:(D122,+,10.0000)  (F122,+,10.0000)  
Rotate:True</t>
        </r>
      </text>
    </comment>
    <comment ref="D123" authorId="0" shapeId="0" xr:uid="{00000000-0006-0000-0100-000016010000}">
      <text>
        <r>
          <rPr>
            <sz val="10"/>
            <rFont val="Arial"/>
          </rPr>
          <t>reference:D16,D32,D66,D74
mrs:(D16,+,10.0000)  (D32,+,-10.0000)  (D66,+,-10.0000)  (D74,+,-10.0000)  
Rotate:True</t>
        </r>
      </text>
    </comment>
    <comment ref="F123" authorId="0" shapeId="0" xr:uid="{00000000-0006-0000-0100-000017010000}">
      <text>
        <r>
          <rPr>
            <sz val="10"/>
            <rFont val="Arial"/>
          </rPr>
          <t>reference:F16,F32,F66
mrs:(F16,+,10.0000)  (F32,+,-10.0000)  (F66,+,-10.0000)  
Rotate:True</t>
        </r>
      </text>
    </comment>
    <comment ref="H123" authorId="0" shapeId="0" xr:uid="{00000000-0006-0000-0100-000018010000}">
      <text>
        <r>
          <rPr>
            <sz val="10"/>
            <rFont val="Arial"/>
          </rPr>
          <t>reference:H16,H32,H66,H74
mrs:(H16,+,10.0000)  (H32,+,-10.0000)  (H66,+,-10.0000)  (H74,+,-10.0000)  
Rotate:True</t>
        </r>
      </text>
    </comment>
    <comment ref="J123" authorId="0" shapeId="0" xr:uid="{00000000-0006-0000-0100-000019010000}">
      <text>
        <r>
          <rPr>
            <sz val="10"/>
            <rFont val="Arial"/>
          </rPr>
          <t>reference:J16,J32,J66,J74
mrs:(J16,+,10.0000)  (J32,+,-10.0000)  (J66,+,-10.0000)  (J74,+,-10.0000)  
Rotate:True</t>
        </r>
      </text>
    </comment>
    <comment ref="L123" authorId="0" shapeId="0" xr:uid="{00000000-0006-0000-0100-00001A010000}">
      <text>
        <r>
          <rPr>
            <sz val="10"/>
            <rFont val="Arial"/>
          </rPr>
          <t>reference:L16,L32,L66,L74
mrs:(L16,+,10.0000)  (L32,+,-10.0000)  (L66,+,-10.0000)  (L74,+,-10.0000)  
Rotate:True</t>
        </r>
      </text>
    </comment>
    <comment ref="N123" authorId="0" shapeId="0" xr:uid="{00000000-0006-0000-0100-00001B010000}">
      <text>
        <r>
          <rPr>
            <sz val="10"/>
            <rFont val="Arial"/>
          </rPr>
          <t>reference:N16,N32,N66,N74
mrs:(N16,+,10.0000)  (N32,+,-10.0000)  (N66,+,-10.0000)  (N74,+,-10.0000)  
Rotate:True</t>
        </r>
      </text>
    </comment>
    <comment ref="Q123" authorId="0" shapeId="0" xr:uid="{00000000-0006-0000-0100-00001C010000}">
      <text>
        <r>
          <rPr>
            <sz val="10"/>
            <rFont val="Arial"/>
          </rPr>
          <t>reference:L123,N123
mrs:(L123,+,10.0000)  (N123,+,10.0000)  
Rotate:True</t>
        </r>
      </text>
    </comment>
    <comment ref="S123" authorId="0" shapeId="0" xr:uid="{00000000-0006-0000-0100-00001D010000}">
      <text>
        <r>
          <rPr>
            <sz val="10"/>
            <rFont val="Arial"/>
          </rPr>
          <t>reference:D123,F123
mrs:(D123,+,10.0000)  (F123,+,10.0000)  
Rotate:True</t>
        </r>
      </text>
    </comment>
    <comment ref="D124" authorId="0" shapeId="0" xr:uid="{00000000-0006-0000-0100-00001E010000}">
      <text>
        <r>
          <rPr>
            <sz val="10"/>
            <rFont val="Arial"/>
          </rPr>
          <t>reference:D20,D67
mrs:(D20,+,10.0000)  (D67,+,-10.0000)  
Rotate:True</t>
        </r>
      </text>
    </comment>
    <comment ref="F124" authorId="0" shapeId="0" xr:uid="{00000000-0006-0000-0100-00001F010000}">
      <text>
        <r>
          <rPr>
            <sz val="10"/>
            <rFont val="Arial"/>
          </rPr>
          <t>reference:F20,F67
mrs:(F20,+,10.0000)  (F67,+,-10.0000)  
Rotate:True</t>
        </r>
      </text>
    </comment>
    <comment ref="H124" authorId="0" shapeId="0" xr:uid="{00000000-0006-0000-0100-000020010000}">
      <text>
        <r>
          <rPr>
            <sz val="10"/>
            <rFont val="Arial"/>
          </rPr>
          <t>reference:H20,H67
mrs:(H20,+,10.0000)  (H67,+,-10.0000)  
Rotate:True</t>
        </r>
      </text>
    </comment>
    <comment ref="J124" authorId="0" shapeId="0" xr:uid="{00000000-0006-0000-0100-000021010000}">
      <text>
        <r>
          <rPr>
            <sz val="10"/>
            <rFont val="Arial"/>
          </rPr>
          <t>reference:J20,J67
mrs:(J20,+,10.0000)  (J67,+,-10.0000)  
Rotate:True</t>
        </r>
      </text>
    </comment>
    <comment ref="L124" authorId="0" shapeId="0" xr:uid="{00000000-0006-0000-0100-000022010000}">
      <text>
        <r>
          <rPr>
            <sz val="10"/>
            <rFont val="Arial"/>
          </rPr>
          <t>reference:L20,L67
mrs:(L20,+,10.0000)  (L67,+,-10.0000)  
Rotate:True</t>
        </r>
      </text>
    </comment>
    <comment ref="N124" authorId="0" shapeId="0" xr:uid="{00000000-0006-0000-0100-000023010000}">
      <text>
        <r>
          <rPr>
            <sz val="10"/>
            <rFont val="Arial"/>
          </rPr>
          <t>reference:N20,N67
mrs:(N20,+,10.0000)  (N67,+,-10.0000)  
Rotate:True</t>
        </r>
      </text>
    </comment>
    <comment ref="Q124" authorId="0" shapeId="0" xr:uid="{00000000-0006-0000-0100-000024010000}">
      <text>
        <r>
          <rPr>
            <sz val="10"/>
            <rFont val="Arial"/>
          </rPr>
          <t>reference:L124,N124
mrs:(L124,+,10.0000)  (N124,+,10.0000)  
Rotate:True</t>
        </r>
      </text>
    </comment>
    <comment ref="S124" authorId="0" shapeId="0" xr:uid="{00000000-0006-0000-0100-000025010000}">
      <text>
        <r>
          <rPr>
            <sz val="10"/>
            <rFont val="Arial"/>
          </rPr>
          <t>reference:D124,F124
mrs:(D124,+,10.0000)  (F124,+,10.0000)  
Rotate:True</t>
        </r>
      </text>
    </comment>
    <comment ref="D125" authorId="0" shapeId="0" xr:uid="{00000000-0006-0000-0100-000026010000}">
      <text>
        <r>
          <rPr>
            <sz val="10"/>
            <rFont val="Arial"/>
          </rPr>
          <t>reference:D19,D33,D68
mrs:(D19,+,10.0000)  (D33,+,-10.0000)  (D68,+,-10.0000)  
Rotate:True</t>
        </r>
      </text>
    </comment>
    <comment ref="F125" authorId="0" shapeId="0" xr:uid="{00000000-0006-0000-0100-000027010000}">
      <text>
        <r>
          <rPr>
            <sz val="10"/>
            <rFont val="Arial"/>
          </rPr>
          <t>reference:F19,F33,F68
mrs:(F19,+,10.0000)  (F33,+,-10.0000)  (F68,+,-10.0000)  
Rotate:True</t>
        </r>
      </text>
    </comment>
    <comment ref="H125" authorId="0" shapeId="0" xr:uid="{00000000-0006-0000-0100-000028010000}">
      <text>
        <r>
          <rPr>
            <sz val="10"/>
            <rFont val="Arial"/>
          </rPr>
          <t>reference:H19,H33,H68
mrs:(H19,+,10.0000)  (H33,+,-10.0000)  (H68,+,-10.0000)  
Rotate:True</t>
        </r>
      </text>
    </comment>
    <comment ref="J125" authorId="0" shapeId="0" xr:uid="{00000000-0006-0000-0100-000029010000}">
      <text>
        <r>
          <rPr>
            <sz val="10"/>
            <rFont val="Arial"/>
          </rPr>
          <t>reference:J19,J33,J68
mrs:(J19,+,10.0000)  (J33,+,-10.0000)  (J68,+,-10.0000)  
Rotate:True</t>
        </r>
      </text>
    </comment>
    <comment ref="L125" authorId="0" shapeId="0" xr:uid="{00000000-0006-0000-0100-00002A010000}">
      <text>
        <r>
          <rPr>
            <sz val="10"/>
            <rFont val="Arial"/>
          </rPr>
          <t>reference:L19,L33,L68
mrs:(L19,+,10.0000)  (L33,+,-10.0000)  (L68,+,-10.0000)  
Rotate:True</t>
        </r>
      </text>
    </comment>
    <comment ref="N125" authorId="0" shapeId="0" xr:uid="{00000000-0006-0000-0100-00002B010000}">
      <text>
        <r>
          <rPr>
            <sz val="10"/>
            <rFont val="Arial"/>
          </rPr>
          <t>reference:N19,N33,N68
mrs:(N19,+,10.0000)  (N33,+,-10.0000)  (N68,+,-10.0000)  
Rotate:True</t>
        </r>
      </text>
    </comment>
    <comment ref="Q125" authorId="0" shapeId="0" xr:uid="{00000000-0006-0000-0100-00002C010000}">
      <text>
        <r>
          <rPr>
            <sz val="10"/>
            <rFont val="Arial"/>
          </rPr>
          <t>reference:L125,N125
mrs:(L125,+,10.0000)  (N125,+,10.0000)  
Rotate:True</t>
        </r>
      </text>
    </comment>
    <comment ref="S125" authorId="0" shapeId="0" xr:uid="{00000000-0006-0000-0100-00002D010000}">
      <text>
        <r>
          <rPr>
            <sz val="10"/>
            <rFont val="Arial"/>
          </rPr>
          <t>reference:D125,F125
mrs:(D125,+,10.0000)  (F125,+,10.0000)  
Rotate:True</t>
        </r>
      </text>
    </comment>
    <comment ref="D126" authorId="0" shapeId="0" xr:uid="{00000000-0006-0000-0100-00002E010000}">
      <text>
        <r>
          <rPr>
            <sz val="10"/>
            <rFont val="Arial"/>
          </rPr>
          <t>reference:D69
mrs:(D69,+,-10.0000)  
Rotate:True</t>
        </r>
      </text>
    </comment>
    <comment ref="F126" authorId="0" shapeId="0" xr:uid="{00000000-0006-0000-0100-00002F010000}">
      <text>
        <r>
          <rPr>
            <sz val="10"/>
            <rFont val="Arial"/>
          </rPr>
          <t>reference:F69
mrs:(F69,+,-10.0000)  
Rotate:True</t>
        </r>
      </text>
    </comment>
    <comment ref="H126" authorId="0" shapeId="0" xr:uid="{00000000-0006-0000-0100-000030010000}">
      <text>
        <r>
          <rPr>
            <sz val="10"/>
            <rFont val="Arial"/>
          </rPr>
          <t>reference:H69
mrs:(H69,+,-10.0000)  
Rotate:True</t>
        </r>
      </text>
    </comment>
    <comment ref="J126" authorId="0" shapeId="0" xr:uid="{00000000-0006-0000-0100-000031010000}">
      <text>
        <r>
          <rPr>
            <sz val="10"/>
            <rFont val="Arial"/>
          </rPr>
          <t>reference:J69
mrs:(J69,+,-10.0000)  
Rotate:True</t>
        </r>
      </text>
    </comment>
    <comment ref="L126" authorId="0" shapeId="0" xr:uid="{00000000-0006-0000-0100-000032010000}">
      <text>
        <r>
          <rPr>
            <sz val="10"/>
            <rFont val="Arial"/>
          </rPr>
          <t>reference:L69
mrs:(L69,+,-10.0000)  
Rotate:True</t>
        </r>
      </text>
    </comment>
    <comment ref="N126" authorId="0" shapeId="0" xr:uid="{00000000-0006-0000-0100-000033010000}">
      <text>
        <r>
          <rPr>
            <sz val="10"/>
            <rFont val="Arial"/>
          </rPr>
          <t>reference:N69
mrs:(N69,+,-10.0000)  
Rotate:True</t>
        </r>
      </text>
    </comment>
    <comment ref="Q126" authorId="0" shapeId="0" xr:uid="{00000000-0006-0000-0100-000034010000}">
      <text>
        <r>
          <rPr>
            <sz val="10"/>
            <rFont val="Arial"/>
          </rPr>
          <t>reference:L126,N126
mrs:(L126,+,10.0000)  (N126,+,10.0000)  
Rotate:True</t>
        </r>
      </text>
    </comment>
    <comment ref="S126" authorId="0" shapeId="0" xr:uid="{00000000-0006-0000-0100-000035010000}">
      <text>
        <r>
          <rPr>
            <sz val="10"/>
            <rFont val="Arial"/>
          </rPr>
          <t>reference:D126,F126
mrs:(D126,+,10.0000)  (F126,+,10.0000)  
Rotate:True</t>
        </r>
      </text>
    </comment>
    <comment ref="D127" authorId="0" shapeId="0" xr:uid="{00000000-0006-0000-0100-000036010000}">
      <text>
        <r>
          <rPr>
            <sz val="10"/>
            <rFont val="Arial"/>
          </rPr>
          <t>reference:D121,D122,D123,D124,D125,D126
mrs:(D121,+,10.0000)  (D122,+,10.0000)  (D123,+,10.0000)  (D124,+,10.0000)  (D125,+,10.0000)  (D126,+,10.0000)  
Rotate:True</t>
        </r>
      </text>
    </comment>
    <comment ref="F127" authorId="0" shapeId="0" xr:uid="{00000000-0006-0000-0100-000037010000}">
      <text>
        <r>
          <rPr>
            <sz val="10"/>
            <rFont val="Arial"/>
          </rPr>
          <t>reference:F121,F122,F123,F124,F125,F126
mrs:(F121,+,10.0000)  (F122,+,10.0000)  (F123,+,10.0000)  (F124,+,10.0000)  (F125,+,10.0000)  (F126,+,10.0000)  
Rotate:True</t>
        </r>
      </text>
    </comment>
    <comment ref="H127" authorId="0" shapeId="0" xr:uid="{00000000-0006-0000-0100-000038010000}">
      <text>
        <r>
          <rPr>
            <sz val="10"/>
            <rFont val="Arial"/>
          </rPr>
          <t>reference:H121,H122,H123,H124,H125,H126
mrs:(H121,+,10.0000)  (H122,+,10.0000)  (H123,+,10.0000)  (H124,+,10.0000)  (H125,+,10.0000)  (H126,+,10.0000)  
Rotate:True</t>
        </r>
      </text>
    </comment>
    <comment ref="J127" authorId="0" shapeId="0" xr:uid="{00000000-0006-0000-0100-000039010000}">
      <text>
        <r>
          <rPr>
            <sz val="10"/>
            <rFont val="Arial"/>
          </rPr>
          <t>reference:J121,J122,J123,J124,J125,J126
mrs:(J121,+,10.0000)  (J122,+,10.0000)  (J123,+,10.0000)  (J124,+,10.0000)  (J125,+,10.0000)  (J126,+,10.0000)  
Rotate:True</t>
        </r>
      </text>
    </comment>
    <comment ref="L127" authorId="0" shapeId="0" xr:uid="{00000000-0006-0000-0100-00003A010000}">
      <text>
        <r>
          <rPr>
            <sz val="10"/>
            <rFont val="Arial"/>
          </rPr>
          <t>reference:L121,L122,L123,L124,L125,L126
mrs:(L121,+,10.0000)  (L122,+,10.0000)  (L123,+,10.0000)  (L124,+,10.0000)  (L125,+,10.0000)  (L126,+,10.0000)  
Rotate:True</t>
        </r>
      </text>
    </comment>
    <comment ref="N127" authorId="0" shapeId="0" xr:uid="{00000000-0006-0000-0100-00003B010000}">
      <text>
        <r>
          <rPr>
            <sz val="10"/>
            <rFont val="Arial"/>
          </rPr>
          <t>reference:N121,N122,N123,N124,N125,N126
mrs:(N121,+,10.0000)  (N122,+,10.0000)  (N123,+,10.0000)  (N124,+,10.0000)  (N125,+,10.0000)  (N126,+,10.0000)  
Rotate:True</t>
        </r>
      </text>
    </comment>
    <comment ref="Q127" authorId="0" shapeId="0" xr:uid="{00000000-0006-0000-0100-00003C010000}">
      <text>
        <r>
          <rPr>
            <sz val="10"/>
            <rFont val="Arial"/>
          </rPr>
          <t>reference:Q121,Q122,Q123,Q124,Q125,Q126
mrs:(Q121,+,10.0000)  (Q122,+,10.0000)  (Q123,+,10.0000)  (Q124,+,10.0000)  (Q125,+,10.0000)  (Q126,+,10.0000)  
Rotate:True</t>
        </r>
      </text>
    </comment>
    <comment ref="S127" authorId="0" shapeId="0" xr:uid="{00000000-0006-0000-0100-00003D010000}">
      <text>
        <r>
          <rPr>
            <sz val="10"/>
            <rFont val="Arial"/>
          </rPr>
          <t>reference:S121,S122,S123,S124,S125,S126
mrs:(S121,+,10.0000)  (S122,+,10.0000)  (S123,+,10.0000)  (S124,+,10.0000)  (S125,+,10.0000)  (S126,+,10.0000)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D19" authorId="0" shapeId="0" xr:uid="{00000000-0006-0000-0200-000001000000}">
      <text>
        <r>
          <rPr>
            <sz val="10"/>
            <rFont val="Arial"/>
          </rPr>
          <t>reference:D15,D16,D17,D18
mrs:(D15,+,10.0000)  (D16,+,10.0000)  (D17,+,10.0000)  (D18,+,10.0000)  
Rotate:True</t>
        </r>
      </text>
    </comment>
    <comment ref="E19" authorId="0" shapeId="0" xr:uid="{00000000-0006-0000-0200-000002000000}">
      <text>
        <r>
          <rPr>
            <sz val="10"/>
            <rFont val="Arial"/>
          </rPr>
          <t>reference:E15,E16,E17,E18
mrs:(E15,+,10.0000)  (E16,+,10.0000)  (E17,+,10.0000)  (E18,+,10.0000)  
Rotate:True</t>
        </r>
      </text>
    </comment>
    <comment ref="D28" authorId="0" shapeId="0" xr:uid="{00000000-0006-0000-0200-000003000000}">
      <text>
        <r>
          <rPr>
            <sz val="10"/>
            <rFont val="Arial"/>
          </rPr>
          <t>reference:D19,D20,D21,D22,D23,D24,D25,D26,D27
mrs:(D19,+,10.0000)  (D20,+,10.0000)  (D21,+,10.0000)  (D22,+,10.0000)  (D23,+,10.0000)  (D24,+,10.0000)  (D25,+,10.0000)  (D26,+,10.0000)  (D27,+,10.0000)  
Rotate:True</t>
        </r>
      </text>
    </comment>
    <comment ref="E28" authorId="0" shapeId="0" xr:uid="{00000000-0006-0000-0200-000004000000}">
      <text>
        <r>
          <rPr>
            <sz val="10"/>
            <rFont val="Arial"/>
          </rPr>
          <t>reference:E19,E20,E21,E22,E23,E24,E25,E26,E27
mrs:(E19,+,10.0000)  (E20,+,10.0000)  (E21,+,10.0000)  (E22,+,10.0000)  (E23,+,10.0000)  (E24,+,10.0000)  (E25,+,10.0000)  (E26,+,10.0000)  (E27,+,10.0000)  
Rotate:True</t>
        </r>
      </text>
    </comment>
    <comment ref="D40" authorId="0" shapeId="0" xr:uid="{00000000-0006-0000-0200-000005000000}">
      <text>
        <r>
          <rPr>
            <sz val="10"/>
            <rFont val="Arial"/>
          </rPr>
          <t>reference:D34,D35,D36,D37,D38,D39
mrs:(D34,+,10.0000)  (D35,+,10.0000)  (D36,+,10.0000)  (D37,+,10.0000)  (D38,+,10.0000)  (D39,+,10.0000)  
Rotate:True</t>
        </r>
      </text>
    </comment>
    <comment ref="E40" authorId="0" shapeId="0" xr:uid="{00000000-0006-0000-0200-000006000000}">
      <text>
        <r>
          <rPr>
            <sz val="10"/>
            <rFont val="Arial"/>
          </rPr>
          <t>reference:E34,E35,E36,E37,E38,E39
mrs:(E34,+,10.0000)  (E35,+,10.0000)  (E36,+,10.0000)  (E37,+,10.0000)  (E38,+,10.0000)  (E39,+,10.0000)  
Rotate:True</t>
        </r>
      </text>
    </comment>
    <comment ref="D51" authorId="0" shapeId="0" xr:uid="{00000000-0006-0000-0200-000007000000}">
      <text>
        <r>
          <rPr>
            <sz val="10"/>
            <rFont val="Arial"/>
          </rPr>
          <t>reference:D40,D41,D42,D43,D44,D45,D46,D47,D48,D49,D50
mrs:(D40,+,10.0000)  (D41,+,10.0000)  (D42,+,10.0000)  (D43,+,10.0000)  (D44,+,10.0000)  (D45,+,10.0000)  (D46,+,10.0000)  (D47,+,10.0000)  (D48,+,10.0000)  (D49,+,10.0000)  (D50,+,10.0000)  
Rotate:True</t>
        </r>
      </text>
    </comment>
    <comment ref="E51" authorId="0" shapeId="0" xr:uid="{00000000-0006-0000-0200-000008000000}">
      <text>
        <r>
          <rPr>
            <sz val="10"/>
            <rFont val="Arial"/>
          </rPr>
          <t>reference:E40,E41,E42,E43,E44,E45,E46,E47,E48,E49,E50
mrs:(E40,+,10.0000)  (E41,+,10.0000)  (E42,+,10.0000)  (E43,+,10.0000)  (E44,+,10.0000)  (E45,+,10.0000)  (E46,+,10.0000)  (E47,+,10.0000)  (E48,+,10.0000)  (E49,+,10.0000)  (E50,+,10.0000)  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Preferred Customer</author>
    <author>mr</author>
    <author>JAY LYNCH</author>
  </authors>
  <commentList>
    <comment ref="F11" authorId="0" shapeId="0" xr:uid="{00000000-0006-0000-0300-000001000000}">
      <text>
        <r>
          <rPr>
            <sz val="10"/>
            <rFont val="Arial"/>
          </rPr>
          <t xml:space="preserve">Collard.Kelly:
Reclassed to Non Current - does not agree to 10Q filed
due to reclass
</t>
        </r>
      </text>
    </comment>
    <comment ref="F14" authorId="0" shapeId="0" xr:uid="{00000000-0006-0000-0300-000002000000}">
      <text>
        <r>
          <rPr>
            <sz val="10"/>
            <rFont val="Arial"/>
          </rPr>
          <t>Collard.Kelly: CorpSoft Reduced LOC - $.58 million transferred to Level 3 Finance - Unrestricted.  .8 million increased for cash follateral corpsoft</t>
        </r>
      </text>
    </comment>
    <comment ref="D21" authorId="1" shapeId="0" xr:uid="{00000000-0006-0000-0300-000003000000}">
      <text>
        <r>
          <rPr>
            <sz val="10"/>
            <rFont val="Arial"/>
          </rPr>
          <t>reference:D12,D13,D14,D15,D16,D17,D18,D19,D20
mrs:
forward:True
2.0:(D12:D20,)
add:D12:D20:9.0
Rotate:True</t>
        </r>
      </text>
    </comment>
    <comment ref="F21" authorId="1" shapeId="0" xr:uid="{00000000-0006-0000-0300-000004000000}">
      <text>
        <r>
          <rPr>
            <sz val="10"/>
            <rFont val="Arial"/>
          </rPr>
          <t>reference:F11,F12,F13,F14,F15,F16,F17,F18,F19,F20
mrs:(F11,+,10.0000)  (F12,+,10.0000)  (F13,+,10.0000)  (F14,+,10.0000)  (F15,+,10.0000)  (F16,+,10.0000)  (F17,+,10.0000)  (F18,+,10.0000)  (F19,+,10.0000)  (F20,+,10.0000)  
Rotate:True</t>
        </r>
      </text>
    </comment>
    <comment ref="G21" authorId="1" shapeId="0" xr:uid="{00000000-0006-0000-0300-000005000000}">
      <text>
        <r>
          <rPr>
            <sz val="10"/>
            <rFont val="Arial"/>
          </rPr>
          <t>reference:G11,G12,G13,G14,G15,G16,G17,G18,G19,G20
mrs:(G11,+,10.0000)  (G12,+,10.0000)  (G13,+,10.0000)  (G14,+,10.0000)  (G15,+,10.0000)  (G16,+,10.0000)  (G17,+,10.0000)  (G18,+,10.0000)  (G19,+,10.0000)  (G20,+,10.0000)  
Rotate:True</t>
        </r>
      </text>
    </comment>
    <comment ref="H21" authorId="1" shapeId="0" xr:uid="{00000000-0006-0000-0300-000006000000}">
      <text>
        <r>
          <rPr>
            <sz val="10"/>
            <rFont val="Arial"/>
          </rPr>
          <t>reference:H11,H12,H13,H14,H15,H16,H17,H18,H19,H20
mrs:(H11,+,10.0000)  (H12,+,10.0000)  (H13,+,10.0000)  (H14,+,10.0000)  (H15,+,10.0000)  (H16,+,10.0000)  (H17,+,10.0000)  (H18,+,10.0000)  (H19,+,10.0000)  (H20,+,10.0000)  
Rotate:True</t>
        </r>
      </text>
    </comment>
    <comment ref="J21" authorId="1" shapeId="0" xr:uid="{00000000-0006-0000-0300-000007000000}">
      <text>
        <r>
          <rPr>
            <sz val="10"/>
            <rFont val="Arial"/>
          </rPr>
          <t>reference:J11,J12,J13,J14,J15,J16,J17,J18,J19,J20
mrs:(J11,+,10.0000)  (J12,+,10.0000)  (J13,+,10.0000)  (J14,+,10.0000)  (J15,+,10.0000)  (J16,+,10.0000)  (J17,+,10.0000)  (J18,+,10.0000)  (J19,+,10.0000)  (J20,+,10.0000)  
Rotate:True</t>
        </r>
      </text>
    </comment>
    <comment ref="D29" authorId="1" shapeId="0" xr:uid="{00000000-0006-0000-0300-000008000000}">
      <text>
        <r>
          <rPr>
            <sz val="10"/>
            <rFont val="Arial"/>
          </rPr>
          <t>reference:D24,D25,D26,D27,D28
mrs:(D24,+,10.0000)  (D25,+,10.0000)  (D26,+,10.0000)  (D27,+,10.0000)  (D28,+,10.0000)  
Rotate:True</t>
        </r>
      </text>
    </comment>
    <comment ref="F29" authorId="1" shapeId="0" xr:uid="{00000000-0006-0000-0300-000009000000}">
      <text>
        <r>
          <rPr>
            <sz val="10"/>
            <rFont val="Arial"/>
          </rPr>
          <t>reference:F24,F25,F26,F27,F28
mrs:(F24,+,10.0000)  (F25,+,10.0000)  (F26,+,10.0000)  (F27,+,10.0000)  (F28,+,10.0000)  
Rotate:True</t>
        </r>
      </text>
    </comment>
    <comment ref="G29" authorId="1" shapeId="0" xr:uid="{00000000-0006-0000-0300-00000A000000}">
      <text>
        <r>
          <rPr>
            <sz val="10"/>
            <rFont val="Arial"/>
          </rPr>
          <t>reference:G24,G25,G26,G27,G28
mrs:(G24,+,10.0000)  (G25,+,10.0000)  (G26,+,10.0000)  (G27,+,10.0000)  (G28,+,10.0000)  
Rotate:True</t>
        </r>
      </text>
    </comment>
    <comment ref="H29" authorId="1" shapeId="0" xr:uid="{00000000-0006-0000-0300-00000B000000}">
      <text>
        <r>
          <rPr>
            <sz val="10"/>
            <rFont val="Arial"/>
          </rPr>
          <t>reference:H24,H25,H26,H27,H28
mrs:(H24,+,10.0000)  (H25,+,10.0000)  (H26,+,10.0000)  (H27,+,10.0000)  (H28,+,10.0000)  
Rotate:True</t>
        </r>
      </text>
    </comment>
    <comment ref="J29" authorId="1" shapeId="0" xr:uid="{00000000-0006-0000-0300-00000C000000}">
      <text>
        <r>
          <rPr>
            <sz val="10"/>
            <rFont val="Arial"/>
          </rPr>
          <t>reference:J24,J25,J26,J27,J28
mrs:(J24,+,10.0000)  (J25,+,10.0000)  (J26,+,10.0000)  (J27,+,10.0000)  (J28,+,10.0000)  
Rotate:True</t>
        </r>
      </text>
    </comment>
    <comment ref="B47" authorId="2" shapeId="0" xr:uid="{00000000-0006-0000-0300-00000D000000}">
      <text>
        <r>
          <rPr>
            <sz val="10"/>
            <rFont val="Arial"/>
          </rPr>
          <t xml:space="preserve">JAY LYNCH:
Includes Prepaid Software
</t>
        </r>
      </text>
    </comment>
    <comment ref="D48" authorId="1" shapeId="0" xr:uid="{00000000-0006-0000-0300-00000E000000}">
      <text>
        <r>
          <rPr>
            <sz val="10"/>
            <rFont val="Arial"/>
          </rPr>
          <t>reference:D32,D33,D34,D35,D36,D37,D38,D39,D40,D41,D42,D43,D44,D45,D46,D47
mrs:(D32,+,10.0000)  (D33,+,10.0000)  (D34,+,10.0000)  (D35,+,10.0000)  (D36,+,10.0000)  (D37,+,10.0000)  (D38,+,10.0000)  (D39,+,10.0000)  (D40,+,10.0000)  (D41,+,10.0000)  (D42,+,10.0000)  (D43,+,10.0000)  (D44,+,10.0000)  (D45,+,10.0000)  (D46,+,10.0000)  (D47,+,10.0000)  
Rotate:True</t>
        </r>
      </text>
    </comment>
    <comment ref="F48" authorId="1" shapeId="0" xr:uid="{00000000-0006-0000-0300-00000F000000}">
      <text>
        <r>
          <rPr>
            <sz val="10"/>
            <rFont val="Arial"/>
          </rPr>
          <t>reference:F32,F33,F34,F35,F36,F37,F38,F39,F40,F41,F42,F43,F44,F45,F46,F47
mrs:(F32,+,10.0000)  (F33,+,10.0000)  (F34,+,10.0000)  (F35,+,10.0000)  (F36,+,10.0000)  (F37,+,10.0000)  (F38,+,10.0000)  (F39,+,10.0000)  (F40,+,10.0000)  (F41,+,10.0000)  (F42,+,10.0000)  (F43,+,10.0000)  (F44,+,10.0000)  (F45,+,10.0000)  (F46,+,10.0000)  (F47,+,10.0000)  
Rotate:True</t>
        </r>
      </text>
    </comment>
    <comment ref="G48" authorId="1" shapeId="0" xr:uid="{00000000-0006-0000-0300-000010000000}">
      <text>
        <r>
          <rPr>
            <sz val="10"/>
            <rFont val="Arial"/>
          </rPr>
          <t>reference:G32,G33,G34,G35,G36,G37,G38,G39,G40,G41,G42,G43,G44,G45,G46,G47
mrs:(G32,+,10.0000)  (G33,+,10.0000)  (G34,+,10.0000)  (G35,+,10.0000)  (G36,+,10.0000)  (G37,+,10.0000)  (G38,+,10.0000)  (G39,+,10.0000)  (G40,+,10.0000)  (G41,+,10.0000)  (G42,+,10.0000)  (G43,+,10.0000)  (G44,+,10.0000)  (G45,+,10.0000)  (G46,+,10.0000)  (G47,+,10.0000)  
Rotate:True</t>
        </r>
      </text>
    </comment>
    <comment ref="H48" authorId="1" shapeId="0" xr:uid="{00000000-0006-0000-0300-000011000000}">
      <text>
        <r>
          <rPr>
            <sz val="10"/>
            <rFont val="Arial"/>
          </rPr>
          <t>reference:H32,H33,H34,H35,H36,H37,H38,H39,H40,H41,H42,H43,H44,H45,H46,H47
mrs:(H32,+,10.0000)  (H33,+,10.0000)  (H34,+,10.0000)  (H35,+,10.0000)  (H36,+,10.0000)  (H37,+,10.0000)  (H38,+,10.0000)  (H39,+,10.0000)  (H40,+,10.0000)  (H41,+,10.0000)  (H42,+,10.0000)  (H43,+,10.0000)  (H44,+,10.0000)  (H45,+,10.0000)  (H46,+,10.0000)  (H47,+,10.0000)  
Rotate:True</t>
        </r>
      </text>
    </comment>
    <comment ref="J48" authorId="1" shapeId="0" xr:uid="{00000000-0006-0000-0300-000012000000}">
      <text>
        <r>
          <rPr>
            <sz val="10"/>
            <rFont val="Arial"/>
          </rPr>
          <t>reference:J32,J33,J34,J35,J36,J37,J38,J39,J40,J41,J42,J43,J44,J45,J46,J47
mrs:(J32,+,10.0000)  (J33,+,10.0000)  (J34,+,10.0000)  (J35,+,10.0000)  (J36,+,10.0000)  (J37,+,10.0000)  (J38,+,10.0000)  (J39,+,10.0000)  (J40,+,10.0000)  (J41,+,10.0000)  (J42,+,10.0000)  (J43,+,10.0000)  (J44,+,10.0000)  (J45,+,10.0000)  (J46,+,10.0000)  (J47,+,10.0000)  
Rotate:True</t>
        </r>
      </text>
    </comment>
    <comment ref="D50" authorId="1" shapeId="0" xr:uid="{00000000-0006-0000-0300-000013000000}">
      <text>
        <r>
          <rPr>
            <sz val="10"/>
            <rFont val="Arial"/>
          </rPr>
          <t>reference:D8,D21,D29,D48
mrs:(D8,+,10.0000)  (D21,+,10.0000)  (D29,+,10.0000)  (D48,+,10.0000)  
Rotate:True</t>
        </r>
      </text>
    </comment>
    <comment ref="F50" authorId="1" shapeId="0" xr:uid="{00000000-0006-0000-0300-000014000000}">
      <text>
        <r>
          <rPr>
            <sz val="10"/>
            <rFont val="Arial"/>
          </rPr>
          <t>reference:F8,F21,F29,F48
mrs:(F8,+,10.0000)  (F21,+,10.0000)  (F29,+,10.0000)  (F48,+,10.0000)  
Rotate:True</t>
        </r>
      </text>
    </comment>
    <comment ref="G50" authorId="1" shapeId="0" xr:uid="{00000000-0006-0000-0300-000015000000}">
      <text>
        <r>
          <rPr>
            <sz val="10"/>
            <rFont val="Arial"/>
          </rPr>
          <t>reference:G8,G21,G29,G48
mrs:(G8,+,10.0000)  (G21,+,10.0000)  (G29,+,10.0000)  (G48,+,10.0000)  
Rotate:True</t>
        </r>
      </text>
    </comment>
    <comment ref="H50" authorId="1" shapeId="0" xr:uid="{00000000-0006-0000-0300-000016000000}">
      <text>
        <r>
          <rPr>
            <sz val="10"/>
            <rFont val="Arial"/>
          </rPr>
          <t>reference:H8,H21,H29,H48
mrs:(H8,+,10.0000)  (H21,+,10.0000)  (H29,+,10.0000)  (H48,+,10.0000)  
Rotate:True</t>
        </r>
      </text>
    </comment>
    <comment ref="J50" authorId="1" shapeId="0" xr:uid="{00000000-0006-0000-0300-000017000000}">
      <text>
        <r>
          <rPr>
            <sz val="10"/>
            <rFont val="Arial"/>
          </rPr>
          <t>reference:J8,J21,J29,J48
mrs:(J8,+,10.0000)  (J21,+,10.0000)  (J29,+,10.0000)  (J48,+,10.0000)  
Rotate:True</t>
        </r>
      </text>
    </comment>
    <comment ref="D59" authorId="1" shapeId="0" xr:uid="{00000000-0006-0000-0300-000018000000}">
      <text>
        <r>
          <rPr>
            <sz val="10"/>
            <rFont val="Arial"/>
          </rPr>
          <t>reference:D54,D55,D56,D57,D58
mrs:(D54,+,10.0000)  (D55,+,10.0000)  (D56,+,10.0000)  (D57,+,10.0000)  (D58,+,10.0000)  
Rotate:True</t>
        </r>
      </text>
    </comment>
    <comment ref="F59" authorId="1" shapeId="0" xr:uid="{00000000-0006-0000-0300-000019000000}">
      <text>
        <r>
          <rPr>
            <sz val="10"/>
            <rFont val="Arial"/>
          </rPr>
          <t>reference:F53,F54,F55,F56,F57,F58
mrs:(F53,+,10.0000)  (F54,+,10.0000)  (F55,+,10.0000)  (F56,+,10.0000)  (F57,+,10.0000)  (F58,+,10.0000)  
Rotate:True</t>
        </r>
      </text>
    </comment>
    <comment ref="G59" authorId="1" shapeId="0" xr:uid="{00000000-0006-0000-0300-00001A000000}">
      <text>
        <r>
          <rPr>
            <sz val="10"/>
            <rFont val="Arial"/>
          </rPr>
          <t>reference:G53,G54,G55,G56,G57,G58
mrs:(G53,+,10.0000)  (G54,+,10.0000)  (G55,+,10.0000)  (G56,+,10.0000)  (G57,+,10.0000)  (G58,+,10.0000)  
Rotate:True</t>
        </r>
      </text>
    </comment>
    <comment ref="H59" authorId="1" shapeId="0" xr:uid="{00000000-0006-0000-0300-00001B000000}">
      <text>
        <r>
          <rPr>
            <sz val="10"/>
            <rFont val="Arial"/>
          </rPr>
          <t>reference:H53,H54,H55,H56,H57,H58
mrs:(H53,+,10.0000)  (H54,+,10.0000)  (H55,+,10.0000)  (H56,+,10.0000)  (H57,+,10.0000)  (H58,+,10.0000)  
Rotate:True</t>
        </r>
      </text>
    </comment>
    <comment ref="J59" authorId="1" shapeId="0" xr:uid="{00000000-0006-0000-0300-00001C000000}">
      <text>
        <r>
          <rPr>
            <sz val="10"/>
            <rFont val="Arial"/>
          </rPr>
          <t>reference:J53,J54,J55,J56,J57,J58
mrs:(J53,+,10.0000)  (J54,+,10.0000)  (J55,+,10.0000)  (J56,+,10.0000)  (J57,+,10.0000)  (J58,+,10.0000)  
Rotate:True</t>
        </r>
      </text>
    </comment>
    <comment ref="D64" authorId="1" shapeId="0" xr:uid="{00000000-0006-0000-0300-00001D000000}">
      <text>
        <r>
          <rPr>
            <sz val="10"/>
            <rFont val="Arial"/>
          </rPr>
          <t>reference:D61,D62,D63
mrs:(D61,+,10.0000)  (D62,+,10.0000)  (D63,+,10.0000)  
Rotate:True</t>
        </r>
      </text>
    </comment>
    <comment ref="F64" authorId="1" shapeId="0" xr:uid="{00000000-0006-0000-0300-00001E000000}">
      <text>
        <r>
          <rPr>
            <sz val="10"/>
            <rFont val="Arial"/>
          </rPr>
          <t>reference:F61,F62,F63
mrs:(F61,+,10.0000)  (F62,+,10.0000)  (F63,+,10.0000)  
Rotate:True</t>
        </r>
      </text>
    </comment>
    <comment ref="G64" authorId="1" shapeId="0" xr:uid="{00000000-0006-0000-0300-00001F000000}">
      <text>
        <r>
          <rPr>
            <sz val="10"/>
            <rFont val="Arial"/>
          </rPr>
          <t>reference:G61,G62,G63
mrs:(G61,+,10.0000)  (G62,+,10.0000)  (G63,+,10.0000)  
Rotate:True</t>
        </r>
      </text>
    </comment>
    <comment ref="H64" authorId="1" shapeId="0" xr:uid="{00000000-0006-0000-0300-000020000000}">
      <text>
        <r>
          <rPr>
            <sz val="10"/>
            <rFont val="Arial"/>
          </rPr>
          <t>reference:H61,H62,H63
mrs:(H61,+,10.0000)  (H62,+,10.0000)  (H63,+,10.0000)  
Rotate:True</t>
        </r>
      </text>
    </comment>
    <comment ref="J64" authorId="1" shapeId="0" xr:uid="{00000000-0006-0000-0300-000021000000}">
      <text>
        <r>
          <rPr>
            <sz val="10"/>
            <rFont val="Arial"/>
          </rPr>
          <t>reference:J61,J62,J63
mrs:(J61,+,10.0000)  (J62,+,10.0000)  (J63,+,10.0000)  
Rotate:True</t>
        </r>
      </text>
    </comment>
    <comment ref="D79" authorId="1" shapeId="0" xr:uid="{00000000-0006-0000-0300-000022000000}">
      <text>
        <r>
          <rPr>
            <sz val="10"/>
            <rFont val="Arial"/>
          </rPr>
          <t>reference:D66,D67,D68,D69,D70,D71,D72,D73,D74,D75,D76,D77,D78
mrs:(D66,+,10.0000)  (D67,+,10.0000)  (D68,+,10.0000)  (D69,+,10.0000)  (D70,+,10.0000)  (D71,+,10.0000)  (D72,+,10.0000)  (D73,+,10.0000)  (D74,+,10.0000)  (D75,+,10.0000)  (D76,+,10.0000)  (D77,+,10.0000)  (D78,+,10.0000)  
Rotate:True</t>
        </r>
      </text>
    </comment>
    <comment ref="F79" authorId="1" shapeId="0" xr:uid="{00000000-0006-0000-0300-000023000000}">
      <text>
        <r>
          <rPr>
            <sz val="10"/>
            <rFont val="Arial"/>
          </rPr>
          <t>reference:F66,F67,F68,F69,F70,F71,F72,F73,F74,F75,F76,F77,F78
mrs:(F66,+,10.0000)  (F67,+,10.0000)  (F68,+,10.0000)  (F69,+,10.0000)  (F70,+,10.0000)  (F71,+,10.0000)  (F72,+,10.0000)  (F73,+,10.0000)  (F74,+,10.0000)  (F75,+,10.0000)  (F76,+,10.0000)  (F77,+,10.0000)  (F78,+,10.0000)  
Rotate:True</t>
        </r>
      </text>
    </comment>
    <comment ref="G79" authorId="1" shapeId="0" xr:uid="{00000000-0006-0000-0300-000024000000}">
      <text>
        <r>
          <rPr>
            <sz val="10"/>
            <rFont val="Arial"/>
          </rPr>
          <t>reference:G66,G67,G68,G69,G70,G71,G72,G73,G74,G75,G76,G77,G78
mrs:(G66,+,10.0000)  (G67,+,10.0000)  (G68,+,10.0000)  (G69,+,10.0000)  (G70,+,10.0000)  (G71,+,10.0000)  (G72,+,10.0000)  (G73,+,10.0000)  (G74,+,10.0000)  (G75,+,10.0000)  (G76,+,10.0000)  (G77,+,10.0000)  (G78,+,10.0000)  
Rotate:True</t>
        </r>
      </text>
    </comment>
    <comment ref="H79" authorId="1" shapeId="0" xr:uid="{00000000-0006-0000-0300-000025000000}">
      <text>
        <r>
          <rPr>
            <sz val="10"/>
            <rFont val="Arial"/>
          </rPr>
          <t>reference:H66,H67,H68,H69,H70,H71,H72,H73,H74,H75,H76,H77,H78
mrs:(H66,+,10.0000)  (H67,+,10.0000)  (H68,+,10.0000)  (H69,+,10.0000)  (H70,+,10.0000)  (H71,+,10.0000)  (H72,+,10.0000)  (H73,+,10.0000)  (H74,+,10.0000)  (H75,+,10.0000)  (H76,+,10.0000)  (H77,+,10.0000)  (H78,+,10.0000)  
Rotate:True</t>
        </r>
      </text>
    </comment>
    <comment ref="J79" authorId="1" shapeId="0" xr:uid="{00000000-0006-0000-0300-000026000000}">
      <text>
        <r>
          <rPr>
            <sz val="10"/>
            <rFont val="Arial"/>
          </rPr>
          <t>reference:J66,J67,J68,J69,J70,J71,J72,J73,J74,J75,J76,J77,J78
mrs:(J66,+,10.0000)  (J67,+,10.0000)  (J68,+,10.0000)  (J69,+,10.0000)  (J70,+,10.0000)  (J71,+,10.0000)  (J72,+,10.0000)  (J73,+,10.0000)  (J74,+,10.0000)  (J75,+,10.0000)  (J76,+,10.0000)  (J77,+,10.0000)  (J78,+,10.0000)  
Rotate:True</t>
        </r>
      </text>
    </comment>
    <comment ref="D86" authorId="1" shapeId="0" xr:uid="{00000000-0006-0000-0300-000027000000}">
      <text>
        <r>
          <rPr>
            <sz val="10"/>
            <rFont val="Arial"/>
          </rPr>
          <t>reference:D82,D83,D84,D85
mrs:(D82,+,10.0000)  (D83,+,10.0000)  (D84,+,10.0000)  (D85,+,10.0000)  
Rotate:True</t>
        </r>
      </text>
    </comment>
    <comment ref="F86" authorId="1" shapeId="0" xr:uid="{00000000-0006-0000-0300-000028000000}">
      <text>
        <r>
          <rPr>
            <sz val="10"/>
            <rFont val="Arial"/>
          </rPr>
          <t>reference:F82,F83,F84,F85
mrs:(F82,+,10.0000)  (F83,+,10.0000)  (F84,+,10.0000)  (F85,+,10.0000)  
Rotate:True</t>
        </r>
      </text>
    </comment>
    <comment ref="G86" authorId="1" shapeId="0" xr:uid="{00000000-0006-0000-0300-000029000000}">
      <text>
        <r>
          <rPr>
            <sz val="10"/>
            <rFont val="Arial"/>
          </rPr>
          <t>reference:G82,G83,G84,G85
mrs:(G82,+,10.0000)  (G83,+,10.0000)  (G84,+,10.0000)  (G85,+,10.0000)  
Rotate:True</t>
        </r>
      </text>
    </comment>
    <comment ref="H86" authorId="1" shapeId="0" xr:uid="{00000000-0006-0000-0300-00002A000000}">
      <text>
        <r>
          <rPr>
            <sz val="10"/>
            <rFont val="Arial"/>
          </rPr>
          <t>reference:H82,H83,H84,H85
mrs:(H82,+,10.0000)  (H83,+,10.0000)  (H84,+,10.0000)  (H85,+,10.0000)  
Rotate:True</t>
        </r>
      </text>
    </comment>
    <comment ref="J86" authorId="1" shapeId="0" xr:uid="{00000000-0006-0000-0300-00002B000000}">
      <text>
        <r>
          <rPr>
            <sz val="10"/>
            <rFont val="Arial"/>
          </rPr>
          <t>reference:J82,J83,J84,J85
mrs:(J82,+,10.0000)  (J83,+,10.0000)  (J84,+,10.0000)  (J85,+,10.0000)  
Rotate:True</t>
        </r>
      </text>
    </comment>
    <comment ref="D98" authorId="1" shapeId="0" xr:uid="{00000000-0006-0000-0300-00002C000000}">
      <text>
        <r>
          <rPr>
            <sz val="10"/>
            <rFont val="Arial"/>
          </rPr>
          <t>reference:D86,D87,D88,D89,D90,D91,D92,D93,D94,D95,D96,D97
mrs:
forward:True
2.0:(D86:D97,)
add:D86:D97:12.0
Rotate:True</t>
        </r>
      </text>
    </comment>
    <comment ref="F98" authorId="1" shapeId="0" xr:uid="{00000000-0006-0000-0300-00002D000000}">
      <text>
        <r>
          <rPr>
            <sz val="10"/>
            <rFont val="Arial"/>
          </rPr>
          <t>reference:F86,F88,F89,F90,F91,F92,F93,F94,F95,F96,F97
mrs:(F86,+,10.0000)  (F88,+,10.0000)  (F89,+,10.0000)  (F90,+,10.0000)  (F91,+,10.0000)  (F92,+,10.0000)  (F93,+,10.0000)  (F94,+,10.0000)  (F95,+,10.0000)  (F96,+,10.0000)  (F97,+,10.0000)  
Rotate:True</t>
        </r>
      </text>
    </comment>
    <comment ref="G98" authorId="1" shapeId="0" xr:uid="{00000000-0006-0000-0300-00002E000000}">
      <text>
        <r>
          <rPr>
            <sz val="10"/>
            <rFont val="Arial"/>
          </rPr>
          <t>reference:G86,G88,G89,G90,G91,G92,G93,G94,G95,G96,G97
mrs:(G86,+,10.0000)  (G88,+,10.0000)  (G89,+,10.0000)  (G90,+,10.0000)  (G91,+,10.0000)  (G92,+,10.0000)  (G93,+,10.0000)  (G94,+,10.0000)  (G95,+,10.0000)  (G96,+,10.0000)  (G97,+,10.0000)  
Rotate:True</t>
        </r>
      </text>
    </comment>
    <comment ref="H98" authorId="1" shapeId="0" xr:uid="{00000000-0006-0000-0300-00002F000000}">
      <text>
        <r>
          <rPr>
            <sz val="10"/>
            <rFont val="Arial"/>
          </rPr>
          <t>reference:H86,H88,H89,H90,H91,H92,H93,H94,H95,H96,H97
mrs:(H86,+,10.0000)  (H88,+,10.0000)  (H89,+,10.0000)  (H90,+,10.0000)  (H91,+,10.0000)  (H92,+,10.0000)  (H93,+,10.0000)  (H94,+,10.0000)  (H95,+,10.0000)  (H96,+,10.0000)  (H97,+,10.0000)  
Rotate:True</t>
        </r>
      </text>
    </comment>
    <comment ref="J98" authorId="1" shapeId="0" xr:uid="{00000000-0006-0000-0300-000030000000}">
      <text>
        <r>
          <rPr>
            <sz val="10"/>
            <rFont val="Arial"/>
          </rPr>
          <t>reference:J86,J88,J89,J90,J91,J92,J93,J94,J95,J96,J97
mrs:(J86,+,10.0000)  (J88,+,10.0000)  (J89,+,10.0000)  (J90,+,10.0000)  (J91,+,10.0000)  (J92,+,10.0000)  (J93,+,10.0000)  (J94,+,10.0000)  (J95,+,10.0000)  (J96,+,10.0000)  (J97,+,10.0000)  
Rotate:True</t>
        </r>
      </text>
    </comment>
    <comment ref="D100" authorId="1" shapeId="0" xr:uid="{00000000-0006-0000-0300-000031000000}">
      <text>
        <r>
          <rPr>
            <sz val="10"/>
            <rFont val="Arial"/>
          </rPr>
          <t>reference:D50,D59,D79,D98
mrs:(D50,+,10.0000)  (D59,+,10.0000)  (D79,+,10.0000)  (D98,+,10.0000)  
Rotate:True</t>
        </r>
      </text>
    </comment>
    <comment ref="F100" authorId="1" shapeId="0" xr:uid="{00000000-0006-0000-0300-000032000000}">
      <text>
        <r>
          <rPr>
            <sz val="10"/>
            <rFont val="Arial"/>
          </rPr>
          <t>reference:F50,F59,F64,F79,F98
mrs:(F50,+,10.0000)  (F59,+,10.0000)  (F64,+,10.0000)  (F79,+,10.0000)  (F98,+,10.0000)  
Rotate:True</t>
        </r>
      </text>
    </comment>
    <comment ref="G100" authorId="1" shapeId="0" xr:uid="{00000000-0006-0000-0300-000033000000}">
      <text>
        <r>
          <rPr>
            <sz val="10"/>
            <rFont val="Arial"/>
          </rPr>
          <t>reference:G50,G59,G64,G79,G98
mrs:(G50,+,10.0000)  (G59,+,10.0000)  (G64,+,10.0000)  (G79,+,10.0000)  (G98,+,10.0000)  
Rotate:True</t>
        </r>
      </text>
    </comment>
    <comment ref="H100" authorId="1" shapeId="0" xr:uid="{00000000-0006-0000-0300-000034000000}">
      <text>
        <r>
          <rPr>
            <sz val="10"/>
            <rFont val="Arial"/>
          </rPr>
          <t>reference:H50,H59,H64,H79,H98
mrs:(H50,+,10.0000)  (H59,+,10.0000)  (H64,+,10.0000)  (H79,+,10.0000)  (H98,+,10.0000)  
Rotate:True</t>
        </r>
      </text>
    </comment>
    <comment ref="J100" authorId="1" shapeId="0" xr:uid="{00000000-0006-0000-0300-000035000000}">
      <text>
        <r>
          <rPr>
            <sz val="10"/>
            <rFont val="Arial"/>
          </rPr>
          <t>reference:J50,J59,J64,J79,J98
mrs:(J50,+,10.0000)  (J59,+,10.0000)  (J64,+,10.0000)  (J79,+,10.0000)  (J98,+,10.0000)  
Rotate:True</t>
        </r>
      </text>
    </comment>
    <comment ref="A102" authorId="1" shapeId="0" xr:uid="{00000000-0006-0000-0300-000036000000}">
      <text>
        <r>
          <rPr>
            <sz val="10"/>
            <rFont val="Arial"/>
          </rPr>
          <t>reference:A4
mrs:(A4,+,10.0000)  
Rotate:True</t>
        </r>
      </text>
    </comment>
    <comment ref="D107" authorId="1" shapeId="0" xr:uid="{00000000-0006-0000-0300-000037000000}">
      <text>
        <r>
          <rPr>
            <sz val="10"/>
            <rFont val="Arial"/>
          </rPr>
          <t>reference:D105,D106
mrs:(D105,+,10.0000)  (D106,+,10.0000)  
Rotate:True</t>
        </r>
      </text>
    </comment>
    <comment ref="F107" authorId="1" shapeId="0" xr:uid="{00000000-0006-0000-0300-000038000000}">
      <text>
        <r>
          <rPr>
            <sz val="10"/>
            <rFont val="Arial"/>
          </rPr>
          <t>reference:F105,F106
mrs:(F105,+,10.0000)  (F106,+,10.0000)  
Rotate:True</t>
        </r>
      </text>
    </comment>
    <comment ref="G107" authorId="1" shapeId="0" xr:uid="{00000000-0006-0000-0300-000039000000}">
      <text>
        <r>
          <rPr>
            <sz val="10"/>
            <rFont val="Arial"/>
          </rPr>
          <t>reference:G105,G106
mrs:(G105,+,10.0000)  (G106,+,10.0000)  
Rotate:True</t>
        </r>
      </text>
    </comment>
    <comment ref="H107" authorId="1" shapeId="0" xr:uid="{00000000-0006-0000-0300-00003A000000}">
      <text>
        <r>
          <rPr>
            <sz val="10"/>
            <rFont val="Arial"/>
          </rPr>
          <t>reference:H105,H106
mrs:(H105,+,10.0000)  (H106,+,10.0000)  
Rotate:True</t>
        </r>
      </text>
    </comment>
    <comment ref="J107" authorId="1" shapeId="0" xr:uid="{00000000-0006-0000-0300-00003B000000}">
      <text>
        <r>
          <rPr>
            <sz val="10"/>
            <rFont val="Arial"/>
          </rPr>
          <t>reference:J105,J106
mrs:(J105,+,10.0000)  (J106,+,10.0000)  
Rotate:True</t>
        </r>
      </text>
    </comment>
    <comment ref="D116" authorId="1" shapeId="0" xr:uid="{00000000-0006-0000-0300-00003C000000}">
      <text>
        <r>
          <rPr>
            <sz val="10"/>
            <rFont val="Arial"/>
          </rPr>
          <t>reference:D109,D110,D111,D112,D113,D114,D115
mrs:(D109,+,10.0000)  (D110,+,10.0000)  (D111,+,10.0000)  (D112,+,10.0000)  (D113,+,10.0000)  (D114,+,10.0000)  (D115,+,10.0000)  
Rotate:True</t>
        </r>
      </text>
    </comment>
    <comment ref="F116" authorId="1" shapeId="0" xr:uid="{00000000-0006-0000-0300-00003D000000}">
      <text>
        <r>
          <rPr>
            <sz val="10"/>
            <rFont val="Arial"/>
          </rPr>
          <t>reference:F109,F110,F111,F112,F113,F114,F115
mrs:(F109,+,10.0000)  (F110,+,10.0000)  (F111,+,10.0000)  (F112,+,10.0000)  (F113,+,10.0000)  (F114,+,10.0000)  (F115,+,10.0000)  
Rotate:True</t>
        </r>
      </text>
    </comment>
    <comment ref="G116" authorId="1" shapeId="0" xr:uid="{00000000-0006-0000-0300-00003E000000}">
      <text>
        <r>
          <rPr>
            <sz val="10"/>
            <rFont val="Arial"/>
          </rPr>
          <t>reference:G109,G110,G111,G112,G113,G114,G115
mrs:(G109,+,10.0000)  (G110,+,10.0000)  (G111,+,10.0000)  (G112,+,10.0000)  (G113,+,10.0000)  (G114,+,10.0000)  (G115,+,10.0000)  
Rotate:True</t>
        </r>
      </text>
    </comment>
    <comment ref="H116" authorId="1" shapeId="0" xr:uid="{00000000-0006-0000-0300-00003F000000}">
      <text>
        <r>
          <rPr>
            <sz val="10"/>
            <rFont val="Arial"/>
          </rPr>
          <t>reference:H109,H110,H111,H112,H113,H114,H115
mrs:(H109,+,10.0000)  (H110,+,10.0000)  (H111,+,10.0000)  (H112,+,10.0000)  (H113,+,10.0000)  (H114,+,10.0000)  (H115,+,10.0000)  
Rotate:True</t>
        </r>
      </text>
    </comment>
    <comment ref="J116" authorId="1" shapeId="0" xr:uid="{00000000-0006-0000-0300-000040000000}">
      <text>
        <r>
          <rPr>
            <sz val="10"/>
            <rFont val="Arial"/>
          </rPr>
          <t>reference:J109,J110,J111,J112,J113,J114,J115
mrs:(J109,+,10.0000)  (J110,+,10.0000)  (J111,+,10.0000)  (J112,+,10.0000)  (J113,+,10.0000)  (J114,+,10.0000)  (J115,+,10.0000)  
Rotate:True</t>
        </r>
      </text>
    </comment>
    <comment ref="D118" authorId="0" shapeId="0" xr:uid="{00000000-0006-0000-0300-000041000000}">
      <text>
        <r>
          <rPr>
            <sz val="10"/>
            <rFont val="Arial"/>
          </rPr>
          <t xml:space="preserve">Collard.KellY: Adjusted for $27million in CorpSoft accrued payroll included in a/p in June
</t>
        </r>
      </text>
    </comment>
    <comment ref="D126" authorId="1" shapeId="0" xr:uid="{00000000-0006-0000-0300-000042000000}">
      <text>
        <r>
          <rPr>
            <sz val="10"/>
            <rFont val="Arial"/>
          </rPr>
          <t>reference:D123,D124,D125
mrs:(D123,+,10.0000)  (D124,+,10.0000)  (D125,+,10.0000)  
Rotate:True</t>
        </r>
      </text>
    </comment>
    <comment ref="F126" authorId="1" shapeId="0" xr:uid="{00000000-0006-0000-0300-000043000000}">
      <text>
        <r>
          <rPr>
            <sz val="10"/>
            <rFont val="Arial"/>
          </rPr>
          <t>reference:F123,F124,F125
mrs:(F123,+,10.0000)  (F124,+,10.0000)  (F125,+,10.0000)  
Rotate:True</t>
        </r>
      </text>
    </comment>
    <comment ref="G126" authorId="1" shapeId="0" xr:uid="{00000000-0006-0000-0300-000044000000}">
      <text>
        <r>
          <rPr>
            <sz val="10"/>
            <rFont val="Arial"/>
          </rPr>
          <t>reference:G123,G124,G125
mrs:(G123,+,10.0000)  (G124,+,10.0000)  (G125,+,10.0000)  
Rotate:True</t>
        </r>
      </text>
    </comment>
    <comment ref="H126" authorId="1" shapeId="0" xr:uid="{00000000-0006-0000-0300-000045000000}">
      <text>
        <r>
          <rPr>
            <sz val="10"/>
            <rFont val="Arial"/>
          </rPr>
          <t>reference:H123,H124,H125
mrs:(H123,+,10.0000)  (H124,+,10.0000)  (H125,+,10.0000)  
Rotate:True</t>
        </r>
      </text>
    </comment>
    <comment ref="J126" authorId="1" shapeId="0" xr:uid="{00000000-0006-0000-0300-000046000000}">
      <text>
        <r>
          <rPr>
            <sz val="10"/>
            <rFont val="Arial"/>
          </rPr>
          <t>reference:J123,J124,J125
mrs:(J123,+,10.0000)  (J124,+,10.0000)  (J125,+,10.0000)  
Rotate:True</t>
        </r>
      </text>
    </comment>
    <comment ref="D148" authorId="1" shapeId="0" xr:uid="{00000000-0006-0000-0300-000047000000}">
      <text>
        <r>
          <rPr>
            <sz val="10"/>
            <rFont val="Arial"/>
          </rPr>
          <t>reference:D128,D129,D130,D131,D132,D133,D134,D135,D136,D137,D138,D139,D140,D141,D142,D143,D144,D145,D146,D147
mrs:(D128,+,10.0000)  (D129,+,10.0000)  (D130,+,10.0000)  (D131,+,10.0000)  (D132,+,10.0000)  (D133,+,10.0000)  (D134,+,10.0000)  (D135,+,10.0000)  (D136,+,10.0000)  (D137,+,10.0000)  (D138,+,10.0000)  (D139,+,10.0000)  (D140,+,10.0000)  (D141,+,10.0000)  (D142,+,10.0000)  (D143,+,10.0000)  (D144,+,10.0000)  (D145,+,10.0000)  (D146,+,10.0000)  (D147,+,10.0000)  
Rotate:True</t>
        </r>
      </text>
    </comment>
    <comment ref="F148" authorId="1" shapeId="0" xr:uid="{00000000-0006-0000-0300-000048000000}">
      <text>
        <r>
          <rPr>
            <sz val="10"/>
            <rFont val="Arial"/>
          </rPr>
          <t>reference:F128,F129,F130,F131,F132,F133,F134,F135,F136,F137,F138,F139,F140,F141,F142,F143,F144,F145,F146,F147
mrs:(F128,+,10.0000)  (F129,+,10.0000)  (F130,+,10.0000)  (F131,+,10.0000)  (F132,+,10.0000)  (F133,+,10.0000)  (F134,+,10.0000)  (F135,+,10.0000)  (F136,+,10.0000)  (F137,+,10.0000)  (F138,+,10.0000)  (F139,+,10.0000)  (F140,+,10.0000)  (F141,+,10.0000)  (F142,+,10.0000)  (F143,+,10.0000)  (F144,+,10.0000)  (F145,+,10.0000)  (F146,+,10.0000)  (F147,+,10.0000)  
Rotate:True</t>
        </r>
      </text>
    </comment>
    <comment ref="G148" authorId="1" shapeId="0" xr:uid="{00000000-0006-0000-0300-000049000000}">
      <text>
        <r>
          <rPr>
            <sz val="10"/>
            <rFont val="Arial"/>
          </rPr>
          <t>reference:G128,G129,G130,G131,G132,G133,G134,G135,G136,G137,G138,G139,G140,G141,G142,G143,G144,G145,G146,G147
mrs:(G128,+,10.0000)  (G129,+,10.0000)  (G130,+,10.0000)  (G131,+,10.0000)  (G132,+,10.0000)  (G133,+,10.0000)  (G134,+,10.0000)  (G135,+,10.0000)  (G136,+,10.0000)  (G137,+,10.0000)  (G138,+,10.0000)  (G139,+,10.0000)  (G140,+,10.0000)  (G141,+,10.0000)  (G142,+,10.0000)  (G143,+,10.0000)  (G144,+,10.0000)  (G145,+,10.0000)  (G146,+,10.0000)  (G147,+,10.0000)  
Rotate:True</t>
        </r>
      </text>
    </comment>
    <comment ref="H148" authorId="1" shapeId="0" xr:uid="{00000000-0006-0000-0300-00004A000000}">
      <text>
        <r>
          <rPr>
            <sz val="10"/>
            <rFont val="Arial"/>
          </rPr>
          <t>reference:H128,H129,H130,H131,H132,H133,H134,H135,H136,H137,H138,H139,H140,H141,H142,H143,H144,H145,H146,H147
mrs:(H128,+,10.0000)  (H129,+,10.0000)  (H130,+,10.0000)  (H131,+,10.0000)  (H132,+,10.0000)  (H133,+,10.0000)  (H134,+,10.0000)  (H135,+,10.0000)  (H136,+,10.0000)  (H137,+,10.0000)  (H138,+,10.0000)  (H139,+,10.0000)  (H140,+,10.0000)  (H141,+,10.0000)  (H142,+,10.0000)  (H143,+,10.0000)  (H144,+,10.0000)  (H145,+,10.0000)  (H146,+,10.0000)  (H147,+,10.0000)  
Rotate:True</t>
        </r>
      </text>
    </comment>
    <comment ref="J148" authorId="1" shapeId="0" xr:uid="{00000000-0006-0000-0300-00004B000000}">
      <text>
        <r>
          <rPr>
            <sz val="10"/>
            <rFont val="Arial"/>
          </rPr>
          <t>reference:J128,J129,J130,J131,J132,J133,J134,J135,J136,J137,J138,J139,J140,J141,J142,J143,J144,J145,J146,J147
mrs:(J128,+,10.0000)  (J129,+,10.0000)  (J130,+,10.0000)  (J131,+,10.0000)  (J132,+,10.0000)  (J133,+,10.0000)  (J134,+,10.0000)  (J135,+,10.0000)  (J136,+,10.0000)  (J137,+,10.0000)  (J138,+,10.0000)  (J139,+,10.0000)  (J140,+,10.0000)  (J141,+,10.0000)  (J142,+,10.0000)  (J143,+,10.0000)  (J144,+,10.0000)  (J145,+,10.0000)  (J146,+,10.0000)  (J147,+,10.0000)  
Rotate:True</t>
        </r>
      </text>
    </comment>
    <comment ref="D150" authorId="1" shapeId="0" xr:uid="{00000000-0006-0000-0300-00004C000000}">
      <text>
        <r>
          <rPr>
            <sz val="10"/>
            <rFont val="Arial"/>
          </rPr>
          <t>reference:D107,D116,D118,D120,D126,D148
mrs:(D107,+,10.0000)  (D116,+,10.0000)  (D118,+,10.0000)  (D120,+,10.0000)  (D126,+,10.0000)  (D148,+,10.0000)  
Rotate:True</t>
        </r>
      </text>
    </comment>
    <comment ref="F150" authorId="1" shapeId="0" xr:uid="{00000000-0006-0000-0300-00004D000000}">
      <text>
        <r>
          <rPr>
            <sz val="10"/>
            <rFont val="Arial"/>
          </rPr>
          <t>reference:F107,F116,F118,F120,F126,F148
mrs:(F107,+,10.0000)  (F116,+,10.0000)  (F118,+,10.0000)  (F120,+,10.0000)  (F126,+,10.0000)  (F148,+,10.0000)  
Rotate:True</t>
        </r>
      </text>
    </comment>
    <comment ref="G150" authorId="1" shapeId="0" xr:uid="{00000000-0006-0000-0300-00004E000000}">
      <text>
        <r>
          <rPr>
            <sz val="10"/>
            <rFont val="Arial"/>
          </rPr>
          <t>reference:G107,G116,G118,G120,G126,G148
mrs:(G107,+,10.0000)  (G116,+,10.0000)  (G118,+,10.0000)  (G120,+,10.0000)  (G126,+,10.0000)  (G148,+,10.0000)  
Rotate:True</t>
        </r>
      </text>
    </comment>
    <comment ref="H150" authorId="1" shapeId="0" xr:uid="{00000000-0006-0000-0300-00004F000000}">
      <text>
        <r>
          <rPr>
            <sz val="10"/>
            <rFont val="Arial"/>
          </rPr>
          <t>reference:H107,H116,H118,H120,H126,H148
mrs:(H107,+,10.0000)  (H116,+,10.0000)  (H118,+,10.0000)  (H120,+,10.0000)  (H126,+,10.0000)  (H148,+,10.0000)  
Rotate:True</t>
        </r>
      </text>
    </comment>
    <comment ref="J150" authorId="1" shapeId="0" xr:uid="{00000000-0006-0000-0300-000050000000}">
      <text>
        <r>
          <rPr>
            <sz val="10"/>
            <rFont val="Arial"/>
          </rPr>
          <t>reference:J107,J116,J118,J120,J126,J148
mrs:(J107,+,10.0000)  (J116,+,10.0000)  (J118,+,10.0000)  (J120,+,10.0000)  (J126,+,10.0000)  (J148,+,10.0000)  
Rotate:True</t>
        </r>
      </text>
    </comment>
    <comment ref="D169" authorId="1" shapeId="0" xr:uid="{00000000-0006-0000-0300-000051000000}">
      <text>
        <r>
          <rPr>
            <sz val="10"/>
            <rFont val="Arial"/>
          </rPr>
          <t>reference:D153,D154,D155,D156,D157,D158,D159,D160,D161,D162,D163,D164,D165,D166,D167,D168
mrs:(D153,+,10.0000)  (D154,+,10.0000)  (D155,+,10.0000)  (D156,+,10.0000)  (D157,+,10.0000)  (D158,+,10.0000)  (D159,+,10.0000)  (D160,+,10.0000)  (D161,+,10.0000)  (D162,+,10.0000)  (D163,+,10.0000)  (D164,+,10.0000)  (D165,+,10.0000)  (D166,+,10.0000)  (D167,+,10.0000)  (D168,+,10.0000)  
Rotate:True</t>
        </r>
      </text>
    </comment>
    <comment ref="F169" authorId="1" shapeId="0" xr:uid="{00000000-0006-0000-0300-000052000000}">
      <text>
        <r>
          <rPr>
            <sz val="10"/>
            <rFont val="Arial"/>
          </rPr>
          <t>reference:F153,F154,F155,F156,F157,F158,F159,F160,F161,F162,F163,F164,F165,F166,F167,F168
mrs:(F153,+,10.0000)  (F154,+,10.0000)  (F155,+,10.0000)  (F156,+,10.0000)  (F157,+,10.0000)  (F158,+,10.0000)  (F159,+,10.0000)  (F160,+,10.0000)  (F161,+,10.0000)  (F162,+,10.0000)  (F163,+,10.0000)  (F164,+,10.0000)  (F165,+,10.0000)  (F166,+,10.0000)  (F167,+,10.0000)  (F168,+,10.0000)  
Rotate:True</t>
        </r>
      </text>
    </comment>
    <comment ref="G169" authorId="1" shapeId="0" xr:uid="{00000000-0006-0000-0300-000053000000}">
      <text>
        <r>
          <rPr>
            <sz val="10"/>
            <rFont val="Arial"/>
          </rPr>
          <t>reference:G153,G154,G155,G156,G157,G158,G159,G160,G161,G162,G163,G164,G165,G166,G167,G168
mrs:(G153,+,10.0000)  (G154,+,10.0000)  (G155,+,10.0000)  (G156,+,10.0000)  (G157,+,10.0000)  (G158,+,10.0000)  (G159,+,10.0000)  (G160,+,10.0000)  (G161,+,10.0000)  (G162,+,10.0000)  (G163,+,10.0000)  (G164,+,10.0000)  (G165,+,10.0000)  (G166,+,10.0000)  (G167,+,10.0000)  (G168,+,10.0000)  
Rotate:True</t>
        </r>
      </text>
    </comment>
    <comment ref="H169" authorId="1" shapeId="0" xr:uid="{00000000-0006-0000-0300-000054000000}">
      <text>
        <r>
          <rPr>
            <sz val="10"/>
            <rFont val="Arial"/>
          </rPr>
          <t>reference:H153,H154,H155,H156,H157,H158,H159,H160,H161,H162,H163,H164,H165,H166,H167,H168
mrs:(H153,+,10.0000)  (H154,+,10.0000)  (H155,+,10.0000)  (H156,+,10.0000)  (H157,+,10.0000)  (H158,+,10.0000)  (H159,+,10.0000)  (H160,+,10.0000)  (H161,+,10.0000)  (H162,+,10.0000)  (H163,+,10.0000)  (H164,+,10.0000)  (H165,+,10.0000)  (H166,+,10.0000)  (H167,+,10.0000)  (H168,+,10.0000)  
Rotate:True</t>
        </r>
      </text>
    </comment>
    <comment ref="J169" authorId="1" shapeId="0" xr:uid="{00000000-0006-0000-0300-000055000000}">
      <text>
        <r>
          <rPr>
            <sz val="10"/>
            <rFont val="Arial"/>
          </rPr>
          <t>reference:J153,J154,J155,J156,J157,J158,J159,J160,J161,J162,J163,J164,J165,J166,J167,J168
mrs:(J153,+,10.0000)  (J154,+,10.0000)  (J155,+,10.0000)  (J156,+,10.0000)  (J157,+,10.0000)  (J158,+,10.0000)  (J159,+,10.0000)  (J160,+,10.0000)  (J161,+,10.0000)  (J162,+,10.0000)  (J163,+,10.0000)  (J164,+,10.0000)  (J165,+,10.0000)  (J166,+,10.0000)  (J167,+,10.0000)  (J168,+,10.0000)  
Rotate:True</t>
        </r>
      </text>
    </comment>
    <comment ref="D176" authorId="1" shapeId="0" xr:uid="{00000000-0006-0000-0300-000056000000}">
      <text>
        <r>
          <rPr>
            <sz val="10"/>
            <rFont val="Arial"/>
          </rPr>
          <t>reference:D172,D173,D174,D175
mrs:(D172,+,10.0000)  (D173,+,10.0000)  (D174,+,10.0000)  (D175,+,10.0000)  
Rotate:True</t>
        </r>
      </text>
    </comment>
    <comment ref="F176" authorId="1" shapeId="0" xr:uid="{00000000-0006-0000-0300-000057000000}">
      <text>
        <r>
          <rPr>
            <sz val="10"/>
            <rFont val="Arial"/>
          </rPr>
          <t>reference:F172,F173,F174,F175
mrs:(F172,+,10.0000)  (F173,+,10.0000)  (F174,+,10.0000)  (F175,+,10.0000)  
Rotate:True</t>
        </r>
      </text>
    </comment>
    <comment ref="G176" authorId="1" shapeId="0" xr:uid="{00000000-0006-0000-0300-000058000000}">
      <text>
        <r>
          <rPr>
            <sz val="10"/>
            <rFont val="Arial"/>
          </rPr>
          <t>reference:G172,G173,G174,G175
mrs:(G172,+,10.0000)  (G173,+,10.0000)  (G174,+,10.0000)  (G175,+,10.0000)  
Rotate:True</t>
        </r>
      </text>
    </comment>
    <comment ref="H176" authorId="1" shapeId="0" xr:uid="{00000000-0006-0000-0300-000059000000}">
      <text>
        <r>
          <rPr>
            <sz val="10"/>
            <rFont val="Arial"/>
          </rPr>
          <t>reference:H172,H173,H174,H175
mrs:(H172,+,10.0000)  (H173,+,10.0000)  (H174,+,10.0000)  (H175,+,10.0000)  
Rotate:True</t>
        </r>
      </text>
    </comment>
    <comment ref="J176" authorId="1" shapeId="0" xr:uid="{00000000-0006-0000-0300-00005A000000}">
      <text>
        <r>
          <rPr>
            <sz val="10"/>
            <rFont val="Arial"/>
          </rPr>
          <t>reference:J172,J173,J174,J175
mrs:(J172,+,10.0000)  (J173,+,10.0000)  (J174,+,10.0000)  (J175,+,10.0000)  
Rotate:True</t>
        </r>
      </text>
    </comment>
    <comment ref="D197" authorId="1" shapeId="0" xr:uid="{00000000-0006-0000-0300-00005B000000}">
      <text>
        <r>
          <rPr>
            <sz val="10"/>
            <rFont val="Arial"/>
          </rPr>
          <t>reference:D181,D182,D183,D184,D185,D186,D187,D188,D189,D190,D191,D192,D193,D194,D195,D196
mrs:(D181,+,10.0000)  (D182,+,10.0000)  (D183,+,10.0000)  (D184,+,10.0000)  (D185,+,10.0000)  (D186,+,10.0000)  (D187,+,10.0000)  (D188,+,10.0000)  (D189,+,10.0000)  (D190,+,10.0000)  (D191,+,10.0000)  (D192,+,10.0000)  (D193,+,10.0000)  (D194,+,10.0000)  (D195,+,10.0000)  (D196,+,10.0000)  
Rotate:True</t>
        </r>
      </text>
    </comment>
    <comment ref="F197" authorId="1" shapeId="0" xr:uid="{00000000-0006-0000-0300-00005C000000}">
      <text>
        <r>
          <rPr>
            <sz val="10"/>
            <rFont val="Arial"/>
          </rPr>
          <t>reference:F181,F182,F183,F184,F185,F186,F187,F188,F189,F190,F191,F192,F193,F194,F195,F196
mrs:(F181,+,10.0000)  (F182,+,10.0000)  (F183,+,10.0000)  (F184,+,10.0000)  (F185,+,10.0000)  (F186,+,10.0000)  (F187,+,10.0000)  (F188,+,10.0000)  (F189,+,10.0000)  (F190,+,10.0000)  (F191,+,10.0000)  (F192,+,10.0000)  (F193,+,10.0000)  (F194,+,10.0000)  (F195,+,10.0000)  (F196,+,10.0000)  
Rotate:True</t>
        </r>
      </text>
    </comment>
    <comment ref="G197" authorId="1" shapeId="0" xr:uid="{00000000-0006-0000-0300-00005D000000}">
      <text>
        <r>
          <rPr>
            <sz val="10"/>
            <rFont val="Arial"/>
          </rPr>
          <t>reference:G181,G182,G183,G184,G185,G186,G187,G188,G189,G190,G191,G192,G193,G194,G195,G196
mrs:(G181,+,10.0000)  (G182,+,10.0000)  (G183,+,10.0000)  (G184,+,10.0000)  (G185,+,10.0000)  (G186,+,10.0000)  (G187,+,10.0000)  (G188,+,10.0000)  (G189,+,10.0000)  (G190,+,10.0000)  (G191,+,10.0000)  (G192,+,10.0000)  (G193,+,10.0000)  (G194,+,10.0000)  (G195,+,10.0000)  (G196,+,10.0000)  
Rotate:True</t>
        </r>
      </text>
    </comment>
    <comment ref="H197" authorId="1" shapeId="0" xr:uid="{00000000-0006-0000-0300-00005E000000}">
      <text>
        <r>
          <rPr>
            <sz val="10"/>
            <rFont val="Arial"/>
          </rPr>
          <t>reference:H181,H182,H183,H184,H185,H186,H187,H188,H189,H190,H191,H192,H193,H194,H195,H196
mrs:(H181,+,10.0000)  (H182,+,10.0000)  (H183,+,10.0000)  (H184,+,10.0000)  (H185,+,10.0000)  (H186,+,10.0000)  (H187,+,10.0000)  (H188,+,10.0000)  (H189,+,10.0000)  (H190,+,10.0000)  (H191,+,10.0000)  (H192,+,10.0000)  (H193,+,10.0000)  (H194,+,10.0000)  (H195,+,10.0000)  (H196,+,10.0000)  
Rotate:True</t>
        </r>
      </text>
    </comment>
    <comment ref="J197" authorId="1" shapeId="0" xr:uid="{00000000-0006-0000-0300-00005F000000}">
      <text>
        <r>
          <rPr>
            <sz val="10"/>
            <rFont val="Arial"/>
          </rPr>
          <t>reference:J181,J182,J183,J184,J185,J186,J187,J188,J189,J190,J191,J192,J193,J194,J195,J196
mrs:(J181,+,10.0000)  (J182,+,10.0000)  (J183,+,10.0000)  (J184,+,10.0000)  (J185,+,10.0000)  (J186,+,10.0000)  (J187,+,10.0000)  (J188,+,10.0000)  (J189,+,10.0000)  (J190,+,10.0000)  (J191,+,10.0000)  (J192,+,10.0000)  (J193,+,10.0000)  (J194,+,10.0000)  (J195,+,10.0000)  (J196,+,10.0000)  
Rotate:True</t>
        </r>
      </text>
    </comment>
    <comment ref="D199" authorId="1" shapeId="0" xr:uid="{00000000-0006-0000-0300-000060000000}">
      <text>
        <r>
          <rPr>
            <sz val="10"/>
            <rFont val="Arial"/>
          </rPr>
          <t>reference:D150,D169,D176,D178,D197
mrs:(D150,+,10.0000)  (D169,+,10.0000)  (D176,+,10.0000)  (D178,+,10.0000)  (D197,+,10.0000)  
Rotate:True</t>
        </r>
      </text>
    </comment>
    <comment ref="F199" authorId="1" shapeId="0" xr:uid="{00000000-0006-0000-0300-000061000000}">
      <text>
        <r>
          <rPr>
            <sz val="10"/>
            <rFont val="Arial"/>
          </rPr>
          <t>reference:F150,F169,F176,F178,F197
mrs:(F150,+,10.0000)  (F169,+,10.0000)  (F176,+,10.0000)  (F178,+,10.0000)  (F197,+,10.0000)  
Rotate:True</t>
        </r>
      </text>
    </comment>
    <comment ref="G199" authorId="1" shapeId="0" xr:uid="{00000000-0006-0000-0300-000062000000}">
      <text>
        <r>
          <rPr>
            <sz val="10"/>
            <rFont val="Arial"/>
          </rPr>
          <t>reference:G150,G169,G176,G178,G197
mrs:(G150,+,10.0000)  (G169,+,10.0000)  (G176,+,10.0000)  (G178,+,10.0000)  (G197,+,10.0000)  
Rotate:True</t>
        </r>
      </text>
    </comment>
    <comment ref="H199" authorId="1" shapeId="0" xr:uid="{00000000-0006-0000-0300-000063000000}">
      <text>
        <r>
          <rPr>
            <sz val="10"/>
            <rFont val="Arial"/>
          </rPr>
          <t>reference:H150,H169,H176,H178,H197
mrs:(H150,+,10.0000)  (H169,+,10.0000)  (H176,+,10.0000)  (H178,+,10.0000)  (H197,+,10.0000)  
Rotate:True</t>
        </r>
      </text>
    </comment>
    <comment ref="J199" authorId="1" shapeId="0" xr:uid="{00000000-0006-0000-0300-000064000000}">
      <text>
        <r>
          <rPr>
            <sz val="10"/>
            <rFont val="Arial"/>
          </rPr>
          <t>reference:J150,J169,J176,J178,J197
mrs:(J150,+,10.0000)  (J169,+,10.0000)  (J176,+,10.0000)  (J178,+,10.0000)  (J197,+,10.0000)  
Rotate:True</t>
        </r>
      </text>
    </comment>
    <comment ref="D203" authorId="1" shapeId="0" xr:uid="{00000000-0006-0000-0300-000065000000}">
      <text>
        <r>
          <rPr>
            <sz val="10"/>
            <rFont val="Arial"/>
          </rPr>
          <t>reference:D199,D200,D201
mrs:(D199,+,10.0000)  (D200,+,10.0000)  (D201,+,10.0000)  
Rotate:True</t>
        </r>
      </text>
    </comment>
    <comment ref="F203" authorId="1" shapeId="0" xr:uid="{00000000-0006-0000-0300-000066000000}">
      <text>
        <r>
          <rPr>
            <sz val="10"/>
            <rFont val="Arial"/>
          </rPr>
          <t>reference:F199,F200,F201
mrs:(F199,+,10.0000)  (F200,+,10.0000)  (F201,+,10.0000)  
Rotate:True</t>
        </r>
      </text>
    </comment>
    <comment ref="G203" authorId="1" shapeId="0" xr:uid="{00000000-0006-0000-0300-000067000000}">
      <text>
        <r>
          <rPr>
            <sz val="10"/>
            <rFont val="Arial"/>
          </rPr>
          <t>reference:G199,G200,G201
mrs:(G199,+,10.0000)  (G200,+,10.0000)  (G201,+,10.0000)  
Rotate:True</t>
        </r>
      </text>
    </comment>
    <comment ref="H203" authorId="1" shapeId="0" xr:uid="{00000000-0006-0000-0300-000068000000}">
      <text>
        <r>
          <rPr>
            <sz val="10"/>
            <rFont val="Arial"/>
          </rPr>
          <t>reference:H199,H200,H201
mrs:(H199,+,10.0000)  (H200,+,10.0000)  (H201,+,10.0000)  
Rotate:True</t>
        </r>
      </text>
    </comment>
    <comment ref="J203" authorId="1" shapeId="0" xr:uid="{00000000-0006-0000-0300-000069000000}">
      <text>
        <r>
          <rPr>
            <sz val="10"/>
            <rFont val="Arial"/>
          </rPr>
          <t>reference:J199,J200,J201
mrs:(J199,+,10.0000)  (J200,+,10.0000)  (J201,+,10.0000)  
Rotate:True</t>
        </r>
      </text>
    </comment>
    <comment ref="D204" authorId="1" shapeId="0" xr:uid="{00000000-0006-0000-0300-00006A000000}">
      <text>
        <r>
          <rPr>
            <sz val="10"/>
            <rFont val="Arial"/>
          </rPr>
          <t>reference:D100,D203
mrs:(D100,+,-10.0000)  (D203,+,10.0000)  
Rotate:True</t>
        </r>
      </text>
    </comment>
    <comment ref="F204" authorId="1" shapeId="0" xr:uid="{00000000-0006-0000-0300-00006B000000}">
      <text>
        <r>
          <rPr>
            <sz val="10"/>
            <rFont val="Arial"/>
          </rPr>
          <t>reference:F100,F203
mrs:(F100,+,-10.0000)  (F203,+,10.0000)  
Rotate:True</t>
        </r>
      </text>
    </comment>
    <comment ref="G204" authorId="1" shapeId="0" xr:uid="{00000000-0006-0000-0300-00006C000000}">
      <text>
        <r>
          <rPr>
            <sz val="10"/>
            <rFont val="Arial"/>
          </rPr>
          <t>reference:G100,G203
mrs:(G100,+,-10.0000)  (G203,+,10.0000)  
Rotate:True</t>
        </r>
      </text>
    </comment>
    <comment ref="H204" authorId="1" shapeId="0" xr:uid="{00000000-0006-0000-0300-00006D000000}">
      <text>
        <r>
          <rPr>
            <sz val="10"/>
            <rFont val="Arial"/>
          </rPr>
          <t>reference:H100,H203
mrs:(H100,+,-10.0000)  (H203,+,10.0000)  
Rotate:True</t>
        </r>
      </text>
    </comment>
    <comment ref="J204" authorId="1" shapeId="0" xr:uid="{00000000-0006-0000-0300-00006E000000}">
      <text>
        <r>
          <rPr>
            <sz val="10"/>
            <rFont val="Arial"/>
          </rPr>
          <t>reference:J100,J203
mrs:(J100,+,-10.0000)  (J203,+,10.0000)  
Rotate:True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G11" authorId="0" shapeId="0" xr:uid="{00000000-0006-0000-0400-000001000000}">
      <text>
        <r>
          <rPr>
            <sz val="10"/>
            <rFont val="Arial"/>
          </rPr>
          <t>reference:D11,E11
mrs:(D11,+,10.0000)  (E11,+,10.0000)  
Rotate:True</t>
        </r>
      </text>
    </comment>
    <comment ref="G12" authorId="0" shapeId="0" xr:uid="{00000000-0006-0000-0400-000002000000}">
      <text>
        <r>
          <rPr>
            <sz val="10"/>
            <rFont val="Arial"/>
          </rPr>
          <t>reference:D12,E12
mrs:(D12,+,10.0000)  (E12,+,10.0000)  
Rotate:True</t>
        </r>
      </text>
    </comment>
    <comment ref="G13" authorId="0" shapeId="0" xr:uid="{00000000-0006-0000-0400-000003000000}">
      <text>
        <r>
          <rPr>
            <sz val="10"/>
            <rFont val="Arial"/>
          </rPr>
          <t>reference:D13,E13
mrs:(D13,+,10.0000)  (E13,+,10.0000)  
Rotate:True</t>
        </r>
      </text>
    </comment>
    <comment ref="D14" authorId="0" shapeId="0" xr:uid="{00000000-0006-0000-0400-000004000000}">
      <text>
        <r>
          <rPr>
            <sz val="10"/>
            <rFont val="Arial"/>
          </rPr>
          <t>reference:D11,D12,D13
mrs:(D11,+,10.0000)  (D12,+,10.0000)  (D13,+,10.0000)  
Rotate:True</t>
        </r>
      </text>
    </comment>
    <comment ref="E14" authorId="0" shapeId="0" xr:uid="{00000000-0006-0000-0400-000005000000}">
      <text>
        <r>
          <rPr>
            <sz val="10"/>
            <rFont val="Arial"/>
          </rPr>
          <t>reference:E11,E12,E13
mrs:(E11,+,10.0000)  (E12,+,10.0000)  (E13,+,10.0000)  
Rotate:True</t>
        </r>
      </text>
    </comment>
    <comment ref="G14" authorId="0" shapeId="0" xr:uid="{00000000-0006-0000-0400-000006000000}">
      <text>
        <r>
          <rPr>
            <sz val="10"/>
            <rFont val="Arial"/>
          </rPr>
          <t>reference:D14,E14
mrs:(D14,+,10.0000)  (E14,+,10.0000)  
Rotate:True</t>
        </r>
      </text>
    </comment>
    <comment ref="H14" authorId="0" shapeId="0" xr:uid="{00000000-0006-0000-0400-000007000000}">
      <text>
        <r>
          <rPr>
            <sz val="10"/>
            <rFont val="Arial"/>
          </rPr>
          <t>reference:H11,H12
mrs:(H11,+,10.0000)  (H12,+,10.0000)  
Rotate:True</t>
        </r>
      </text>
    </comment>
    <comment ref="I14" authorId="0" shapeId="0" xr:uid="{00000000-0006-0000-0400-000008000000}">
      <text>
        <r>
          <rPr>
            <sz val="10"/>
            <rFont val="Arial"/>
          </rPr>
          <t>reference:I11,I12
mrs:(I11,+,10.0000)  (I12,+,10.0000)  
Rotate:True</t>
        </r>
      </text>
    </comment>
    <comment ref="G16" authorId="0" shapeId="0" xr:uid="{00000000-0006-0000-0400-000009000000}">
      <text>
        <r>
          <rPr>
            <sz val="10"/>
            <rFont val="Arial"/>
          </rPr>
          <t>reference:D16,E16
mrs:(D16,+,10.0000)  (E16,+,10.0000)  
Rotate:True</t>
        </r>
      </text>
    </comment>
    <comment ref="G17" authorId="0" shapeId="0" xr:uid="{00000000-0006-0000-0400-00000A000000}">
      <text>
        <r>
          <rPr>
            <sz val="10"/>
            <rFont val="Arial"/>
          </rPr>
          <t>reference:D17,E17
mrs:(D17,+,10.0000)  (E17,+,10.0000)  
Rotate:True</t>
        </r>
      </text>
    </comment>
    <comment ref="G18" authorId="0" shapeId="0" xr:uid="{00000000-0006-0000-0400-00000B000000}">
      <text>
        <r>
          <rPr>
            <sz val="10"/>
            <rFont val="Arial"/>
          </rPr>
          <t>reference:D18,E18
mrs:(D18,+,10.0000)  (E18,+,10.0000)  
Rotate:True</t>
        </r>
      </text>
    </comment>
    <comment ref="G19" authorId="0" shapeId="0" xr:uid="{00000000-0006-0000-0400-00000C000000}">
      <text>
        <r>
          <rPr>
            <sz val="10"/>
            <rFont val="Arial"/>
          </rPr>
          <t>reference:D19,E19
mrs:(D19,+,10.0000)  (E19,+,10.0000)  
Rotate:True</t>
        </r>
      </text>
    </comment>
    <comment ref="G20" authorId="0" shapeId="0" xr:uid="{00000000-0006-0000-0400-00000D000000}">
      <text>
        <r>
          <rPr>
            <sz val="10"/>
            <rFont val="Arial"/>
          </rPr>
          <t>reference:D20,E20
mrs:(D20,+,10.0000)  (E20,+,10.0000)  
Rotate:True</t>
        </r>
      </text>
    </comment>
    <comment ref="G21" authorId="0" shapeId="0" xr:uid="{00000000-0006-0000-0400-00000E000000}">
      <text>
        <r>
          <rPr>
            <sz val="10"/>
            <rFont val="Arial"/>
          </rPr>
          <t>reference:D21,E21
mrs:(D21,+,10.0000)  (E21,+,10.0000)  
Rotate:True</t>
        </r>
      </text>
    </comment>
    <comment ref="G22" authorId="0" shapeId="0" xr:uid="{00000000-0006-0000-0400-00000F000000}">
      <text>
        <r>
          <rPr>
            <sz val="10"/>
            <rFont val="Arial"/>
          </rPr>
          <t>reference:D22,E22
mrs:(D22,+,10.0000)  (E22,+,10.0000)  
Rotate:True</t>
        </r>
      </text>
    </comment>
    <comment ref="G23" authorId="0" shapeId="0" xr:uid="{00000000-0006-0000-0400-000010000000}">
      <text>
        <r>
          <rPr>
            <sz val="10"/>
            <rFont val="Arial"/>
          </rPr>
          <t>reference:D23,E23
mrs:(D23,+,10.0000)  (E23,+,10.0000)  
Rotate:True</t>
        </r>
      </text>
    </comment>
    <comment ref="G24" authorId="0" shapeId="0" xr:uid="{00000000-0006-0000-0400-000011000000}">
      <text>
        <r>
          <rPr>
            <sz val="10"/>
            <rFont val="Arial"/>
          </rPr>
          <t>reference:D24,E24
mrs:(D24,+,10.0000)  (E24,+,10.0000)  
Rotate:True</t>
        </r>
      </text>
    </comment>
    <comment ref="G25" authorId="0" shapeId="0" xr:uid="{00000000-0006-0000-0400-000012000000}">
      <text>
        <r>
          <rPr>
            <sz val="10"/>
            <rFont val="Arial"/>
          </rPr>
          <t>reference:D25,E25
mrs:(D25,+,10.0000)  (E25,+,10.0000)  
Rotate:True</t>
        </r>
      </text>
    </comment>
    <comment ref="G26" authorId="0" shapeId="0" xr:uid="{00000000-0006-0000-0400-000013000000}">
      <text>
        <r>
          <rPr>
            <sz val="10"/>
            <rFont val="Arial"/>
          </rPr>
          <t>reference:D26,E26
mrs:(D26,+,10.0000)  (E26,+,10.0000)  
Rotate:True</t>
        </r>
      </text>
    </comment>
    <comment ref="G27" authorId="0" shapeId="0" xr:uid="{00000000-0006-0000-0400-000014000000}">
      <text>
        <r>
          <rPr>
            <sz val="10"/>
            <rFont val="Arial"/>
          </rPr>
          <t>reference:D27,E27
mrs:(D27,+,10.0000)  (E27,+,10.0000)  
Rotate:True</t>
        </r>
      </text>
    </comment>
    <comment ref="G29" authorId="0" shapeId="0" xr:uid="{00000000-0006-0000-0400-000015000000}">
      <text>
        <r>
          <rPr>
            <sz val="10"/>
            <rFont val="Arial"/>
          </rPr>
          <t>reference:D29,E29
mrs:(D29,+,10.0000)  (E29,+,10.0000)  
Rotate:True</t>
        </r>
      </text>
    </comment>
    <comment ref="G30" authorId="0" shapeId="0" xr:uid="{00000000-0006-0000-0400-000016000000}">
      <text>
        <r>
          <rPr>
            <sz val="10"/>
            <rFont val="Arial"/>
          </rPr>
          <t>reference:D30,E30
mrs:(D30,+,10.0000)  (E30,+,10.0000)  
Rotate:True</t>
        </r>
      </text>
    </comment>
    <comment ref="G31" authorId="0" shapeId="0" xr:uid="{00000000-0006-0000-0400-000017000000}">
      <text>
        <r>
          <rPr>
            <sz val="10"/>
            <rFont val="Arial"/>
          </rPr>
          <t>reference:D31,E31
mrs:(D31,+,10.0000)  (E31,+,10.0000)  
Rotate:True</t>
        </r>
      </text>
    </comment>
    <comment ref="G32" authorId="0" shapeId="0" xr:uid="{00000000-0006-0000-0400-000018000000}">
      <text>
        <r>
          <rPr>
            <sz val="10"/>
            <rFont val="Arial"/>
          </rPr>
          <t>reference:D32,E32
mrs:(D32,+,10.0000)  (E32,+,10.0000)  
Rotate:True</t>
        </r>
      </text>
    </comment>
    <comment ref="G33" authorId="0" shapeId="0" xr:uid="{00000000-0006-0000-0400-000019000000}">
      <text>
        <r>
          <rPr>
            <sz val="10"/>
            <rFont val="Arial"/>
          </rPr>
          <t>reference:D33,E33
mrs:(D33,+,10.0000)  (E33,+,10.0000)  
Rotate:True</t>
        </r>
      </text>
    </comment>
    <comment ref="D34" authorId="0" shapeId="0" xr:uid="{00000000-0006-0000-0400-00001A000000}">
      <text>
        <r>
          <rPr>
            <sz val="10"/>
            <rFont val="Arial"/>
          </rPr>
          <t>reference:D14,D15,D16,D17,D18,D19,D20,D21,D22,D23,D24,D25,D26,D27,D28,D29,D30,D31,D32,D33
mrs:(D14,+,10.0000)  (D15,+,10.0000)  (D16,+,10.0000)  (D17,+,10.0000)  (D18,+,10.0000)  (D19,+,10.0000)  (D20,+,10.0000)  (D21,+,10.0000)  (D22,+,10.0000)  (D23,+,10.0000)  (D24,+,10.0000)  (D25,+,10.0000)  (D26,+,10.0000)  (D27,+,10.0000)  (D28,+,10.0000)  (D29,+,10.0000)  (D30,+,10.0000)  (D31,+,10.0000)  (D32,+,10.0000)  (D33,+,10.0000)  
Rotate:True</t>
        </r>
      </text>
    </comment>
    <comment ref="E34" authorId="0" shapeId="0" xr:uid="{00000000-0006-0000-0400-00001B000000}">
      <text>
        <r>
          <rPr>
            <sz val="10"/>
            <rFont val="Arial"/>
          </rPr>
          <t>reference:E14,E15,E16,E17,E18,E19,E20,E21,E22,E23,E24,E25,E26,E27,E28,E29,E30,E31,E32,E33
mrs:(E14,+,10.0000)  (E15,+,10.0000)  (E16,+,10.0000)  (E17,+,10.0000)  (E18,+,10.0000)  (E19,+,10.0000)  (E20,+,10.0000)  (E21,+,10.0000)  (E22,+,10.0000)  (E23,+,10.0000)  (E24,+,10.0000)  (E25,+,10.0000)  (E26,+,10.0000)  (E27,+,10.0000)  (E28,+,10.0000)  (E29,+,10.0000)  (E30,+,10.0000)  (E31,+,10.0000)  (E32,+,10.0000)  (E33,+,10.0000)  
Rotate:True</t>
        </r>
      </text>
    </comment>
    <comment ref="G34" authorId="0" shapeId="0" xr:uid="{00000000-0006-0000-0400-00001C000000}">
      <text>
        <r>
          <rPr>
            <sz val="10"/>
            <rFont val="Arial"/>
          </rPr>
          <t>reference:D34,E34
mrs:(D34,+,10.0000)  (E34,+,10.0000)  
Rotate:True</t>
        </r>
      </text>
    </comment>
    <comment ref="H34" authorId="0" shapeId="0" xr:uid="{00000000-0006-0000-0400-00001D000000}">
      <text>
        <r>
          <rPr>
            <sz val="10"/>
            <rFont val="Arial"/>
          </rPr>
          <t>reference:H14,H15,H16,H17,H18,H19,H20,H21,H22,H23,H24,H25,H26,H27,H28,H29,H30,H31,H32,H33
mrs:(H14,+,10.0000)  (H15,+,10.0000)  (H16,+,10.0000)  (H17,+,10.0000)  (H18,+,10.0000)  (H19,+,10.0000)  (H20,+,10.0000)  (H21,+,10.0000)  (H22,+,10.0000)  (H23,+,10.0000)  (H24,+,10.0000)  (H25,+,10.0000)  (H26,+,10.0000)  (H27,+,10.0000)  (H28,+,10.0000)  (H29,+,10.0000)  (H30,+,10.0000)  (H31,+,10.0000)  (H32,+,10.0000)  (H33,+,10.0000)  
Rotate:True</t>
        </r>
      </text>
    </comment>
    <comment ref="I34" authorId="0" shapeId="0" xr:uid="{00000000-0006-0000-0400-00001E000000}">
      <text>
        <r>
          <rPr>
            <sz val="10"/>
            <rFont val="Arial"/>
          </rPr>
          <t>reference:I14,I15,I16,I17,I18,I19,I20,I21,I22,I23,I24,I25,I26,I27,I28,I29,I30,I31,I32,I33
mrs:(I14,+,10.0000)  (I15,+,10.0000)  (I16,+,10.0000)  (I17,+,10.0000)  (I18,+,10.0000)  (I19,+,10.0000)  (I20,+,10.0000)  (I21,+,10.0000)  (I22,+,10.0000)  (I23,+,10.0000)  (I24,+,10.0000)  (I25,+,10.0000)  (I26,+,10.0000)  (I27,+,10.0000)  (I28,+,10.0000)  (I29,+,10.0000)  (I30,+,10.0000)  (I31,+,10.0000)  (I32,+,10.0000)  (I33,+,10.0000)  
Rotate:True</t>
        </r>
      </text>
    </comment>
    <comment ref="G37" authorId="0" shapeId="0" xr:uid="{00000000-0006-0000-0400-00001F000000}">
      <text>
        <r>
          <rPr>
            <sz val="10"/>
            <rFont val="Arial"/>
          </rPr>
          <t>reference:D37,E37
mrs:(D37,+,10.0000)  (E37,+,10.0000)  
Rotate:True</t>
        </r>
      </text>
    </comment>
    <comment ref="G38" authorId="0" shapeId="0" xr:uid="{00000000-0006-0000-0400-000020000000}">
      <text>
        <r>
          <rPr>
            <sz val="10"/>
            <rFont val="Arial"/>
          </rPr>
          <t>reference:D38,E38
mrs:(D38,+,10.0000)  (E38,+,10.0000)  
Rotate:True</t>
        </r>
      </text>
    </comment>
    <comment ref="G39" authorId="0" shapeId="0" xr:uid="{00000000-0006-0000-0400-000021000000}">
      <text>
        <r>
          <rPr>
            <sz val="10"/>
            <rFont val="Arial"/>
          </rPr>
          <t>reference:D39,E39
mrs:(D39,+,10.0000)  (E39,+,10.0000)  
Rotate:True</t>
        </r>
      </text>
    </comment>
    <comment ref="G40" authorId="0" shapeId="0" xr:uid="{00000000-0006-0000-0400-000022000000}">
      <text>
        <r>
          <rPr>
            <sz val="10"/>
            <rFont val="Arial"/>
          </rPr>
          <t>reference:D40,E40
mrs:(D40,+,10.0000)  (E40,+,10.0000)  
Rotate:True</t>
        </r>
      </text>
    </comment>
    <comment ref="G41" authorId="0" shapeId="0" xr:uid="{00000000-0006-0000-0400-000023000000}">
      <text>
        <r>
          <rPr>
            <sz val="10"/>
            <rFont val="Arial"/>
          </rPr>
          <t>reference:D41,E41
mrs:(D41,+,10.0000)  (E41,+,10.0000)  
Rotate:True</t>
        </r>
      </text>
    </comment>
    <comment ref="G42" authorId="0" shapeId="0" xr:uid="{00000000-0006-0000-0400-000024000000}">
      <text>
        <r>
          <rPr>
            <sz val="10"/>
            <rFont val="Arial"/>
          </rPr>
          <t>reference:D42,E42
mrs:(D42,+,10.0000)  (E42,+,10.0000)  
Rotate:True</t>
        </r>
      </text>
    </comment>
    <comment ref="G43" authorId="0" shapeId="0" xr:uid="{00000000-0006-0000-0400-000025000000}">
      <text>
        <r>
          <rPr>
            <sz val="10"/>
            <rFont val="Arial"/>
          </rPr>
          <t>reference:D43,E43
mrs:(D43,+,10.0000)  (E43,+,10.0000)  
Rotate:True</t>
        </r>
      </text>
    </comment>
    <comment ref="G44" authorId="0" shapeId="0" xr:uid="{00000000-0006-0000-0400-000026000000}">
      <text>
        <r>
          <rPr>
            <sz val="10"/>
            <rFont val="Arial"/>
          </rPr>
          <t>reference:D44,E44
mrs:(D44,+,10.0000)  (E44,+,10.0000)  
Rotate:True</t>
        </r>
      </text>
    </comment>
    <comment ref="G45" authorId="0" shapeId="0" xr:uid="{00000000-0006-0000-0400-000027000000}">
      <text>
        <r>
          <rPr>
            <sz val="10"/>
            <rFont val="Arial"/>
          </rPr>
          <t>reference:D45,E45
mrs:(D45,+,10.0000)  (E45,+,10.0000)  
Rotate:True</t>
        </r>
      </text>
    </comment>
    <comment ref="G46" authorId="0" shapeId="0" xr:uid="{00000000-0006-0000-0400-000028000000}">
      <text>
        <r>
          <rPr>
            <sz val="10"/>
            <rFont val="Arial"/>
          </rPr>
          <t>reference:D46,E46
mrs:(D46,+,10.0000)  (E46,+,10.0000)  
Rotate:True</t>
        </r>
      </text>
    </comment>
    <comment ref="G47" authorId="0" shapeId="0" xr:uid="{00000000-0006-0000-0400-000029000000}">
      <text>
        <r>
          <rPr>
            <sz val="10"/>
            <rFont val="Arial"/>
          </rPr>
          <t>reference:D47,E47
mrs:(D47,+,10.0000)  (E47,+,10.0000)  
Rotate:True</t>
        </r>
      </text>
    </comment>
    <comment ref="G48" authorId="0" shapeId="0" xr:uid="{00000000-0006-0000-0400-00002A000000}">
      <text>
        <r>
          <rPr>
            <sz val="10"/>
            <rFont val="Arial"/>
          </rPr>
          <t>reference:D48,E48
mrs:(D48,+,10.0000)  (E48,+,10.0000)  
Rotate:True</t>
        </r>
      </text>
    </comment>
    <comment ref="D49" authorId="0" shapeId="0" xr:uid="{00000000-0006-0000-0400-00002B000000}">
      <text>
        <r>
          <rPr>
            <sz val="10"/>
            <rFont val="Arial"/>
          </rPr>
          <t>reference:D38,D39,D40,D41,D42,D43,D44,D45,D46,D47,D48
mrs:(D38,+,10.0000)  (D39,+,10.0000)  (D40,+,10.0000)  (D41,+,10.0000)  (D42,+,10.0000)  (D43,+,10.0000)  (D44,+,10.0000)  (D45,+,10.0000)  (D46,+,10.0000)  (D47,+,10.0000)  (D48,+,10.0000)  
Rotate:True</t>
        </r>
      </text>
    </comment>
    <comment ref="E49" authorId="0" shapeId="0" xr:uid="{00000000-0006-0000-0400-00002C000000}">
      <text>
        <r>
          <rPr>
            <sz val="10"/>
            <rFont val="Arial"/>
          </rPr>
          <t>reference:E38,E39,E40,E41,E42,E43,E44,E45,E46,E47,E48
mrs:(E38,+,10.0000)  (E39,+,10.0000)  (E40,+,10.0000)  (E41,+,10.0000)  (E42,+,10.0000)  (E43,+,10.0000)  (E44,+,10.0000)  (E45,+,10.0000)  (E46,+,10.0000)  (E47,+,10.0000)  (E48,+,10.0000)  
Rotate:True</t>
        </r>
      </text>
    </comment>
    <comment ref="G49" authorId="0" shapeId="0" xr:uid="{00000000-0006-0000-0400-00002D000000}">
      <text>
        <r>
          <rPr>
            <sz val="10"/>
            <rFont val="Arial"/>
          </rPr>
          <t>reference:G38,G39,G40,G41,G42,G43,G44,G45,G46,G47,G48
mrs:(G38,+,10.0000)  (G39,+,10.0000)  (G40,+,10.0000)  (G41,+,10.0000)  (G42,+,10.0000)  (G43,+,10.0000)  (G44,+,10.0000)  (G45,+,10.0000)  (G46,+,10.0000)  (G47,+,10.0000)  (G48,+,10.0000)  
Rotate:True</t>
        </r>
      </text>
    </comment>
    <comment ref="H49" authorId="0" shapeId="0" xr:uid="{00000000-0006-0000-0400-00002E000000}">
      <text>
        <r>
          <rPr>
            <sz val="10"/>
            <rFont val="Arial"/>
          </rPr>
          <t>reference:H37,H38,H39,H40,H41,H42,H43,H44,H45,H46,H47,H48
mrs:(H37,+,10.0000)  (H38,+,10.0000)  (H39,+,10.0000)  (H40,+,10.0000)  (H41,+,10.0000)  (H42,+,10.0000)  (H43,+,10.0000)  (H44,+,10.0000)  (H45,+,10.0000)  (H46,+,10.0000)  (H47,+,10.0000)  (H48,+,10.0000)  
Rotate:True</t>
        </r>
      </text>
    </comment>
    <comment ref="I49" authorId="0" shapeId="0" xr:uid="{00000000-0006-0000-0400-00002F000000}">
      <text>
        <r>
          <rPr>
            <sz val="10"/>
            <rFont val="Arial"/>
          </rPr>
          <t>reference:I37,I38,I39,I40,I41,I42,I43,I44,I45,I46,I47,I48
mrs:(I37,+,10.0000)  (I38,+,10.0000)  (I39,+,10.0000)  (I40,+,10.0000)  (I41,+,10.0000)  (I42,+,10.0000)  (I43,+,10.0000)  (I44,+,10.0000)  (I45,+,10.0000)  (I46,+,10.0000)  (I47,+,10.0000)  (I48,+,10.0000)  
Rotate:True</t>
        </r>
      </text>
    </comment>
    <comment ref="G52" authorId="0" shapeId="0" xr:uid="{00000000-0006-0000-0400-000030000000}">
      <text>
        <r>
          <rPr>
            <sz val="10"/>
            <rFont val="Arial"/>
          </rPr>
          <t>reference:D52,E52
mrs:(D52,+,10.0000)  (E52,+,10.0000)  
Rotate:True</t>
        </r>
      </text>
    </comment>
    <comment ref="G53" authorId="0" shapeId="0" xr:uid="{00000000-0006-0000-0400-000031000000}">
      <text>
        <r>
          <rPr>
            <sz val="10"/>
            <rFont val="Arial"/>
          </rPr>
          <t>reference:D53,E53
mrs:(D53,+,10.0000)  (E53,+,10.0000)  
Rotate:True</t>
        </r>
      </text>
    </comment>
    <comment ref="D54" authorId="0" shapeId="0" xr:uid="{00000000-0006-0000-0400-000032000000}">
      <text>
        <r>
          <rPr>
            <sz val="10"/>
            <rFont val="Arial"/>
          </rPr>
          <t>reference:D52,D53
mrs:(D52,+,10.0000)  (D53,+,10.0000)  
Rotate:True</t>
        </r>
      </text>
    </comment>
    <comment ref="E54" authorId="0" shapeId="0" xr:uid="{00000000-0006-0000-0400-000033000000}">
      <text>
        <r>
          <rPr>
            <sz val="10"/>
            <rFont val="Arial"/>
          </rPr>
          <t>reference:E52,E53
mrs:(E52,+,10.0000)  (E53,+,10.0000)  
Rotate:True</t>
        </r>
      </text>
    </comment>
    <comment ref="G54" authorId="0" shapeId="0" xr:uid="{00000000-0006-0000-0400-000034000000}">
      <text>
        <r>
          <rPr>
            <sz val="10"/>
            <rFont val="Arial"/>
          </rPr>
          <t>reference:G52,G53
mrs:(G52,+,10.0000)  (G53,+,10.0000)  
Rotate:True</t>
        </r>
      </text>
    </comment>
    <comment ref="H54" authorId="0" shapeId="0" xr:uid="{00000000-0006-0000-0400-000035000000}">
      <text>
        <r>
          <rPr>
            <sz val="10"/>
            <rFont val="Arial"/>
          </rPr>
          <t>reference:H52,H53
mrs:(H52,+,10.0000)  (H53,+,10.0000)  
Rotate:True</t>
        </r>
      </text>
    </comment>
    <comment ref="I54" authorId="0" shapeId="0" xr:uid="{00000000-0006-0000-0400-000036000000}">
      <text>
        <r>
          <rPr>
            <sz val="10"/>
            <rFont val="Arial"/>
          </rPr>
          <t>reference:I52,I53
mrs:(I52,+,10.0000)  (I53,+,10.0000)  
Rotate:True</t>
        </r>
      </text>
    </comment>
    <comment ref="G56" authorId="0" shapeId="0" xr:uid="{00000000-0006-0000-0400-000037000000}">
      <text>
        <r>
          <rPr>
            <sz val="10"/>
            <rFont val="Arial"/>
          </rPr>
          <t>reference:D56,E56
mrs:(D56,+,10.0000)  (E56,+,10.0000)  
Rotate:True</t>
        </r>
      </text>
    </comment>
    <comment ref="G58" authorId="0" shapeId="0" xr:uid="{00000000-0006-0000-0400-000038000000}">
      <text>
        <r>
          <rPr>
            <sz val="10"/>
            <rFont val="Arial"/>
          </rPr>
          <t>reference:D58,E58
mrs:(D58,+,10.0000)  (E58,+,10.0000)  
Rotate:True</t>
        </r>
      </text>
    </comment>
    <comment ref="D60" authorId="0" shapeId="0" xr:uid="{00000000-0006-0000-0400-000039000000}">
      <text>
        <r>
          <rPr>
            <sz val="10"/>
            <rFont val="Arial"/>
          </rPr>
          <t>reference:D34,D49,D54,D56,D58
mrs:(D34,+,10.0000)  (D49,+,10.0000)  (D54,+,10.0000)  (D56,+,10.0000)  (D58,+,10.0000)  
Rotate:True</t>
        </r>
      </text>
    </comment>
    <comment ref="E60" authorId="0" shapeId="0" xr:uid="{00000000-0006-0000-0400-00003A000000}">
      <text>
        <r>
          <rPr>
            <sz val="10"/>
            <rFont val="Arial"/>
          </rPr>
          <t>reference:E34,E49,E54,E56,E58
mrs:(E34,+,10.0000)  (E49,+,10.0000)  (E54,+,10.0000)  (E56,+,10.0000)  (E58,+,10.0000)  
Rotate:True</t>
        </r>
      </text>
    </comment>
    <comment ref="G60" authorId="0" shapeId="0" xr:uid="{00000000-0006-0000-0400-00003B000000}">
      <text>
        <r>
          <rPr>
            <sz val="10"/>
            <rFont val="Arial"/>
          </rPr>
          <t>reference:D60,E60
mrs:(D60,+,10.0000)  (E60,+,10.0000)  
Rotate:True</t>
        </r>
      </text>
    </comment>
    <comment ref="H60" authorId="0" shapeId="0" xr:uid="{00000000-0006-0000-0400-00003C000000}">
      <text>
        <r>
          <rPr>
            <sz val="10"/>
            <rFont val="Arial"/>
          </rPr>
          <t>reference:H34,H49,H54,H56,H58
mrs:(H34,+,10.0000)  (H49,+,10.0000)  (H54,+,10.0000)  (H56,+,10.0000)  (H58,+,10.0000)  
Rotate:True</t>
        </r>
      </text>
    </comment>
    <comment ref="I60" authorId="0" shapeId="0" xr:uid="{00000000-0006-0000-0400-00003D000000}">
      <text>
        <r>
          <rPr>
            <sz val="10"/>
            <rFont val="Arial"/>
          </rPr>
          <t>reference:I34,I49,I54,I56,I58
mrs:(I34,+,10.0000)  (I49,+,10.0000)  (I54,+,10.0000)  (I56,+,10.0000)  (I58,+,10.0000)  
Rotate:True</t>
        </r>
      </text>
    </comment>
    <comment ref="D64" authorId="0" shapeId="0" xr:uid="{00000000-0006-0000-0400-00003E000000}">
      <text>
        <r>
          <rPr>
            <sz val="10"/>
            <rFont val="Arial"/>
          </rPr>
          <t>reference:D60,D62
mrs:(D60,+,10.0000)  (D62,+,10.0000)  
Rotate:True</t>
        </r>
      </text>
    </comment>
    <comment ref="E64" authorId="0" shapeId="0" xr:uid="{00000000-0006-0000-0400-00003F000000}">
      <text>
        <r>
          <rPr>
            <sz val="10"/>
            <rFont val="Arial"/>
          </rPr>
          <t>reference:E60,E62
mrs:(E60,+,10.0000)  (E62,+,10.0000)  
Rotate:True</t>
        </r>
      </text>
    </comment>
    <comment ref="G64" authorId="0" shapeId="0" xr:uid="{00000000-0006-0000-0400-000040000000}">
      <text>
        <r>
          <rPr>
            <sz val="10"/>
            <rFont val="Arial"/>
          </rPr>
          <t>reference:G60,G62
mrs:(G60,+,10.0000)  (G62,+,10.0000)  
Rotate:True</t>
        </r>
      </text>
    </comment>
    <comment ref="H64" authorId="0" shapeId="0" xr:uid="{00000000-0006-0000-0400-000041000000}">
      <text>
        <r>
          <rPr>
            <sz val="10"/>
            <rFont val="Arial"/>
          </rPr>
          <t>reference:H60,H62
mrs:(H60,+,10.0000)  (H62,+,10.0000)  
Rotate:True</t>
        </r>
      </text>
    </comment>
    <comment ref="I64" authorId="0" shapeId="0" xr:uid="{00000000-0006-0000-0400-000042000000}">
      <text>
        <r>
          <rPr>
            <sz val="10"/>
            <rFont val="Arial"/>
          </rPr>
          <t>reference:I60,I62
mrs:(I60,+,10.0000)  (I62,+,10.0000)  
Rotate:True</t>
        </r>
      </text>
    </comment>
  </commentList>
</comments>
</file>

<file path=xl/sharedStrings.xml><?xml version="1.0" encoding="utf-8"?>
<sst xmlns="http://schemas.openxmlformats.org/spreadsheetml/2006/main" count="475" uniqueCount="355">
  <si>
    <t>LEVEL 3 COMMUNICATIONS, INC.</t>
  </si>
  <si>
    <t>Consolidated Condensed Statements of Operations</t>
  </si>
  <si>
    <t>(Unaudited)</t>
  </si>
  <si>
    <t>Three Months Ended</t>
  </si>
  <si>
    <t>Six Months Ended</t>
  </si>
  <si>
    <t>June 30,</t>
  </si>
  <si>
    <t>March 31,</t>
  </si>
  <si>
    <t>(dollars in millions)</t>
  </si>
  <si>
    <t>Revenue:</t>
  </si>
  <si>
    <t>Communications</t>
  </si>
  <si>
    <t>Information Services</t>
  </si>
  <si>
    <t>Other</t>
  </si>
  <si>
    <t>Total Revenue</t>
  </si>
  <si>
    <t>Costs and Expenses:</t>
  </si>
  <si>
    <t>Cost of Revenue</t>
  </si>
  <si>
    <t>Depreciation and Amortization</t>
  </si>
  <si>
    <t xml:space="preserve">Selling, General and Administrative, including non-cash </t>
  </si>
  <si>
    <t xml:space="preserve">    compensation of $25, $53, $48 and $117, respectively</t>
  </si>
  <si>
    <t>Restructuring Charges, including noncash impairment</t>
  </si>
  <si>
    <t xml:space="preserve">    charges of $-, $44, $- and $44, respectively</t>
  </si>
  <si>
    <t>Restructuring &amp; Impairment Charges</t>
  </si>
  <si>
    <t>Total Costs and Expenses</t>
  </si>
  <si>
    <t>Income (Loss) from Operations</t>
  </si>
  <si>
    <t>Other Income (Expense), net</t>
  </si>
  <si>
    <t>Interest Income</t>
  </si>
  <si>
    <t>Interest Expense</t>
  </si>
  <si>
    <t>Other Income (Expense)</t>
  </si>
  <si>
    <t>Loss from Operations Before Income Taxes</t>
  </si>
  <si>
    <t>Income Tax Benefit</t>
  </si>
  <si>
    <t>Loss Before Change in Accounting Principle and Discontinued Operations</t>
  </si>
  <si>
    <t xml:space="preserve">    Discontinued Operations</t>
  </si>
  <si>
    <t>Cumulative Effect of Change in Accounting Principle</t>
  </si>
  <si>
    <t>Loss from Discontinued Operations</t>
  </si>
  <si>
    <t>Net Loss</t>
  </si>
  <si>
    <t>Basic Earning (Loss) per Share:</t>
  </si>
  <si>
    <t>Loss before Change in Accounting Principle and Discontinued Operations</t>
  </si>
  <si>
    <t>Weighted Average Shares Outstanding (in thousands)</t>
  </si>
  <si>
    <t>Basic</t>
  </si>
  <si>
    <t>QTD</t>
  </si>
  <si>
    <t>YTD</t>
  </si>
  <si>
    <t>Loss</t>
  </si>
  <si>
    <t>Disco</t>
  </si>
  <si>
    <t>X-Item</t>
  </si>
  <si>
    <t>Shares</t>
  </si>
  <si>
    <t>EPS</t>
  </si>
  <si>
    <t>Before X-Item</t>
  </si>
  <si>
    <t>Total</t>
  </si>
  <si>
    <t xml:space="preserve">suspicious:I53,  </t>
  </si>
  <si>
    <t>Level 3 Communications, Inc.</t>
  </si>
  <si>
    <t>Statement of Operations - Detail</t>
  </si>
  <si>
    <t>(in millions)</t>
  </si>
  <si>
    <t>Draft 7/21/03   8 am</t>
  </si>
  <si>
    <t>Quarter over Quarter Comments</t>
  </si>
  <si>
    <t>Revenue</t>
  </si>
  <si>
    <t>Communications:</t>
  </si>
  <si>
    <t xml:space="preserve">  Domestic</t>
  </si>
  <si>
    <t xml:space="preserve">  International</t>
  </si>
  <si>
    <t>Software Spectrum</t>
  </si>
  <si>
    <t>Mining</t>
  </si>
  <si>
    <t>CPTC/CHI</t>
  </si>
  <si>
    <t xml:space="preserve"> </t>
  </si>
  <si>
    <t>Genuity</t>
  </si>
  <si>
    <t>CPTC</t>
  </si>
  <si>
    <t>General and Administrative</t>
  </si>
  <si>
    <t>Salaries and Bonuses, net</t>
  </si>
  <si>
    <t>Increase in salaries &amp; bonus offset by capitalized comp increase</t>
  </si>
  <si>
    <t>Taxes and Licenses</t>
  </si>
  <si>
    <t>RealEstate/Property Tax-accruals released $(7);payroll tax -$(1);franchise tax $(.5)</t>
  </si>
  <si>
    <t>Travel</t>
  </si>
  <si>
    <t>AOC Relo $1.5</t>
  </si>
  <si>
    <t>Insurance</t>
  </si>
  <si>
    <t>Professional Services, net</t>
  </si>
  <si>
    <t>Contract labor (field Ops,Concept to Billing&amp;Network deployment)+$1.5: $2 Red River Patent Litigation</t>
  </si>
  <si>
    <t>Rent &amp; Utilities</t>
  </si>
  <si>
    <t>Colo rent +$2(backbill from SBC); Network Facilities Utilities +$4(utility expenses for Genuity): Network space rent +$1</t>
  </si>
  <si>
    <t>Telephone</t>
  </si>
  <si>
    <t xml:space="preserve">Contract Maintenance </t>
  </si>
  <si>
    <t>Equip&amp;SW-IP Dept 187-$2 accrued in Q1 for Genuity Cisco Lease-reclassed to PPL in Q2 - swing of $(4)</t>
  </si>
  <si>
    <t>Employee Training and Recruiting</t>
  </si>
  <si>
    <t>Employee Expense/Dues</t>
  </si>
  <si>
    <t>Office Supplies and Equipment</t>
  </si>
  <si>
    <t>Data Processing</t>
  </si>
  <si>
    <t>Advertising/Promotion</t>
  </si>
  <si>
    <t>Bad Debt Expense</t>
  </si>
  <si>
    <t>Impairments/Catellus</t>
  </si>
  <si>
    <t>Gain/loss from sale of operating assets</t>
  </si>
  <si>
    <t>Accretion of Retirement Obligations</t>
  </si>
  <si>
    <t>(YTD Other = $1admin serv for corp fac mngt dept; $1 admin serv for aviation dept;$1 admin serv for global infra serv deprt; $1.7 other vehicle related exp;$3.9 Bldgs&amp;Grnd Maint )</t>
  </si>
  <si>
    <t>Total Communications G&amp;A</t>
  </si>
  <si>
    <t>(I)Structure G &amp; A</t>
  </si>
  <si>
    <t>Software Spectrum G &amp;A</t>
  </si>
  <si>
    <t>Employee Comp$(3)</t>
  </si>
  <si>
    <t>CPTC G &amp; A</t>
  </si>
  <si>
    <t>Coal</t>
  </si>
  <si>
    <t>Holdings</t>
  </si>
  <si>
    <t>Legal and Consulting</t>
  </si>
  <si>
    <t>Total G&amp;A</t>
  </si>
  <si>
    <t>Restructuring &amp; Impairment Charge</t>
  </si>
  <si>
    <t>Communications - Compensation &amp; Taxes</t>
  </si>
  <si>
    <t>(I)Structure -Restructuring</t>
  </si>
  <si>
    <t>Software Spectrum/Corpsoft Compensation</t>
  </si>
  <si>
    <t>Communications- Sale of operating assets</t>
  </si>
  <si>
    <t>(I)Structure - Impairments</t>
  </si>
  <si>
    <t>Communications - Impairments</t>
  </si>
  <si>
    <t>Communications - Lease Terminations</t>
  </si>
  <si>
    <t>Stock-Based Compensation</t>
  </si>
  <si>
    <t>Gross Interest Expense</t>
  </si>
  <si>
    <t>$3 Genuity Cap Lease;$(2) 9% Convertible Notes:Discount Note Accretion $1;Euro Notes $1</t>
  </si>
  <si>
    <t>Other Income</t>
  </si>
  <si>
    <t>Equity Earnings from Commonwealth Telephone</t>
  </si>
  <si>
    <t>Gain (Loss) - assets, net of minority interest</t>
  </si>
  <si>
    <t>Writedown of B4E Investments</t>
  </si>
  <si>
    <t>Write-off Keyspan/NTL Deferred Revenue</t>
  </si>
  <si>
    <t>Other/Foreign Currency</t>
  </si>
  <si>
    <t>$2 FEX SS; $1 Hosting;LLC Real Estate Rental Income $1</t>
  </si>
  <si>
    <t>CHI Post Retirement Obligation Adjustment</t>
  </si>
  <si>
    <t>Induced Conversion Expense</t>
  </si>
  <si>
    <t>Gain on Extinguishments of Debt</t>
  </si>
  <si>
    <t>Earnings (Loss) before Income Taxes</t>
  </si>
  <si>
    <t>Net Income (Loss) from Continuing Operations</t>
  </si>
  <si>
    <t>Discontinued Operations:</t>
  </si>
  <si>
    <t>Earnings from Discontinued Operations</t>
  </si>
  <si>
    <t>Disposition of Discontinued Operations</t>
  </si>
  <si>
    <t>Cumulative Effect of Accounting Adjustment</t>
  </si>
  <si>
    <t>Net Income (Loss)</t>
  </si>
  <si>
    <t>Communications EBITDA</t>
  </si>
  <si>
    <t>(I)Structure EBITDA</t>
  </si>
  <si>
    <t>Software Spectrum EBITDA</t>
  </si>
  <si>
    <t>CPTC EBITDA</t>
  </si>
  <si>
    <t>Holdings EBITDA</t>
  </si>
  <si>
    <t>Consolidated EBITDA</t>
  </si>
  <si>
    <t xml:space="preserve">suspicious:F123,  F122,  J122,  Q64,  Q30,  S30,  S64,  S100,  </t>
  </si>
  <si>
    <t>LEVEL 3 COMMUNICATIONS, INC. AND SUBSIDIARIES</t>
  </si>
  <si>
    <t>Consolidated Condensed Balance Sheets</t>
  </si>
  <si>
    <t>(unaudited)</t>
  </si>
  <si>
    <t>Assets</t>
  </si>
  <si>
    <t>Current Assets</t>
  </si>
  <si>
    <t>Cash and cash equivalents</t>
  </si>
  <si>
    <t>Restricted securities</t>
  </si>
  <si>
    <t>Accounts receivable, less allowances of $34 and $31, respectively</t>
  </si>
  <si>
    <t>Total Current Assets</t>
  </si>
  <si>
    <t>Property, Plant and Equipment, net</t>
  </si>
  <si>
    <t>Restricted Securities</t>
  </si>
  <si>
    <t>Intangibles and Goodwill</t>
  </si>
  <si>
    <t>Other Assets, net</t>
  </si>
  <si>
    <t>Liabilities and Stockholders' Equity</t>
  </si>
  <si>
    <t>Current Liabilities:</t>
  </si>
  <si>
    <t>Accounts payable</t>
  </si>
  <si>
    <t>Current portion of long-term debt</t>
  </si>
  <si>
    <t>Accrued payroll and employee benefits</t>
  </si>
  <si>
    <t>Accrued interest</t>
  </si>
  <si>
    <t>Deferred revenue</t>
  </si>
  <si>
    <t>Total Current Liabilities</t>
  </si>
  <si>
    <t>Long-Term Debt, less current portion</t>
  </si>
  <si>
    <t>Deferred Revenue</t>
  </si>
  <si>
    <t>Accrued Reclamation Costs</t>
  </si>
  <si>
    <t>Other Liabilities</t>
  </si>
  <si>
    <t>Stockholders' Equity (Deficit)</t>
  </si>
  <si>
    <t>suspicious:</t>
  </si>
  <si>
    <t>Balance Sheet - Detail</t>
  </si>
  <si>
    <t>Q2 2003 vs Q1 2003 Variances</t>
  </si>
  <si>
    <t>Cash and Cash Equivalents</t>
  </si>
  <si>
    <t>Senior Secured Credit Facility-Cash Collateral</t>
  </si>
  <si>
    <t>Letters of Credit</t>
  </si>
  <si>
    <t>HQ Realty</t>
  </si>
  <si>
    <t>US Bank</t>
  </si>
  <si>
    <t>Front Range</t>
  </si>
  <si>
    <t>Kiewit</t>
  </si>
  <si>
    <t>Settled with Kiewit</t>
  </si>
  <si>
    <t>85 Tenth Collateral Letter of Credit</t>
  </si>
  <si>
    <t>Accounts Receivable:</t>
  </si>
  <si>
    <t>Telecom</t>
  </si>
  <si>
    <t>(I)Structure</t>
  </si>
  <si>
    <t>Other Current Assets:</t>
  </si>
  <si>
    <t>Debt Issuance Costs</t>
  </si>
  <si>
    <t>Debt conversions</t>
  </si>
  <si>
    <t>(i)Structure Deferred Costs</t>
  </si>
  <si>
    <t>Computer Associates License Fees and Maintenance Fees</t>
  </si>
  <si>
    <t>Net current assets of discontinued operations</t>
  </si>
  <si>
    <t>Inventories</t>
  </si>
  <si>
    <t>Coal Prepaids</t>
  </si>
  <si>
    <t>Genuity acquisition prepaid costs</t>
  </si>
  <si>
    <t xml:space="preserve">Insurance Prepaid </t>
  </si>
  <si>
    <t>D&amp;O &amp; Property premiums</t>
  </si>
  <si>
    <t>Deposits</t>
  </si>
  <si>
    <t>ROW - Prepaid</t>
  </si>
  <si>
    <t>Prepaid Software</t>
  </si>
  <si>
    <t>Prepaid Rent</t>
  </si>
  <si>
    <t>Prepaid Network Expense</t>
  </si>
  <si>
    <t>Prepaid Advertising</t>
  </si>
  <si>
    <t>Prepaid-expensed when advertising run</t>
  </si>
  <si>
    <t>Assets Held for Sale</t>
  </si>
  <si>
    <t xml:space="preserve">Prepaids and Other </t>
  </si>
  <si>
    <t>Property, Plant and Equipment (Net):</t>
  </si>
  <si>
    <t>Restricted Securities:</t>
  </si>
  <si>
    <t>KCP +$2.5</t>
  </si>
  <si>
    <t>BTE - Needham MC Sale/Asset Sales</t>
  </si>
  <si>
    <t>$2 million increase due to assets pledged under bank debt sold - need to hold proceeds as restricted cash</t>
  </si>
  <si>
    <t>Goodwill and Intangibles :</t>
  </si>
  <si>
    <t>XCOM</t>
  </si>
  <si>
    <t>McLeod</t>
  </si>
  <si>
    <t>Goodwill</t>
  </si>
  <si>
    <t>Intangibles</t>
  </si>
  <si>
    <t>$5 million amort</t>
  </si>
  <si>
    <t>CorpSoft</t>
  </si>
  <si>
    <t>Intangible Amort $10</t>
  </si>
  <si>
    <t>Level 3 Holding (CPTC)</t>
  </si>
  <si>
    <t>Other Assets</t>
  </si>
  <si>
    <t>Investments:</t>
  </si>
  <si>
    <t>Vantagepoint/IVP Broadband</t>
  </si>
  <si>
    <t>RCN (McCourt) (Goodwill)</t>
  </si>
  <si>
    <t xml:space="preserve">Commonwealth Telephone </t>
  </si>
  <si>
    <t>Commonwealth Telephone Goodwill</t>
  </si>
  <si>
    <t>Capacity Purchase</t>
  </si>
  <si>
    <t>Notes Receivable - Employees</t>
  </si>
  <si>
    <t>Payments received from employees</t>
  </si>
  <si>
    <t xml:space="preserve">Europe (MTI) </t>
  </si>
  <si>
    <t>Cost amortization and conversions</t>
  </si>
  <si>
    <t>CPTC Deferred Costs</t>
  </si>
  <si>
    <t>KCP</t>
  </si>
  <si>
    <t>CHI</t>
  </si>
  <si>
    <t>$3.5 million of reserve reclassified against mineral property</t>
  </si>
  <si>
    <t>$7 inventory</t>
  </si>
  <si>
    <t xml:space="preserve">Total Assets </t>
  </si>
  <si>
    <t>Accounts Payable:</t>
  </si>
  <si>
    <t>Current Portion of Long-term Debt:</t>
  </si>
  <si>
    <t>Nortel</t>
  </si>
  <si>
    <t>IBM - (I)Structure</t>
  </si>
  <si>
    <t>Genuity - Capital Leases</t>
  </si>
  <si>
    <t>GMAC/HQ Realty</t>
  </si>
  <si>
    <t>85 Tenth</t>
  </si>
  <si>
    <t>Accrued Payrolls and Employee Benefits</t>
  </si>
  <si>
    <t>Genuity bonus, severance, payroll</t>
  </si>
  <si>
    <t xml:space="preserve">Accrued Interest </t>
  </si>
  <si>
    <t>Other Current Liabilities</t>
  </si>
  <si>
    <t>Sales/Use Tax</t>
  </si>
  <si>
    <t>Property Taxes Payable</t>
  </si>
  <si>
    <t>Kiewit Intercity Contract</t>
  </si>
  <si>
    <t>Settled liability with Kiewit</t>
  </si>
  <si>
    <t>Accrued Reclamation and Other Mining Costs</t>
  </si>
  <si>
    <t>Medical Spending and USF Accts</t>
  </si>
  <si>
    <t>Rent Accrual</t>
  </si>
  <si>
    <t>McLeod Termination Liability</t>
  </si>
  <si>
    <t>Lease Termination Liability</t>
  </si>
  <si>
    <t>Recip.Compensation</t>
  </si>
  <si>
    <t>Franchise Fees Payable - ROW Accrual</t>
  </si>
  <si>
    <t>Reclassed to NonCurrent</t>
  </si>
  <si>
    <t>Software Spectrum - Payable to ECE</t>
  </si>
  <si>
    <t>Other current liabilities of discontinued operations</t>
  </si>
  <si>
    <t>Total Current Liablities</t>
  </si>
  <si>
    <t>Long-term Debt, less current portion:</t>
  </si>
  <si>
    <t>Senior Notes 9.125% due 2008</t>
  </si>
  <si>
    <t>$100 million exchanged for common stock</t>
  </si>
  <si>
    <t>Senior Notes 11% due 2008</t>
  </si>
  <si>
    <t>Senior Discount Notes 10.5% due 2008</t>
  </si>
  <si>
    <t>Discount accretion of $15</t>
  </si>
  <si>
    <t>Senior Euro dollar Notes due 2008</t>
  </si>
  <si>
    <t>Euro from 1.06855 to 1.14275</t>
  </si>
  <si>
    <t>Senior Discount Notes 12.875% due 2010</t>
  </si>
  <si>
    <t>Discount accretion of $12</t>
  </si>
  <si>
    <t>Senior Euro dollar Notes due 2010</t>
  </si>
  <si>
    <t>Bank Debt</t>
  </si>
  <si>
    <t>Senior Notes - 11.25% due 2010</t>
  </si>
  <si>
    <t>Convertible Subordinated Notes due 2010</t>
  </si>
  <si>
    <t>Convertible Subordinated Notes due 2009</t>
  </si>
  <si>
    <t>9% Junior Convertible Subordinated Notes due 2012</t>
  </si>
  <si>
    <t>Debt Converted to stock</t>
  </si>
  <si>
    <t>85 10th</t>
  </si>
  <si>
    <t>Genuity - Capital Leases Payable</t>
  </si>
  <si>
    <t>$12 million principal payment</t>
  </si>
  <si>
    <t>Nortel Capital Lease, IBM Capital Lease and CHI Calhoun Industrial Bonds</t>
  </si>
  <si>
    <t>$1 million increase - IBM lease (I)Structure</t>
  </si>
  <si>
    <t>Deferred Revenue:</t>
  </si>
  <si>
    <t>PKSIS</t>
  </si>
  <si>
    <t>Accrued Reclamation:</t>
  </si>
  <si>
    <t>Other Noncurrent Liabilities:</t>
  </si>
  <si>
    <t>CHI Reserves (excluding legal)</t>
  </si>
  <si>
    <t>$3.5 reclassed to mineral property, $6 from current</t>
  </si>
  <si>
    <t>Noncurrent Accruals</t>
  </si>
  <si>
    <t>Mining Reserves</t>
  </si>
  <si>
    <t>Legal Reserves (including CHI)</t>
  </si>
  <si>
    <t>Deferred Income Taxes</t>
  </si>
  <si>
    <t>Retirement Benefits:</t>
  </si>
  <si>
    <t>CHI/ KCP Pension Liability</t>
  </si>
  <si>
    <t>Deferred Investment Gain (Airplane)</t>
  </si>
  <si>
    <t>Deferred Investment Gain (UK-Braham Street Assets)</t>
  </si>
  <si>
    <t>NTL Keyspan Deferred Revenue</t>
  </si>
  <si>
    <t>Euro rate increase .0742 x Euro balance of $31</t>
  </si>
  <si>
    <t>Asset Retirement Obligation</t>
  </si>
  <si>
    <t>$1.5 million accretion</t>
  </si>
  <si>
    <t>Genuity (O&amp;M &amp; Egress)</t>
  </si>
  <si>
    <t>Advance Deposits</t>
  </si>
  <si>
    <t>$4 million deposit received from customers(360 &amp; On Fiber)</t>
  </si>
  <si>
    <t>Minority Interest</t>
  </si>
  <si>
    <t xml:space="preserve">Total Liabilities      </t>
  </si>
  <si>
    <t>Stockholders' Deficit</t>
  </si>
  <si>
    <t>Total Liabilities and Equity</t>
  </si>
  <si>
    <t>Consolidated Statements of Cash Flows</t>
  </si>
  <si>
    <t>June 30, 2003</t>
  </si>
  <si>
    <t>March 31, 2002</t>
  </si>
  <si>
    <t>June 30, 2002</t>
  </si>
  <si>
    <t>Cash Flows from Operating Activities:</t>
  </si>
  <si>
    <t>Loss from discontinued operations</t>
  </si>
  <si>
    <t>Cumulative effect of change in accounting principle</t>
  </si>
  <si>
    <t>Loss from continuing operations</t>
  </si>
  <si>
    <t>Adjustments to reconcile loss from continuing operations to net cash provided by (used in) continuing operations:</t>
  </si>
  <si>
    <t xml:space="preserve">     Equity earnings, net</t>
  </si>
  <si>
    <t xml:space="preserve">     Depreciation and amortization</t>
  </si>
  <si>
    <t>Induced conversion expense on convertible debt</t>
  </si>
  <si>
    <t xml:space="preserve">     Gain on debt extinguishments, net</t>
  </si>
  <si>
    <t xml:space="preserve">     Dark fiber and submarine cable non-cash cost of revenue</t>
  </si>
  <si>
    <t>Loss on impairments</t>
  </si>
  <si>
    <t>(Gain) loss on sale of property, plant and equipment, toll-road operations and other assets</t>
  </si>
  <si>
    <t xml:space="preserve">     Non-cash expense attributable to stock awards</t>
  </si>
  <si>
    <t xml:space="preserve">     Deferred revenue</t>
  </si>
  <si>
    <t xml:space="preserve">     Amortization of debt issuance costs</t>
  </si>
  <si>
    <t xml:space="preserve">     Accreted interest on long-term discount debt</t>
  </si>
  <si>
    <t xml:space="preserve">     Accrued interest on long-term debt</t>
  </si>
  <si>
    <t xml:space="preserve">     Changes in working capital items net of amounts acquired: </t>
  </si>
  <si>
    <t xml:space="preserve">          Receivables</t>
  </si>
  <si>
    <t xml:space="preserve">          Other current assets</t>
  </si>
  <si>
    <t xml:space="preserve">          Payables</t>
  </si>
  <si>
    <t xml:space="preserve">          Other liabilities</t>
  </si>
  <si>
    <t xml:space="preserve">     Other</t>
  </si>
  <si>
    <t>Net Cash Provided by (Used in) Continuing Operations</t>
  </si>
  <si>
    <t>Cash flows from Investing Activities:</t>
  </si>
  <si>
    <t>Proceeds from sales and maturities of marketable securities</t>
  </si>
  <si>
    <t>Decrease (increase) in restricted cash and securities, net</t>
  </si>
  <si>
    <t>Capital expenditures</t>
  </si>
  <si>
    <t>Release of capital expenditure accruals</t>
  </si>
  <si>
    <t>Genuity acquisition</t>
  </si>
  <si>
    <t>Investments and acquisitions</t>
  </si>
  <si>
    <t>McLeod business acquisition</t>
  </si>
  <si>
    <t>CorpSoft acquisition, net of cash acquired of $34</t>
  </si>
  <si>
    <t>Software Spectrum acquisition, net of cash acquired of $40</t>
  </si>
  <si>
    <t>Proceeds from sale of Commonwealth Telephone shares</t>
  </si>
  <si>
    <t>Proceeds from sale of toll-road operations</t>
  </si>
  <si>
    <t>Proceeds from sale of property, plant and equipment, and other assets</t>
  </si>
  <si>
    <t>Net Cash Used in Investing Activities</t>
  </si>
  <si>
    <t>Cash Flows from Financing Activities:</t>
  </si>
  <si>
    <t>Stock options exercised</t>
  </si>
  <si>
    <t>Purchases of and payments on long-term debt, including current portion</t>
  </si>
  <si>
    <t>Net Cash Used in Financing Activities</t>
  </si>
  <si>
    <t>Net Cash Provided by Discontinued Operations</t>
  </si>
  <si>
    <t>Effect of Exchange Rates on Cash</t>
  </si>
  <si>
    <t>Net Change in Cash and Cash Equivalents</t>
  </si>
  <si>
    <t>Cash and Cash Equivalents at Beginning of Year</t>
  </si>
  <si>
    <t>Cash and Cash Equivalents at End of Period</t>
  </si>
  <si>
    <t>Supplemental Disclosure of Cash Flow Information:</t>
  </si>
  <si>
    <t>Cash interest paid</t>
  </si>
  <si>
    <t>Noncash Investing and Financing Activities:</t>
  </si>
  <si>
    <t>Common stock issued in exchange for long term debt</t>
  </si>
  <si>
    <t>Interest on debt paid with common stock</t>
  </si>
  <si>
    <t>Long-term debt principal retired by issuing common stock</t>
  </si>
  <si>
    <t>Long-term debt extinguished due to sale of toll-road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</si>
</sst>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 &quot;¥&quot;* #,##0_ ;_ &quot;¥&quot;* \-#,##0_ ;_ &quot;¥&quot;* &quot;-&quot;_ ;_ @_ "/>
    <numFmt numFmtId="41" formatCode="_ * #,##0_ ;_ * \-#,##0_ ;_ * &quot;-&quot;_ ;_ @_ "/>
    <numFmt numFmtId="43" formatCode="_ * #,##0.00_ ;_ * \-#,##0.00_ ;_ * &quot;-&quot;??_ ;_ @_ "/>
    <numFmt numFmtId="176" formatCode="_(&quot;$&quot;* #,##0_);_(&quot;$&quot;* \(#,##0\);_(&quot;$&quot;* &quot;-&quot;??_);_(@_)"/>
    <numFmt numFmtId="177" formatCode="_(* #,##0_);_(* \(#,##0\);_(* &quot;-&quot;??_);_(@_)"/>
    <numFmt numFmtId="178" formatCode="_(&quot;$&quot;* #,##0.00_);_(&quot;$&quot;* \(#,##0.00\);_(&quot;$&quot;* &quot;-&quot;??_);_(@_)"/>
    <numFmt numFmtId="179" formatCode="_(* #,##0.0000_);_(* \(#,##0.0000\);_(* &quot;-&quot;??_);_(@_)"/>
    <numFmt numFmtId="180" formatCode="_(* #,##0.00000_);_(* \(#,##0.00000\);_(* &quot;-&quot;??_);_(@_)"/>
    <numFmt numFmtId="181" formatCode="General_)"/>
    <numFmt numFmtId="182" formatCode="dd\-mmm\-yy"/>
    <numFmt numFmtId="183" formatCode="_(* #,##0.0_);_(* \(#,##0.0\);_(* &quot;-&quot;??_);_(@_)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Helv"/>
    </font>
    <font>
      <sz val="10"/>
      <color indexed="8"/>
      <name val="Times New Roman"/>
      <family val="1"/>
    </font>
    <font>
      <sz val="10"/>
      <color indexed="12"/>
      <name val="Times New Roman"/>
      <family val="1"/>
    </font>
    <font>
      <sz val="8"/>
      <name val="Helv"/>
    </font>
    <font>
      <b/>
      <sz val="10"/>
      <color indexed="8"/>
      <name val="Times New Roma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indexed="8"/>
      <name val="Times New Roman"/>
      <family val="1"/>
    </font>
    <font>
      <sz val="12"/>
      <name val="Arial"/>
      <family val="2"/>
    </font>
    <font>
      <sz val="12"/>
      <color indexed="8"/>
      <name val="Arial"/>
      <family val="2"/>
    </font>
    <font>
      <sz val="12"/>
      <name val="Times New Roman"/>
      <family val="1"/>
    </font>
    <font>
      <sz val="14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9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  <fill>
      <patternFill patternType="solid">
        <fgColor rgb="FFFA8072"/>
      </patternFill>
    </fill>
    <fill>
      <patternFill patternType="solid">
        <fgColor rgb="FFDB7093"/>
      </patternFill>
    </fill>
    <fill>
      <patternFill patternType="solid">
        <fgColor rgb="FFB9D3EE"/>
      </patternFill>
    </fill>
    <fill>
      <patternFill patternType="solid">
        <fgColor rgb="FF8B864E"/>
      </patternFill>
    </fill>
    <fill>
      <patternFill patternType="solid">
        <fgColor rgb="FF7B68EE"/>
      </patternFill>
    </fill>
    <fill>
      <patternFill patternType="solid">
        <fgColor rgb="FFEEB422"/>
      </patternFill>
    </fill>
    <fill>
      <patternFill patternType="lightGrid">
        <fgColor rgb="FFFF00FF"/>
      </patternFill>
    </fill>
    <fill>
      <patternFill patternType="solid">
        <fgColor rgb="FF00CD00"/>
      </patternFill>
    </fill>
    <fill>
      <patternFill patternType="solid">
        <fgColor rgb="FF4D4D4D"/>
      </patternFill>
    </fill>
    <fill>
      <patternFill patternType="solid">
        <fgColor rgb="FF8B7500"/>
      </patternFill>
    </fill>
    <fill>
      <patternFill patternType="solid">
        <fgColor rgb="FF7F7F7F"/>
      </patternFill>
    </fill>
    <fill>
      <patternFill patternType="solid">
        <fgColor rgb="FFFF6600"/>
      </patternFill>
    </fill>
    <fill>
      <patternFill patternType="solid">
        <fgColor rgb="FF800000"/>
      </patternFill>
    </fill>
    <fill>
      <patternFill patternType="solid">
        <fgColor rgb="FF008080"/>
      </patternFill>
    </fill>
    <fill>
      <patternFill patternType="solid">
        <fgColor rgb="FFFFFFCC"/>
      </patternFill>
    </fill>
    <fill>
      <patternFill patternType="solid">
        <fgColor rgb="FFCCFFCC"/>
      </patternFill>
    </fill>
    <fill>
      <patternFill patternType="solid">
        <fgColor rgb="FFCCCCFF"/>
      </patternFill>
    </fill>
    <fill>
      <patternFill patternType="solid">
        <fgColor rgb="FFFFCC99"/>
      </patternFill>
    </fill>
    <fill>
      <patternFill patternType="solid">
        <fgColor rgb="FFCC99FF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/>
      <bottom style="double">
        <color indexed="8"/>
      </bottom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1" fillId="0" borderId="0"/>
    <xf numFmtId="178" fontId="1" fillId="0" borderId="0"/>
    <xf numFmtId="37" fontId="6" fillId="0" borderId="0"/>
    <xf numFmtId="0" fontId="1" fillId="0" borderId="0"/>
    <xf numFmtId="181" fontId="8" fillId="0" borderId="0"/>
    <xf numFmtId="9" fontId="1" fillId="0" borderId="0"/>
  </cellStyleXfs>
  <cellXfs count="318">
    <xf numFmtId="0" fontId="0" fillId="0" borderId="0" xfId="0"/>
    <xf numFmtId="0" fontId="2" fillId="0" borderId="0" xfId="0" applyFont="1" applyAlignment="1">
      <alignment horizontal="right"/>
    </xf>
    <xf numFmtId="18" fontId="2" fillId="0" borderId="0" xfId="0" applyNumberFormat="1" applyFont="1" applyAlignment="1">
      <alignment horizontal="right"/>
    </xf>
    <xf numFmtId="0" fontId="0" fillId="0" borderId="1" xfId="0" applyBorder="1"/>
    <xf numFmtId="14" fontId="2" fillId="0" borderId="0" xfId="0" applyNumberFormat="1" applyFont="1" applyAlignment="1">
      <alignment horizontal="right"/>
    </xf>
    <xf numFmtId="18" fontId="2" fillId="0" borderId="0" xfId="0" applyNumberFormat="1" applyFont="1"/>
    <xf numFmtId="0" fontId="5" fillId="0" borderId="0" xfId="0" applyFont="1"/>
    <xf numFmtId="1" fontId="0" fillId="0" borderId="1" xfId="0" quotePrefix="1" applyNumberFormat="1" applyBorder="1" applyAlignment="1">
      <alignment horizontal="center"/>
    </xf>
    <xf numFmtId="1" fontId="6" fillId="0" borderId="1" xfId="0" quotePrefix="1" applyNumberFormat="1" applyFont="1" applyBorder="1" applyAlignment="1">
      <alignment horizontal="center"/>
    </xf>
    <xf numFmtId="0" fontId="0" fillId="0" borderId="0" xfId="0" quotePrefix="1"/>
    <xf numFmtId="1" fontId="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37" fontId="10" fillId="0" borderId="0" xfId="0" applyNumberFormat="1" applyFont="1"/>
    <xf numFmtId="37" fontId="6" fillId="0" borderId="0" xfId="0" applyNumberFormat="1" applyFont="1"/>
    <xf numFmtId="37" fontId="6" fillId="0" borderId="1" xfId="0" applyNumberFormat="1" applyFont="1" applyBorder="1"/>
    <xf numFmtId="37" fontId="9" fillId="0" borderId="0" xfId="0" applyNumberFormat="1" applyFont="1"/>
    <xf numFmtId="37" fontId="9" fillId="0" borderId="1" xfId="0" applyNumberFormat="1" applyFont="1" applyBorder="1"/>
    <xf numFmtId="0" fontId="6" fillId="0" borderId="0" xfId="0" applyFont="1"/>
    <xf numFmtId="37" fontId="6" fillId="0" borderId="0" xfId="4" applyNumberFormat="1" applyFont="1"/>
    <xf numFmtId="0" fontId="6" fillId="0" borderId="0" xfId="0" applyFont="1" applyAlignment="1">
      <alignment horizontal="left"/>
    </xf>
    <xf numFmtId="0" fontId="6" fillId="0" borderId="0" xfId="0" quotePrefix="1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6" fillId="0" borderId="0" xfId="0" quotePrefix="1" applyFont="1" applyAlignment="1">
      <alignment horizontal="left"/>
    </xf>
    <xf numFmtId="0" fontId="1" fillId="0" borderId="0" xfId="0" applyFont="1"/>
    <xf numFmtId="0" fontId="2" fillId="0" borderId="1" xfId="0" applyFont="1" applyBorder="1" applyAlignment="1">
      <alignment horizontal="center"/>
    </xf>
    <xf numFmtId="37" fontId="9" fillId="0" borderId="0" xfId="3" applyFont="1" applyAlignment="1">
      <alignment horizontal="left"/>
    </xf>
    <xf numFmtId="37" fontId="9" fillId="0" borderId="0" xfId="3" applyFont="1"/>
    <xf numFmtId="0" fontId="4" fillId="0" borderId="0" xfId="0" applyFont="1" applyAlignment="1">
      <alignment horizontal="centerContinuous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Continuous"/>
    </xf>
    <xf numFmtId="0" fontId="9" fillId="0" borderId="0" xfId="0" applyFont="1"/>
    <xf numFmtId="17" fontId="9" fillId="0" borderId="1" xfId="0" quotePrefix="1" applyNumberFormat="1" applyFont="1" applyBorder="1" applyAlignment="1">
      <alignment horizontal="center"/>
    </xf>
    <xf numFmtId="17" fontId="9" fillId="0" borderId="0" xfId="0" quotePrefix="1" applyNumberFormat="1" applyFont="1" applyAlignment="1">
      <alignment horizontal="center"/>
    </xf>
    <xf numFmtId="17" fontId="9" fillId="0" borderId="6" xfId="0" quotePrefix="1" applyNumberFormat="1" applyFont="1" applyBorder="1" applyAlignment="1">
      <alignment horizontal="centerContinuous"/>
    </xf>
    <xf numFmtId="17" fontId="9" fillId="0" borderId="0" xfId="0" quotePrefix="1" applyNumberFormat="1" applyFont="1" applyAlignment="1">
      <alignment horizontal="centerContinuous"/>
    </xf>
    <xf numFmtId="0" fontId="4" fillId="0" borderId="0" xfId="0" applyFont="1"/>
    <xf numFmtId="0" fontId="14" fillId="0" borderId="0" xfId="0" applyFont="1"/>
    <xf numFmtId="37" fontId="13" fillId="0" borderId="0" xfId="3" quotePrefix="1" applyFont="1" applyAlignment="1">
      <alignment horizontal="left"/>
    </xf>
    <xf numFmtId="37" fontId="13" fillId="0" borderId="0" xfId="3" applyFont="1"/>
    <xf numFmtId="37" fontId="13" fillId="0" borderId="0" xfId="3" applyFont="1" applyAlignment="1">
      <alignment horizontal="left"/>
    </xf>
    <xf numFmtId="37" fontId="16" fillId="0" borderId="0" xfId="3" applyFont="1"/>
    <xf numFmtId="0" fontId="17" fillId="0" borderId="0" xfId="0" applyFont="1"/>
    <xf numFmtId="0" fontId="18" fillId="0" borderId="6" xfId="0" applyFont="1" applyBorder="1"/>
    <xf numFmtId="0" fontId="17" fillId="0" borderId="0" xfId="0" applyFont="1" applyAlignment="1">
      <alignment horizontal="left"/>
    </xf>
    <xf numFmtId="0" fontId="18" fillId="0" borderId="1" xfId="0" applyFont="1" applyBorder="1"/>
    <xf numFmtId="9" fontId="18" fillId="0" borderId="0" xfId="6" applyFont="1"/>
    <xf numFmtId="0" fontId="18" fillId="0" borderId="0" xfId="0" applyFont="1"/>
    <xf numFmtId="0" fontId="15" fillId="0" borderId="1" xfId="0" applyFont="1" applyBorder="1"/>
    <xf numFmtId="0" fontId="15" fillId="0" borderId="6" xfId="0" applyFont="1" applyBorder="1"/>
    <xf numFmtId="0" fontId="19" fillId="0" borderId="0" xfId="0" applyFont="1"/>
    <xf numFmtId="0" fontId="18" fillId="0" borderId="0" xfId="0" applyFont="1" applyAlignment="1">
      <alignment horizontal="right"/>
    </xf>
    <xf numFmtId="0" fontId="16" fillId="0" borderId="0" xfId="0" applyFont="1"/>
    <xf numFmtId="0" fontId="20" fillId="0" borderId="0" xfId="0" applyFont="1"/>
    <xf numFmtId="0" fontId="15" fillId="0" borderId="0" xfId="0" applyFont="1" applyAlignment="1">
      <alignment horizontal="left"/>
    </xf>
    <xf numFmtId="0" fontId="21" fillId="0" borderId="0" xfId="0" applyFont="1" applyAlignment="1">
      <alignment horizontal="centerContinuous"/>
    </xf>
    <xf numFmtId="0" fontId="22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" fontId="17" fillId="0" borderId="1" xfId="0" quotePrefix="1" applyNumberFormat="1" applyFont="1" applyBorder="1" applyAlignment="1">
      <alignment horizontal="center"/>
    </xf>
    <xf numFmtId="17" fontId="17" fillId="0" borderId="0" xfId="0" quotePrefix="1" applyNumberFormat="1" applyFont="1" applyAlignment="1">
      <alignment horizontal="center"/>
    </xf>
    <xf numFmtId="17" fontId="17" fillId="0" borderId="6" xfId="0" quotePrefix="1" applyNumberFormat="1" applyFont="1" applyBorder="1" applyAlignment="1">
      <alignment horizontal="centerContinuous"/>
    </xf>
    <xf numFmtId="17" fontId="17" fillId="0" borderId="0" xfId="0" quotePrefix="1" applyNumberFormat="1" applyFont="1" applyAlignment="1">
      <alignment horizontal="centerContinuous"/>
    </xf>
    <xf numFmtId="1" fontId="4" fillId="0" borderId="1" xfId="0" quotePrefix="1" applyNumberFormat="1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37" fontId="7" fillId="0" borderId="0" xfId="0" quotePrefix="1" applyNumberFormat="1" applyFont="1" applyAlignment="1">
      <alignment horizontal="right"/>
    </xf>
    <xf numFmtId="0" fontId="21" fillId="0" borderId="0" xfId="0" applyFont="1"/>
    <xf numFmtId="37" fontId="24" fillId="0" borderId="0" xfId="3" applyFont="1"/>
    <xf numFmtId="0" fontId="23" fillId="0" borderId="0" xfId="0" applyFont="1" applyAlignment="1">
      <alignment wrapText="1"/>
    </xf>
    <xf numFmtId="0" fontId="23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8" fillId="0" borderId="0" xfId="0" applyFont="1" applyAlignment="1">
      <alignment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15" fillId="0" borderId="0" xfId="0" applyFont="1" applyAlignment="1">
      <alignment horizontal="center"/>
    </xf>
    <xf numFmtId="0" fontId="15" fillId="0" borderId="0" xfId="0" applyFont="1"/>
    <xf numFmtId="0" fontId="0" fillId="0" borderId="0" xfId="0"/>
    <xf numFmtId="0" fontId="6" fillId="0" borderId="0" xfId="0" quotePrefix="1" applyFont="1" applyAlignment="1">
      <alignment horizontal="center"/>
    </xf>
    <xf numFmtId="176" fontId="0" fillId="0" borderId="0" xfId="2" applyNumberFormat="1" applyFont="1"/>
    <xf numFmtId="176" fontId="0" fillId="2" borderId="0" xfId="2" applyNumberFormat="1" applyFont="1" applyFill="1"/>
    <xf numFmtId="176" fontId="0" fillId="3" borderId="0" xfId="2" applyNumberFormat="1" applyFont="1" applyFill="1"/>
    <xf numFmtId="177" fontId="0" fillId="0" borderId="0" xfId="1" applyNumberFormat="1" applyFont="1"/>
    <xf numFmtId="177" fontId="0" fillId="2" borderId="0" xfId="1" applyNumberFormat="1" applyFont="1" applyFill="1"/>
    <xf numFmtId="177" fontId="0" fillId="3" borderId="0" xfId="1" applyNumberFormat="1" applyFont="1" applyFill="1"/>
    <xf numFmtId="177" fontId="0" fillId="2" borderId="1" xfId="1" applyNumberFormat="1" applyFont="1" applyFill="1" applyBorder="1"/>
    <xf numFmtId="177" fontId="0" fillId="3" borderId="1" xfId="1" applyNumberFormat="1" applyFont="1" applyFill="1" applyBorder="1"/>
    <xf numFmtId="177" fontId="0" fillId="0" borderId="1" xfId="1" applyNumberFormat="1" applyFont="1" applyBorder="1"/>
    <xf numFmtId="177" fontId="0" fillId="5" borderId="0" xfId="1" applyNumberFormat="1" applyFont="1" applyFill="1"/>
    <xf numFmtId="177" fontId="0" fillId="2" borderId="2" xfId="1" applyNumberFormat="1" applyFont="1" applyFill="1" applyBorder="1"/>
    <xf numFmtId="177" fontId="0" fillId="3" borderId="2" xfId="1" applyNumberFormat="1" applyFont="1" applyFill="1" applyBorder="1"/>
    <xf numFmtId="177" fontId="0" fillId="7" borderId="2" xfId="1" applyNumberFormat="1" applyFont="1" applyFill="1" applyBorder="1"/>
    <xf numFmtId="177" fontId="0" fillId="0" borderId="0" xfId="0" applyNumberFormat="1"/>
    <xf numFmtId="177" fontId="0" fillId="8" borderId="0" xfId="1" applyNumberFormat="1" applyFont="1" applyFill="1"/>
    <xf numFmtId="177" fontId="0" fillId="6" borderId="2" xfId="1" applyNumberFormat="1" applyFont="1" applyFill="1" applyBorder="1"/>
    <xf numFmtId="177" fontId="0" fillId="6" borderId="0" xfId="1" applyNumberFormat="1" applyFont="1" applyFill="1"/>
    <xf numFmtId="177" fontId="0" fillId="9" borderId="0" xfId="1" applyNumberFormat="1" applyFont="1" applyFill="1"/>
    <xf numFmtId="43" fontId="0" fillId="0" borderId="0" xfId="1" applyFont="1"/>
    <xf numFmtId="177" fontId="0" fillId="12" borderId="0" xfId="1" applyNumberFormat="1" applyFont="1" applyFill="1"/>
    <xf numFmtId="176" fontId="0" fillId="2" borderId="3" xfId="2" applyNumberFormat="1" applyFont="1" applyFill="1" applyBorder="1"/>
    <xf numFmtId="176" fontId="0" fillId="3" borderId="3" xfId="2" applyNumberFormat="1" applyFont="1" applyFill="1" applyBorder="1"/>
    <xf numFmtId="176" fontId="0" fillId="11" borderId="3" xfId="2" applyNumberFormat="1" applyFont="1" applyFill="1" applyBorder="1"/>
    <xf numFmtId="178" fontId="0" fillId="0" borderId="0" xfId="2" applyFont="1"/>
    <xf numFmtId="43" fontId="0" fillId="13" borderId="0" xfId="1" applyFont="1" applyFill="1"/>
    <xf numFmtId="43" fontId="0" fillId="14" borderId="1" xfId="1" applyFont="1" applyFill="1" applyBorder="1"/>
    <xf numFmtId="43" fontId="0" fillId="20" borderId="1" xfId="1" applyFont="1" applyFill="1" applyBorder="1"/>
    <xf numFmtId="43" fontId="0" fillId="0" borderId="1" xfId="1" applyFont="1" applyBorder="1"/>
    <xf numFmtId="178" fontId="0" fillId="0" borderId="4" xfId="2" applyFont="1" applyBorder="1"/>
    <xf numFmtId="177" fontId="0" fillId="0" borderId="3" xfId="1" applyNumberFormat="1" applyFont="1" applyBorder="1"/>
    <xf numFmtId="43" fontId="0" fillId="0" borderId="0" xfId="0" applyNumberFormat="1"/>
    <xf numFmtId="177" fontId="0" fillId="15" borderId="0" xfId="1" applyNumberFormat="1" applyFont="1" applyFill="1"/>
    <xf numFmtId="177" fontId="0" fillId="4" borderId="0" xfId="0" applyNumberFormat="1" applyFill="1"/>
    <xf numFmtId="179" fontId="0" fillId="16" borderId="0" xfId="0" applyNumberFormat="1" applyFill="1"/>
    <xf numFmtId="179" fontId="0" fillId="17" borderId="0" xfId="0" applyNumberFormat="1" applyFill="1"/>
    <xf numFmtId="179" fontId="0" fillId="18" borderId="0" xfId="0" applyNumberFormat="1" applyFill="1"/>
    <xf numFmtId="180" fontId="0" fillId="19" borderId="0" xfId="0" applyNumberFormat="1" applyFill="1"/>
    <xf numFmtId="179" fontId="0" fillId="0" borderId="0" xfId="0" applyNumberFormat="1"/>
    <xf numFmtId="180" fontId="0" fillId="0" borderId="0" xfId="1" applyNumberFormat="1" applyFont="1"/>
    <xf numFmtId="180" fontId="0" fillId="0" borderId="0" xfId="0" applyNumberFormat="1"/>
    <xf numFmtId="176" fontId="18" fillId="0" borderId="0" xfId="2" applyNumberFormat="1" applyFont="1"/>
    <xf numFmtId="42" fontId="18" fillId="0" borderId="0" xfId="2" applyNumberFormat="1" applyFont="1"/>
    <xf numFmtId="176" fontId="18" fillId="2" borderId="0" xfId="2" applyNumberFormat="1" applyFont="1" applyFill="1"/>
    <xf numFmtId="176" fontId="18" fillId="3" borderId="0" xfId="2" applyNumberFormat="1" applyFont="1" applyFill="1"/>
    <xf numFmtId="41" fontId="18" fillId="0" borderId="1" xfId="0" applyNumberFormat="1" applyFont="1" applyBorder="1"/>
    <xf numFmtId="0" fontId="18" fillId="2" borderId="1" xfId="0" applyFont="1" applyFill="1" applyBorder="1"/>
    <xf numFmtId="0" fontId="18" fillId="3" borderId="1" xfId="0" applyFont="1" applyFill="1" applyBorder="1"/>
    <xf numFmtId="0" fontId="15" fillId="4" borderId="0" xfId="0" applyFont="1" applyFill="1"/>
    <xf numFmtId="41" fontId="15" fillId="4" borderId="0" xfId="0" applyNumberFormat="1" applyFont="1" applyFill="1"/>
    <xf numFmtId="41" fontId="15" fillId="0" borderId="0" xfId="0" applyNumberFormat="1" applyFont="1"/>
    <xf numFmtId="41" fontId="15" fillId="0" borderId="6" xfId="0" applyNumberFormat="1" applyFont="1" applyBorder="1"/>
    <xf numFmtId="0" fontId="15" fillId="2" borderId="0" xfId="0" applyFont="1" applyFill="1"/>
    <xf numFmtId="0" fontId="15" fillId="3" borderId="0" xfId="0" applyFont="1" applyFill="1"/>
    <xf numFmtId="177" fontId="18" fillId="0" borderId="0" xfId="1" applyNumberFormat="1" applyFont="1"/>
    <xf numFmtId="43" fontId="18" fillId="0" borderId="0" xfId="1" applyFont="1"/>
    <xf numFmtId="41" fontId="18" fillId="0" borderId="0" xfId="1" applyNumberFormat="1" applyFont="1"/>
    <xf numFmtId="41" fontId="18" fillId="0" borderId="6" xfId="0" applyNumberFormat="1" applyFont="1" applyBorder="1"/>
    <xf numFmtId="177" fontId="18" fillId="2" borderId="0" xfId="1" applyNumberFormat="1" applyFont="1" applyFill="1"/>
    <xf numFmtId="177" fontId="18" fillId="3" borderId="0" xfId="1" applyNumberFormat="1" applyFont="1" applyFill="1"/>
    <xf numFmtId="0" fontId="18" fillId="5" borderId="7" xfId="0" applyFont="1" applyFill="1" applyBorder="1"/>
    <xf numFmtId="41" fontId="18" fillId="5" borderId="7" xfId="0" applyNumberFormat="1" applyFont="1" applyFill="1" applyBorder="1"/>
    <xf numFmtId="41" fontId="18" fillId="0" borderId="0" xfId="0" applyNumberFormat="1" applyFont="1"/>
    <xf numFmtId="41" fontId="18" fillId="0" borderId="6" xfId="1" applyNumberFormat="1" applyFont="1" applyBorder="1"/>
    <xf numFmtId="41" fontId="18" fillId="2" borderId="0" xfId="1" applyNumberFormat="1" applyFont="1" applyFill="1"/>
    <xf numFmtId="41" fontId="18" fillId="2" borderId="0" xfId="0" applyNumberFormat="1" applyFont="1" applyFill="1"/>
    <xf numFmtId="0" fontId="18" fillId="3" borderId="0" xfId="0" applyFont="1" applyFill="1"/>
    <xf numFmtId="0" fontId="15" fillId="7" borderId="2" xfId="0" applyFont="1" applyFill="1" applyBorder="1"/>
    <xf numFmtId="41" fontId="15" fillId="7" borderId="2" xfId="0" applyNumberFormat="1" applyFont="1" applyFill="1" applyBorder="1"/>
    <xf numFmtId="0" fontId="18" fillId="9" borderId="7" xfId="0" applyFont="1" applyFill="1" applyBorder="1"/>
    <xf numFmtId="41" fontId="18" fillId="0" borderId="0" xfId="6" applyNumberFormat="1" applyFont="1"/>
    <xf numFmtId="0" fontId="15" fillId="8" borderId="0" xfId="0" applyFont="1" applyFill="1"/>
    <xf numFmtId="41" fontId="15" fillId="8" borderId="0" xfId="0" applyNumberFormat="1" applyFont="1" applyFill="1"/>
    <xf numFmtId="41" fontId="15" fillId="20" borderId="0" xfId="0" applyNumberFormat="1" applyFont="1" applyFill="1"/>
    <xf numFmtId="0" fontId="18" fillId="2" borderId="0" xfId="0" applyFont="1" applyFill="1"/>
    <xf numFmtId="183" fontId="18" fillId="0" borderId="0" xfId="1" applyNumberFormat="1" applyFont="1"/>
    <xf numFmtId="0" fontId="18" fillId="10" borderId="7" xfId="0" applyFont="1" applyFill="1" applyBorder="1"/>
    <xf numFmtId="41" fontId="18" fillId="3" borderId="0" xfId="0" applyNumberFormat="1" applyFont="1" applyFill="1"/>
    <xf numFmtId="41" fontId="18" fillId="11" borderId="7" xfId="0" applyNumberFormat="1" applyFont="1" applyFill="1" applyBorder="1"/>
    <xf numFmtId="41" fontId="15" fillId="0" borderId="0" xfId="1" applyNumberFormat="1" applyFont="1"/>
    <xf numFmtId="0" fontId="15" fillId="12" borderId="7" xfId="0" applyFont="1" applyFill="1" applyBorder="1"/>
    <xf numFmtId="41" fontId="15" fillId="12" borderId="7" xfId="0" applyNumberFormat="1" applyFont="1" applyFill="1" applyBorder="1"/>
    <xf numFmtId="0" fontId="15" fillId="20" borderId="0" xfId="0" applyFont="1" applyFill="1"/>
    <xf numFmtId="41" fontId="15" fillId="0" borderId="1" xfId="0" applyNumberFormat="1" applyFont="1" applyBorder="1"/>
    <xf numFmtId="41" fontId="18" fillId="2" borderId="12" xfId="0" applyNumberFormat="1" applyFont="1" applyFill="1" applyBorder="1"/>
    <xf numFmtId="41" fontId="18" fillId="3" borderId="1" xfId="0" applyNumberFormat="1" applyFont="1" applyFill="1" applyBorder="1"/>
    <xf numFmtId="0" fontId="15" fillId="13" borderId="0" xfId="0" applyFont="1" applyFill="1"/>
    <xf numFmtId="43" fontId="15" fillId="0" borderId="0" xfId="0" applyNumberFormat="1" applyFont="1"/>
    <xf numFmtId="41" fontId="15" fillId="0" borderId="1" xfId="1" applyNumberFormat="1" applyFont="1" applyBorder="1"/>
    <xf numFmtId="41" fontId="15" fillId="14" borderId="0" xfId="1" applyNumberFormat="1" applyFont="1" applyFill="1"/>
    <xf numFmtId="177" fontId="15" fillId="14" borderId="0" xfId="1" applyNumberFormat="1" applyFont="1" applyFill="1"/>
    <xf numFmtId="177" fontId="15" fillId="0" borderId="0" xfId="1" applyNumberFormat="1" applyFont="1"/>
    <xf numFmtId="176" fontId="18" fillId="15" borderId="0" xfId="2" applyNumberFormat="1" applyFont="1" applyFill="1"/>
    <xf numFmtId="176" fontId="18" fillId="0" borderId="6" xfId="2" applyNumberFormat="1" applyFont="1" applyBorder="1"/>
    <xf numFmtId="177" fontId="18" fillId="0" borderId="0" xfId="1" applyNumberFormat="1" applyFont="1" applyAlignment="1">
      <alignment horizontal="right"/>
    </xf>
    <xf numFmtId="41" fontId="18" fillId="0" borderId="0" xfId="0" applyNumberFormat="1" applyFont="1" applyAlignment="1">
      <alignment horizontal="right"/>
    </xf>
    <xf numFmtId="41" fontId="17" fillId="0" borderId="0" xfId="1" applyNumberFormat="1" applyFont="1"/>
    <xf numFmtId="177" fontId="17" fillId="0" borderId="0" xfId="1" applyNumberFormat="1" applyFont="1"/>
    <xf numFmtId="41" fontId="17" fillId="0" borderId="6" xfId="1" applyNumberFormat="1" applyFont="1" applyBorder="1"/>
    <xf numFmtId="41" fontId="18" fillId="20" borderId="0" xfId="0" applyNumberFormat="1" applyFont="1" applyFill="1"/>
    <xf numFmtId="177" fontId="18" fillId="16" borderId="2" xfId="1" applyNumberFormat="1" applyFont="1" applyFill="1" applyBorder="1"/>
    <xf numFmtId="0" fontId="18" fillId="17" borderId="0" xfId="0" applyFont="1" applyFill="1"/>
    <xf numFmtId="177" fontId="18" fillId="17" borderId="0" xfId="1" applyNumberFormat="1" applyFont="1" applyFill="1"/>
    <xf numFmtId="177" fontId="18" fillId="0" borderId="6" xfId="1" applyNumberFormat="1" applyFont="1" applyBorder="1"/>
    <xf numFmtId="177" fontId="18" fillId="0" borderId="1" xfId="1" applyNumberFormat="1" applyFont="1" applyBorder="1"/>
    <xf numFmtId="41" fontId="18" fillId="2" borderId="12" xfId="1" applyNumberFormat="1" applyFont="1" applyFill="1" applyBorder="1"/>
    <xf numFmtId="41" fontId="15" fillId="18" borderId="0" xfId="2" applyNumberFormat="1" applyFont="1" applyFill="1"/>
    <xf numFmtId="41" fontId="15" fillId="0" borderId="0" xfId="2" applyNumberFormat="1" applyFont="1"/>
    <xf numFmtId="41" fontId="18" fillId="0" borderId="0" xfId="2" applyNumberFormat="1" applyFont="1"/>
    <xf numFmtId="41" fontId="18" fillId="2" borderId="0" xfId="2" applyNumberFormat="1" applyFont="1" applyFill="1"/>
    <xf numFmtId="41" fontId="18" fillId="3" borderId="0" xfId="2" applyNumberFormat="1" applyFont="1" applyFill="1"/>
    <xf numFmtId="41" fontId="18" fillId="0" borderId="1" xfId="2" applyNumberFormat="1" applyFont="1" applyBorder="1"/>
    <xf numFmtId="41" fontId="18" fillId="2" borderId="12" xfId="2" applyNumberFormat="1" applyFont="1" applyFill="1" applyBorder="1"/>
    <xf numFmtId="41" fontId="18" fillId="3" borderId="1" xfId="2" applyNumberFormat="1" applyFont="1" applyFill="1" applyBorder="1"/>
    <xf numFmtId="41" fontId="18" fillId="6" borderId="0" xfId="2" applyNumberFormat="1" applyFont="1" applyFill="1"/>
    <xf numFmtId="42" fontId="18" fillId="19" borderId="3" xfId="0" applyNumberFormat="1" applyFont="1" applyFill="1" applyBorder="1"/>
    <xf numFmtId="42" fontId="18" fillId="0" borderId="0" xfId="0" applyNumberFormat="1" applyFont="1"/>
    <xf numFmtId="42" fontId="18" fillId="21" borderId="0" xfId="0" applyNumberFormat="1" applyFont="1" applyFill="1"/>
    <xf numFmtId="42" fontId="18" fillId="22" borderId="0" xfId="0" applyNumberFormat="1" applyFont="1" applyFill="1"/>
    <xf numFmtId="42" fontId="18" fillId="23" borderId="0" xfId="0" applyNumberFormat="1" applyFont="1" applyFill="1"/>
    <xf numFmtId="42" fontId="18" fillId="2" borderId="0" xfId="0" applyNumberFormat="1" applyFont="1" applyFill="1"/>
    <xf numFmtId="42" fontId="18" fillId="3" borderId="0" xfId="0" applyNumberFormat="1" applyFont="1" applyFill="1"/>
    <xf numFmtId="41" fontId="18" fillId="24" borderId="0" xfId="0" applyNumberFormat="1" applyFont="1" applyFill="1"/>
    <xf numFmtId="41" fontId="18" fillId="28" borderId="0" xfId="0" applyNumberFormat="1" applyFont="1" applyFill="1"/>
    <xf numFmtId="41" fontId="18" fillId="29" borderId="0" xfId="0" applyNumberFormat="1" applyFont="1" applyFill="1"/>
    <xf numFmtId="41" fontId="18" fillId="30" borderId="0" xfId="0" applyNumberFormat="1" applyFont="1" applyFill="1"/>
    <xf numFmtId="41" fontId="18" fillId="31" borderId="1" xfId="0" applyNumberFormat="1" applyFont="1" applyFill="1" applyBorder="1"/>
    <xf numFmtId="42" fontId="18" fillId="32" borderId="4" xfId="0" applyNumberFormat="1" applyFont="1" applyFill="1" applyBorder="1"/>
    <xf numFmtId="42" fontId="15" fillId="32" borderId="4" xfId="0" applyNumberFormat="1" applyFont="1" applyFill="1" applyBorder="1"/>
    <xf numFmtId="176" fontId="0" fillId="3" borderId="4" xfId="2" applyNumberFormat="1" applyFont="1" applyFill="1" applyBorder="1"/>
    <xf numFmtId="177" fontId="0" fillId="4" borderId="0" xfId="1" applyNumberFormat="1" applyFont="1" applyFill="1"/>
    <xf numFmtId="176" fontId="0" fillId="5" borderId="4" xfId="2" applyNumberFormat="1" applyFont="1" applyFill="1" applyBorder="1"/>
    <xf numFmtId="182" fontId="12" fillId="0" borderId="1" xfId="3" applyNumberFormat="1" applyFont="1" applyBorder="1" applyAlignment="1">
      <alignment horizontal="center"/>
    </xf>
    <xf numFmtId="182" fontId="12" fillId="0" borderId="0" xfId="3" applyNumberFormat="1" applyFont="1" applyAlignment="1">
      <alignment horizontal="center"/>
    </xf>
    <xf numFmtId="176" fontId="13" fillId="0" borderId="0" xfId="2" applyNumberFormat="1" applyFont="1"/>
    <xf numFmtId="41" fontId="13" fillId="0" borderId="0" xfId="3" applyNumberFormat="1" applyFont="1"/>
    <xf numFmtId="41" fontId="13" fillId="0" borderId="1" xfId="3" applyNumberFormat="1" applyFont="1" applyBorder="1"/>
    <xf numFmtId="41" fontId="13" fillId="2" borderId="0" xfId="3" applyNumberFormat="1" applyFont="1" applyFill="1"/>
    <xf numFmtId="41" fontId="13" fillId="3" borderId="0" xfId="3" applyNumberFormat="1" applyFont="1" applyFill="1"/>
    <xf numFmtId="41" fontId="13" fillId="5" borderId="7" xfId="3" applyNumberFormat="1" applyFont="1" applyFill="1" applyBorder="1"/>
    <xf numFmtId="41" fontId="13" fillId="0" borderId="0" xfId="1" applyNumberFormat="1" applyFont="1"/>
    <xf numFmtId="41" fontId="13" fillId="6" borderId="8" xfId="3" applyNumberFormat="1" applyFont="1" applyFill="1" applyBorder="1"/>
    <xf numFmtId="41" fontId="13" fillId="9" borderId="0" xfId="3" applyNumberFormat="1" applyFont="1" applyFill="1"/>
    <xf numFmtId="41" fontId="13" fillId="0" borderId="9" xfId="3" applyNumberFormat="1" applyFont="1" applyBorder="1"/>
    <xf numFmtId="41" fontId="13" fillId="4" borderId="0" xfId="3" applyNumberFormat="1" applyFont="1" applyFill="1"/>
    <xf numFmtId="41" fontId="13" fillId="10" borderId="0" xfId="3" applyNumberFormat="1" applyFont="1" applyFill="1"/>
    <xf numFmtId="41" fontId="13" fillId="11" borderId="0" xfId="3" applyNumberFormat="1" applyFont="1" applyFill="1"/>
    <xf numFmtId="41" fontId="13" fillId="13" borderId="0" xfId="3" applyNumberFormat="1" applyFont="1" applyFill="1"/>
    <xf numFmtId="41" fontId="13" fillId="15" borderId="8" xfId="3" applyNumberFormat="1" applyFont="1" applyFill="1" applyBorder="1"/>
    <xf numFmtId="177" fontId="4" fillId="0" borderId="0" xfId="1" applyNumberFormat="1" applyFont="1"/>
    <xf numFmtId="41" fontId="13" fillId="16" borderId="10" xfId="3" applyNumberFormat="1" applyFont="1" applyFill="1" applyBorder="1"/>
    <xf numFmtId="41" fontId="13" fillId="17" borderId="10" xfId="3" applyNumberFormat="1" applyFont="1" applyFill="1" applyBorder="1"/>
    <xf numFmtId="176" fontId="13" fillId="18" borderId="11" xfId="2" applyNumberFormat="1" applyFont="1" applyFill="1" applyBorder="1"/>
    <xf numFmtId="176" fontId="13" fillId="19" borderId="11" xfId="2" applyNumberFormat="1" applyFont="1" applyFill="1" applyBorder="1"/>
    <xf numFmtId="42" fontId="13" fillId="19" borderId="11" xfId="2" applyNumberFormat="1" applyFont="1" applyFill="1" applyBorder="1"/>
    <xf numFmtId="42" fontId="4" fillId="0" borderId="0" xfId="0" applyNumberFormat="1" applyFont="1"/>
    <xf numFmtId="182" fontId="13" fillId="0" borderId="1" xfId="3" applyNumberFormat="1" applyFont="1" applyBorder="1" applyAlignment="1">
      <alignment horizontal="center"/>
    </xf>
    <xf numFmtId="182" fontId="13" fillId="0" borderId="0" xfId="3" applyNumberFormat="1" applyFont="1" applyAlignment="1">
      <alignment horizontal="center"/>
    </xf>
    <xf numFmtId="42" fontId="13" fillId="0" borderId="1" xfId="3" applyNumberFormat="1" applyFont="1" applyBorder="1" applyAlignment="1">
      <alignment horizontal="center"/>
    </xf>
    <xf numFmtId="42" fontId="13" fillId="0" borderId="0" xfId="2" applyNumberFormat="1" applyFont="1"/>
    <xf numFmtId="177" fontId="13" fillId="0" borderId="1" xfId="1" applyNumberFormat="1" applyFont="1" applyBorder="1"/>
    <xf numFmtId="177" fontId="13" fillId="0" borderId="0" xfId="1" applyNumberFormat="1" applyFont="1"/>
    <xf numFmtId="41" fontId="13" fillId="0" borderId="1" xfId="1" applyNumberFormat="1" applyFont="1" applyBorder="1"/>
    <xf numFmtId="177" fontId="13" fillId="22" borderId="0" xfId="1" applyNumberFormat="1" applyFont="1" applyFill="1"/>
    <xf numFmtId="41" fontId="13" fillId="22" borderId="0" xfId="1" applyNumberFormat="1" applyFont="1" applyFill="1"/>
    <xf numFmtId="41" fontId="13" fillId="23" borderId="8" xfId="3" applyNumberFormat="1" applyFont="1" applyFill="1" applyBorder="1"/>
    <xf numFmtId="41" fontId="13" fillId="12" borderId="0" xfId="3" applyNumberFormat="1" applyFont="1" applyFill="1"/>
    <xf numFmtId="41" fontId="13" fillId="24" borderId="8" xfId="3" applyNumberFormat="1" applyFont="1" applyFill="1" applyBorder="1"/>
    <xf numFmtId="41" fontId="13" fillId="25" borderId="0" xfId="3" applyNumberFormat="1" applyFont="1" applyFill="1"/>
    <xf numFmtId="41" fontId="13" fillId="7" borderId="8" xfId="3" applyNumberFormat="1" applyFont="1" applyFill="1" applyBorder="1"/>
    <xf numFmtId="41" fontId="13" fillId="14" borderId="0" xfId="3" applyNumberFormat="1" applyFont="1" applyFill="1"/>
    <xf numFmtId="41" fontId="13" fillId="8" borderId="2" xfId="3" applyNumberFormat="1" applyFont="1" applyFill="1" applyBorder="1"/>
    <xf numFmtId="41" fontId="13" fillId="26" borderId="0" xfId="3" applyNumberFormat="1" applyFont="1" applyFill="1"/>
    <xf numFmtId="176" fontId="13" fillId="27" borderId="3" xfId="2" applyNumberFormat="1" applyFont="1" applyFill="1" applyBorder="1"/>
    <xf numFmtId="42" fontId="13" fillId="27" borderId="3" xfId="2" applyNumberFormat="1" applyFont="1" applyFill="1" applyBorder="1"/>
    <xf numFmtId="41" fontId="13" fillId="28" borderId="0" xfId="3" applyNumberFormat="1" applyFont="1" applyFill="1"/>
    <xf numFmtId="176" fontId="6" fillId="0" borderId="0" xfId="2" applyNumberFormat="1" applyFont="1"/>
    <xf numFmtId="176" fontId="6" fillId="2" borderId="0" xfId="2" applyNumberFormat="1" applyFont="1" applyFill="1"/>
    <xf numFmtId="41" fontId="6" fillId="0" borderId="0" xfId="2" applyNumberFormat="1" applyFont="1"/>
    <xf numFmtId="41" fontId="6" fillId="2" borderId="0" xfId="2" applyNumberFormat="1" applyFont="1" applyFill="1"/>
    <xf numFmtId="41" fontId="6" fillId="0" borderId="1" xfId="2" applyNumberFormat="1" applyFont="1" applyBorder="1" applyAlignment="1">
      <alignment horizontal="left"/>
    </xf>
    <xf numFmtId="41" fontId="6" fillId="0" borderId="1" xfId="2" applyNumberFormat="1" applyFont="1" applyBorder="1"/>
    <xf numFmtId="41" fontId="6" fillId="2" borderId="1" xfId="2" applyNumberFormat="1" applyFont="1" applyFill="1" applyBorder="1"/>
    <xf numFmtId="41" fontId="6" fillId="3" borderId="0" xfId="2" applyNumberFormat="1" applyFont="1" applyFill="1"/>
    <xf numFmtId="41" fontId="6" fillId="4" borderId="0" xfId="2" applyNumberFormat="1" applyFont="1" applyFill="1"/>
    <xf numFmtId="41" fontId="6" fillId="0" borderId="0" xfId="0" applyNumberFormat="1" applyFont="1"/>
    <xf numFmtId="41" fontId="6" fillId="2" borderId="0" xfId="0" applyNumberFormat="1" applyFont="1" applyFill="1"/>
    <xf numFmtId="177" fontId="6" fillId="0" borderId="0" xfId="5" applyNumberFormat="1" applyFont="1"/>
    <xf numFmtId="41" fontId="9" fillId="0" borderId="0" xfId="0" applyNumberFormat="1" applyFont="1"/>
    <xf numFmtId="41" fontId="6" fillId="0" borderId="1" xfId="0" applyNumberFormat="1" applyFont="1" applyBorder="1"/>
    <xf numFmtId="41" fontId="6" fillId="2" borderId="1" xfId="0" applyNumberFormat="1" applyFont="1" applyFill="1" applyBorder="1"/>
    <xf numFmtId="37" fontId="6" fillId="5" borderId="0" xfId="0" applyNumberFormat="1" applyFont="1" applyFill="1"/>
    <xf numFmtId="37" fontId="6" fillId="2" borderId="0" xfId="0" applyNumberFormat="1" applyFont="1" applyFill="1"/>
    <xf numFmtId="177" fontId="6" fillId="0" borderId="0" xfId="0" applyNumberFormat="1" applyFont="1"/>
    <xf numFmtId="37" fontId="6" fillId="6" borderId="0" xfId="0" applyNumberFormat="1" applyFont="1" applyFill="1"/>
    <xf numFmtId="37" fontId="6" fillId="7" borderId="0" xfId="0" applyNumberFormat="1" applyFont="1" applyFill="1"/>
    <xf numFmtId="37" fontId="6" fillId="8" borderId="0" xfId="0" applyNumberFormat="1" applyFont="1" applyFill="1"/>
    <xf numFmtId="181" fontId="0" fillId="0" borderId="0" xfId="0" applyNumberFormat="1"/>
    <xf numFmtId="177" fontId="6" fillId="9" borderId="0" xfId="1" applyNumberFormat="1" applyFont="1" applyFill="1"/>
    <xf numFmtId="177" fontId="6" fillId="2" borderId="0" xfId="1" applyNumberFormat="1" applyFont="1" applyFill="1"/>
    <xf numFmtId="176" fontId="6" fillId="10" borderId="3" xfId="2" applyNumberFormat="1" applyFont="1" applyFill="1" applyBorder="1"/>
    <xf numFmtId="43" fontId="11" fillId="0" borderId="0" xfId="0" applyNumberFormat="1" applyFont="1"/>
    <xf numFmtId="42" fontId="6" fillId="0" borderId="0" xfId="2" applyNumberFormat="1" applyFont="1"/>
    <xf numFmtId="42" fontId="6" fillId="0" borderId="0" xfId="0" applyNumberFormat="1" applyFont="1"/>
    <xf numFmtId="42" fontId="0" fillId="0" borderId="0" xfId="0" applyNumberFormat="1"/>
    <xf numFmtId="42" fontId="6" fillId="0" borderId="0" xfId="1" applyNumberFormat="1" applyFont="1"/>
    <xf numFmtId="42" fontId="11" fillId="0" borderId="0" xfId="0" applyNumberFormat="1" applyFont="1"/>
    <xf numFmtId="42" fontId="6" fillId="0" borderId="0" xfId="0" quotePrefix="1" applyNumberFormat="1" applyFont="1" applyAlignment="1">
      <alignment horizontal="left"/>
    </xf>
    <xf numFmtId="177" fontId="6" fillId="0" borderId="0" xfId="1" applyNumberFormat="1" applyFont="1"/>
    <xf numFmtId="41" fontId="11" fillId="0" borderId="0" xfId="0" applyNumberFormat="1" applyFont="1"/>
    <xf numFmtId="41" fontId="6" fillId="0" borderId="0" xfId="0" applyNumberFormat="1" applyFont="1" applyAlignment="1">
      <alignment horizontal="centerContinuous"/>
    </xf>
    <xf numFmtId="41" fontId="0" fillId="0" borderId="0" xfId="0" applyNumberFormat="1"/>
    <xf numFmtId="177" fontId="10" fillId="0" borderId="0" xfId="1" applyNumberFormat="1" applyFont="1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20" fillId="0" borderId="0" xfId="0" applyFont="1" applyAlignment="1">
      <alignment wrapText="1"/>
    </xf>
    <xf numFmtId="0" fontId="18" fillId="0" borderId="0" xfId="0" applyFont="1"/>
    <xf numFmtId="0" fontId="4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7" fillId="0" borderId="0" xfId="0" applyFont="1" applyAlignment="1">
      <alignment horizontal="left" wrapText="1"/>
    </xf>
    <xf numFmtId="0" fontId="4" fillId="21" borderId="0" xfId="0" applyFont="1" applyFill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37" fontId="6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quotePrefix="1" applyFont="1" applyAlignment="1">
      <alignment horizontal="center"/>
    </xf>
  </cellXfs>
  <cellStyles count="7">
    <cellStyle name="Normal_A" xfId="3" xr:uid="{00000000-0005-0000-0000-000003000000}"/>
    <cellStyle name="Normal_Asia2001" xfId="4" xr:uid="{00000000-0005-0000-0000-000004000000}"/>
    <cellStyle name="Normal_Mar 01CFa" xfId="5" xr:uid="{00000000-0005-0000-0000-000005000000}"/>
    <cellStyle name="百分比" xfId="6" builtinId="5"/>
    <cellStyle name="常规" xfId="0" builtinId="0"/>
    <cellStyle name="货币" xfId="2" builtinId="4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R82"/>
  <sheetViews>
    <sheetView tabSelected="1" workbookViewId="0">
      <selection activeCell="Q27" sqref="Q27"/>
    </sheetView>
  </sheetViews>
  <sheetFormatPr defaultRowHeight="12.75" x14ac:dyDescent="0.2"/>
  <cols>
    <col min="1" max="1" width="1.140625" style="82" customWidth="1"/>
    <col min="2" max="2" width="0.85546875" style="82" customWidth="1"/>
    <col min="3" max="3" width="0.7109375" style="82" customWidth="1"/>
    <col min="7" max="7" width="19.42578125" style="82" customWidth="1"/>
    <col min="8" max="8" width="12.42578125" style="82" customWidth="1"/>
    <col min="9" max="9" width="10.7109375" style="82" customWidth="1"/>
    <col min="10" max="10" width="1.140625" style="82" customWidth="1"/>
    <col min="11" max="11" width="12.7109375" style="82" customWidth="1"/>
    <col min="12" max="12" width="9.85546875" style="82" customWidth="1"/>
    <col min="13" max="13" width="15.5703125" style="82" customWidth="1"/>
    <col min="14" max="14" width="16.42578125" style="82" hidden="1" customWidth="1"/>
    <col min="15" max="15" width="0" style="82" hidden="1"/>
    <col min="16" max="16" width="0.7109375" style="82" hidden="1" customWidth="1"/>
    <col min="17" max="17" width="17.85546875" style="82" customWidth="1"/>
    <col min="18" max="18" width="12.28515625" style="82" customWidth="1"/>
  </cols>
  <sheetData>
    <row r="1" spans="1:16" x14ac:dyDescent="0.2">
      <c r="K1" s="79"/>
      <c r="L1" s="1"/>
    </row>
    <row r="2" spans="1:16" x14ac:dyDescent="0.2">
      <c r="K2" s="79"/>
      <c r="L2" s="2"/>
    </row>
    <row r="4" spans="1:16" ht="15.75" customHeight="1" x14ac:dyDescent="0.25">
      <c r="A4" s="300" t="s">
        <v>0</v>
      </c>
      <c r="B4" s="297"/>
      <c r="C4" s="297"/>
      <c r="D4" s="297"/>
      <c r="E4" s="297"/>
      <c r="F4" s="297"/>
      <c r="G4" s="297"/>
      <c r="H4" s="297"/>
      <c r="I4" s="297"/>
      <c r="J4" s="297"/>
      <c r="K4" s="297"/>
      <c r="L4" s="297"/>
    </row>
    <row r="5" spans="1:16" x14ac:dyDescent="0.2">
      <c r="A5" s="301" t="s">
        <v>1</v>
      </c>
      <c r="B5" s="297"/>
      <c r="C5" s="297"/>
      <c r="D5" s="297"/>
      <c r="E5" s="297"/>
      <c r="F5" s="297"/>
      <c r="G5" s="297"/>
      <c r="H5" s="297"/>
      <c r="I5" s="297"/>
      <c r="J5" s="297"/>
      <c r="K5" s="297"/>
      <c r="L5" s="297"/>
    </row>
    <row r="6" spans="1:16" x14ac:dyDescent="0.2">
      <c r="A6" s="296" t="s">
        <v>2</v>
      </c>
      <c r="B6" s="297"/>
      <c r="C6" s="297"/>
      <c r="D6" s="297"/>
      <c r="E6" s="297"/>
      <c r="F6" s="297"/>
      <c r="G6" s="297"/>
      <c r="H6" s="297"/>
      <c r="I6" s="297"/>
      <c r="J6" s="297"/>
      <c r="K6" s="297"/>
      <c r="L6" s="297"/>
    </row>
    <row r="7" spans="1:16" x14ac:dyDescent="0.2">
      <c r="A7" s="71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</row>
    <row r="9" spans="1:16" x14ac:dyDescent="0.2">
      <c r="H9" s="296" t="s">
        <v>3</v>
      </c>
      <c r="I9" s="297"/>
      <c r="K9" s="296" t="s">
        <v>4</v>
      </c>
      <c r="L9" s="297"/>
      <c r="O9" s="296" t="s">
        <v>3</v>
      </c>
      <c r="P9" s="297"/>
    </row>
    <row r="10" spans="1:16" x14ac:dyDescent="0.2">
      <c r="H10" s="298" t="s">
        <v>5</v>
      </c>
      <c r="I10" s="299"/>
      <c r="K10" s="298" t="s">
        <v>5</v>
      </c>
      <c r="L10" s="299"/>
      <c r="O10" s="298" t="s">
        <v>6</v>
      </c>
      <c r="P10" s="299"/>
    </row>
    <row r="11" spans="1:16" x14ac:dyDescent="0.2">
      <c r="A11" s="3" t="s">
        <v>7</v>
      </c>
      <c r="B11" s="3"/>
      <c r="C11" s="3"/>
      <c r="D11" s="3"/>
      <c r="E11" s="3"/>
      <c r="F11" s="3"/>
      <c r="G11" s="3"/>
      <c r="H11" s="72">
        <v>2003</v>
      </c>
      <c r="I11" s="72">
        <v>2002</v>
      </c>
      <c r="J11" s="3"/>
      <c r="K11" s="72">
        <v>2003</v>
      </c>
      <c r="L11" s="72">
        <v>2002</v>
      </c>
      <c r="O11" s="72">
        <v>2003</v>
      </c>
      <c r="P11" s="72">
        <v>2002</v>
      </c>
    </row>
    <row r="13" spans="1:16" x14ac:dyDescent="0.2">
      <c r="A13" t="s">
        <v>8</v>
      </c>
      <c r="M13" s="84"/>
    </row>
    <row r="14" spans="1:16" x14ac:dyDescent="0.2">
      <c r="B14" t="s">
        <v>9</v>
      </c>
      <c r="H14" s="85">
        <f t="shared" ref="H14:I17" si="0">+K14-O14</f>
        <v>434</v>
      </c>
      <c r="I14" s="86">
        <f t="shared" si="0"/>
        <v>276</v>
      </c>
      <c r="K14" s="84">
        <v>1142</v>
      </c>
      <c r="L14" s="84">
        <v>554</v>
      </c>
      <c r="M14" s="87"/>
      <c r="O14" s="84">
        <v>708</v>
      </c>
      <c r="P14" s="84">
        <v>278</v>
      </c>
    </row>
    <row r="15" spans="1:16" x14ac:dyDescent="0.2">
      <c r="B15" t="s">
        <v>10</v>
      </c>
      <c r="H15" s="88">
        <f t="shared" si="0"/>
        <v>491</v>
      </c>
      <c r="I15" s="89">
        <f t="shared" si="0"/>
        <v>447</v>
      </c>
      <c r="K15" s="87">
        <v>997</v>
      </c>
      <c r="L15" s="87">
        <v>527</v>
      </c>
      <c r="M15" s="87"/>
      <c r="O15" s="87">
        <v>506</v>
      </c>
      <c r="P15" s="87">
        <v>80</v>
      </c>
    </row>
    <row r="16" spans="1:16" x14ac:dyDescent="0.2">
      <c r="B16" t="s">
        <v>11</v>
      </c>
      <c r="H16" s="90">
        <f t="shared" si="0"/>
        <v>16</v>
      </c>
      <c r="I16" s="91">
        <f t="shared" si="0"/>
        <v>27</v>
      </c>
      <c r="J16" s="87"/>
      <c r="K16" s="92">
        <v>32</v>
      </c>
      <c r="L16" s="92">
        <v>55</v>
      </c>
      <c r="M16" s="87"/>
      <c r="O16" s="92">
        <v>16</v>
      </c>
      <c r="P16" s="92">
        <v>28</v>
      </c>
    </row>
    <row r="17" spans="1:16" x14ac:dyDescent="0.2">
      <c r="C17" t="s">
        <v>12</v>
      </c>
      <c r="H17" s="88">
        <f t="shared" si="0"/>
        <v>941</v>
      </c>
      <c r="I17" s="89">
        <f t="shared" si="0"/>
        <v>750</v>
      </c>
      <c r="J17" s="87"/>
      <c r="K17" s="93">
        <f>SUM(K14:K16)</f>
        <v>2171</v>
      </c>
      <c r="L17" s="93">
        <f>SUM(L14:L16)</f>
        <v>1136</v>
      </c>
      <c r="M17" s="87"/>
      <c r="O17" s="93">
        <f>SUM(O14:O16)</f>
        <v>1230</v>
      </c>
      <c r="P17" s="93">
        <f>SUM(P14:P16)</f>
        <v>386</v>
      </c>
    </row>
    <row r="18" spans="1:16" x14ac:dyDescent="0.2">
      <c r="H18" s="87"/>
      <c r="I18" s="87"/>
      <c r="J18" s="87"/>
      <c r="K18" s="87"/>
      <c r="L18" s="87"/>
      <c r="M18" s="87"/>
      <c r="O18" s="87"/>
      <c r="P18" s="87"/>
    </row>
    <row r="19" spans="1:16" x14ac:dyDescent="0.2">
      <c r="A19" t="s">
        <v>13</v>
      </c>
      <c r="H19" s="87"/>
      <c r="I19" s="87"/>
      <c r="J19" s="87"/>
      <c r="K19" s="87"/>
      <c r="L19" s="87"/>
      <c r="M19" s="87"/>
      <c r="O19" s="87"/>
      <c r="P19" s="87"/>
    </row>
    <row r="20" spans="1:16" x14ac:dyDescent="0.2">
      <c r="B20" t="s">
        <v>14</v>
      </c>
      <c r="H20" s="88">
        <f>+K20-O20</f>
        <v>567</v>
      </c>
      <c r="I20" s="89">
        <f>+L20-P20</f>
        <v>484</v>
      </c>
      <c r="J20" s="87"/>
      <c r="K20" s="87">
        <v>1135</v>
      </c>
      <c r="L20" s="87">
        <v>630</v>
      </c>
      <c r="M20" s="87"/>
      <c r="O20" s="87">
        <v>568</v>
      </c>
      <c r="P20" s="87">
        <v>146</v>
      </c>
    </row>
    <row r="21" spans="1:16" x14ac:dyDescent="0.2">
      <c r="B21" t="s">
        <v>15</v>
      </c>
      <c r="H21" s="88">
        <f>+K21-O21</f>
        <v>228</v>
      </c>
      <c r="I21" s="89">
        <f>+L21-P21</f>
        <v>190</v>
      </c>
      <c r="J21" s="87"/>
      <c r="K21" s="87">
        <v>435</v>
      </c>
      <c r="L21" s="87">
        <v>400</v>
      </c>
      <c r="M21" s="87"/>
      <c r="O21" s="87">
        <v>207</v>
      </c>
      <c r="P21" s="87">
        <v>210</v>
      </c>
    </row>
    <row r="22" spans="1:16" x14ac:dyDescent="0.2">
      <c r="B22" s="302" t="s">
        <v>16</v>
      </c>
      <c r="C22" s="297"/>
      <c r="D22" s="297"/>
      <c r="E22" s="297"/>
      <c r="F22" s="297"/>
      <c r="G22" s="297"/>
      <c r="H22" s="87"/>
      <c r="I22" s="87"/>
      <c r="J22" s="87"/>
      <c r="K22" s="87"/>
      <c r="L22" s="87"/>
      <c r="M22" s="87"/>
      <c r="O22" s="87"/>
      <c r="P22" s="87"/>
    </row>
    <row r="23" spans="1:16" ht="15" customHeight="1" x14ac:dyDescent="0.2">
      <c r="B23" s="302" t="s">
        <v>17</v>
      </c>
      <c r="C23" s="297"/>
      <c r="D23" s="297"/>
      <c r="E23" s="297"/>
      <c r="F23" s="297"/>
      <c r="G23" s="297"/>
      <c r="H23" s="88">
        <f>+K23-O23</f>
        <v>276</v>
      </c>
      <c r="I23" s="89">
        <f>+L23-P23</f>
        <v>240</v>
      </c>
      <c r="J23" s="87"/>
      <c r="K23" s="87">
        <f>499+48</f>
        <v>547</v>
      </c>
      <c r="L23" s="87">
        <f>376+117</f>
        <v>493</v>
      </c>
      <c r="M23" s="87"/>
      <c r="O23" s="87">
        <f>248+23</f>
        <v>271</v>
      </c>
      <c r="P23" s="87">
        <v>253</v>
      </c>
    </row>
    <row r="24" spans="1:16" ht="13.5" customHeight="1" x14ac:dyDescent="0.2">
      <c r="B24" s="302" t="s">
        <v>18</v>
      </c>
      <c r="C24" s="297"/>
      <c r="D24" s="297"/>
      <c r="E24" s="297"/>
      <c r="F24" s="297"/>
      <c r="G24" s="297"/>
      <c r="H24" s="87"/>
      <c r="I24" s="87"/>
      <c r="J24" s="87"/>
      <c r="K24" s="87"/>
      <c r="L24" s="87"/>
      <c r="M24" s="87"/>
      <c r="O24" s="87"/>
      <c r="P24" s="87"/>
    </row>
    <row r="25" spans="1:16" ht="15" customHeight="1" x14ac:dyDescent="0.2">
      <c r="B25" s="302" t="s">
        <v>19</v>
      </c>
      <c r="C25" s="297"/>
      <c r="D25" s="297"/>
      <c r="E25" s="297"/>
      <c r="F25" s="297"/>
      <c r="G25" s="297"/>
      <c r="H25" s="88">
        <f t="shared" ref="H25:I27" si="1">+K25-O25</f>
        <v>9</v>
      </c>
      <c r="I25" s="89">
        <f t="shared" si="1"/>
        <v>47</v>
      </c>
      <c r="J25" s="87"/>
      <c r="K25" s="87">
        <v>20</v>
      </c>
      <c r="L25" s="87">
        <v>47</v>
      </c>
      <c r="M25" s="87"/>
      <c r="O25" s="87">
        <v>11</v>
      </c>
      <c r="P25" s="87">
        <v>0</v>
      </c>
    </row>
    <row r="26" spans="1:16" ht="12.75" hidden="1" customHeight="1" x14ac:dyDescent="0.2">
      <c r="B26" t="s">
        <v>20</v>
      </c>
      <c r="H26" s="88">
        <f t="shared" si="1"/>
        <v>0</v>
      </c>
      <c r="I26" s="89">
        <f t="shared" si="1"/>
        <v>0</v>
      </c>
      <c r="J26" s="87"/>
      <c r="K26" s="87">
        <v>0</v>
      </c>
      <c r="L26" s="87">
        <v>0</v>
      </c>
      <c r="M26" s="87"/>
      <c r="O26" s="87">
        <v>0</v>
      </c>
      <c r="P26" s="87">
        <v>0</v>
      </c>
    </row>
    <row r="27" spans="1:16" x14ac:dyDescent="0.2">
      <c r="C27" t="s">
        <v>21</v>
      </c>
      <c r="H27" s="94">
        <f t="shared" si="1"/>
        <v>1080</v>
      </c>
      <c r="I27" s="95">
        <f t="shared" si="1"/>
        <v>961</v>
      </c>
      <c r="J27" s="87"/>
      <c r="K27" s="96">
        <f>SUM(K20:K26)</f>
        <v>2137</v>
      </c>
      <c r="L27" s="96">
        <f>SUM(L20:L26)</f>
        <v>1570</v>
      </c>
      <c r="M27" s="87"/>
      <c r="N27" s="97"/>
      <c r="O27" s="96">
        <f>SUM(O20:O26)</f>
        <v>1057</v>
      </c>
      <c r="P27" s="96">
        <f>SUM(P20:P26)</f>
        <v>609</v>
      </c>
    </row>
    <row r="28" spans="1:16" x14ac:dyDescent="0.2">
      <c r="H28" s="87"/>
      <c r="I28" s="87"/>
      <c r="J28" s="87"/>
      <c r="K28" s="87"/>
      <c r="L28" s="87"/>
      <c r="M28" s="87"/>
      <c r="O28" s="87"/>
      <c r="P28" s="87"/>
    </row>
    <row r="29" spans="1:16" x14ac:dyDescent="0.2">
      <c r="A29" t="s">
        <v>22</v>
      </c>
      <c r="H29" s="88">
        <f>+K29-O29</f>
        <v>-139</v>
      </c>
      <c r="I29" s="89">
        <f>+L29-P29</f>
        <v>-211</v>
      </c>
      <c r="J29" s="87"/>
      <c r="K29" s="98">
        <f>+K17-K27</f>
        <v>34</v>
      </c>
      <c r="L29" s="98">
        <f>+L17-L27</f>
        <v>-434</v>
      </c>
      <c r="M29" s="87"/>
      <c r="O29" s="98">
        <f>+O17-O27</f>
        <v>173</v>
      </c>
      <c r="P29" s="98">
        <f>+P17-P27</f>
        <v>-223</v>
      </c>
    </row>
    <row r="30" spans="1:16" x14ac:dyDescent="0.2">
      <c r="H30" s="87"/>
      <c r="I30" s="87"/>
      <c r="J30" s="87"/>
      <c r="K30" s="87"/>
      <c r="L30" s="87"/>
      <c r="M30" s="87"/>
      <c r="O30" s="87"/>
      <c r="P30" s="87"/>
    </row>
    <row r="31" spans="1:16" x14ac:dyDescent="0.2">
      <c r="A31" t="s">
        <v>23</v>
      </c>
      <c r="H31" s="87"/>
      <c r="I31" s="87"/>
      <c r="J31" s="87"/>
      <c r="K31" s="87"/>
      <c r="L31" s="87"/>
      <c r="M31" s="87"/>
      <c r="O31" s="87"/>
      <c r="P31" s="87"/>
    </row>
    <row r="32" spans="1:16" x14ac:dyDescent="0.2">
      <c r="B32" t="s">
        <v>24</v>
      </c>
      <c r="H32" s="88">
        <f t="shared" ref="H32:I35" si="2">+K32-O32</f>
        <v>5</v>
      </c>
      <c r="I32" s="89">
        <f t="shared" si="2"/>
        <v>6</v>
      </c>
      <c r="J32" s="87"/>
      <c r="K32" s="87">
        <v>10</v>
      </c>
      <c r="L32" s="87">
        <v>15</v>
      </c>
      <c r="M32" s="87"/>
      <c r="O32" s="87">
        <v>5</v>
      </c>
      <c r="P32" s="87">
        <v>9</v>
      </c>
    </row>
    <row r="33" spans="1:17" x14ac:dyDescent="0.2">
      <c r="B33" t="s">
        <v>25</v>
      </c>
      <c r="H33" s="88">
        <f t="shared" si="2"/>
        <v>-143</v>
      </c>
      <c r="I33" s="89">
        <f t="shared" si="2"/>
        <v>-131</v>
      </c>
      <c r="J33" s="87"/>
      <c r="K33" s="87">
        <v>-283</v>
      </c>
      <c r="L33" s="87">
        <v>-260</v>
      </c>
      <c r="M33" s="87"/>
      <c r="O33" s="87">
        <v>-140</v>
      </c>
      <c r="P33" s="87">
        <v>-129</v>
      </c>
    </row>
    <row r="34" spans="1:17" x14ac:dyDescent="0.2">
      <c r="B34" t="s">
        <v>26</v>
      </c>
      <c r="H34" s="90">
        <f t="shared" si="2"/>
        <v>-176</v>
      </c>
      <c r="I34" s="91">
        <f t="shared" si="2"/>
        <v>180</v>
      </c>
      <c r="J34" s="87"/>
      <c r="K34" s="92">
        <v>-102</v>
      </c>
      <c r="L34" s="92">
        <v>314</v>
      </c>
      <c r="M34" s="87"/>
      <c r="O34" s="92">
        <v>74</v>
      </c>
      <c r="P34" s="92">
        <v>134</v>
      </c>
    </row>
    <row r="35" spans="1:17" x14ac:dyDescent="0.2">
      <c r="C35" t="s">
        <v>26</v>
      </c>
      <c r="H35" s="94">
        <f t="shared" si="2"/>
        <v>-314</v>
      </c>
      <c r="I35" s="95">
        <f t="shared" si="2"/>
        <v>55</v>
      </c>
      <c r="J35" s="87"/>
      <c r="K35" s="99">
        <f>SUM(K32:K34)</f>
        <v>-375</v>
      </c>
      <c r="L35" s="99">
        <f>SUM(L32:L34)</f>
        <v>69</v>
      </c>
      <c r="M35" s="87"/>
      <c r="O35" s="100">
        <f>SUM(O32:O34)</f>
        <v>-61</v>
      </c>
      <c r="P35" s="100">
        <f>SUM(P32:P34)</f>
        <v>14</v>
      </c>
    </row>
    <row r="36" spans="1:17" x14ac:dyDescent="0.2">
      <c r="H36" s="87"/>
      <c r="I36" s="87"/>
      <c r="J36" s="87"/>
      <c r="K36" s="87"/>
      <c r="L36" s="87"/>
      <c r="M36" s="87"/>
      <c r="O36" s="87"/>
      <c r="P36" s="87"/>
    </row>
    <row r="37" spans="1:17" x14ac:dyDescent="0.2">
      <c r="A37" t="s">
        <v>27</v>
      </c>
      <c r="H37" s="101">
        <f>+H29+H35</f>
        <v>-453</v>
      </c>
      <c r="I37" s="101">
        <f>+I29+I35</f>
        <v>-156</v>
      </c>
      <c r="J37" s="87"/>
      <c r="K37" s="101">
        <f>+K29+K35</f>
        <v>-341</v>
      </c>
      <c r="L37" s="101">
        <f>+L29+L35</f>
        <v>-365</v>
      </c>
      <c r="M37" s="87"/>
      <c r="O37" s="101">
        <f>+O29+O35</f>
        <v>112</v>
      </c>
      <c r="P37" s="101">
        <f>+P29+P35</f>
        <v>-209</v>
      </c>
    </row>
    <row r="38" spans="1:17" x14ac:dyDescent="0.2">
      <c r="H38" s="87"/>
      <c r="I38" s="87"/>
      <c r="J38" s="87"/>
      <c r="K38" s="87"/>
      <c r="L38" s="87"/>
      <c r="M38" s="87"/>
      <c r="O38" s="87"/>
      <c r="P38" s="87"/>
      <c r="Q38" s="102"/>
    </row>
    <row r="39" spans="1:17" x14ac:dyDescent="0.2">
      <c r="A39" t="s">
        <v>28</v>
      </c>
      <c r="H39" s="90">
        <f>+K39-O39</f>
        <v>0</v>
      </c>
      <c r="I39" s="91">
        <f>+L39-P39</f>
        <v>0</v>
      </c>
      <c r="J39" s="87"/>
      <c r="K39" s="92">
        <v>0</v>
      </c>
      <c r="L39" s="92">
        <v>119</v>
      </c>
      <c r="M39" s="87"/>
      <c r="O39" s="92">
        <v>0</v>
      </c>
      <c r="P39" s="92">
        <v>119</v>
      </c>
    </row>
    <row r="40" spans="1:17" ht="12" customHeight="1" x14ac:dyDescent="0.2">
      <c r="H40" s="87"/>
      <c r="I40" s="87"/>
      <c r="J40" s="87"/>
      <c r="K40" s="87"/>
      <c r="L40" s="87"/>
      <c r="M40" s="87"/>
      <c r="O40" s="87"/>
      <c r="P40" s="87"/>
    </row>
    <row r="41" spans="1:17" ht="12" customHeight="1" x14ac:dyDescent="0.2">
      <c r="A41" s="302" t="s">
        <v>29</v>
      </c>
      <c r="B41" s="297"/>
      <c r="C41" s="297"/>
      <c r="D41" s="297"/>
      <c r="E41" s="297"/>
      <c r="F41" s="297"/>
      <c r="G41" s="297"/>
      <c r="H41" s="87"/>
      <c r="I41" s="87"/>
      <c r="J41" s="87"/>
      <c r="K41" s="87"/>
      <c r="L41" s="87"/>
      <c r="M41" s="87"/>
      <c r="O41" s="87"/>
      <c r="P41" s="87"/>
    </row>
    <row r="42" spans="1:17" ht="15" customHeight="1" x14ac:dyDescent="0.2">
      <c r="A42" s="302" t="s">
        <v>30</v>
      </c>
      <c r="B42" s="297"/>
      <c r="C42" s="297"/>
      <c r="D42" s="297"/>
      <c r="E42" s="297"/>
      <c r="F42" s="297"/>
      <c r="G42" s="297"/>
      <c r="H42" s="88">
        <f>+K42-O42</f>
        <v>-453</v>
      </c>
      <c r="I42" s="89">
        <f>+L42-P42</f>
        <v>-156</v>
      </c>
      <c r="J42" s="87"/>
      <c r="K42" s="103">
        <f>+K37+K39</f>
        <v>-341</v>
      </c>
      <c r="L42" s="103">
        <f>+L37+L39</f>
        <v>-246</v>
      </c>
      <c r="M42" s="87"/>
      <c r="O42" s="103">
        <f>+O37+O39</f>
        <v>112</v>
      </c>
      <c r="P42" s="103">
        <f>+P37+P39</f>
        <v>-90</v>
      </c>
    </row>
    <row r="43" spans="1:17" x14ac:dyDescent="0.2">
      <c r="H43" s="87"/>
      <c r="I43" s="87"/>
      <c r="J43" s="87"/>
      <c r="K43" s="87"/>
      <c r="L43" s="87"/>
      <c r="M43" s="87"/>
      <c r="O43" s="87"/>
      <c r="P43" s="87"/>
    </row>
    <row r="44" spans="1:17" x14ac:dyDescent="0.2">
      <c r="A44" t="s">
        <v>31</v>
      </c>
      <c r="H44" s="88">
        <f>+K44-O44</f>
        <v>0</v>
      </c>
      <c r="I44" s="89">
        <f>+L44-P44</f>
        <v>0</v>
      </c>
      <c r="J44" s="87"/>
      <c r="K44" s="87">
        <v>5</v>
      </c>
      <c r="L44" s="87">
        <v>0</v>
      </c>
      <c r="M44" s="87"/>
      <c r="O44" s="87">
        <v>5</v>
      </c>
      <c r="P44" s="87">
        <v>0</v>
      </c>
    </row>
    <row r="45" spans="1:17" x14ac:dyDescent="0.2">
      <c r="A45" t="s">
        <v>32</v>
      </c>
      <c r="H45" s="90">
        <f>+K45-O45</f>
        <v>-9</v>
      </c>
      <c r="I45" s="91">
        <f>+L45-P45</f>
        <v>0</v>
      </c>
      <c r="J45" s="87"/>
      <c r="K45" s="92">
        <v>-7</v>
      </c>
      <c r="L45" s="92">
        <v>0</v>
      </c>
      <c r="M45" s="87"/>
      <c r="O45" s="92">
        <v>2</v>
      </c>
      <c r="P45" s="92">
        <v>0</v>
      </c>
    </row>
    <row r="46" spans="1:17" x14ac:dyDescent="0.2">
      <c r="H46" s="84"/>
      <c r="I46" s="84"/>
      <c r="J46" s="87"/>
      <c r="K46" s="84"/>
      <c r="L46" s="84"/>
      <c r="M46" s="87"/>
      <c r="O46" s="84"/>
      <c r="P46" s="84"/>
    </row>
    <row r="47" spans="1:17" ht="13.5" customHeight="1" thickBot="1" x14ac:dyDescent="0.25">
      <c r="A47" t="s">
        <v>33</v>
      </c>
      <c r="H47" s="104">
        <f>+K47-O47</f>
        <v>-462</v>
      </c>
      <c r="I47" s="105">
        <f>+L47-P47</f>
        <v>-156</v>
      </c>
      <c r="J47" s="87"/>
      <c r="K47" s="106">
        <f>SUM(K42:K45)</f>
        <v>-343</v>
      </c>
      <c r="L47" s="106">
        <f>SUM(L42:L45)</f>
        <v>-246</v>
      </c>
      <c r="M47" s="87"/>
      <c r="O47" s="106">
        <f>SUM(O42:O45)</f>
        <v>119</v>
      </c>
      <c r="P47" s="106">
        <f>SUM(P42:P45)</f>
        <v>-90</v>
      </c>
    </row>
    <row r="48" spans="1:17" ht="13.5" customHeight="1" thickTop="1" x14ac:dyDescent="0.2">
      <c r="H48" s="84"/>
      <c r="I48" s="84"/>
      <c r="J48" s="87"/>
      <c r="K48" s="84"/>
      <c r="L48" s="84"/>
      <c r="M48" s="87"/>
      <c r="O48" s="84"/>
      <c r="P48" s="84"/>
    </row>
    <row r="49" spans="1:17" x14ac:dyDescent="0.2">
      <c r="A49" t="s">
        <v>34</v>
      </c>
      <c r="M49" s="87"/>
    </row>
    <row r="50" spans="1:17" x14ac:dyDescent="0.2">
      <c r="B50" s="302" t="s">
        <v>35</v>
      </c>
      <c r="C50" s="297"/>
      <c r="D50" s="297"/>
      <c r="E50" s="297"/>
      <c r="F50" s="297"/>
      <c r="G50" s="297"/>
      <c r="M50" s="87"/>
    </row>
    <row r="51" spans="1:17" ht="15" customHeight="1" x14ac:dyDescent="0.2">
      <c r="B51" s="302" t="s">
        <v>30</v>
      </c>
      <c r="C51" s="297"/>
      <c r="D51" s="297"/>
      <c r="E51" s="297"/>
      <c r="F51" s="297"/>
      <c r="G51" s="297"/>
      <c r="H51" s="107">
        <f>+K69+0.01</f>
        <v>-0.92697665700282117</v>
      </c>
      <c r="I51" s="107">
        <v>-0.39</v>
      </c>
      <c r="K51" s="107">
        <f>+N69</f>
        <v>-0.72938485553338228</v>
      </c>
      <c r="L51" s="107">
        <v>-0.62</v>
      </c>
      <c r="M51" s="87"/>
      <c r="O51" s="107">
        <f>+R69</f>
        <v>0</v>
      </c>
      <c r="P51" s="107">
        <v>-0.23</v>
      </c>
    </row>
    <row r="52" spans="1:17" x14ac:dyDescent="0.2">
      <c r="B52" t="s">
        <v>31</v>
      </c>
      <c r="H52" s="102">
        <v>0</v>
      </c>
      <c r="I52" s="87">
        <v>0</v>
      </c>
      <c r="K52" s="108">
        <f>+N71</f>
        <v>1.0218545939696963E-2</v>
      </c>
      <c r="L52" s="87">
        <v>0</v>
      </c>
      <c r="M52" s="87"/>
      <c r="O52" s="107"/>
      <c r="P52" s="107"/>
    </row>
    <row r="53" spans="1:17" x14ac:dyDescent="0.2">
      <c r="B53" t="s">
        <v>32</v>
      </c>
      <c r="H53" s="109">
        <f>+K70</f>
        <v>-1.7828795836794139E-2</v>
      </c>
      <c r="I53" s="110">
        <v>0</v>
      </c>
      <c r="J53" s="87"/>
      <c r="K53" s="109">
        <f>+N70</f>
        <v>-1.4014678539880827E-2</v>
      </c>
      <c r="L53" s="111">
        <f>+O71</f>
        <v>0</v>
      </c>
      <c r="M53" s="87"/>
      <c r="O53" s="111">
        <f>+R71</f>
        <v>0</v>
      </c>
      <c r="P53" s="111">
        <f>+S71</f>
        <v>0</v>
      </c>
    </row>
    <row r="54" spans="1:17" ht="13.5" customHeight="1" thickBot="1" x14ac:dyDescent="0.25">
      <c r="B54" t="s">
        <v>33</v>
      </c>
      <c r="H54" s="112">
        <f>+K72</f>
        <v>-0.95431074923178472</v>
      </c>
      <c r="I54" s="112">
        <v>-0.39</v>
      </c>
      <c r="K54" s="112">
        <f>+N72</f>
        <v>-0.73318098813356614</v>
      </c>
      <c r="L54" s="112">
        <v>-0.23</v>
      </c>
      <c r="M54" s="87"/>
      <c r="O54" s="112">
        <f>+R72</f>
        <v>0</v>
      </c>
      <c r="P54" s="112">
        <v>-0.23</v>
      </c>
    </row>
    <row r="55" spans="1:17" ht="13.5" customHeight="1" thickTop="1" x14ac:dyDescent="0.2">
      <c r="H55" s="107"/>
      <c r="I55" s="107"/>
      <c r="K55" s="107"/>
      <c r="L55" s="107"/>
      <c r="M55" s="87"/>
      <c r="O55" s="107"/>
      <c r="P55" s="107"/>
    </row>
    <row r="56" spans="1:17" x14ac:dyDescent="0.2">
      <c r="A56" t="s">
        <v>36</v>
      </c>
      <c r="M56" s="84"/>
    </row>
    <row r="57" spans="1:17" ht="13.5" customHeight="1" thickBot="1" x14ac:dyDescent="0.25">
      <c r="B57" t="s">
        <v>37</v>
      </c>
      <c r="H57" s="113">
        <v>484436</v>
      </c>
      <c r="I57" s="113">
        <v>398721</v>
      </c>
      <c r="J57" s="87"/>
      <c r="K57" s="113">
        <v>467724</v>
      </c>
      <c r="L57" s="113">
        <v>395020</v>
      </c>
      <c r="O57" s="113">
        <v>450824</v>
      </c>
      <c r="P57" s="113">
        <v>391279</v>
      </c>
      <c r="Q57" s="114"/>
    </row>
    <row r="58" spans="1:17" ht="13.5" customHeight="1" thickTop="1" x14ac:dyDescent="0.2"/>
    <row r="59" spans="1:17" ht="0.75" customHeight="1" x14ac:dyDescent="0.2">
      <c r="M59" s="78" t="s">
        <v>38</v>
      </c>
      <c r="N59" s="26" t="s">
        <v>39</v>
      </c>
    </row>
    <row r="61" spans="1:17" hidden="1" x14ac:dyDescent="0.2">
      <c r="F61" t="s">
        <v>40</v>
      </c>
      <c r="K61" s="115">
        <f>+N61-M61</f>
        <v>-453904775</v>
      </c>
      <c r="M61" s="87">
        <f>114835741-2081898</f>
        <v>112753843</v>
      </c>
      <c r="N61" s="87">
        <f>-341150932</f>
        <v>-341150932</v>
      </c>
    </row>
    <row r="62" spans="1:17" hidden="1" x14ac:dyDescent="0.2">
      <c r="F62" t="s">
        <v>41</v>
      </c>
      <c r="K62" s="115">
        <f>+N62-M62</f>
        <v>-8636902</v>
      </c>
      <c r="M62" s="87">
        <v>2081898</v>
      </c>
      <c r="N62" s="87">
        <f>-9598671+961769+2081898</f>
        <v>-6555004</v>
      </c>
    </row>
    <row r="63" spans="1:17" hidden="1" x14ac:dyDescent="0.2">
      <c r="F63" t="s">
        <v>42</v>
      </c>
      <c r="K63" s="115">
        <f>+N63-M63</f>
        <v>239652</v>
      </c>
      <c r="M63" s="92">
        <v>4539809</v>
      </c>
      <c r="N63" s="92">
        <v>4779461</v>
      </c>
    </row>
    <row r="64" spans="1:17" hidden="1" x14ac:dyDescent="0.2">
      <c r="K64" s="115">
        <f>+N64-M64</f>
        <v>-462302025</v>
      </c>
      <c r="M64" s="116">
        <f>SUM(M61:M63)</f>
        <v>119375550</v>
      </c>
      <c r="N64" s="116">
        <f>SUM(N61:N63)</f>
        <v>-342926475</v>
      </c>
    </row>
    <row r="65" spans="6:15" hidden="1" x14ac:dyDescent="0.2">
      <c r="M65" s="97"/>
      <c r="N65" s="87"/>
    </row>
    <row r="66" spans="6:15" hidden="1" x14ac:dyDescent="0.2">
      <c r="F66" t="s">
        <v>43</v>
      </c>
      <c r="K66" s="87">
        <v>484435521</v>
      </c>
      <c r="M66" s="87">
        <v>450823804</v>
      </c>
      <c r="N66" s="87">
        <v>467724178</v>
      </c>
    </row>
    <row r="67" spans="6:15" hidden="1" x14ac:dyDescent="0.2">
      <c r="N67">
        <f>9598671-8636902</f>
        <v>961769</v>
      </c>
    </row>
    <row r="68" spans="6:15" hidden="1" x14ac:dyDescent="0.2">
      <c r="F68" t="s">
        <v>44</v>
      </c>
    </row>
    <row r="69" spans="6:15" hidden="1" x14ac:dyDescent="0.2">
      <c r="F69" t="s">
        <v>45</v>
      </c>
      <c r="K69" s="117">
        <f>+K61/K66</f>
        <v>-0.93697665700282118</v>
      </c>
      <c r="M69" s="117">
        <f>+M61/M66</f>
        <v>0.25010623218999323</v>
      </c>
      <c r="N69" s="117">
        <f>+N61/N66</f>
        <v>-0.72938485553338228</v>
      </c>
    </row>
    <row r="70" spans="6:15" hidden="1" x14ac:dyDescent="0.2">
      <c r="F70" t="s">
        <v>41</v>
      </c>
      <c r="K70" s="118">
        <f>+K62/K66</f>
        <v>-1.7828795836794139E-2</v>
      </c>
      <c r="M70" s="118">
        <f>+M62/M66</f>
        <v>4.6179859659761886E-3</v>
      </c>
      <c r="N70" s="118">
        <f>+N62/N66</f>
        <v>-1.4014678539880827E-2</v>
      </c>
    </row>
    <row r="71" spans="6:15" hidden="1" x14ac:dyDescent="0.2">
      <c r="F71" t="s">
        <v>42</v>
      </c>
      <c r="K71" s="119">
        <f>K63/K66</f>
        <v>4.9470360783060744E-4</v>
      </c>
      <c r="M71" s="119">
        <f>M63/M66</f>
        <v>1.0070029487617739E-2</v>
      </c>
      <c r="N71" s="119">
        <f>N63/N66</f>
        <v>1.0218545939696963E-2</v>
      </c>
    </row>
    <row r="72" spans="6:15" hidden="1" x14ac:dyDescent="0.2">
      <c r="F72" t="s">
        <v>46</v>
      </c>
      <c r="K72" s="120">
        <f>K64/K66</f>
        <v>-0.95431074923178472</v>
      </c>
      <c r="M72" s="120">
        <f>M64/M66</f>
        <v>0.26479424764358717</v>
      </c>
      <c r="N72" s="120">
        <f>N64/N66</f>
        <v>-0.73318098813356614</v>
      </c>
    </row>
    <row r="73" spans="6:15" hidden="1" x14ac:dyDescent="0.2">
      <c r="M73" s="121"/>
      <c r="N73" s="121"/>
    </row>
    <row r="74" spans="6:15" hidden="1" x14ac:dyDescent="0.2">
      <c r="M74" s="121"/>
      <c r="N74" s="121"/>
    </row>
    <row r="75" spans="6:15" hidden="1" x14ac:dyDescent="0.2">
      <c r="M75" s="87"/>
      <c r="N75" s="87"/>
      <c r="O75" s="114"/>
    </row>
    <row r="78" spans="6:15" x14ac:dyDescent="0.2">
      <c r="M78" s="114"/>
      <c r="N78" s="97"/>
    </row>
    <row r="79" spans="6:15" x14ac:dyDescent="0.2">
      <c r="M79" s="97"/>
      <c r="N79" s="97"/>
    </row>
    <row r="80" spans="6:15" x14ac:dyDescent="0.2">
      <c r="M80" s="122"/>
      <c r="N80" s="122"/>
    </row>
    <row r="81" spans="1:14" x14ac:dyDescent="0.2">
      <c r="M81" s="123"/>
      <c r="N81" s="114"/>
    </row>
    <row r="82" spans="1:14" x14ac:dyDescent="0.2">
      <c r="A82" t="s">
        <v>47</v>
      </c>
    </row>
  </sheetData>
  <mergeCells count="17">
    <mergeCell ref="A41:G41"/>
    <mergeCell ref="A42:G42"/>
    <mergeCell ref="B50:G50"/>
    <mergeCell ref="B51:G51"/>
    <mergeCell ref="B22:G22"/>
    <mergeCell ref="B23:G23"/>
    <mergeCell ref="B24:G24"/>
    <mergeCell ref="B25:G25"/>
    <mergeCell ref="O9:P9"/>
    <mergeCell ref="H10:I10"/>
    <mergeCell ref="K10:L10"/>
    <mergeCell ref="O10:P10"/>
    <mergeCell ref="A4:L4"/>
    <mergeCell ref="A5:L5"/>
    <mergeCell ref="A6:L6"/>
    <mergeCell ref="H9:I9"/>
    <mergeCell ref="K9:L9"/>
  </mergeCells>
  <phoneticPr fontId="25" type="noConversion"/>
  <printOptions horizontalCentered="1"/>
  <pageMargins left="0.45" right="0.4" top="1" bottom="1" header="0.5" footer="0.5"/>
  <pageSetup scale="8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B129"/>
  <sheetViews>
    <sheetView view="pageBreakPreview" zoomScale="60" zoomScaleNormal="100" workbookViewId="0">
      <selection activeCell="U37" sqref="U37"/>
    </sheetView>
  </sheetViews>
  <sheetFormatPr defaultRowHeight="12.75" x14ac:dyDescent="0.2"/>
  <cols>
    <col min="1" max="2" width="2.7109375" style="25" customWidth="1"/>
    <col min="3" max="3" width="37.140625" style="25" customWidth="1"/>
    <col min="4" max="4" width="9.7109375" style="25" hidden="1" customWidth="1"/>
    <col min="5" max="5" width="0.85546875" style="25" hidden="1" customWidth="1"/>
    <col min="6" max="6" width="9.7109375" style="25" customWidth="1"/>
    <col min="7" max="7" width="4" style="25" customWidth="1"/>
    <col min="8" max="8" width="9.28515625" style="25" customWidth="1"/>
    <col min="9" max="9" width="4" style="25" customWidth="1"/>
    <col min="10" max="10" width="9.7109375" style="25" customWidth="1"/>
    <col min="11" max="11" width="4.42578125" style="25" customWidth="1"/>
    <col min="12" max="12" width="9.7109375" style="25" customWidth="1"/>
    <col min="13" max="13" width="2.5703125" style="25" customWidth="1"/>
    <col min="14" max="14" width="9.7109375" style="25" customWidth="1"/>
    <col min="15" max="15" width="1.85546875" style="25" customWidth="1"/>
    <col min="16" max="16" width="1.140625" style="25" customWidth="1"/>
    <col min="17" max="17" width="9.7109375" style="25" customWidth="1"/>
    <col min="18" max="18" width="2.85546875" style="25" customWidth="1"/>
    <col min="19" max="19" width="11.140625" style="25" customWidth="1"/>
    <col min="20" max="20" width="1.28515625" style="25" customWidth="1"/>
    <col min="21" max="21" width="57" style="25" customWidth="1"/>
    <col min="22" max="22" width="9.140625" style="25" customWidth="1"/>
    <col min="23" max="16384" width="9.140625" style="25"/>
  </cols>
  <sheetData>
    <row r="1" spans="1:28" x14ac:dyDescent="0.2">
      <c r="A1" s="305"/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74"/>
    </row>
    <row r="2" spans="1:28" s="66" customFormat="1" ht="14.25" customHeight="1" x14ac:dyDescent="0.25">
      <c r="A2" s="57" t="s">
        <v>48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</row>
    <row r="3" spans="1:28" s="37" customFormat="1" ht="18" customHeight="1" x14ac:dyDescent="0.25">
      <c r="A3" s="56" t="s">
        <v>49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5"/>
      <c r="V3" s="25"/>
      <c r="W3" s="25"/>
      <c r="X3" s="25"/>
      <c r="Y3" s="25"/>
      <c r="Z3" s="25"/>
      <c r="AA3" s="25"/>
      <c r="AB3" s="25"/>
    </row>
    <row r="4" spans="1:28" s="37" customFormat="1" ht="15" customHeight="1" x14ac:dyDescent="0.2">
      <c r="A4" s="58" t="s">
        <v>50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5"/>
      <c r="V4" s="25"/>
      <c r="W4" s="25"/>
      <c r="X4" s="25"/>
      <c r="Y4" s="25"/>
      <c r="Z4" s="25"/>
      <c r="AA4" s="25"/>
      <c r="AB4" s="25"/>
    </row>
    <row r="5" spans="1:28" s="37" customFormat="1" ht="15" customHeight="1" x14ac:dyDescent="0.2">
      <c r="A5" s="58"/>
      <c r="B5" s="29"/>
      <c r="C5" s="29"/>
      <c r="D5" s="29"/>
      <c r="E5" s="29"/>
      <c r="F5" s="73"/>
      <c r="H5" s="29"/>
      <c r="I5" s="80" t="s">
        <v>51</v>
      </c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5"/>
      <c r="V5" s="25"/>
      <c r="W5" s="25"/>
      <c r="X5" s="25"/>
      <c r="Y5" s="25"/>
      <c r="Z5" s="25"/>
      <c r="AA5" s="25"/>
      <c r="AB5" s="25"/>
    </row>
    <row r="6" spans="1:28" s="37" customFormat="1" ht="15" customHeight="1" x14ac:dyDescent="0.2">
      <c r="A6" s="81"/>
      <c r="D6" s="307"/>
      <c r="E6" s="299"/>
      <c r="F6" s="299"/>
      <c r="G6" s="299"/>
      <c r="H6" s="299"/>
      <c r="I6" s="299"/>
      <c r="J6" s="299"/>
      <c r="K6" s="75"/>
      <c r="L6" s="75"/>
      <c r="M6" s="75"/>
      <c r="N6" s="75"/>
      <c r="O6" s="30"/>
      <c r="P6" s="31"/>
      <c r="Q6" s="308" t="s">
        <v>4</v>
      </c>
      <c r="R6" s="299"/>
      <c r="S6" s="299"/>
      <c r="T6" s="299"/>
      <c r="U6" s="25"/>
      <c r="V6" s="25"/>
      <c r="W6" s="25"/>
      <c r="X6" s="25"/>
      <c r="Y6" s="25"/>
      <c r="Z6" s="25"/>
      <c r="AA6" s="25"/>
      <c r="AB6" s="25"/>
    </row>
    <row r="7" spans="1:28" ht="15.75" customHeight="1" x14ac:dyDescent="0.25">
      <c r="A7" s="43"/>
      <c r="B7" s="32"/>
      <c r="C7" s="32"/>
      <c r="D7" s="33">
        <v>37346</v>
      </c>
      <c r="F7" s="59">
        <v>37437</v>
      </c>
      <c r="G7" s="60"/>
      <c r="H7" s="59">
        <v>37529</v>
      </c>
      <c r="I7" s="60"/>
      <c r="J7" s="59">
        <v>37621</v>
      </c>
      <c r="K7" s="60"/>
      <c r="L7" s="59">
        <v>37711</v>
      </c>
      <c r="M7" s="60"/>
      <c r="N7" s="59">
        <v>37802</v>
      </c>
      <c r="O7" s="60"/>
      <c r="P7" s="61"/>
      <c r="Q7" s="59">
        <v>37802</v>
      </c>
      <c r="R7" s="62"/>
      <c r="S7" s="59">
        <v>37437</v>
      </c>
      <c r="T7" s="60"/>
      <c r="U7" s="46" t="s">
        <v>52</v>
      </c>
    </row>
    <row r="8" spans="1:28" ht="15.75" customHeight="1" x14ac:dyDescent="0.25">
      <c r="A8" s="43"/>
      <c r="B8" s="32"/>
      <c r="C8" s="32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5"/>
      <c r="Q8" s="34"/>
      <c r="R8" s="36"/>
      <c r="S8" s="34"/>
      <c r="T8" s="34"/>
    </row>
    <row r="9" spans="1:28" s="48" customFormat="1" ht="15.75" customHeight="1" x14ac:dyDescent="0.25">
      <c r="A9" s="43" t="s">
        <v>53</v>
      </c>
      <c r="B9" s="43"/>
      <c r="C9" s="43"/>
      <c r="P9" s="44"/>
    </row>
    <row r="10" spans="1:28" s="48" customFormat="1" ht="15.75" customHeight="1" x14ac:dyDescent="0.25">
      <c r="A10" s="43"/>
      <c r="B10" s="45" t="s">
        <v>54</v>
      </c>
      <c r="C10" s="43"/>
      <c r="P10" s="44"/>
    </row>
    <row r="11" spans="1:28" s="48" customFormat="1" ht="15.75" customHeight="1" x14ac:dyDescent="0.25">
      <c r="A11" s="43"/>
      <c r="B11" s="45"/>
      <c r="C11" s="43" t="s">
        <v>55</v>
      </c>
      <c r="D11" s="124">
        <v>247</v>
      </c>
      <c r="F11" s="124">
        <v>253</v>
      </c>
      <c r="G11" s="124"/>
      <c r="H11" s="124">
        <v>251</v>
      </c>
      <c r="I11" s="124"/>
      <c r="J11" s="124">
        <v>249</v>
      </c>
      <c r="L11" s="124">
        <v>679</v>
      </c>
      <c r="M11" s="124"/>
      <c r="N11" s="125">
        <f>1079-679</f>
        <v>400</v>
      </c>
      <c r="P11" s="44"/>
      <c r="Q11" s="126">
        <f>+L11+N11</f>
        <v>1079</v>
      </c>
      <c r="S11" s="127">
        <f>+D11+F11</f>
        <v>500</v>
      </c>
    </row>
    <row r="12" spans="1:28" s="48" customFormat="1" ht="15.75" customHeight="1" x14ac:dyDescent="0.25">
      <c r="A12" s="43"/>
      <c r="B12" s="45"/>
      <c r="C12" s="43" t="s">
        <v>56</v>
      </c>
      <c r="D12" s="46">
        <v>31</v>
      </c>
      <c r="F12" s="46">
        <v>23</v>
      </c>
      <c r="H12" s="46">
        <v>23</v>
      </c>
      <c r="J12" s="46">
        <v>24</v>
      </c>
      <c r="L12" s="46">
        <v>29</v>
      </c>
      <c r="N12" s="128">
        <v>34</v>
      </c>
      <c r="P12" s="44"/>
      <c r="Q12" s="129">
        <f>+L12+N12</f>
        <v>63</v>
      </c>
      <c r="S12" s="130">
        <f>+D12+F12</f>
        <v>54</v>
      </c>
    </row>
    <row r="13" spans="1:28" s="48" customFormat="1" ht="15.75" customHeight="1" x14ac:dyDescent="0.25">
      <c r="A13" s="43"/>
      <c r="B13" s="45"/>
      <c r="C13" s="43"/>
      <c r="D13" s="131">
        <f>SUM(D11:D12)</f>
        <v>278</v>
      </c>
      <c r="F13" s="131">
        <f>SUM(F11:F12)</f>
        <v>276</v>
      </c>
      <c r="G13" s="81"/>
      <c r="H13" s="131">
        <f>SUM(H11:H12)</f>
        <v>274</v>
      </c>
      <c r="I13" s="81"/>
      <c r="J13" s="131">
        <f>SUM(J11:J12)</f>
        <v>273</v>
      </c>
      <c r="L13" s="131">
        <f>SUM(L11:L12)</f>
        <v>708</v>
      </c>
      <c r="M13" s="81"/>
      <c r="N13" s="132">
        <f>SUM(N11:N12)</f>
        <v>434</v>
      </c>
      <c r="P13" s="44"/>
      <c r="Q13" s="131">
        <f>SUM(Q11:Q12)</f>
        <v>1142</v>
      </c>
      <c r="S13" s="131">
        <f>SUM(S11:S12)</f>
        <v>554</v>
      </c>
    </row>
    <row r="14" spans="1:28" s="48" customFormat="1" ht="15.75" customHeight="1" x14ac:dyDescent="0.25">
      <c r="A14" s="43"/>
      <c r="B14" s="43"/>
      <c r="C14" s="43"/>
      <c r="D14" s="81"/>
      <c r="F14" s="81"/>
      <c r="G14" s="81"/>
      <c r="H14" s="81"/>
      <c r="I14" s="81"/>
      <c r="J14" s="81"/>
      <c r="K14" s="81"/>
      <c r="L14" s="81"/>
      <c r="M14" s="81"/>
      <c r="N14" s="133"/>
      <c r="O14" s="133"/>
      <c r="P14" s="134"/>
      <c r="Q14" s="81"/>
      <c r="R14" s="81"/>
      <c r="S14" s="81"/>
      <c r="T14" s="81"/>
    </row>
    <row r="15" spans="1:28" s="48" customFormat="1" ht="15.75" customHeight="1" x14ac:dyDescent="0.25">
      <c r="A15" s="43"/>
      <c r="B15" s="43" t="s">
        <v>10</v>
      </c>
      <c r="C15" s="43"/>
      <c r="D15" s="81">
        <v>27</v>
      </c>
      <c r="F15" s="81">
        <v>25</v>
      </c>
      <c r="G15" s="81"/>
      <c r="H15" s="81">
        <v>22</v>
      </c>
      <c r="I15" s="81"/>
      <c r="J15" s="81">
        <v>22</v>
      </c>
      <c r="K15" s="81"/>
      <c r="L15" s="81">
        <v>21</v>
      </c>
      <c r="M15" s="81"/>
      <c r="N15" s="133">
        <f>42-21</f>
        <v>21</v>
      </c>
      <c r="O15" s="133"/>
      <c r="P15" s="134"/>
      <c r="Q15" s="135">
        <f>+L15+N15</f>
        <v>42</v>
      </c>
      <c r="S15" s="136">
        <f>+D15+F15</f>
        <v>52</v>
      </c>
    </row>
    <row r="16" spans="1:28" s="48" customFormat="1" ht="15.75" customHeight="1" x14ac:dyDescent="0.25">
      <c r="A16" s="43"/>
      <c r="B16" s="43" t="s">
        <v>57</v>
      </c>
      <c r="C16" s="43"/>
      <c r="D16" s="137">
        <v>53</v>
      </c>
      <c r="E16" s="138"/>
      <c r="F16" s="137">
        <f>124+298</f>
        <v>422</v>
      </c>
      <c r="G16" s="137"/>
      <c r="H16" s="137">
        <f>342+400</f>
        <v>742</v>
      </c>
      <c r="I16" s="137"/>
      <c r="J16" s="137">
        <f>475+145</f>
        <v>620</v>
      </c>
      <c r="K16" s="137"/>
      <c r="L16" s="137">
        <f>507-2-20</f>
        <v>485</v>
      </c>
      <c r="M16" s="137"/>
      <c r="N16" s="139">
        <v>470</v>
      </c>
      <c r="O16" s="139"/>
      <c r="P16" s="140"/>
      <c r="Q16" s="141">
        <f>+L16+N16</f>
        <v>955</v>
      </c>
      <c r="R16" s="138"/>
      <c r="S16" s="142">
        <f>+D16+F16</f>
        <v>475</v>
      </c>
      <c r="T16" s="138"/>
    </row>
    <row r="17" spans="1:20" s="48" customFormat="1" ht="15.75" customHeight="1" x14ac:dyDescent="0.25">
      <c r="A17" s="43"/>
      <c r="B17" s="43"/>
      <c r="C17" s="43"/>
      <c r="D17" s="143">
        <f>SUM(D15:D16)</f>
        <v>80</v>
      </c>
      <c r="F17" s="143">
        <f>SUM(F15:F16)</f>
        <v>447</v>
      </c>
      <c r="H17" s="143">
        <f>SUM(H15:H16)</f>
        <v>764</v>
      </c>
      <c r="J17" s="143">
        <f>SUM(J15:J16)</f>
        <v>642</v>
      </c>
      <c r="L17" s="143">
        <f>SUM(L15:L16)</f>
        <v>506</v>
      </c>
      <c r="N17" s="144">
        <f>SUM(N15:N16)</f>
        <v>491</v>
      </c>
      <c r="O17" s="145"/>
      <c r="P17" s="140"/>
      <c r="Q17" s="143">
        <f>SUM(Q15:Q16)</f>
        <v>997</v>
      </c>
      <c r="S17" s="143">
        <f>SUM(S15:S16)</f>
        <v>527</v>
      </c>
    </row>
    <row r="18" spans="1:20" s="48" customFormat="1" ht="15.75" customHeight="1" x14ac:dyDescent="0.25">
      <c r="A18" s="43"/>
      <c r="B18" s="43"/>
      <c r="C18" s="43"/>
      <c r="O18" s="145"/>
      <c r="P18" s="140"/>
    </row>
    <row r="19" spans="1:20" s="48" customFormat="1" ht="15.75" customHeight="1" x14ac:dyDescent="0.25">
      <c r="A19" s="43"/>
      <c r="B19" s="45" t="s">
        <v>58</v>
      </c>
      <c r="C19" s="43"/>
      <c r="D19" s="137">
        <v>20</v>
      </c>
      <c r="F19" s="137">
        <v>20</v>
      </c>
      <c r="G19" s="137"/>
      <c r="H19" s="137">
        <v>22</v>
      </c>
      <c r="I19" s="137"/>
      <c r="J19" s="137">
        <v>22</v>
      </c>
      <c r="K19" s="137"/>
      <c r="L19" s="139">
        <v>16</v>
      </c>
      <c r="M19" s="139"/>
      <c r="N19" s="139">
        <f>32-16</f>
        <v>16</v>
      </c>
      <c r="O19" s="139"/>
      <c r="P19" s="146"/>
      <c r="Q19" s="147">
        <f>+L19+N19</f>
        <v>32</v>
      </c>
      <c r="S19" s="142">
        <f>+D19+F19</f>
        <v>40</v>
      </c>
    </row>
    <row r="20" spans="1:20" s="48" customFormat="1" ht="15.75" customHeight="1" x14ac:dyDescent="0.25">
      <c r="A20" s="43"/>
      <c r="B20" s="45" t="s">
        <v>59</v>
      </c>
      <c r="C20" s="43"/>
      <c r="D20" s="48">
        <v>8</v>
      </c>
      <c r="F20" s="48">
        <v>7</v>
      </c>
      <c r="H20" s="48">
        <v>7</v>
      </c>
      <c r="J20" s="48">
        <v>8</v>
      </c>
      <c r="L20" s="145">
        <v>0</v>
      </c>
      <c r="M20" s="145"/>
      <c r="N20" s="145">
        <v>0</v>
      </c>
      <c r="O20" s="145"/>
      <c r="P20" s="140"/>
      <c r="Q20" s="148">
        <f>+L20+N20</f>
        <v>0</v>
      </c>
      <c r="S20" s="149">
        <f>+D20+F20</f>
        <v>15</v>
      </c>
    </row>
    <row r="21" spans="1:20" s="48" customFormat="1" ht="15.75" customHeight="1" x14ac:dyDescent="0.25">
      <c r="A21" s="43"/>
      <c r="B21" s="43"/>
      <c r="C21" s="43"/>
      <c r="D21" s="150">
        <f>SUM(D19:D20)</f>
        <v>28</v>
      </c>
      <c r="F21" s="150">
        <f>SUM(F19:F20)</f>
        <v>27</v>
      </c>
      <c r="G21" s="81"/>
      <c r="H21" s="150">
        <f>SUM(H19:H20)</f>
        <v>29</v>
      </c>
      <c r="I21" s="81"/>
      <c r="J21" s="150">
        <f>SUM(J19:J20)</f>
        <v>30</v>
      </c>
      <c r="K21" s="81"/>
      <c r="L21" s="151">
        <f>SUM(L19:L20)</f>
        <v>16</v>
      </c>
      <c r="M21" s="133"/>
      <c r="N21" s="151">
        <f>SUM(N19:N20)</f>
        <v>16</v>
      </c>
      <c r="O21" s="133"/>
      <c r="P21" s="134"/>
      <c r="Q21" s="151">
        <f>SUM(Q19:Q20)</f>
        <v>32</v>
      </c>
      <c r="R21" s="81"/>
      <c r="S21" s="150">
        <f>SUM(S19:S20)</f>
        <v>55</v>
      </c>
      <c r="T21" s="81"/>
    </row>
    <row r="22" spans="1:20" s="48" customFormat="1" ht="15.75" customHeight="1" x14ac:dyDescent="0.25">
      <c r="A22" s="43"/>
      <c r="B22" s="43"/>
      <c r="C22" s="43"/>
      <c r="O22" s="145"/>
      <c r="P22" s="140"/>
    </row>
    <row r="23" spans="1:20" s="48" customFormat="1" ht="15.75" customHeight="1" x14ac:dyDescent="0.25">
      <c r="A23" s="43"/>
      <c r="B23" s="43"/>
      <c r="C23" s="43" t="s">
        <v>12</v>
      </c>
      <c r="D23" s="152">
        <f>+D13+D17+D21</f>
        <v>386</v>
      </c>
      <c r="F23" s="152">
        <f>+F13+F17+F21</f>
        <v>750</v>
      </c>
      <c r="H23" s="152">
        <f>+H13+H17+H21</f>
        <v>1067</v>
      </c>
      <c r="J23" s="152">
        <f>+J13+J17+J21</f>
        <v>945</v>
      </c>
      <c r="L23" s="152">
        <f>+L13+L17+L21</f>
        <v>1230</v>
      </c>
      <c r="N23" s="152">
        <f>+N13+N17+N21</f>
        <v>941</v>
      </c>
      <c r="O23" s="145"/>
      <c r="P23" s="140"/>
      <c r="Q23" s="152">
        <f>+Q13+Q17+Q21</f>
        <v>2171</v>
      </c>
      <c r="S23" s="152">
        <f>+S13+S17+S21</f>
        <v>1136</v>
      </c>
    </row>
    <row r="24" spans="1:20" s="48" customFormat="1" ht="15.75" customHeight="1" x14ac:dyDescent="0.25">
      <c r="A24" s="43"/>
      <c r="B24" s="43"/>
      <c r="C24" s="43"/>
      <c r="L24" s="145"/>
      <c r="M24" s="145"/>
      <c r="N24" s="145"/>
      <c r="O24" s="145"/>
      <c r="P24" s="140"/>
      <c r="Q24" s="145"/>
    </row>
    <row r="25" spans="1:20" s="48" customFormat="1" ht="15.75" customHeight="1" x14ac:dyDescent="0.25">
      <c r="A25" s="43" t="s">
        <v>14</v>
      </c>
      <c r="B25" s="43"/>
      <c r="C25" s="43"/>
      <c r="L25" s="145"/>
      <c r="M25" s="145"/>
      <c r="N25" s="145"/>
      <c r="O25" s="145"/>
      <c r="P25" s="140"/>
      <c r="Q25" s="145"/>
    </row>
    <row r="26" spans="1:20" s="48" customFormat="1" ht="15.75" customHeight="1" x14ac:dyDescent="0.25">
      <c r="A26" s="43"/>
      <c r="B26" s="45" t="s">
        <v>54</v>
      </c>
      <c r="C26" s="43"/>
      <c r="L26" s="145"/>
      <c r="M26" s="145"/>
      <c r="N26" s="145"/>
      <c r="O26" s="145"/>
      <c r="P26" s="140"/>
      <c r="Q26" s="145"/>
    </row>
    <row r="27" spans="1:20" s="48" customFormat="1" ht="15.75" customHeight="1" x14ac:dyDescent="0.25">
      <c r="A27" s="43"/>
      <c r="B27" s="45"/>
      <c r="C27" s="43" t="s">
        <v>55</v>
      </c>
      <c r="D27" s="124">
        <v>58</v>
      </c>
      <c r="F27" s="124">
        <v>58</v>
      </c>
      <c r="G27" s="48" t="s">
        <v>60</v>
      </c>
      <c r="H27" s="124">
        <v>39</v>
      </c>
      <c r="I27" s="48" t="s">
        <v>60</v>
      </c>
      <c r="J27" s="124">
        <v>40</v>
      </c>
      <c r="K27" s="48" t="s">
        <v>60</v>
      </c>
      <c r="L27" s="124">
        <v>83</v>
      </c>
      <c r="M27" s="124"/>
      <c r="N27" s="125">
        <f>174-83+5</f>
        <v>96</v>
      </c>
      <c r="O27" s="153"/>
      <c r="P27" s="140"/>
      <c r="Q27" s="126">
        <f>+L27+N27</f>
        <v>179</v>
      </c>
      <c r="R27" s="47"/>
      <c r="S27" s="127">
        <f>+D27+F27</f>
        <v>116</v>
      </c>
    </row>
    <row r="28" spans="1:20" s="48" customFormat="1" ht="15.75" customHeight="1" x14ac:dyDescent="0.25">
      <c r="A28" s="43"/>
      <c r="B28" s="45"/>
      <c r="C28" s="43" t="s">
        <v>56</v>
      </c>
      <c r="D28" s="46">
        <v>8</v>
      </c>
      <c r="F28" s="46">
        <v>4</v>
      </c>
      <c r="H28" s="46">
        <v>3</v>
      </c>
      <c r="J28" s="46">
        <v>-1</v>
      </c>
      <c r="L28" s="46">
        <v>6</v>
      </c>
      <c r="N28" s="128">
        <f>13-6</f>
        <v>7</v>
      </c>
      <c r="O28" s="153"/>
      <c r="P28" s="140"/>
      <c r="Q28" s="129">
        <f>+L28+N28</f>
        <v>13</v>
      </c>
      <c r="R28" s="47"/>
      <c r="S28" s="130">
        <f>+D28+F28</f>
        <v>12</v>
      </c>
    </row>
    <row r="29" spans="1:20" s="48" customFormat="1" ht="15.75" customHeight="1" x14ac:dyDescent="0.25">
      <c r="A29" s="43"/>
      <c r="B29" s="45"/>
      <c r="C29" s="43"/>
      <c r="D29" s="154">
        <f>SUM(D27:D28)</f>
        <v>66</v>
      </c>
      <c r="F29" s="154">
        <f>SUM(F27:F28)</f>
        <v>62</v>
      </c>
      <c r="H29" s="154">
        <f>SUM(H27:H28)</f>
        <v>42</v>
      </c>
      <c r="J29" s="154">
        <f>SUM(J27:J28)</f>
        <v>39</v>
      </c>
      <c r="L29" s="154">
        <f>SUM(L27:L28)</f>
        <v>89</v>
      </c>
      <c r="M29" s="81"/>
      <c r="N29" s="155">
        <f>SUM(N27:N28)</f>
        <v>103</v>
      </c>
      <c r="O29" s="153"/>
      <c r="P29" s="140"/>
      <c r="Q29" s="154">
        <f>SUM(Q27:Q28)</f>
        <v>192</v>
      </c>
      <c r="R29" s="47"/>
      <c r="S29" s="154">
        <f>SUM(S27:S28)</f>
        <v>128</v>
      </c>
    </row>
    <row r="30" spans="1:20" s="48" customFormat="1" ht="15.75" customHeight="1" x14ac:dyDescent="0.25">
      <c r="A30" s="43"/>
      <c r="B30" s="43"/>
      <c r="C30" s="45"/>
      <c r="D30" s="133"/>
      <c r="F30" s="133"/>
      <c r="H30" s="133"/>
      <c r="J30" s="133"/>
      <c r="L30" s="133"/>
      <c r="M30" s="133"/>
      <c r="N30" s="133"/>
      <c r="O30" s="153"/>
      <c r="P30" s="140"/>
      <c r="Q30" s="156"/>
      <c r="R30" s="47"/>
      <c r="S30" s="156"/>
    </row>
    <row r="31" spans="1:20" s="48" customFormat="1" ht="15.75" customHeight="1" x14ac:dyDescent="0.25">
      <c r="A31" s="43"/>
      <c r="B31" s="43" t="s">
        <v>10</v>
      </c>
      <c r="C31" s="43"/>
      <c r="D31" s="48">
        <v>18</v>
      </c>
      <c r="F31" s="48">
        <v>17</v>
      </c>
      <c r="H31" s="48">
        <v>17</v>
      </c>
      <c r="J31" s="48">
        <f>15+2</f>
        <v>17</v>
      </c>
      <c r="L31" s="48">
        <v>16</v>
      </c>
      <c r="N31" s="145">
        <f>33-16</f>
        <v>17</v>
      </c>
      <c r="O31" s="145"/>
      <c r="P31" s="140"/>
      <c r="Q31" s="157">
        <f>+L31+N31</f>
        <v>33</v>
      </c>
      <c r="S31" s="149">
        <f>+D31+F31</f>
        <v>35</v>
      </c>
    </row>
    <row r="32" spans="1:20" s="48" customFormat="1" ht="15.75" customHeight="1" x14ac:dyDescent="0.25">
      <c r="A32" s="43"/>
      <c r="B32" s="43" t="s">
        <v>57</v>
      </c>
      <c r="C32" s="43"/>
      <c r="D32" s="137">
        <v>49</v>
      </c>
      <c r="F32" s="137">
        <f>115+275</f>
        <v>390</v>
      </c>
      <c r="G32" s="137"/>
      <c r="H32" s="137">
        <f>314+372</f>
        <v>686</v>
      </c>
      <c r="I32" s="137"/>
      <c r="J32" s="137">
        <f>439+133</f>
        <v>572</v>
      </c>
      <c r="K32" s="137"/>
      <c r="L32" s="137">
        <f>462-13</f>
        <v>449</v>
      </c>
      <c r="M32" s="137"/>
      <c r="N32" s="139">
        <f>887-449-3</f>
        <v>435</v>
      </c>
      <c r="O32" s="153"/>
      <c r="P32" s="146"/>
      <c r="Q32" s="141">
        <f>+L32+N32</f>
        <v>884</v>
      </c>
      <c r="R32" s="47"/>
      <c r="S32" s="142">
        <f>+D32+F32</f>
        <v>439</v>
      </c>
      <c r="T32" s="158"/>
    </row>
    <row r="33" spans="1:21" s="48" customFormat="1" ht="14.25" customHeight="1" x14ac:dyDescent="0.25">
      <c r="A33" s="43"/>
      <c r="B33" s="43" t="s">
        <v>58</v>
      </c>
      <c r="C33" s="43"/>
      <c r="D33" s="137">
        <v>13</v>
      </c>
      <c r="F33" s="137">
        <v>15</v>
      </c>
      <c r="G33" s="137"/>
      <c r="H33" s="137">
        <v>14</v>
      </c>
      <c r="I33" s="137"/>
      <c r="J33" s="137">
        <v>15</v>
      </c>
      <c r="K33" s="137"/>
      <c r="L33" s="137">
        <v>14</v>
      </c>
      <c r="M33" s="137"/>
      <c r="N33" s="139">
        <f>26-14</f>
        <v>12</v>
      </c>
      <c r="O33" s="153"/>
      <c r="P33" s="146"/>
      <c r="Q33" s="141">
        <f>+L33+N33</f>
        <v>26</v>
      </c>
      <c r="R33" s="47"/>
      <c r="S33" s="142">
        <f>+D33+F33</f>
        <v>28</v>
      </c>
    </row>
    <row r="34" spans="1:21" s="48" customFormat="1" ht="15.75" customHeight="1" x14ac:dyDescent="0.25">
      <c r="A34" s="43"/>
      <c r="B34" s="43"/>
      <c r="C34" s="43"/>
      <c r="D34" s="159">
        <f>SUM(D29:D33)</f>
        <v>146</v>
      </c>
      <c r="F34" s="159">
        <f>SUM(F29:F33)</f>
        <v>484</v>
      </c>
      <c r="H34" s="159">
        <f>SUM(H29:H33)</f>
        <v>759</v>
      </c>
      <c r="J34" s="159">
        <f>SUM(J29:J33)</f>
        <v>643</v>
      </c>
      <c r="L34" s="159">
        <f>SUM(L29:L33)</f>
        <v>568</v>
      </c>
      <c r="N34" s="159">
        <f>SUM(N29:N33)</f>
        <v>567</v>
      </c>
      <c r="O34" s="145"/>
      <c r="P34" s="140"/>
      <c r="Q34" s="159">
        <f>SUM(Q29:Q33)</f>
        <v>1135</v>
      </c>
      <c r="S34" s="159">
        <f>SUM(S29:S33)</f>
        <v>630</v>
      </c>
    </row>
    <row r="35" spans="1:21" s="48" customFormat="1" ht="15.75" customHeight="1" x14ac:dyDescent="0.25">
      <c r="A35" s="43"/>
      <c r="B35" s="43"/>
      <c r="C35" s="43"/>
      <c r="D35" s="47"/>
      <c r="F35" s="47"/>
      <c r="G35" s="47"/>
      <c r="H35" s="47"/>
      <c r="I35" s="47"/>
      <c r="J35" s="47"/>
      <c r="K35" s="47"/>
      <c r="L35" s="153"/>
      <c r="M35" s="153"/>
      <c r="N35" s="153"/>
      <c r="O35" s="153"/>
      <c r="P35" s="140"/>
      <c r="Q35" s="153"/>
      <c r="S35" s="47"/>
      <c r="T35" s="47"/>
    </row>
    <row r="36" spans="1:21" s="48" customFormat="1" ht="15.75" customHeight="1" x14ac:dyDescent="0.25">
      <c r="A36" s="43" t="s">
        <v>15</v>
      </c>
      <c r="B36" s="43"/>
      <c r="C36" s="43"/>
      <c r="D36" s="47"/>
      <c r="F36" s="47"/>
      <c r="G36" s="47"/>
      <c r="H36" s="47"/>
      <c r="I36" s="47"/>
      <c r="J36" s="47"/>
      <c r="K36" s="47"/>
      <c r="L36" s="153"/>
      <c r="M36" s="153"/>
      <c r="N36" s="153"/>
      <c r="O36" s="153"/>
      <c r="P36" s="140"/>
      <c r="Q36" s="153"/>
      <c r="S36" s="47"/>
      <c r="T36" s="47"/>
    </row>
    <row r="37" spans="1:21" s="48" customFormat="1" ht="15.75" customHeight="1" x14ac:dyDescent="0.25">
      <c r="A37" s="43"/>
      <c r="B37" s="45" t="s">
        <v>9</v>
      </c>
      <c r="D37" s="145">
        <v>204</v>
      </c>
      <c r="E37" s="145"/>
      <c r="F37" s="145">
        <v>183</v>
      </c>
      <c r="G37" s="145"/>
      <c r="H37" s="145">
        <v>191</v>
      </c>
      <c r="I37" s="145"/>
      <c r="J37" s="145">
        <v>190</v>
      </c>
      <c r="K37" s="145"/>
      <c r="L37" s="145">
        <f>179+20</f>
        <v>199</v>
      </c>
      <c r="M37" s="145"/>
      <c r="N37" s="145">
        <v>218</v>
      </c>
      <c r="O37" s="145"/>
      <c r="P37" s="140"/>
      <c r="Q37" s="148">
        <f>+L37+N37</f>
        <v>417</v>
      </c>
      <c r="R37" s="145"/>
      <c r="S37" s="160">
        <f>+D37+F37</f>
        <v>387</v>
      </c>
      <c r="U37" s="48" t="s">
        <v>61</v>
      </c>
    </row>
    <row r="38" spans="1:21" s="48" customFormat="1" ht="15.75" customHeight="1" x14ac:dyDescent="0.25">
      <c r="A38" s="43"/>
      <c r="B38" s="43" t="s">
        <v>10</v>
      </c>
      <c r="C38" s="43"/>
      <c r="D38" s="145">
        <v>4</v>
      </c>
      <c r="E38" s="145"/>
      <c r="F38" s="139">
        <v>3</v>
      </c>
      <c r="G38" s="139"/>
      <c r="H38" s="139">
        <v>4</v>
      </c>
      <c r="I38" s="139"/>
      <c r="J38" s="139">
        <v>5</v>
      </c>
      <c r="K38" s="139"/>
      <c r="L38" s="139">
        <v>4</v>
      </c>
      <c r="M38" s="139"/>
      <c r="N38" s="139">
        <f>7-4</f>
        <v>3</v>
      </c>
      <c r="O38" s="139"/>
      <c r="P38" s="146"/>
      <c r="Q38" s="148">
        <f>+L38+N38</f>
        <v>7</v>
      </c>
      <c r="R38" s="145"/>
      <c r="S38" s="160">
        <f>+D38+F38</f>
        <v>7</v>
      </c>
    </row>
    <row r="39" spans="1:21" s="48" customFormat="1" ht="15.75" customHeight="1" x14ac:dyDescent="0.25">
      <c r="A39" s="43"/>
      <c r="B39" s="43" t="s">
        <v>57</v>
      </c>
      <c r="C39" s="43"/>
      <c r="D39" s="139">
        <v>0</v>
      </c>
      <c r="E39" s="139"/>
      <c r="F39" s="139">
        <v>2</v>
      </c>
      <c r="G39" s="139"/>
      <c r="H39" s="139">
        <f>3+2</f>
        <v>5</v>
      </c>
      <c r="I39" s="139"/>
      <c r="J39" s="139">
        <v>3</v>
      </c>
      <c r="K39" s="139"/>
      <c r="L39" s="139">
        <f>4-1</f>
        <v>3</v>
      </c>
      <c r="M39" s="139"/>
      <c r="N39" s="139">
        <v>6</v>
      </c>
      <c r="O39" s="139"/>
      <c r="P39" s="146"/>
      <c r="Q39" s="148">
        <f>+L39+N39</f>
        <v>9</v>
      </c>
      <c r="R39" s="139"/>
      <c r="S39" s="160">
        <f>+D39+F39</f>
        <v>2</v>
      </c>
      <c r="T39" s="158"/>
    </row>
    <row r="40" spans="1:21" s="48" customFormat="1" ht="15.75" customHeight="1" x14ac:dyDescent="0.25">
      <c r="A40" s="43"/>
      <c r="B40" s="43" t="s">
        <v>58</v>
      </c>
      <c r="C40" s="43"/>
      <c r="D40" s="139">
        <v>1</v>
      </c>
      <c r="E40" s="145"/>
      <c r="F40" s="139">
        <v>1</v>
      </c>
      <c r="G40" s="139"/>
      <c r="H40" s="139">
        <v>0</v>
      </c>
      <c r="I40" s="139"/>
      <c r="J40" s="139">
        <v>1</v>
      </c>
      <c r="K40" s="139"/>
      <c r="L40" s="139">
        <v>1</v>
      </c>
      <c r="M40" s="139"/>
      <c r="N40" s="139">
        <f>2-1</f>
        <v>1</v>
      </c>
      <c r="O40" s="139"/>
      <c r="P40" s="146"/>
      <c r="Q40" s="148">
        <f>+L40+N40</f>
        <v>2</v>
      </c>
      <c r="R40" s="145"/>
      <c r="S40" s="160">
        <f>+D40+F40</f>
        <v>2</v>
      </c>
    </row>
    <row r="41" spans="1:21" s="48" customFormat="1" ht="15.75" customHeight="1" x14ac:dyDescent="0.25">
      <c r="A41" s="43"/>
      <c r="B41" s="43" t="s">
        <v>62</v>
      </c>
      <c r="C41" s="43"/>
      <c r="D41" s="139">
        <v>1</v>
      </c>
      <c r="E41" s="145"/>
      <c r="F41" s="139">
        <v>1</v>
      </c>
      <c r="G41" s="139"/>
      <c r="H41" s="139">
        <v>1</v>
      </c>
      <c r="I41" s="139"/>
      <c r="J41" s="139">
        <v>2</v>
      </c>
      <c r="K41" s="139"/>
      <c r="L41" s="139">
        <v>0</v>
      </c>
      <c r="M41" s="139"/>
      <c r="N41" s="139">
        <v>0</v>
      </c>
      <c r="O41" s="139"/>
      <c r="P41" s="146"/>
      <c r="Q41" s="148">
        <f>+L41+N41</f>
        <v>0</v>
      </c>
      <c r="R41" s="145"/>
      <c r="S41" s="160">
        <f>+D41+F41</f>
        <v>2</v>
      </c>
    </row>
    <row r="42" spans="1:21" s="48" customFormat="1" ht="15.75" customHeight="1" x14ac:dyDescent="0.25">
      <c r="A42" s="43"/>
      <c r="B42" s="43"/>
      <c r="C42" s="43"/>
      <c r="D42" s="161">
        <f>SUM(D37:D41)</f>
        <v>210</v>
      </c>
      <c r="E42" s="145"/>
      <c r="F42" s="161">
        <f>SUM(F37:F41)</f>
        <v>190</v>
      </c>
      <c r="G42" s="145"/>
      <c r="H42" s="161">
        <f>SUM(H37:H41)</f>
        <v>201</v>
      </c>
      <c r="I42" s="145"/>
      <c r="J42" s="161">
        <f>SUM(J37:J41)</f>
        <v>201</v>
      </c>
      <c r="K42" s="145"/>
      <c r="L42" s="161">
        <f>SUM(L37:L41)</f>
        <v>207</v>
      </c>
      <c r="M42" s="145"/>
      <c r="N42" s="161">
        <f>SUM(N37:N41)</f>
        <v>228</v>
      </c>
      <c r="O42" s="145"/>
      <c r="P42" s="140"/>
      <c r="Q42" s="161">
        <f>SUM(Q37:Q41)</f>
        <v>435</v>
      </c>
      <c r="R42" s="145"/>
      <c r="S42" s="161">
        <f>SUM(S37:S41)</f>
        <v>400</v>
      </c>
    </row>
    <row r="43" spans="1:21" s="48" customFormat="1" ht="15.75" customHeight="1" x14ac:dyDescent="0.25">
      <c r="A43" s="43"/>
      <c r="B43" s="43"/>
      <c r="C43" s="43"/>
      <c r="L43" s="145"/>
      <c r="M43" s="145"/>
      <c r="N43" s="145"/>
      <c r="O43" s="145"/>
      <c r="P43" s="140"/>
      <c r="Q43" s="145"/>
    </row>
    <row r="44" spans="1:21" s="48" customFormat="1" ht="15.75" customHeight="1" x14ac:dyDescent="0.25">
      <c r="A44" s="45" t="s">
        <v>63</v>
      </c>
      <c r="B44" s="43"/>
      <c r="C44" s="43"/>
      <c r="L44" s="145"/>
      <c r="M44" s="145"/>
      <c r="N44" s="145"/>
      <c r="O44" s="145"/>
      <c r="P44" s="140"/>
      <c r="Q44" s="145"/>
    </row>
    <row r="45" spans="1:21" s="48" customFormat="1" ht="15.75" customHeight="1" x14ac:dyDescent="0.25">
      <c r="A45" s="43"/>
      <c r="B45" s="43" t="s">
        <v>64</v>
      </c>
      <c r="C45" s="43"/>
      <c r="D45" s="133">
        <f>63-3</f>
        <v>60</v>
      </c>
      <c r="E45" s="145"/>
      <c r="F45" s="133">
        <f>61-3-3</f>
        <v>55</v>
      </c>
      <c r="G45" s="133"/>
      <c r="H45" s="133">
        <v>53</v>
      </c>
      <c r="I45" s="133"/>
      <c r="J45" s="133">
        <f>49-5</f>
        <v>44</v>
      </c>
      <c r="K45" s="133"/>
      <c r="L45" s="133">
        <f>90-9-2+4</f>
        <v>83</v>
      </c>
      <c r="M45" s="133"/>
      <c r="N45" s="133">
        <f>88-3</f>
        <v>85</v>
      </c>
      <c r="O45" s="133"/>
      <c r="P45" s="140"/>
      <c r="Q45" s="148">
        <f t="shared" ref="Q45:Q62" si="0">+L45+N45</f>
        <v>168</v>
      </c>
      <c r="R45" s="133"/>
      <c r="S45" s="160">
        <f t="shared" ref="S45:S62" si="1">+D45+F45</f>
        <v>115</v>
      </c>
      <c r="U45" s="48" t="s">
        <v>65</v>
      </c>
    </row>
    <row r="46" spans="1:21" s="48" customFormat="1" ht="30.75" customHeight="1" x14ac:dyDescent="0.25">
      <c r="A46" s="43"/>
      <c r="B46" s="43" t="s">
        <v>66</v>
      </c>
      <c r="C46" s="43"/>
      <c r="D46" s="133">
        <v>30</v>
      </c>
      <c r="E46" s="145"/>
      <c r="F46" s="133">
        <v>26</v>
      </c>
      <c r="G46" s="133"/>
      <c r="H46" s="133">
        <v>20</v>
      </c>
      <c r="I46" s="133"/>
      <c r="J46" s="133">
        <v>16</v>
      </c>
      <c r="K46" s="133"/>
      <c r="L46" s="133">
        <v>28</v>
      </c>
      <c r="M46" s="133"/>
      <c r="N46" s="133">
        <v>19</v>
      </c>
      <c r="O46" s="133"/>
      <c r="P46" s="140"/>
      <c r="Q46" s="148">
        <f t="shared" si="0"/>
        <v>47</v>
      </c>
      <c r="R46" s="133"/>
      <c r="S46" s="160">
        <f t="shared" si="1"/>
        <v>56</v>
      </c>
      <c r="U46" s="76" t="s">
        <v>67</v>
      </c>
    </row>
    <row r="47" spans="1:21" s="48" customFormat="1" ht="15.75" customHeight="1" x14ac:dyDescent="0.25">
      <c r="A47" s="43"/>
      <c r="B47" s="43" t="s">
        <v>68</v>
      </c>
      <c r="C47" s="43"/>
      <c r="D47" s="133">
        <v>4</v>
      </c>
      <c r="E47" s="145"/>
      <c r="F47" s="133">
        <v>3</v>
      </c>
      <c r="G47" s="133"/>
      <c r="H47" s="133">
        <v>3</v>
      </c>
      <c r="I47" s="133"/>
      <c r="J47" s="133">
        <v>3</v>
      </c>
      <c r="K47" s="133"/>
      <c r="L47" s="133">
        <v>3</v>
      </c>
      <c r="M47" s="133"/>
      <c r="N47" s="133">
        <v>6</v>
      </c>
      <c r="O47" s="133"/>
      <c r="P47" s="140"/>
      <c r="Q47" s="148">
        <f t="shared" si="0"/>
        <v>9</v>
      </c>
      <c r="R47" s="133"/>
      <c r="S47" s="160">
        <f t="shared" si="1"/>
        <v>7</v>
      </c>
      <c r="U47" s="76" t="s">
        <v>69</v>
      </c>
    </row>
    <row r="48" spans="1:21" s="48" customFormat="1" ht="15.75" customHeight="1" x14ac:dyDescent="0.25">
      <c r="A48" s="43"/>
      <c r="B48" s="43" t="s">
        <v>70</v>
      </c>
      <c r="C48" s="43"/>
      <c r="D48" s="133">
        <v>8</v>
      </c>
      <c r="E48" s="145"/>
      <c r="F48" s="133">
        <v>7</v>
      </c>
      <c r="G48" s="133"/>
      <c r="H48" s="133">
        <v>9</v>
      </c>
      <c r="I48" s="133"/>
      <c r="J48" s="133">
        <v>13</v>
      </c>
      <c r="K48" s="133"/>
      <c r="L48" s="133">
        <v>12</v>
      </c>
      <c r="M48" s="133"/>
      <c r="N48" s="133">
        <f>25-12</f>
        <v>13</v>
      </c>
      <c r="O48" s="133"/>
      <c r="P48" s="140"/>
      <c r="Q48" s="148">
        <f t="shared" si="0"/>
        <v>25</v>
      </c>
      <c r="R48" s="133"/>
      <c r="S48" s="160">
        <f t="shared" si="1"/>
        <v>15</v>
      </c>
    </row>
    <row r="49" spans="1:21" s="48" customFormat="1" ht="30.75" customHeight="1" x14ac:dyDescent="0.25">
      <c r="A49" s="43"/>
      <c r="B49" s="43" t="s">
        <v>71</v>
      </c>
      <c r="C49" s="43"/>
      <c r="D49" s="133">
        <f>14+1-3-7</f>
        <v>5</v>
      </c>
      <c r="E49" s="145"/>
      <c r="F49" s="133">
        <f>4-1</f>
        <v>3</v>
      </c>
      <c r="G49" s="133"/>
      <c r="H49" s="133">
        <f>4+2</f>
        <v>6</v>
      </c>
      <c r="I49" s="133"/>
      <c r="J49" s="133">
        <f>8+5-2</f>
        <v>11</v>
      </c>
      <c r="K49" s="133"/>
      <c r="L49" s="133">
        <f>9+1-1</f>
        <v>9</v>
      </c>
      <c r="M49" s="133"/>
      <c r="N49" s="133">
        <f>20-9+2</f>
        <v>13</v>
      </c>
      <c r="O49" s="133"/>
      <c r="P49" s="140"/>
      <c r="Q49" s="148">
        <f t="shared" si="0"/>
        <v>22</v>
      </c>
      <c r="R49" s="133"/>
      <c r="S49" s="160">
        <f t="shared" si="1"/>
        <v>8</v>
      </c>
      <c r="U49" s="76" t="s">
        <v>72</v>
      </c>
    </row>
    <row r="50" spans="1:21" s="48" customFormat="1" ht="45.75" customHeight="1" x14ac:dyDescent="0.25">
      <c r="A50" s="43"/>
      <c r="B50" s="43" t="s">
        <v>73</v>
      </c>
      <c r="C50" s="43"/>
      <c r="D50" s="133">
        <v>23</v>
      </c>
      <c r="E50" s="145"/>
      <c r="F50" s="133">
        <v>24</v>
      </c>
      <c r="G50" s="133"/>
      <c r="H50" s="133">
        <v>27</v>
      </c>
      <c r="I50" s="133"/>
      <c r="J50" s="133">
        <f>26+1</f>
        <v>27</v>
      </c>
      <c r="K50" s="133"/>
      <c r="L50" s="133">
        <v>32</v>
      </c>
      <c r="M50" s="133"/>
      <c r="N50" s="133">
        <f>71-32</f>
        <v>39</v>
      </c>
      <c r="O50" s="133"/>
      <c r="P50" s="140"/>
      <c r="Q50" s="148">
        <f t="shared" si="0"/>
        <v>71</v>
      </c>
      <c r="R50" s="133"/>
      <c r="S50" s="160">
        <f t="shared" si="1"/>
        <v>47</v>
      </c>
      <c r="U50" s="76" t="s">
        <v>74</v>
      </c>
    </row>
    <row r="51" spans="1:21" s="48" customFormat="1" ht="15.75" customHeight="1" x14ac:dyDescent="0.25">
      <c r="A51" s="43"/>
      <c r="B51" s="43" t="s">
        <v>75</v>
      </c>
      <c r="C51" s="43"/>
      <c r="D51" s="133">
        <v>3</v>
      </c>
      <c r="E51" s="145"/>
      <c r="F51" s="133">
        <v>3</v>
      </c>
      <c r="G51" s="133"/>
      <c r="H51" s="133">
        <v>2</v>
      </c>
      <c r="I51" s="133"/>
      <c r="J51" s="133">
        <v>2</v>
      </c>
      <c r="K51" s="133"/>
      <c r="L51" s="133">
        <v>3</v>
      </c>
      <c r="M51" s="133"/>
      <c r="N51" s="133">
        <f>7-3</f>
        <v>4</v>
      </c>
      <c r="O51" s="133"/>
      <c r="P51" s="140"/>
      <c r="Q51" s="148">
        <f t="shared" si="0"/>
        <v>7</v>
      </c>
      <c r="R51" s="133"/>
      <c r="S51" s="160">
        <f t="shared" si="1"/>
        <v>6</v>
      </c>
    </row>
    <row r="52" spans="1:21" s="48" customFormat="1" ht="30.75" customHeight="1" x14ac:dyDescent="0.25">
      <c r="A52" s="43"/>
      <c r="B52" s="43" t="s">
        <v>76</v>
      </c>
      <c r="C52" s="43"/>
      <c r="D52" s="133">
        <v>17</v>
      </c>
      <c r="E52" s="145"/>
      <c r="F52" s="133">
        <v>18</v>
      </c>
      <c r="G52" s="133"/>
      <c r="H52" s="133">
        <v>11</v>
      </c>
      <c r="I52" s="133"/>
      <c r="J52" s="133">
        <v>12</v>
      </c>
      <c r="K52" s="133"/>
      <c r="L52" s="133">
        <v>20</v>
      </c>
      <c r="M52" s="133"/>
      <c r="N52" s="133">
        <f>34-20</f>
        <v>14</v>
      </c>
      <c r="O52" s="133"/>
      <c r="P52" s="140"/>
      <c r="Q52" s="148">
        <f t="shared" si="0"/>
        <v>34</v>
      </c>
      <c r="R52" s="133"/>
      <c r="S52" s="160">
        <f t="shared" si="1"/>
        <v>35</v>
      </c>
      <c r="U52" s="76" t="s">
        <v>77</v>
      </c>
    </row>
    <row r="53" spans="1:21" s="48" customFormat="1" ht="15.75" customHeight="1" x14ac:dyDescent="0.25">
      <c r="A53" s="43"/>
      <c r="B53" s="43" t="s">
        <v>78</v>
      </c>
      <c r="C53" s="43"/>
      <c r="D53" s="162">
        <v>0</v>
      </c>
      <c r="E53" s="145"/>
      <c r="F53" s="162">
        <v>2</v>
      </c>
      <c r="G53" s="162"/>
      <c r="H53" s="162">
        <v>1</v>
      </c>
      <c r="I53" s="162"/>
      <c r="J53" s="162">
        <v>1</v>
      </c>
      <c r="K53" s="162"/>
      <c r="L53" s="162">
        <v>1</v>
      </c>
      <c r="M53" s="162"/>
      <c r="N53" s="162">
        <v>1</v>
      </c>
      <c r="O53" s="162"/>
      <c r="P53" s="146"/>
      <c r="Q53" s="148">
        <f t="shared" si="0"/>
        <v>2</v>
      </c>
      <c r="R53" s="133"/>
      <c r="S53" s="160">
        <f t="shared" si="1"/>
        <v>2</v>
      </c>
    </row>
    <row r="54" spans="1:21" s="48" customFormat="1" ht="15.75" customHeight="1" x14ac:dyDescent="0.25">
      <c r="A54" s="43"/>
      <c r="B54" s="43" t="s">
        <v>79</v>
      </c>
      <c r="C54" s="43"/>
      <c r="D54" s="162">
        <v>0</v>
      </c>
      <c r="E54" s="145"/>
      <c r="F54" s="162">
        <v>1</v>
      </c>
      <c r="G54" s="162"/>
      <c r="H54" s="162">
        <v>0</v>
      </c>
      <c r="I54" s="162"/>
      <c r="J54" s="162">
        <v>0</v>
      </c>
      <c r="K54" s="162"/>
      <c r="L54" s="162">
        <v>1</v>
      </c>
      <c r="M54" s="162"/>
      <c r="N54" s="162">
        <v>0</v>
      </c>
      <c r="O54" s="162"/>
      <c r="P54" s="146"/>
      <c r="Q54" s="148">
        <f t="shared" si="0"/>
        <v>1</v>
      </c>
      <c r="R54" s="133"/>
      <c r="S54" s="160">
        <f t="shared" si="1"/>
        <v>1</v>
      </c>
    </row>
    <row r="55" spans="1:21" s="48" customFormat="1" ht="15.75" customHeight="1" x14ac:dyDescent="0.25">
      <c r="A55" s="43"/>
      <c r="B55" s="43" t="s">
        <v>80</v>
      </c>
      <c r="C55" s="43"/>
      <c r="D55" s="133">
        <v>1</v>
      </c>
      <c r="E55" s="145"/>
      <c r="F55" s="133">
        <v>1</v>
      </c>
      <c r="G55" s="133"/>
      <c r="H55" s="133">
        <v>1</v>
      </c>
      <c r="I55" s="133"/>
      <c r="J55" s="133">
        <v>1</v>
      </c>
      <c r="K55" s="133"/>
      <c r="L55" s="133">
        <v>1</v>
      </c>
      <c r="M55" s="133"/>
      <c r="N55" s="133">
        <v>1</v>
      </c>
      <c r="O55" s="133"/>
      <c r="P55" s="140"/>
      <c r="Q55" s="148">
        <f t="shared" si="0"/>
        <v>2</v>
      </c>
      <c r="R55" s="133"/>
      <c r="S55" s="160">
        <f t="shared" si="1"/>
        <v>2</v>
      </c>
    </row>
    <row r="56" spans="1:21" s="48" customFormat="1" ht="15.75" customHeight="1" x14ac:dyDescent="0.25">
      <c r="A56" s="43"/>
      <c r="B56" s="43" t="s">
        <v>81</v>
      </c>
      <c r="C56" s="43"/>
      <c r="D56" s="133">
        <v>4</v>
      </c>
      <c r="E56" s="145"/>
      <c r="F56" s="133">
        <v>4</v>
      </c>
      <c r="G56" s="133"/>
      <c r="H56" s="133">
        <v>2</v>
      </c>
      <c r="I56" s="133"/>
      <c r="J56" s="133">
        <v>3</v>
      </c>
      <c r="K56" s="133"/>
      <c r="L56" s="133">
        <v>5</v>
      </c>
      <c r="M56" s="133"/>
      <c r="N56" s="133">
        <f>9-5</f>
        <v>4</v>
      </c>
      <c r="O56" s="133"/>
      <c r="P56" s="140"/>
      <c r="Q56" s="148">
        <f t="shared" si="0"/>
        <v>9</v>
      </c>
      <c r="R56" s="133"/>
      <c r="S56" s="160">
        <f t="shared" si="1"/>
        <v>8</v>
      </c>
    </row>
    <row r="57" spans="1:21" s="48" customFormat="1" ht="15.75" customHeight="1" x14ac:dyDescent="0.25">
      <c r="A57" s="43"/>
      <c r="B57" s="43" t="s">
        <v>82</v>
      </c>
      <c r="C57" s="43"/>
      <c r="D57" s="133">
        <v>3</v>
      </c>
      <c r="E57" s="145"/>
      <c r="F57" s="133">
        <f>7-2</f>
        <v>5</v>
      </c>
      <c r="G57" s="133"/>
      <c r="H57" s="133">
        <v>8</v>
      </c>
      <c r="I57" s="133"/>
      <c r="J57" s="133">
        <v>3</v>
      </c>
      <c r="K57" s="133"/>
      <c r="L57" s="133">
        <v>6</v>
      </c>
      <c r="M57" s="133"/>
      <c r="N57" s="133">
        <f>13-6</f>
        <v>7</v>
      </c>
      <c r="O57" s="133"/>
      <c r="P57" s="140"/>
      <c r="Q57" s="148">
        <f t="shared" si="0"/>
        <v>13</v>
      </c>
      <c r="R57" s="133"/>
      <c r="S57" s="160">
        <f t="shared" si="1"/>
        <v>8</v>
      </c>
    </row>
    <row r="58" spans="1:21" s="48" customFormat="1" ht="15.75" customHeight="1" x14ac:dyDescent="0.25">
      <c r="A58" s="43"/>
      <c r="B58" s="43" t="s">
        <v>83</v>
      </c>
      <c r="C58" s="43"/>
      <c r="D58" s="133">
        <v>3</v>
      </c>
      <c r="E58" s="145"/>
      <c r="F58" s="133">
        <v>1</v>
      </c>
      <c r="G58" s="133"/>
      <c r="H58" s="133">
        <v>5</v>
      </c>
      <c r="I58" s="133"/>
      <c r="J58" s="133">
        <v>-3</v>
      </c>
      <c r="K58" s="133"/>
      <c r="L58" s="133">
        <f>-3+2</f>
        <v>-1</v>
      </c>
      <c r="M58" s="133"/>
      <c r="N58" s="133">
        <v>1</v>
      </c>
      <c r="O58" s="133"/>
      <c r="P58" s="140"/>
      <c r="Q58" s="148">
        <f t="shared" si="0"/>
        <v>0</v>
      </c>
      <c r="R58" s="133"/>
      <c r="S58" s="160">
        <f t="shared" si="1"/>
        <v>4</v>
      </c>
    </row>
    <row r="59" spans="1:21" s="48" customFormat="1" ht="15.75" customHeight="1" x14ac:dyDescent="0.25">
      <c r="A59" s="43"/>
      <c r="B59" s="43" t="s">
        <v>84</v>
      </c>
      <c r="C59" s="43"/>
      <c r="D59" s="162">
        <v>2</v>
      </c>
      <c r="E59" s="145"/>
      <c r="F59" s="162">
        <v>0</v>
      </c>
      <c r="G59" s="162"/>
      <c r="H59" s="162">
        <v>0</v>
      </c>
      <c r="I59" s="162"/>
      <c r="J59" s="162">
        <v>0</v>
      </c>
      <c r="K59" s="162"/>
      <c r="L59" s="162">
        <v>0</v>
      </c>
      <c r="M59" s="162"/>
      <c r="N59" s="162">
        <v>0</v>
      </c>
      <c r="O59" s="162"/>
      <c r="P59" s="140"/>
      <c r="Q59" s="148">
        <f t="shared" si="0"/>
        <v>0</v>
      </c>
      <c r="R59" s="133"/>
      <c r="S59" s="160">
        <f t="shared" si="1"/>
        <v>2</v>
      </c>
      <c r="T59" s="137"/>
    </row>
    <row r="60" spans="1:21" s="48" customFormat="1" ht="15.75" customHeight="1" x14ac:dyDescent="0.25">
      <c r="A60" s="43"/>
      <c r="B60" s="43" t="s">
        <v>85</v>
      </c>
      <c r="C60" s="43"/>
      <c r="D60" s="162">
        <v>0</v>
      </c>
      <c r="E60" s="145"/>
      <c r="F60" s="162">
        <v>0</v>
      </c>
      <c r="G60" s="162"/>
      <c r="H60" s="162">
        <v>0</v>
      </c>
      <c r="I60" s="162"/>
      <c r="J60" s="162">
        <v>0</v>
      </c>
      <c r="K60" s="162"/>
      <c r="L60" s="162">
        <v>2</v>
      </c>
      <c r="M60" s="162"/>
      <c r="N60" s="162">
        <v>0</v>
      </c>
      <c r="O60" s="162"/>
      <c r="P60" s="140"/>
      <c r="Q60" s="148">
        <f t="shared" si="0"/>
        <v>2</v>
      </c>
      <c r="R60" s="133"/>
      <c r="S60" s="160">
        <f t="shared" si="1"/>
        <v>0</v>
      </c>
      <c r="T60" s="137"/>
    </row>
    <row r="61" spans="1:21" s="48" customFormat="1" ht="15.75" customHeight="1" x14ac:dyDescent="0.25">
      <c r="A61" s="43"/>
      <c r="B61" s="43" t="s">
        <v>86</v>
      </c>
      <c r="C61" s="43"/>
      <c r="D61" s="162">
        <v>0</v>
      </c>
      <c r="E61" s="145"/>
      <c r="F61" s="162">
        <v>0</v>
      </c>
      <c r="G61" s="162"/>
      <c r="H61" s="162">
        <v>0</v>
      </c>
      <c r="I61" s="162"/>
      <c r="J61" s="162">
        <v>0</v>
      </c>
      <c r="K61" s="162"/>
      <c r="L61" s="162">
        <v>1</v>
      </c>
      <c r="M61" s="162"/>
      <c r="N61" s="162">
        <v>2</v>
      </c>
      <c r="O61" s="162"/>
      <c r="P61" s="140"/>
      <c r="Q61" s="148">
        <f t="shared" si="0"/>
        <v>3</v>
      </c>
      <c r="R61" s="133"/>
      <c r="S61" s="160">
        <f t="shared" si="1"/>
        <v>0</v>
      </c>
      <c r="T61" s="137"/>
    </row>
    <row r="62" spans="1:21" s="48" customFormat="1" ht="60.75" customHeight="1" x14ac:dyDescent="0.25">
      <c r="A62" s="43"/>
      <c r="B62" s="43" t="s">
        <v>11</v>
      </c>
      <c r="C62" s="43"/>
      <c r="D62" s="145">
        <f>3+1+3</f>
        <v>7</v>
      </c>
      <c r="E62" s="145"/>
      <c r="F62" s="145">
        <v>7</v>
      </c>
      <c r="G62" s="145"/>
      <c r="H62" s="145">
        <v>3</v>
      </c>
      <c r="I62" s="145"/>
      <c r="J62" s="145">
        <v>3</v>
      </c>
      <c r="K62" s="145"/>
      <c r="L62" s="145">
        <v>4</v>
      </c>
      <c r="M62" s="145"/>
      <c r="N62" s="145">
        <v>5</v>
      </c>
      <c r="O62" s="145"/>
      <c r="P62" s="140"/>
      <c r="Q62" s="148">
        <f t="shared" si="0"/>
        <v>9</v>
      </c>
      <c r="R62" s="145"/>
      <c r="S62" s="160">
        <f t="shared" si="1"/>
        <v>14</v>
      </c>
      <c r="U62" s="76" t="s">
        <v>87</v>
      </c>
    </row>
    <row r="63" spans="1:21" s="48" customFormat="1" ht="15.75" customHeight="1" x14ac:dyDescent="0.25">
      <c r="A63" s="43"/>
      <c r="B63" s="43" t="s">
        <v>88</v>
      </c>
      <c r="C63" s="43"/>
      <c r="D63" s="163">
        <f>SUM(D45:D62)</f>
        <v>170</v>
      </c>
      <c r="F63" s="163">
        <f>SUM(F45:F62)</f>
        <v>160</v>
      </c>
      <c r="G63" s="81"/>
      <c r="H63" s="163">
        <f>SUM(H45:H62)</f>
        <v>151</v>
      </c>
      <c r="I63" s="81"/>
      <c r="J63" s="163">
        <f>SUM(J45:J62)</f>
        <v>136</v>
      </c>
      <c r="K63" s="81"/>
      <c r="L63" s="164">
        <f>SUM(L45:L62)</f>
        <v>210</v>
      </c>
      <c r="M63" s="133"/>
      <c r="N63" s="164">
        <f>SUM(N45:N62)</f>
        <v>214</v>
      </c>
      <c r="O63" s="133"/>
      <c r="P63" s="140"/>
      <c r="Q63" s="164">
        <f>SUM(Q45:Q62)</f>
        <v>424</v>
      </c>
      <c r="R63" s="81"/>
      <c r="S63" s="163">
        <f>SUM(S45:S62)</f>
        <v>330</v>
      </c>
      <c r="T63" s="81"/>
    </row>
    <row r="64" spans="1:21" s="48" customFormat="1" ht="15.75" customHeight="1" x14ac:dyDescent="0.25">
      <c r="A64" s="43"/>
      <c r="B64" s="43"/>
      <c r="C64" s="43"/>
      <c r="D64" s="81"/>
      <c r="F64" s="81"/>
      <c r="G64" s="81"/>
      <c r="H64" s="81"/>
      <c r="I64" s="81"/>
      <c r="J64" s="81"/>
      <c r="K64" s="81"/>
      <c r="L64" s="133"/>
      <c r="M64" s="133"/>
      <c r="N64" s="133"/>
      <c r="O64" s="133"/>
      <c r="P64" s="140"/>
      <c r="Q64" s="156"/>
      <c r="R64" s="81"/>
      <c r="S64" s="165"/>
      <c r="T64" s="81"/>
    </row>
    <row r="65" spans="1:21" s="48" customFormat="1" ht="15.75" customHeight="1" x14ac:dyDescent="0.25">
      <c r="A65" s="43"/>
      <c r="B65" s="43" t="s">
        <v>89</v>
      </c>
      <c r="C65" s="43"/>
      <c r="D65" s="133">
        <v>3</v>
      </c>
      <c r="E65" s="145"/>
      <c r="F65" s="133">
        <v>2</v>
      </c>
      <c r="G65" s="133"/>
      <c r="H65" s="133">
        <v>3</v>
      </c>
      <c r="I65" s="133"/>
      <c r="J65" s="133">
        <v>4</v>
      </c>
      <c r="K65" s="133"/>
      <c r="L65" s="133">
        <v>5</v>
      </c>
      <c r="M65" s="133"/>
      <c r="N65" s="133">
        <f>12-2-5+5-1-2-2</f>
        <v>5</v>
      </c>
      <c r="O65" s="133"/>
      <c r="P65" s="140"/>
      <c r="Q65" s="148">
        <f>+L65+N65</f>
        <v>10</v>
      </c>
      <c r="R65" s="133"/>
      <c r="S65" s="160">
        <f>+D65+F65</f>
        <v>5</v>
      </c>
    </row>
    <row r="66" spans="1:21" s="48" customFormat="1" ht="15.75" customHeight="1" x14ac:dyDescent="0.25">
      <c r="A66" s="43"/>
      <c r="B66" s="43" t="s">
        <v>90</v>
      </c>
      <c r="C66" s="43"/>
      <c r="D66" s="139">
        <v>4</v>
      </c>
      <c r="E66" s="139"/>
      <c r="F66" s="139">
        <f>3+17</f>
        <v>20</v>
      </c>
      <c r="G66" s="139"/>
      <c r="H66" s="139">
        <f>24+15</f>
        <v>39</v>
      </c>
      <c r="I66" s="139"/>
      <c r="J66" s="139">
        <f>15+29</f>
        <v>44</v>
      </c>
      <c r="K66" s="139"/>
      <c r="L66" s="139">
        <v>33</v>
      </c>
      <c r="M66" s="139"/>
      <c r="N66" s="139">
        <v>30</v>
      </c>
      <c r="O66" s="139"/>
      <c r="P66" s="146"/>
      <c r="Q66" s="148">
        <f>+L66+N66</f>
        <v>63</v>
      </c>
      <c r="R66" s="139"/>
      <c r="S66" s="160">
        <f>+D66+F66</f>
        <v>24</v>
      </c>
      <c r="T66" s="158"/>
      <c r="U66" s="48" t="s">
        <v>91</v>
      </c>
    </row>
    <row r="67" spans="1:21" s="48" customFormat="1" ht="15.75" customHeight="1" x14ac:dyDescent="0.25">
      <c r="A67" s="43"/>
      <c r="B67" s="43" t="s">
        <v>92</v>
      </c>
      <c r="C67" s="43"/>
      <c r="D67" s="139">
        <v>3</v>
      </c>
      <c r="E67" s="139"/>
      <c r="F67" s="139">
        <v>3</v>
      </c>
      <c r="G67" s="139"/>
      <c r="H67" s="139">
        <v>2</v>
      </c>
      <c r="I67" s="139"/>
      <c r="J67" s="139">
        <v>4</v>
      </c>
      <c r="K67" s="139"/>
      <c r="L67" s="139">
        <v>0</v>
      </c>
      <c r="M67" s="139"/>
      <c r="N67" s="139">
        <v>0</v>
      </c>
      <c r="O67" s="139"/>
      <c r="P67" s="146"/>
      <c r="Q67" s="148">
        <f>+L67+N67</f>
        <v>0</v>
      </c>
      <c r="R67" s="139"/>
      <c r="S67" s="160">
        <f>+D67+F67</f>
        <v>6</v>
      </c>
      <c r="T67" s="137"/>
    </row>
    <row r="68" spans="1:21" s="48" customFormat="1" ht="15.75" customHeight="1" x14ac:dyDescent="0.25">
      <c r="A68" s="43"/>
      <c r="B68" s="43" t="s">
        <v>93</v>
      </c>
      <c r="C68" s="43"/>
      <c r="D68" s="139">
        <v>3</v>
      </c>
      <c r="E68" s="139"/>
      <c r="F68" s="139">
        <v>0</v>
      </c>
      <c r="G68" s="139"/>
      <c r="H68" s="139">
        <v>2</v>
      </c>
      <c r="I68" s="139"/>
      <c r="J68" s="139">
        <v>2</v>
      </c>
      <c r="K68" s="139"/>
      <c r="L68" s="139">
        <v>0</v>
      </c>
      <c r="M68" s="139"/>
      <c r="N68" s="139">
        <v>1</v>
      </c>
      <c r="O68" s="139"/>
      <c r="P68" s="146"/>
      <c r="Q68" s="148">
        <f>+L68+N68</f>
        <v>1</v>
      </c>
      <c r="R68" s="139"/>
      <c r="S68" s="160">
        <f>+D68+F68</f>
        <v>3</v>
      </c>
      <c r="T68" s="137"/>
    </row>
    <row r="69" spans="1:21" s="48" customFormat="1" ht="15.75" customHeight="1" x14ac:dyDescent="0.25">
      <c r="A69" s="43"/>
      <c r="B69" s="43" t="s">
        <v>94</v>
      </c>
      <c r="C69" s="43"/>
      <c r="D69" s="49">
        <f>11-3-2</f>
        <v>6</v>
      </c>
      <c r="F69" s="49">
        <f>6-3-1</f>
        <v>2</v>
      </c>
      <c r="G69" s="81"/>
      <c r="H69" s="49">
        <v>-1</v>
      </c>
      <c r="I69" s="81"/>
      <c r="J69" s="49">
        <f>6-3-2</f>
        <v>1</v>
      </c>
      <c r="K69" s="81"/>
      <c r="L69" s="166">
        <v>0</v>
      </c>
      <c r="M69" s="133"/>
      <c r="N69" s="166">
        <v>1</v>
      </c>
      <c r="O69" s="133"/>
      <c r="P69" s="134"/>
      <c r="Q69" s="167">
        <f>+L69+N69</f>
        <v>1</v>
      </c>
      <c r="R69" s="81"/>
      <c r="S69" s="168">
        <f>+D69+F69</f>
        <v>8</v>
      </c>
      <c r="T69" s="81"/>
      <c r="U69" s="48" t="s">
        <v>95</v>
      </c>
    </row>
    <row r="70" spans="1:21" s="48" customFormat="1" ht="15.75" customHeight="1" x14ac:dyDescent="0.25">
      <c r="A70" s="43"/>
      <c r="B70" s="43"/>
      <c r="C70" s="43" t="s">
        <v>96</v>
      </c>
      <c r="D70" s="169">
        <f>SUM(D63:D69)</f>
        <v>189</v>
      </c>
      <c r="F70" s="169">
        <f>SUM(F63:F69)</f>
        <v>187</v>
      </c>
      <c r="G70" s="81"/>
      <c r="H70" s="169">
        <f>SUM(H63:H69)</f>
        <v>196</v>
      </c>
      <c r="I70" s="81"/>
      <c r="J70" s="169">
        <f>SUM(J63:J69)</f>
        <v>191</v>
      </c>
      <c r="K70" s="81"/>
      <c r="L70" s="169">
        <f>SUM(L63:L69)</f>
        <v>248</v>
      </c>
      <c r="M70" s="133"/>
      <c r="N70" s="169">
        <f>SUM(N63:N69)</f>
        <v>251</v>
      </c>
      <c r="O70" s="133"/>
      <c r="P70" s="134"/>
      <c r="Q70" s="169">
        <f>SUM(Q63:Q69)</f>
        <v>499</v>
      </c>
      <c r="R70" s="81"/>
      <c r="S70" s="169">
        <f>SUM(S63:S69)</f>
        <v>376</v>
      </c>
      <c r="T70" s="81"/>
    </row>
    <row r="71" spans="1:21" s="48" customFormat="1" ht="15.75" customHeight="1" x14ac:dyDescent="0.25">
      <c r="A71" s="43" t="s">
        <v>97</v>
      </c>
      <c r="B71" s="43"/>
      <c r="C71" s="43"/>
      <c r="D71" s="81"/>
      <c r="F71" s="81"/>
      <c r="G71" s="81"/>
      <c r="H71" s="81"/>
      <c r="I71" s="81"/>
      <c r="J71" s="81"/>
      <c r="K71" s="81"/>
      <c r="L71" s="133"/>
      <c r="M71" s="133"/>
      <c r="N71" s="133"/>
      <c r="O71" s="133"/>
      <c r="P71" s="134"/>
      <c r="Q71" s="133"/>
      <c r="R71" s="81"/>
      <c r="S71" s="81"/>
      <c r="T71" s="81"/>
    </row>
    <row r="72" spans="1:21" s="48" customFormat="1" ht="15.75" customHeight="1" x14ac:dyDescent="0.25">
      <c r="A72" s="43"/>
      <c r="B72" s="43" t="s">
        <v>98</v>
      </c>
      <c r="C72" s="43"/>
      <c r="D72" s="162">
        <v>0</v>
      </c>
      <c r="E72" s="145"/>
      <c r="F72" s="162">
        <v>3</v>
      </c>
      <c r="G72" s="162"/>
      <c r="H72" s="162">
        <v>0</v>
      </c>
      <c r="I72" s="162"/>
      <c r="J72" s="162">
        <v>0</v>
      </c>
      <c r="K72" s="162"/>
      <c r="L72" s="162">
        <f>9+2</f>
        <v>11</v>
      </c>
      <c r="M72" s="162"/>
      <c r="N72" s="162">
        <v>5</v>
      </c>
      <c r="O72" s="162"/>
      <c r="P72" s="134"/>
      <c r="Q72" s="148">
        <f t="shared" ref="Q72:Q78" si="2">+L72+N72</f>
        <v>16</v>
      </c>
      <c r="R72" s="170"/>
      <c r="S72" s="160">
        <f t="shared" ref="S72:S78" si="3">+D72+F72</f>
        <v>3</v>
      </c>
      <c r="T72" s="137"/>
    </row>
    <row r="73" spans="1:21" s="48" customFormat="1" ht="15.75" customHeight="1" x14ac:dyDescent="0.25">
      <c r="A73" s="43"/>
      <c r="B73" s="43" t="s">
        <v>99</v>
      </c>
      <c r="C73" s="43"/>
      <c r="D73" s="162">
        <v>0</v>
      </c>
      <c r="E73" s="145"/>
      <c r="F73" s="162">
        <v>0</v>
      </c>
      <c r="G73" s="162"/>
      <c r="H73" s="162">
        <v>0</v>
      </c>
      <c r="I73" s="162"/>
      <c r="J73" s="162">
        <v>0</v>
      </c>
      <c r="K73" s="162"/>
      <c r="L73" s="162">
        <v>0</v>
      </c>
      <c r="M73" s="162"/>
      <c r="N73" s="162">
        <v>2</v>
      </c>
      <c r="O73" s="162"/>
      <c r="P73" s="134"/>
      <c r="Q73" s="148">
        <f t="shared" si="2"/>
        <v>2</v>
      </c>
      <c r="R73" s="170"/>
      <c r="S73" s="160">
        <f t="shared" si="3"/>
        <v>0</v>
      </c>
      <c r="T73" s="137"/>
    </row>
    <row r="74" spans="1:21" s="48" customFormat="1" ht="15.75" customHeight="1" x14ac:dyDescent="0.25">
      <c r="A74" s="43"/>
      <c r="B74" s="43" t="s">
        <v>100</v>
      </c>
      <c r="C74" s="43"/>
      <c r="D74" s="162">
        <v>0</v>
      </c>
      <c r="E74" s="145"/>
      <c r="F74" s="162">
        <v>0</v>
      </c>
      <c r="G74" s="162"/>
      <c r="H74" s="162">
        <v>5</v>
      </c>
      <c r="I74" s="162"/>
      <c r="J74" s="162">
        <v>0</v>
      </c>
      <c r="K74" s="162"/>
      <c r="L74" s="162">
        <v>0</v>
      </c>
      <c r="M74" s="162"/>
      <c r="N74" s="162">
        <v>2</v>
      </c>
      <c r="O74" s="162"/>
      <c r="P74" s="134"/>
      <c r="Q74" s="148">
        <f t="shared" si="2"/>
        <v>2</v>
      </c>
      <c r="R74" s="81"/>
      <c r="S74" s="160">
        <f t="shared" si="3"/>
        <v>0</v>
      </c>
      <c r="T74" s="137"/>
    </row>
    <row r="75" spans="1:21" s="48" customFormat="1" ht="15.75" customHeight="1" x14ac:dyDescent="0.25">
      <c r="A75" s="43"/>
      <c r="B75" s="43" t="s">
        <v>101</v>
      </c>
      <c r="C75" s="43"/>
      <c r="D75" s="162">
        <v>0</v>
      </c>
      <c r="E75" s="145"/>
      <c r="F75" s="162">
        <v>0</v>
      </c>
      <c r="G75" s="162"/>
      <c r="H75" s="162">
        <v>0</v>
      </c>
      <c r="I75" s="162"/>
      <c r="J75" s="162">
        <v>81</v>
      </c>
      <c r="K75" s="162"/>
      <c r="L75" s="162">
        <v>0</v>
      </c>
      <c r="M75" s="162"/>
      <c r="N75" s="162">
        <v>0</v>
      </c>
      <c r="O75" s="162"/>
      <c r="P75" s="134"/>
      <c r="Q75" s="148">
        <f t="shared" si="2"/>
        <v>0</v>
      </c>
      <c r="R75" s="81"/>
      <c r="S75" s="160">
        <f t="shared" si="3"/>
        <v>0</v>
      </c>
      <c r="T75" s="137"/>
    </row>
    <row r="76" spans="1:21" s="48" customFormat="1" ht="15.75" customHeight="1" x14ac:dyDescent="0.25">
      <c r="A76" s="43"/>
      <c r="B76" s="43" t="s">
        <v>102</v>
      </c>
      <c r="C76" s="43"/>
      <c r="D76" s="162">
        <v>0</v>
      </c>
      <c r="E76" s="145"/>
      <c r="F76" s="162">
        <v>0</v>
      </c>
      <c r="G76" s="162"/>
      <c r="H76" s="162">
        <v>0</v>
      </c>
      <c r="I76" s="162"/>
      <c r="J76" s="162">
        <v>0</v>
      </c>
      <c r="K76" s="162"/>
      <c r="L76" s="162">
        <v>0</v>
      </c>
      <c r="M76" s="162"/>
      <c r="N76" s="162">
        <v>0</v>
      </c>
      <c r="O76" s="162"/>
      <c r="P76" s="134"/>
      <c r="Q76" s="148">
        <f t="shared" si="2"/>
        <v>0</v>
      </c>
      <c r="R76" s="81"/>
      <c r="S76" s="160">
        <f t="shared" si="3"/>
        <v>0</v>
      </c>
      <c r="T76" s="137"/>
    </row>
    <row r="77" spans="1:21" s="48" customFormat="1" ht="15.75" customHeight="1" x14ac:dyDescent="0.25">
      <c r="A77" s="43"/>
      <c r="B77" s="43" t="s">
        <v>103</v>
      </c>
      <c r="C77" s="43"/>
      <c r="D77" s="162">
        <v>0</v>
      </c>
      <c r="E77" s="145"/>
      <c r="F77" s="162">
        <f>20+28</f>
        <v>48</v>
      </c>
      <c r="G77" s="162"/>
      <c r="H77" s="162">
        <v>0</v>
      </c>
      <c r="I77" s="162"/>
      <c r="J77" s="162">
        <f>40+17</f>
        <v>57</v>
      </c>
      <c r="K77" s="162"/>
      <c r="L77" s="162">
        <v>0</v>
      </c>
      <c r="M77" s="162"/>
      <c r="N77" s="162">
        <v>0</v>
      </c>
      <c r="O77" s="162"/>
      <c r="P77" s="134"/>
      <c r="Q77" s="148">
        <f t="shared" si="2"/>
        <v>0</v>
      </c>
      <c r="R77" s="81"/>
      <c r="S77" s="160">
        <f t="shared" si="3"/>
        <v>48</v>
      </c>
      <c r="T77" s="137"/>
    </row>
    <row r="78" spans="1:21" s="48" customFormat="1" ht="15.75" customHeight="1" x14ac:dyDescent="0.25">
      <c r="A78" s="43"/>
      <c r="B78" s="43" t="s">
        <v>104</v>
      </c>
      <c r="C78" s="43"/>
      <c r="D78" s="171">
        <v>0</v>
      </c>
      <c r="E78" s="145"/>
      <c r="F78" s="171">
        <v>-4</v>
      </c>
      <c r="G78" s="162"/>
      <c r="H78" s="171">
        <v>-2</v>
      </c>
      <c r="I78" s="162"/>
      <c r="J78" s="171">
        <v>-7</v>
      </c>
      <c r="K78" s="162"/>
      <c r="L78" s="171">
        <v>0</v>
      </c>
      <c r="M78" s="162"/>
      <c r="N78" s="171">
        <v>0</v>
      </c>
      <c r="O78" s="162"/>
      <c r="P78" s="134"/>
      <c r="Q78" s="167">
        <f t="shared" si="2"/>
        <v>0</v>
      </c>
      <c r="R78" s="81"/>
      <c r="S78" s="168">
        <f t="shared" si="3"/>
        <v>-4</v>
      </c>
      <c r="T78" s="137"/>
    </row>
    <row r="79" spans="1:21" s="48" customFormat="1" ht="15.75" customHeight="1" x14ac:dyDescent="0.25">
      <c r="A79" s="43"/>
      <c r="B79" s="43"/>
      <c r="C79" s="43"/>
      <c r="D79" s="172">
        <f>SUM(D72:D78)</f>
        <v>0</v>
      </c>
      <c r="F79" s="173">
        <f>SUM(F72:F78)</f>
        <v>47</v>
      </c>
      <c r="G79" s="174"/>
      <c r="H79" s="173">
        <f>SUM(H72:H78)</f>
        <v>3</v>
      </c>
      <c r="I79" s="174"/>
      <c r="J79" s="173">
        <f>SUM(J72:J78)</f>
        <v>131</v>
      </c>
      <c r="K79" s="174"/>
      <c r="L79" s="172">
        <f>SUM(L72:L78)</f>
        <v>11</v>
      </c>
      <c r="M79" s="162"/>
      <c r="N79" s="172">
        <f>SUM(N72:N78)</f>
        <v>9</v>
      </c>
      <c r="O79" s="162"/>
      <c r="P79" s="134"/>
      <c r="Q79" s="172">
        <f>SUM(Q72:Q78)</f>
        <v>20</v>
      </c>
      <c r="R79" s="81"/>
      <c r="S79" s="173">
        <f>SUM(S72:S78)</f>
        <v>47</v>
      </c>
      <c r="T79" s="174"/>
    </row>
    <row r="80" spans="1:21" s="48" customFormat="1" ht="15.75" customHeight="1" x14ac:dyDescent="0.25">
      <c r="A80" s="43"/>
      <c r="B80" s="43"/>
      <c r="C80" s="43"/>
      <c r="D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50"/>
      <c r="Q80" s="81"/>
      <c r="R80" s="81"/>
      <c r="S80" s="81"/>
      <c r="T80" s="81"/>
    </row>
    <row r="81" spans="1:21" s="48" customFormat="1" ht="15.75" customHeight="1" x14ac:dyDescent="0.25">
      <c r="A81" s="43" t="s">
        <v>105</v>
      </c>
      <c r="B81" s="43"/>
      <c r="C81" s="43"/>
      <c r="D81" s="46">
        <f>59+5</f>
        <v>64</v>
      </c>
      <c r="F81" s="46">
        <v>53</v>
      </c>
      <c r="H81" s="46">
        <v>37</v>
      </c>
      <c r="J81" s="46">
        <v>27</v>
      </c>
      <c r="L81" s="46">
        <f>22+1</f>
        <v>23</v>
      </c>
      <c r="N81" s="128">
        <v>25</v>
      </c>
      <c r="P81" s="44"/>
      <c r="Q81" s="167">
        <f>+L81+N81</f>
        <v>48</v>
      </c>
      <c r="S81" s="168">
        <f>+D81+F81</f>
        <v>117</v>
      </c>
    </row>
    <row r="82" spans="1:21" s="48" customFormat="1" ht="15.75" customHeight="1" x14ac:dyDescent="0.25">
      <c r="A82" s="43"/>
      <c r="B82" s="43"/>
      <c r="C82" s="43"/>
      <c r="P82" s="44"/>
    </row>
    <row r="83" spans="1:21" s="48" customFormat="1" ht="15.75" customHeight="1" x14ac:dyDescent="0.25">
      <c r="A83" s="43" t="s">
        <v>22</v>
      </c>
      <c r="B83" s="43"/>
      <c r="C83" s="43"/>
      <c r="D83" s="175">
        <f>D23-D34-D42-D70-D79-D81</f>
        <v>-223</v>
      </c>
      <c r="F83" s="175">
        <f>F23-F34-F42-F70-F79-F81</f>
        <v>-211</v>
      </c>
      <c r="G83" s="124"/>
      <c r="H83" s="175">
        <f>H23-H34-H42-H70-H79-H81</f>
        <v>-129</v>
      </c>
      <c r="I83" s="124"/>
      <c r="J83" s="175">
        <f>J23-J34-J42-J70-J79-J81</f>
        <v>-248</v>
      </c>
      <c r="K83" s="124"/>
      <c r="L83" s="175">
        <f>L23-L34-L42-L70-L79-L81</f>
        <v>173</v>
      </c>
      <c r="M83" s="124"/>
      <c r="N83" s="175">
        <f>N23-N34-N42-N70-N79-N81</f>
        <v>-139</v>
      </c>
      <c r="O83" s="124"/>
      <c r="P83" s="176"/>
      <c r="Q83" s="175">
        <f>Q23-Q34-Q42-Q70-Q79-Q81</f>
        <v>34</v>
      </c>
      <c r="S83" s="175">
        <f>S23-S34-S42-S70-S79-S81</f>
        <v>-434</v>
      </c>
      <c r="T83" s="124"/>
      <c r="U83" s="48" t="s">
        <v>60</v>
      </c>
    </row>
    <row r="84" spans="1:21" s="48" customFormat="1" ht="15.75" customHeight="1" x14ac:dyDescent="0.25">
      <c r="A84" s="43"/>
      <c r="B84" s="43"/>
      <c r="C84" s="43"/>
      <c r="P84" s="44"/>
    </row>
    <row r="85" spans="1:21" s="48" customFormat="1" ht="15.75" customHeight="1" x14ac:dyDescent="0.25">
      <c r="A85" s="43"/>
      <c r="B85" s="43"/>
      <c r="C85" s="43"/>
      <c r="P85" s="44"/>
    </row>
    <row r="86" spans="1:21" s="48" customFormat="1" ht="15.75" customHeight="1" x14ac:dyDescent="0.25">
      <c r="A86" s="43"/>
      <c r="B86" s="43"/>
      <c r="C86" s="43"/>
      <c r="P86" s="44"/>
    </row>
    <row r="87" spans="1:21" s="48" customFormat="1" ht="15.75" customHeight="1" x14ac:dyDescent="0.25">
      <c r="A87" s="45" t="s">
        <v>24</v>
      </c>
      <c r="B87" s="43"/>
      <c r="C87" s="43"/>
      <c r="D87" s="124">
        <v>9</v>
      </c>
      <c r="F87" s="124">
        <v>6</v>
      </c>
      <c r="G87" s="124"/>
      <c r="H87" s="124">
        <f>8</f>
        <v>8</v>
      </c>
      <c r="I87" s="124"/>
      <c r="J87" s="124">
        <f>29-23</f>
        <v>6</v>
      </c>
      <c r="K87" s="124"/>
      <c r="L87" s="124">
        <v>5</v>
      </c>
      <c r="M87" s="124"/>
      <c r="N87" s="124">
        <v>5</v>
      </c>
      <c r="O87" s="124"/>
      <c r="P87" s="176"/>
      <c r="Q87" s="126">
        <f>+L87+N87</f>
        <v>10</v>
      </c>
      <c r="R87" s="124"/>
      <c r="S87" s="127">
        <f>+D87+F87</f>
        <v>15</v>
      </c>
      <c r="T87" s="124"/>
    </row>
    <row r="88" spans="1:21" s="48" customFormat="1" ht="15.75" customHeight="1" x14ac:dyDescent="0.25">
      <c r="A88" s="43"/>
      <c r="B88" s="43"/>
      <c r="C88" s="43"/>
      <c r="P88" s="44"/>
    </row>
    <row r="89" spans="1:21" s="48" customFormat="1" ht="15.75" customHeight="1" x14ac:dyDescent="0.25">
      <c r="A89" s="43"/>
      <c r="B89" s="43"/>
      <c r="C89" s="43"/>
      <c r="P89" s="44"/>
    </row>
    <row r="90" spans="1:21" s="48" customFormat="1" ht="15.75" customHeight="1" x14ac:dyDescent="0.25">
      <c r="A90" s="43" t="s">
        <v>25</v>
      </c>
      <c r="B90" s="51"/>
      <c r="C90" s="51"/>
      <c r="P90" s="44"/>
    </row>
    <row r="91" spans="1:21" s="48" customFormat="1" ht="30.75" customHeight="1" x14ac:dyDescent="0.25">
      <c r="A91" s="43"/>
      <c r="B91" s="43" t="s">
        <v>106</v>
      </c>
      <c r="C91" s="43"/>
      <c r="D91" s="48">
        <v>-129</v>
      </c>
      <c r="F91" s="137">
        <v>-131</v>
      </c>
      <c r="G91" s="137"/>
      <c r="H91" s="177">
        <f>-154-5+2+3</f>
        <v>-154</v>
      </c>
      <c r="I91" s="137"/>
      <c r="J91" s="177">
        <f>-560+414</f>
        <v>-146</v>
      </c>
      <c r="K91" s="52"/>
      <c r="L91" s="178">
        <v>-140</v>
      </c>
      <c r="M91" s="178"/>
      <c r="N91" s="178">
        <f>-283+140</f>
        <v>-143</v>
      </c>
      <c r="O91" s="145"/>
      <c r="P91" s="140"/>
      <c r="Q91" s="148">
        <f>+N91+L91</f>
        <v>-283</v>
      </c>
      <c r="S91" s="142">
        <f>+D91+F91</f>
        <v>-260</v>
      </c>
      <c r="U91" s="76" t="s">
        <v>107</v>
      </c>
    </row>
    <row r="92" spans="1:21" s="48" customFormat="1" ht="15.75" customHeight="1" x14ac:dyDescent="0.25">
      <c r="A92" s="43"/>
      <c r="B92" s="43"/>
      <c r="C92" s="43"/>
      <c r="L92" s="145"/>
      <c r="M92" s="145"/>
      <c r="N92" s="145"/>
      <c r="O92" s="145"/>
      <c r="P92" s="140"/>
      <c r="Q92" s="145"/>
    </row>
    <row r="93" spans="1:21" s="48" customFormat="1" ht="15.75" customHeight="1" x14ac:dyDescent="0.25">
      <c r="A93" s="43"/>
      <c r="B93" s="43"/>
      <c r="C93" s="43"/>
      <c r="P93" s="44"/>
    </row>
    <row r="94" spans="1:21" s="48" customFormat="1" ht="15.75" customHeight="1" x14ac:dyDescent="0.25">
      <c r="A94" s="45" t="s">
        <v>108</v>
      </c>
      <c r="B94" s="43"/>
      <c r="C94" s="43"/>
      <c r="P94" s="44"/>
      <c r="Q94" s="145"/>
      <c r="R94" s="145"/>
      <c r="S94" s="145"/>
      <c r="T94" s="145"/>
    </row>
    <row r="95" spans="1:21" s="48" customFormat="1" ht="27.75" customHeight="1" x14ac:dyDescent="0.25">
      <c r="A95" s="43"/>
      <c r="B95" s="309" t="s">
        <v>109</v>
      </c>
      <c r="C95" s="304"/>
      <c r="D95" s="48">
        <v>4</v>
      </c>
      <c r="F95" s="48">
        <v>3</v>
      </c>
      <c r="H95" s="48">
        <v>3</v>
      </c>
      <c r="J95" s="48">
        <v>4</v>
      </c>
      <c r="L95" s="145">
        <v>1</v>
      </c>
      <c r="M95" s="145"/>
      <c r="N95" s="145">
        <f>2-1</f>
        <v>1</v>
      </c>
      <c r="O95" s="145"/>
      <c r="P95" s="140"/>
      <c r="Q95" s="148">
        <f t="shared" ref="Q95:Q102" si="4">+L95+N95</f>
        <v>2</v>
      </c>
      <c r="S95" s="149">
        <f>+D95+F95</f>
        <v>7</v>
      </c>
    </row>
    <row r="96" spans="1:21" s="48" customFormat="1" ht="15.75" customHeight="1" x14ac:dyDescent="0.25">
      <c r="A96" s="43"/>
      <c r="B96" s="45" t="s">
        <v>110</v>
      </c>
      <c r="C96" s="43"/>
      <c r="D96" s="139">
        <v>-1</v>
      </c>
      <c r="E96" s="145"/>
      <c r="F96" s="139">
        <v>101</v>
      </c>
      <c r="G96" s="139"/>
      <c r="H96" s="139">
        <v>0</v>
      </c>
      <c r="I96" s="139"/>
      <c r="J96" s="139">
        <v>89</v>
      </c>
      <c r="K96" s="139"/>
      <c r="L96" s="139">
        <f>106-35</f>
        <v>71</v>
      </c>
      <c r="M96" s="139"/>
      <c r="N96" s="139">
        <f>104-71-35</f>
        <v>-2</v>
      </c>
      <c r="O96" s="137"/>
      <c r="P96" s="44"/>
      <c r="Q96" s="147">
        <f t="shared" si="4"/>
        <v>69</v>
      </c>
      <c r="R96" s="145"/>
      <c r="S96" s="160">
        <f>+D96+F96</f>
        <v>100</v>
      </c>
      <c r="T96" s="145"/>
    </row>
    <row r="97" spans="1:26" s="48" customFormat="1" ht="15.75" customHeight="1" x14ac:dyDescent="0.25">
      <c r="A97" s="43"/>
      <c r="B97" s="45" t="s">
        <v>111</v>
      </c>
      <c r="C97" s="43"/>
      <c r="D97" s="179">
        <v>-2</v>
      </c>
      <c r="E97" s="145"/>
      <c r="F97" s="179">
        <v>0</v>
      </c>
      <c r="G97" s="179"/>
      <c r="H97" s="179">
        <v>3</v>
      </c>
      <c r="I97" s="179"/>
      <c r="J97" s="139">
        <v>0</v>
      </c>
      <c r="K97" s="139"/>
      <c r="L97" s="139">
        <v>0</v>
      </c>
      <c r="M97" s="139"/>
      <c r="N97" s="139">
        <v>0</v>
      </c>
      <c r="O97" s="180"/>
      <c r="P97" s="181"/>
      <c r="Q97" s="147">
        <f t="shared" si="4"/>
        <v>0</v>
      </c>
      <c r="R97" s="179"/>
      <c r="S97" s="160">
        <f>+D97+F97</f>
        <v>-2</v>
      </c>
      <c r="T97" s="145"/>
    </row>
    <row r="98" spans="1:26" s="48" customFormat="1" ht="15.75" customHeight="1" x14ac:dyDescent="0.25">
      <c r="A98" s="43"/>
      <c r="B98" s="45" t="s">
        <v>112</v>
      </c>
      <c r="C98" s="43"/>
      <c r="D98" s="179">
        <v>0</v>
      </c>
      <c r="E98" s="145"/>
      <c r="F98" s="179">
        <v>0</v>
      </c>
      <c r="G98" s="179"/>
      <c r="H98" s="179">
        <v>1</v>
      </c>
      <c r="I98" s="179"/>
      <c r="J98" s="139">
        <v>1</v>
      </c>
      <c r="K98" s="139"/>
      <c r="L98" s="139">
        <v>1</v>
      </c>
      <c r="M98" s="139"/>
      <c r="N98" s="139">
        <v>1</v>
      </c>
      <c r="O98" s="180"/>
      <c r="P98" s="181"/>
      <c r="Q98" s="147">
        <f t="shared" si="4"/>
        <v>2</v>
      </c>
      <c r="R98" s="179"/>
      <c r="S98" s="160">
        <f>+D98+F98</f>
        <v>0</v>
      </c>
      <c r="T98" s="145"/>
    </row>
    <row r="99" spans="1:26" s="48" customFormat="1" ht="15.75" customHeight="1" x14ac:dyDescent="0.25">
      <c r="A99" s="43"/>
      <c r="B99" s="45" t="s">
        <v>113</v>
      </c>
      <c r="C99" s="43"/>
      <c r="D99" s="139">
        <v>3</v>
      </c>
      <c r="E99" s="145"/>
      <c r="F99" s="139">
        <v>0</v>
      </c>
      <c r="G99" s="139"/>
      <c r="H99" s="139">
        <f>-1-14-1</f>
        <v>-16</v>
      </c>
      <c r="I99" s="139"/>
      <c r="J99" s="139">
        <v>3</v>
      </c>
      <c r="K99" s="139"/>
      <c r="L99" s="139">
        <v>1</v>
      </c>
      <c r="M99" s="139"/>
      <c r="N99" s="139">
        <v>4</v>
      </c>
      <c r="O99" s="137"/>
      <c r="P99" s="44"/>
      <c r="Q99" s="147">
        <f t="shared" si="4"/>
        <v>5</v>
      </c>
      <c r="R99" s="145"/>
      <c r="S99" s="160">
        <f>+D99+F99</f>
        <v>3</v>
      </c>
      <c r="T99" s="145"/>
      <c r="U99" s="48" t="s">
        <v>114</v>
      </c>
    </row>
    <row r="100" spans="1:26" s="48" customFormat="1" ht="15.75" customHeight="1" x14ac:dyDescent="0.25">
      <c r="A100" s="43"/>
      <c r="B100" s="45" t="s">
        <v>115</v>
      </c>
      <c r="C100" s="43"/>
      <c r="D100" s="139">
        <v>0</v>
      </c>
      <c r="E100" s="145"/>
      <c r="F100" s="139">
        <v>0</v>
      </c>
      <c r="G100" s="139"/>
      <c r="H100" s="139">
        <v>0</v>
      </c>
      <c r="I100" s="139"/>
      <c r="J100" s="139">
        <v>0</v>
      </c>
      <c r="K100" s="139"/>
      <c r="L100" s="139">
        <v>0</v>
      </c>
      <c r="M100" s="139"/>
      <c r="N100" s="139">
        <v>8</v>
      </c>
      <c r="O100" s="137"/>
      <c r="P100" s="44"/>
      <c r="Q100" s="147">
        <f t="shared" si="4"/>
        <v>8</v>
      </c>
      <c r="R100" s="145"/>
      <c r="S100" s="182">
        <v>0</v>
      </c>
      <c r="T100" s="145"/>
    </row>
    <row r="101" spans="1:26" s="48" customFormat="1" ht="15.75" customHeight="1" x14ac:dyDescent="0.25">
      <c r="A101" s="43"/>
      <c r="B101" s="45" t="s">
        <v>116</v>
      </c>
      <c r="C101" s="43"/>
      <c r="D101" s="139">
        <v>0</v>
      </c>
      <c r="E101" s="145"/>
      <c r="F101" s="139">
        <v>0</v>
      </c>
      <c r="G101" s="139"/>
      <c r="H101" s="139">
        <v>-20</v>
      </c>
      <c r="I101" s="139"/>
      <c r="J101" s="139">
        <v>-68</v>
      </c>
      <c r="K101" s="139"/>
      <c r="L101" s="139">
        <v>0</v>
      </c>
      <c r="M101" s="139"/>
      <c r="N101" s="139">
        <v>-190</v>
      </c>
      <c r="O101" s="137"/>
      <c r="P101" s="44"/>
      <c r="Q101" s="147">
        <f t="shared" si="4"/>
        <v>-190</v>
      </c>
      <c r="R101" s="145"/>
      <c r="S101" s="160">
        <f>+D101+F101</f>
        <v>0</v>
      </c>
      <c r="T101" s="179"/>
    </row>
    <row r="102" spans="1:26" s="48" customFormat="1" ht="15.75" customHeight="1" x14ac:dyDescent="0.25">
      <c r="A102" s="43"/>
      <c r="B102" s="45" t="s">
        <v>117</v>
      </c>
      <c r="C102" s="43"/>
      <c r="D102" s="137">
        <v>130</v>
      </c>
      <c r="F102" s="137">
        <v>76</v>
      </c>
      <c r="G102" s="137"/>
      <c r="H102" s="137">
        <v>5</v>
      </c>
      <c r="I102" s="137"/>
      <c r="J102" s="137">
        <v>44</v>
      </c>
      <c r="K102" s="137"/>
      <c r="L102" s="137">
        <v>0</v>
      </c>
      <c r="M102" s="137"/>
      <c r="N102" s="137">
        <v>2</v>
      </c>
      <c r="O102" s="137"/>
      <c r="P102" s="44"/>
      <c r="Q102" s="147">
        <f t="shared" si="4"/>
        <v>2</v>
      </c>
      <c r="R102" s="145"/>
      <c r="S102" s="149">
        <f>+D102+F102</f>
        <v>206</v>
      </c>
      <c r="T102" s="179"/>
    </row>
    <row r="103" spans="1:26" s="48" customFormat="1" ht="15.75" customHeight="1" x14ac:dyDescent="0.25">
      <c r="A103" s="43"/>
      <c r="B103" s="43"/>
      <c r="C103" s="43"/>
      <c r="D103" s="183">
        <f>SUM(D95:D102)</f>
        <v>134</v>
      </c>
      <c r="F103" s="183">
        <f>SUM(F95:F102)</f>
        <v>180</v>
      </c>
      <c r="G103" s="137"/>
      <c r="H103" s="183">
        <f>SUM(H95:H102)</f>
        <v>-24</v>
      </c>
      <c r="I103" s="137"/>
      <c r="J103" s="183">
        <f>SUM(J95:J102)</f>
        <v>73</v>
      </c>
      <c r="K103" s="137"/>
      <c r="L103" s="183">
        <f>SUM(L95:L102)</f>
        <v>74</v>
      </c>
      <c r="M103" s="137"/>
      <c r="N103" s="183">
        <f>SUM(N95:N102)</f>
        <v>-176</v>
      </c>
      <c r="O103" s="137"/>
      <c r="P103" s="44"/>
      <c r="Q103" s="183">
        <f>SUM(Q95:Q102)</f>
        <v>-102</v>
      </c>
      <c r="R103" s="145"/>
      <c r="S103" s="183">
        <f>SUM(S95:S102)</f>
        <v>314</v>
      </c>
      <c r="T103" s="145"/>
    </row>
    <row r="104" spans="1:26" s="48" customFormat="1" ht="15.75" customHeight="1" x14ac:dyDescent="0.25">
      <c r="A104" s="43"/>
      <c r="B104" s="43"/>
      <c r="C104" s="43"/>
      <c r="P104" s="44"/>
      <c r="Q104" s="145"/>
      <c r="R104" s="145"/>
      <c r="S104" s="145"/>
      <c r="T104" s="145"/>
    </row>
    <row r="105" spans="1:26" s="48" customFormat="1" ht="15.75" customHeight="1" x14ac:dyDescent="0.25">
      <c r="A105" s="43"/>
      <c r="B105" s="43"/>
      <c r="C105" s="43"/>
      <c r="P105" s="44"/>
      <c r="Q105" s="145"/>
      <c r="R105" s="145"/>
      <c r="S105" s="145"/>
      <c r="T105" s="145"/>
    </row>
    <row r="106" spans="1:26" s="48" customFormat="1" ht="15.75" customHeight="1" x14ac:dyDescent="0.25">
      <c r="A106" s="43" t="s">
        <v>118</v>
      </c>
      <c r="B106" s="43"/>
      <c r="C106" s="51"/>
      <c r="D106" s="184">
        <f>+D83+D87+D91+D103</f>
        <v>-209</v>
      </c>
      <c r="F106" s="185">
        <f>+F83+F87+F91+F103</f>
        <v>-156</v>
      </c>
      <c r="G106" s="137"/>
      <c r="H106" s="185">
        <f>+H83+H87+H91+H103</f>
        <v>-299</v>
      </c>
      <c r="I106" s="137"/>
      <c r="J106" s="185">
        <f>+J83+J87+J91+J103</f>
        <v>-315</v>
      </c>
      <c r="K106" s="137"/>
      <c r="L106" s="185">
        <f>+L83+L87+L91+L103</f>
        <v>112</v>
      </c>
      <c r="M106" s="137"/>
      <c r="N106" s="185">
        <f>+N83+N87+N91+N103</f>
        <v>-453</v>
      </c>
      <c r="O106" s="137"/>
      <c r="P106" s="186"/>
      <c r="Q106" s="185">
        <f>+Q83+Q87+Q91+Q103</f>
        <v>-341</v>
      </c>
      <c r="R106" s="137"/>
      <c r="S106" s="185">
        <f>+S83+S87+S91+S103</f>
        <v>-365</v>
      </c>
      <c r="T106" s="145"/>
    </row>
    <row r="107" spans="1:26" s="48" customFormat="1" ht="15" customHeight="1" x14ac:dyDescent="0.2">
      <c r="A107" s="51"/>
      <c r="B107" s="53"/>
      <c r="C107" s="51"/>
      <c r="P107" s="44"/>
      <c r="Q107" s="145"/>
      <c r="R107" s="145"/>
      <c r="S107" s="145"/>
      <c r="T107" s="145"/>
    </row>
    <row r="108" spans="1:26" s="48" customFormat="1" ht="15.75" customHeight="1" x14ac:dyDescent="0.25">
      <c r="A108" s="43"/>
      <c r="B108" s="43"/>
      <c r="C108" s="43"/>
      <c r="P108" s="44"/>
      <c r="Q108" s="145"/>
      <c r="R108" s="145"/>
      <c r="S108" s="145"/>
      <c r="T108" s="145"/>
    </row>
    <row r="109" spans="1:26" s="48" customFormat="1" ht="15.75" customHeight="1" x14ac:dyDescent="0.25">
      <c r="A109" s="45" t="s">
        <v>28</v>
      </c>
      <c r="B109" s="43"/>
      <c r="C109" s="43"/>
      <c r="D109" s="187">
        <v>119</v>
      </c>
      <c r="F109" s="187">
        <v>0</v>
      </c>
      <c r="G109" s="137"/>
      <c r="H109" s="187">
        <v>0</v>
      </c>
      <c r="I109" s="137"/>
      <c r="J109" s="187">
        <v>2</v>
      </c>
      <c r="K109" s="137"/>
      <c r="L109" s="187">
        <v>0</v>
      </c>
      <c r="M109" s="137"/>
      <c r="N109" s="187">
        <v>0</v>
      </c>
      <c r="O109" s="137"/>
      <c r="P109" s="44"/>
      <c r="Q109" s="188">
        <f>+L109+N109</f>
        <v>0</v>
      </c>
      <c r="R109" s="145"/>
      <c r="S109" s="130">
        <f>+D109+F109</f>
        <v>119</v>
      </c>
      <c r="T109" s="179"/>
    </row>
    <row r="110" spans="1:26" s="48" customFormat="1" ht="15.75" customHeight="1" x14ac:dyDescent="0.25">
      <c r="A110" s="45"/>
      <c r="B110" s="43"/>
      <c r="C110" s="43"/>
      <c r="P110" s="44"/>
      <c r="Q110" s="145"/>
      <c r="R110" s="145"/>
      <c r="S110" s="145"/>
      <c r="T110" s="145"/>
    </row>
    <row r="111" spans="1:26" s="48" customFormat="1" ht="15.75" customHeight="1" x14ac:dyDescent="0.25">
      <c r="A111" s="54"/>
      <c r="B111" s="54"/>
      <c r="C111" s="54"/>
      <c r="P111" s="186"/>
    </row>
    <row r="112" spans="1:26" s="48" customFormat="1" ht="30" customHeight="1" x14ac:dyDescent="0.25">
      <c r="A112" s="303" t="s">
        <v>119</v>
      </c>
      <c r="B112" s="304"/>
      <c r="C112" s="304"/>
      <c r="D112" s="189">
        <f>+D106+D109</f>
        <v>-90</v>
      </c>
      <c r="E112" s="133"/>
      <c r="F112" s="189">
        <f>+F106+F109</f>
        <v>-156</v>
      </c>
      <c r="G112" s="190"/>
      <c r="H112" s="189">
        <f>+H106+H109</f>
        <v>-299</v>
      </c>
      <c r="I112" s="190"/>
      <c r="J112" s="189">
        <f>+J106+J109</f>
        <v>-313</v>
      </c>
      <c r="K112" s="190"/>
      <c r="L112" s="189">
        <f>+L106+L109</f>
        <v>112</v>
      </c>
      <c r="M112" s="190"/>
      <c r="N112" s="189">
        <f>+N106+N109</f>
        <v>-453</v>
      </c>
      <c r="O112" s="190"/>
      <c r="P112" s="186"/>
      <c r="Q112" s="189">
        <f>+Q106+Q109</f>
        <v>-341</v>
      </c>
      <c r="R112" s="133"/>
      <c r="S112" s="189">
        <f>+S106+S109</f>
        <v>-246</v>
      </c>
      <c r="T112" s="190"/>
      <c r="V112" s="133"/>
      <c r="W112" s="133"/>
      <c r="X112" s="133"/>
      <c r="Y112" s="133"/>
      <c r="Z112" s="145"/>
    </row>
    <row r="113" spans="1:21" s="48" customFormat="1" ht="15.75" customHeight="1" x14ac:dyDescent="0.25">
      <c r="A113" s="54" t="s">
        <v>120</v>
      </c>
      <c r="B113" s="54"/>
      <c r="C113" s="54"/>
      <c r="D113" s="191"/>
      <c r="E113" s="145"/>
      <c r="F113" s="191"/>
      <c r="G113" s="191"/>
      <c r="H113" s="191"/>
      <c r="I113" s="191"/>
      <c r="J113" s="191"/>
      <c r="K113" s="191"/>
      <c r="O113" s="191"/>
      <c r="P113" s="146"/>
      <c r="T113" s="124"/>
    </row>
    <row r="114" spans="1:21" s="48" customFormat="1" ht="15.75" customHeight="1" x14ac:dyDescent="0.25">
      <c r="A114" s="54"/>
      <c r="B114" s="54" t="s">
        <v>121</v>
      </c>
      <c r="C114" s="54"/>
      <c r="D114" s="191"/>
      <c r="E114" s="145"/>
      <c r="F114" s="191"/>
      <c r="G114" s="191"/>
      <c r="H114" s="191"/>
      <c r="I114" s="191"/>
      <c r="J114" s="191"/>
      <c r="K114" s="191"/>
      <c r="L114" s="191">
        <v>2</v>
      </c>
      <c r="M114" s="191"/>
      <c r="N114" s="191">
        <v>0</v>
      </c>
      <c r="O114" s="191"/>
      <c r="P114" s="146"/>
      <c r="Q114" s="192">
        <f>+N114+L114</f>
        <v>2</v>
      </c>
      <c r="R114" s="145"/>
      <c r="S114" s="193">
        <f>+D114+F114</f>
        <v>0</v>
      </c>
      <c r="T114" s="124"/>
    </row>
    <row r="115" spans="1:21" s="48" customFormat="1" ht="15.75" customHeight="1" x14ac:dyDescent="0.25">
      <c r="A115" s="54"/>
      <c r="B115" s="54" t="s">
        <v>122</v>
      </c>
      <c r="C115" s="54"/>
      <c r="D115" s="194"/>
      <c r="E115" s="145"/>
      <c r="F115" s="194"/>
      <c r="G115" s="191"/>
      <c r="H115" s="194"/>
      <c r="I115" s="191"/>
      <c r="J115" s="194"/>
      <c r="K115" s="191"/>
      <c r="L115" s="194">
        <v>0</v>
      </c>
      <c r="M115" s="191"/>
      <c r="N115" s="194">
        <v>-9</v>
      </c>
      <c r="O115" s="191"/>
      <c r="P115" s="146"/>
      <c r="Q115" s="195">
        <f>+N115+L115</f>
        <v>-9</v>
      </c>
      <c r="R115" s="145"/>
      <c r="S115" s="196">
        <f>+D115+F115</f>
        <v>0</v>
      </c>
      <c r="T115" s="124"/>
    </row>
    <row r="116" spans="1:21" s="48" customFormat="1" ht="15.75" customHeight="1" x14ac:dyDescent="0.25">
      <c r="A116" s="54"/>
      <c r="B116" s="54"/>
      <c r="C116" s="54"/>
      <c r="D116" s="197">
        <f>SUM(D114:D115)</f>
        <v>0</v>
      </c>
      <c r="E116" s="145"/>
      <c r="F116" s="197">
        <f>SUM(F114:F115)</f>
        <v>0</v>
      </c>
      <c r="G116" s="191"/>
      <c r="H116" s="197">
        <f>SUM(H114:H115)</f>
        <v>0</v>
      </c>
      <c r="I116" s="191"/>
      <c r="J116" s="197">
        <f>SUM(J114:J115)</f>
        <v>0</v>
      </c>
      <c r="K116" s="191"/>
      <c r="L116" s="197">
        <f>SUM(L114:L115)</f>
        <v>2</v>
      </c>
      <c r="M116" s="191"/>
      <c r="N116" s="197">
        <f>SUM(N114:N115)</f>
        <v>-9</v>
      </c>
      <c r="O116" s="191"/>
      <c r="P116" s="146"/>
      <c r="Q116" s="197">
        <f>SUM(Q114:Q115)</f>
        <v>-7</v>
      </c>
      <c r="R116" s="145"/>
      <c r="S116" s="197">
        <f>SUM(S114:S115)</f>
        <v>0</v>
      </c>
      <c r="T116" s="124"/>
    </row>
    <row r="117" spans="1:21" s="48" customFormat="1" ht="27" customHeight="1" x14ac:dyDescent="0.25">
      <c r="A117" s="303" t="s">
        <v>123</v>
      </c>
      <c r="B117" s="304"/>
      <c r="C117" s="304"/>
      <c r="D117" s="194">
        <v>0</v>
      </c>
      <c r="F117" s="194">
        <v>0</v>
      </c>
      <c r="G117" s="124"/>
      <c r="H117" s="194">
        <v>0</v>
      </c>
      <c r="I117" s="124"/>
      <c r="J117" s="194">
        <v>0</v>
      </c>
      <c r="K117" s="124"/>
      <c r="L117" s="194">
        <v>5</v>
      </c>
      <c r="M117" s="191"/>
      <c r="N117" s="194">
        <v>0</v>
      </c>
      <c r="O117" s="124"/>
      <c r="P117" s="186"/>
      <c r="Q117" s="188">
        <f>+L117+N117</f>
        <v>5</v>
      </c>
      <c r="S117" s="168">
        <f>+D117+F117</f>
        <v>0</v>
      </c>
      <c r="T117" s="124"/>
    </row>
    <row r="118" spans="1:21" s="48" customFormat="1" ht="15.75" customHeight="1" x14ac:dyDescent="0.25">
      <c r="A118" s="54"/>
      <c r="B118" s="54"/>
      <c r="C118" s="54"/>
      <c r="D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86"/>
      <c r="Q118" s="124"/>
      <c r="S118" s="124"/>
      <c r="T118" s="124"/>
    </row>
    <row r="119" spans="1:21" s="48" customFormat="1" ht="16.5" customHeight="1" thickBot="1" x14ac:dyDescent="0.3">
      <c r="A119" s="54" t="s">
        <v>124</v>
      </c>
      <c r="B119" s="54"/>
      <c r="C119" s="54"/>
      <c r="D119" s="198">
        <f>+D112+D116+D117</f>
        <v>-90</v>
      </c>
      <c r="F119" s="198">
        <f>+F112+F116+F117</f>
        <v>-156</v>
      </c>
      <c r="H119" s="198">
        <f>+H112+H116+H117</f>
        <v>-299</v>
      </c>
      <c r="J119" s="198">
        <f>+J112+J116+J117</f>
        <v>-313</v>
      </c>
      <c r="L119" s="198">
        <f>+L112+L116+L117</f>
        <v>119</v>
      </c>
      <c r="M119" s="199"/>
      <c r="N119" s="198">
        <f>+N112+N116+N117</f>
        <v>-462</v>
      </c>
      <c r="P119" s="186"/>
      <c r="Q119" s="198">
        <f>+Q112+Q116+Q117</f>
        <v>-343</v>
      </c>
      <c r="S119" s="198">
        <f>+S112+S116+S117</f>
        <v>-246</v>
      </c>
    </row>
    <row r="120" spans="1:21" s="48" customFormat="1" ht="15.75" customHeight="1" thickTop="1" x14ac:dyDescent="0.2"/>
    <row r="121" spans="1:21" s="48" customFormat="1" ht="15.75" customHeight="1" x14ac:dyDescent="0.25">
      <c r="A121" s="54" t="s">
        <v>125</v>
      </c>
      <c r="D121" s="200">
        <f>+D13-D29-D63-D72-D75-D78</f>
        <v>42</v>
      </c>
      <c r="F121" s="201">
        <f>+F13-F29-F63-F72</f>
        <v>51</v>
      </c>
      <c r="H121" s="202">
        <f>+H13-H29-H63-H72-H78</f>
        <v>83</v>
      </c>
      <c r="J121" s="202">
        <f>+J13-J29-J63-J72-J78</f>
        <v>105</v>
      </c>
      <c r="L121" s="200">
        <f>+L13-L29-L63-L72-L75-L78</f>
        <v>398</v>
      </c>
      <c r="N121" s="200">
        <f>+N13-N29-N63-N72-N75-N78</f>
        <v>112</v>
      </c>
      <c r="Q121" s="203">
        <f t="shared" ref="Q121:Q126" si="5">+L121+N121</f>
        <v>510</v>
      </c>
      <c r="S121" s="204">
        <f t="shared" ref="S121:S126" si="6">+D121+F121</f>
        <v>93</v>
      </c>
    </row>
    <row r="122" spans="1:21" s="48" customFormat="1" ht="15.75" customHeight="1" x14ac:dyDescent="0.25">
      <c r="A122" s="54" t="s">
        <v>126</v>
      </c>
      <c r="D122" s="205">
        <f>+D15-D31-D65-D73-D76</f>
        <v>6</v>
      </c>
      <c r="E122" s="145"/>
      <c r="F122" s="182">
        <f>+F15-F31-F65</f>
        <v>6</v>
      </c>
      <c r="G122" s="145"/>
      <c r="H122" s="205">
        <f>+H15-H31-H65-H73-H76</f>
        <v>2</v>
      </c>
      <c r="I122" s="145"/>
      <c r="J122" s="182">
        <f>+J15-J31-J65-J73</f>
        <v>1</v>
      </c>
      <c r="K122" s="145"/>
      <c r="L122" s="205">
        <f>+L15-L31-L65-L73-L76</f>
        <v>0</v>
      </c>
      <c r="M122" s="145"/>
      <c r="N122" s="205">
        <f>+N15-N31-N65-N73-N76</f>
        <v>-3</v>
      </c>
      <c r="O122" s="145"/>
      <c r="P122" s="145"/>
      <c r="Q122" s="148">
        <f t="shared" si="5"/>
        <v>-3</v>
      </c>
      <c r="S122" s="149">
        <f t="shared" si="6"/>
        <v>12</v>
      </c>
    </row>
    <row r="123" spans="1:21" s="48" customFormat="1" ht="15.75" customHeight="1" x14ac:dyDescent="0.25">
      <c r="A123" s="54" t="s">
        <v>127</v>
      </c>
      <c r="D123" s="206">
        <f>+D16-D32-D66-D74</f>
        <v>0</v>
      </c>
      <c r="E123" s="145"/>
      <c r="F123" s="182">
        <f>+F16-F32-F66</f>
        <v>12</v>
      </c>
      <c r="G123" s="145"/>
      <c r="H123" s="206">
        <f>+H16-H32-H66-H74</f>
        <v>12</v>
      </c>
      <c r="I123" s="145"/>
      <c r="J123" s="206">
        <f>+J16-J32-J66-J74</f>
        <v>4</v>
      </c>
      <c r="K123" s="145"/>
      <c r="L123" s="206">
        <f>+L16-L32-L66-L74</f>
        <v>3</v>
      </c>
      <c r="M123" s="145"/>
      <c r="N123" s="206">
        <f>+N16-N32-N66-N74</f>
        <v>3</v>
      </c>
      <c r="O123" s="145"/>
      <c r="P123" s="145"/>
      <c r="Q123" s="148">
        <f t="shared" si="5"/>
        <v>6</v>
      </c>
      <c r="S123" s="149">
        <f t="shared" si="6"/>
        <v>12</v>
      </c>
    </row>
    <row r="124" spans="1:21" s="48" customFormat="1" ht="15.75" customHeight="1" x14ac:dyDescent="0.25">
      <c r="A124" s="54" t="s">
        <v>128</v>
      </c>
      <c r="D124" s="207">
        <f>+D20-D67</f>
        <v>5</v>
      </c>
      <c r="E124" s="145"/>
      <c r="F124" s="207">
        <f>+F20-F67</f>
        <v>4</v>
      </c>
      <c r="G124" s="145"/>
      <c r="H124" s="207">
        <f>+H20-H67</f>
        <v>5</v>
      </c>
      <c r="I124" s="145"/>
      <c r="J124" s="207">
        <f>+J20-J67</f>
        <v>4</v>
      </c>
      <c r="K124" s="145"/>
      <c r="L124" s="207">
        <f>+L20-L67</f>
        <v>0</v>
      </c>
      <c r="M124" s="145"/>
      <c r="N124" s="207">
        <f>+N20-N67</f>
        <v>0</v>
      </c>
      <c r="O124" s="145"/>
      <c r="P124" s="145"/>
      <c r="Q124" s="148">
        <f t="shared" si="5"/>
        <v>0</v>
      </c>
      <c r="S124" s="149">
        <f t="shared" si="6"/>
        <v>9</v>
      </c>
    </row>
    <row r="125" spans="1:21" s="48" customFormat="1" ht="15.75" customHeight="1" x14ac:dyDescent="0.25">
      <c r="A125" s="54" t="s">
        <v>93</v>
      </c>
      <c r="D125" s="208">
        <f>+D19-D33-D68</f>
        <v>4</v>
      </c>
      <c r="E125" s="145"/>
      <c r="F125" s="208">
        <f>+F19-F33-F68</f>
        <v>5</v>
      </c>
      <c r="G125" s="145"/>
      <c r="H125" s="208">
        <f>+H19-H33-H68</f>
        <v>6</v>
      </c>
      <c r="I125" s="145"/>
      <c r="J125" s="208">
        <f>+J19-J33-J68</f>
        <v>5</v>
      </c>
      <c r="K125" s="145"/>
      <c r="L125" s="208">
        <f>+L19-L33-L68</f>
        <v>2</v>
      </c>
      <c r="M125" s="145"/>
      <c r="N125" s="208">
        <f>+N19-N33-N68</f>
        <v>3</v>
      </c>
      <c r="O125" s="145"/>
      <c r="P125" s="145"/>
      <c r="Q125" s="148">
        <f t="shared" si="5"/>
        <v>5</v>
      </c>
      <c r="S125" s="149">
        <f t="shared" si="6"/>
        <v>9</v>
      </c>
    </row>
    <row r="126" spans="1:21" s="48" customFormat="1" ht="15.75" customHeight="1" x14ac:dyDescent="0.25">
      <c r="A126" s="54" t="s">
        <v>129</v>
      </c>
      <c r="D126" s="209">
        <f>-D69</f>
        <v>-6</v>
      </c>
      <c r="E126" s="145"/>
      <c r="F126" s="209">
        <f>-F69</f>
        <v>-2</v>
      </c>
      <c r="G126" s="145"/>
      <c r="H126" s="209">
        <f>-H69</f>
        <v>1</v>
      </c>
      <c r="I126" s="145"/>
      <c r="J126" s="209">
        <f>-J69</f>
        <v>-1</v>
      </c>
      <c r="K126" s="145"/>
      <c r="L126" s="209">
        <f>-L69</f>
        <v>0</v>
      </c>
      <c r="M126" s="145"/>
      <c r="N126" s="209">
        <f>-N69</f>
        <v>-1</v>
      </c>
      <c r="O126" s="145"/>
      <c r="P126" s="145"/>
      <c r="Q126" s="148">
        <f t="shared" si="5"/>
        <v>-1</v>
      </c>
      <c r="S126" s="142">
        <f t="shared" si="6"/>
        <v>-8</v>
      </c>
    </row>
    <row r="127" spans="1:21" s="48" customFormat="1" ht="16.5" customHeight="1" thickBot="1" x14ac:dyDescent="0.3">
      <c r="A127" s="54" t="s">
        <v>130</v>
      </c>
      <c r="D127" s="210">
        <f>SUM(D121:D126)</f>
        <v>51</v>
      </c>
      <c r="F127" s="210">
        <f>SUM(F121:F126)</f>
        <v>76</v>
      </c>
      <c r="H127" s="210">
        <f>SUM(H121:H126)</f>
        <v>109</v>
      </c>
      <c r="J127" s="210">
        <f>SUM(J121:J126)</f>
        <v>118</v>
      </c>
      <c r="L127" s="211">
        <f>SUM(L121:L126)</f>
        <v>403</v>
      </c>
      <c r="M127" s="81"/>
      <c r="N127" s="211">
        <f>SUM(N121:N126)</f>
        <v>114</v>
      </c>
      <c r="Q127" s="211">
        <f>SUM(Q121:Q126)</f>
        <v>517</v>
      </c>
      <c r="S127" s="210">
        <f>SUM(S121:S126)</f>
        <v>127</v>
      </c>
      <c r="U127" s="55" t="s">
        <v>60</v>
      </c>
    </row>
    <row r="128" spans="1:21" s="48" customFormat="1" ht="15.75" customHeight="1" thickTop="1" x14ac:dyDescent="0.2">
      <c r="A128" t="s">
        <v>131</v>
      </c>
    </row>
    <row r="129" s="48" customFormat="1" ht="15" customHeight="1" x14ac:dyDescent="0.2"/>
  </sheetData>
  <mergeCells count="6">
    <mergeCell ref="A112:C112"/>
    <mergeCell ref="A117:C117"/>
    <mergeCell ref="A1:S1"/>
    <mergeCell ref="D6:J6"/>
    <mergeCell ref="Q6:T6"/>
    <mergeCell ref="B95:C95"/>
  </mergeCells>
  <phoneticPr fontId="25" type="noConversion"/>
  <printOptions horizontalCentered="1"/>
  <pageMargins left="0.25" right="0.25" top="0.19" bottom="0.17" header="0" footer="0"/>
  <pageSetup scale="67" fitToHeight="0" orientation="landscape" r:id="rId1"/>
  <rowBreaks count="2" manualBreakCount="2">
    <brk id="43" max="21" man="1"/>
    <brk id="83" max="2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E54"/>
  <sheetViews>
    <sheetView workbookViewId="0">
      <selection activeCell="K28" sqref="K28"/>
    </sheetView>
  </sheetViews>
  <sheetFormatPr defaultRowHeight="12.75" x14ac:dyDescent="0.2"/>
  <cols>
    <col min="1" max="1" width="2.140625" style="82" customWidth="1"/>
    <col min="2" max="2" width="56.140625" style="82" customWidth="1"/>
    <col min="3" max="3" width="2.7109375" style="82" customWidth="1"/>
    <col min="4" max="4" width="13.140625" style="82" bestFit="1" customWidth="1"/>
    <col min="5" max="5" width="13.28515625" style="82" customWidth="1"/>
  </cols>
  <sheetData>
    <row r="1" spans="1:5" x14ac:dyDescent="0.2">
      <c r="D1" s="1"/>
      <c r="E1" s="4"/>
    </row>
    <row r="2" spans="1:5" x14ac:dyDescent="0.2">
      <c r="D2" s="79"/>
      <c r="E2" s="5"/>
    </row>
    <row r="4" spans="1:5" ht="15.75" customHeight="1" x14ac:dyDescent="0.25">
      <c r="A4" s="300" t="s">
        <v>132</v>
      </c>
      <c r="B4" s="297"/>
      <c r="C4" s="297"/>
      <c r="D4" s="297"/>
      <c r="E4" s="297"/>
    </row>
    <row r="5" spans="1:5" x14ac:dyDescent="0.2">
      <c r="A5" s="301" t="s">
        <v>133</v>
      </c>
      <c r="B5" s="297"/>
      <c r="C5" s="297"/>
      <c r="D5" s="297"/>
      <c r="E5" s="297"/>
    </row>
    <row r="6" spans="1:5" x14ac:dyDescent="0.2">
      <c r="A6" s="296" t="s">
        <v>134</v>
      </c>
      <c r="B6" s="297"/>
      <c r="C6" s="297"/>
      <c r="D6" s="297"/>
      <c r="E6" s="297"/>
    </row>
    <row r="9" spans="1:5" x14ac:dyDescent="0.2">
      <c r="D9" s="71" t="s">
        <v>5</v>
      </c>
      <c r="E9" s="71" t="s">
        <v>6</v>
      </c>
    </row>
    <row r="10" spans="1:5" x14ac:dyDescent="0.2">
      <c r="A10" s="3" t="s">
        <v>7</v>
      </c>
      <c r="B10" s="3"/>
      <c r="C10" s="3" t="s">
        <v>60</v>
      </c>
      <c r="D10" s="72">
        <v>2003</v>
      </c>
      <c r="E10" s="72">
        <v>2003</v>
      </c>
    </row>
    <row r="12" spans="1:5" x14ac:dyDescent="0.2">
      <c r="A12" t="s">
        <v>135</v>
      </c>
    </row>
    <row r="14" spans="1:5" x14ac:dyDescent="0.2">
      <c r="A14" t="s">
        <v>136</v>
      </c>
    </row>
    <row r="15" spans="1:5" x14ac:dyDescent="0.2">
      <c r="B15" t="s">
        <v>137</v>
      </c>
      <c r="D15" s="84">
        <v>915</v>
      </c>
      <c r="E15" s="84">
        <v>944</v>
      </c>
    </row>
    <row r="16" spans="1:5" x14ac:dyDescent="0.2">
      <c r="B16" t="s">
        <v>138</v>
      </c>
      <c r="D16" s="87">
        <v>69</v>
      </c>
      <c r="E16" s="87">
        <v>79</v>
      </c>
    </row>
    <row r="17" spans="1:5" x14ac:dyDescent="0.2">
      <c r="B17" s="37" t="s">
        <v>139</v>
      </c>
      <c r="D17" s="87">
        <v>507</v>
      </c>
      <c r="E17" s="87">
        <f>422-2-12</f>
        <v>408</v>
      </c>
    </row>
    <row r="18" spans="1:5" x14ac:dyDescent="0.2">
      <c r="B18" t="s">
        <v>11</v>
      </c>
      <c r="D18" s="92">
        <f>118+20</f>
        <v>138</v>
      </c>
      <c r="E18" s="92">
        <f>117+16</f>
        <v>133</v>
      </c>
    </row>
    <row r="19" spans="1:5" x14ac:dyDescent="0.2">
      <c r="A19" t="s">
        <v>140</v>
      </c>
      <c r="D19" s="88">
        <f>SUM(D15:D18)</f>
        <v>1629</v>
      </c>
      <c r="E19" s="88">
        <f>SUM(E15:E18)</f>
        <v>1564</v>
      </c>
    </row>
    <row r="20" spans="1:5" x14ac:dyDescent="0.2">
      <c r="D20" s="87"/>
      <c r="E20" s="87"/>
    </row>
    <row r="21" spans="1:5" x14ac:dyDescent="0.2">
      <c r="A21" t="s">
        <v>141</v>
      </c>
      <c r="D21" s="87">
        <v>5941</v>
      </c>
      <c r="E21" s="87">
        <f>6043-4</f>
        <v>6039</v>
      </c>
    </row>
    <row r="22" spans="1:5" x14ac:dyDescent="0.2">
      <c r="D22" s="87"/>
      <c r="E22" s="87"/>
    </row>
    <row r="23" spans="1:5" x14ac:dyDescent="0.2">
      <c r="A23" t="s">
        <v>142</v>
      </c>
      <c r="D23" s="87">
        <v>474</v>
      </c>
      <c r="E23" s="87">
        <v>469</v>
      </c>
    </row>
    <row r="24" spans="1:5" x14ac:dyDescent="0.2">
      <c r="D24" s="87"/>
      <c r="E24" s="87"/>
    </row>
    <row r="25" spans="1:5" x14ac:dyDescent="0.2">
      <c r="A25" t="s">
        <v>143</v>
      </c>
      <c r="D25" s="87">
        <v>481</v>
      </c>
      <c r="E25" s="87">
        <v>505</v>
      </c>
    </row>
    <row r="26" spans="1:5" x14ac:dyDescent="0.2">
      <c r="D26" s="87"/>
      <c r="E26" s="87"/>
    </row>
    <row r="27" spans="1:5" x14ac:dyDescent="0.2">
      <c r="A27" t="s">
        <v>144</v>
      </c>
      <c r="D27" s="92">
        <f>163-20</f>
        <v>143</v>
      </c>
      <c r="E27" s="92">
        <v>186</v>
      </c>
    </row>
    <row r="28" spans="1:5" ht="13.5" customHeight="1" thickBot="1" x14ac:dyDescent="0.25">
      <c r="D28" s="212">
        <f>SUM(D19:D27)</f>
        <v>8668</v>
      </c>
      <c r="E28" s="212">
        <f>SUM(E19:E27)</f>
        <v>8763</v>
      </c>
    </row>
    <row r="29" spans="1:5" ht="13.5" customHeight="1" thickTop="1" x14ac:dyDescent="0.2"/>
    <row r="31" spans="1:5" x14ac:dyDescent="0.2">
      <c r="A31" t="s">
        <v>145</v>
      </c>
    </row>
    <row r="33" spans="1:5" x14ac:dyDescent="0.2">
      <c r="A33" t="s">
        <v>146</v>
      </c>
    </row>
    <row r="34" spans="1:5" x14ac:dyDescent="0.2">
      <c r="B34" t="s">
        <v>147</v>
      </c>
      <c r="D34" s="84">
        <v>567</v>
      </c>
      <c r="E34" s="84">
        <v>492</v>
      </c>
    </row>
    <row r="35" spans="1:5" x14ac:dyDescent="0.2">
      <c r="B35" t="s">
        <v>148</v>
      </c>
      <c r="D35" s="87">
        <v>125</v>
      </c>
      <c r="E35" s="87">
        <v>124</v>
      </c>
    </row>
    <row r="36" spans="1:5" x14ac:dyDescent="0.2">
      <c r="B36" t="s">
        <v>149</v>
      </c>
      <c r="D36" s="87">
        <v>146</v>
      </c>
      <c r="E36" s="87">
        <f>122+4-2</f>
        <v>124</v>
      </c>
    </row>
    <row r="37" spans="1:5" x14ac:dyDescent="0.2">
      <c r="B37" t="s">
        <v>150</v>
      </c>
      <c r="D37" s="87">
        <v>88</v>
      </c>
      <c r="E37" s="87">
        <v>88</v>
      </c>
    </row>
    <row r="38" spans="1:5" x14ac:dyDescent="0.2">
      <c r="B38" t="s">
        <v>151</v>
      </c>
      <c r="D38" s="87">
        <v>126</v>
      </c>
      <c r="E38" s="87">
        <v>117</v>
      </c>
    </row>
    <row r="39" spans="1:5" x14ac:dyDescent="0.2">
      <c r="B39" t="s">
        <v>11</v>
      </c>
      <c r="D39" s="92">
        <v>214</v>
      </c>
      <c r="E39" s="92">
        <f>236+2</f>
        <v>238</v>
      </c>
    </row>
    <row r="40" spans="1:5" x14ac:dyDescent="0.2">
      <c r="A40" t="s">
        <v>152</v>
      </c>
      <c r="D40" s="213">
        <f>SUM(D34:D39)</f>
        <v>1266</v>
      </c>
      <c r="E40" s="213">
        <f>SUM(E34:E39)</f>
        <v>1183</v>
      </c>
    </row>
    <row r="41" spans="1:5" x14ac:dyDescent="0.2">
      <c r="D41" s="87"/>
      <c r="E41" s="87"/>
    </row>
    <row r="42" spans="1:5" x14ac:dyDescent="0.2">
      <c r="A42" t="s">
        <v>153</v>
      </c>
      <c r="D42" s="87">
        <f>5634</f>
        <v>5634</v>
      </c>
      <c r="E42" s="87">
        <f>5979+188</f>
        <v>6167</v>
      </c>
    </row>
    <row r="43" spans="1:5" x14ac:dyDescent="0.2">
      <c r="D43" s="87"/>
      <c r="E43" s="87"/>
    </row>
    <row r="44" spans="1:5" x14ac:dyDescent="0.2">
      <c r="A44" t="s">
        <v>154</v>
      </c>
      <c r="D44" s="87">
        <v>938</v>
      </c>
      <c r="E44" s="87">
        <v>925</v>
      </c>
    </row>
    <row r="45" spans="1:5" x14ac:dyDescent="0.2">
      <c r="D45" s="87"/>
      <c r="E45" s="87"/>
    </row>
    <row r="46" spans="1:5" x14ac:dyDescent="0.2">
      <c r="A46" t="s">
        <v>155</v>
      </c>
      <c r="D46" s="87">
        <v>85</v>
      </c>
      <c r="E46" s="87">
        <v>86</v>
      </c>
    </row>
    <row r="47" spans="1:5" x14ac:dyDescent="0.2">
      <c r="D47" s="87"/>
      <c r="E47" s="87"/>
    </row>
    <row r="48" spans="1:5" x14ac:dyDescent="0.2">
      <c r="A48" t="s">
        <v>156</v>
      </c>
      <c r="D48" s="87">
        <v>463</v>
      </c>
      <c r="E48" s="87">
        <v>460</v>
      </c>
    </row>
    <row r="49" spans="1:5" x14ac:dyDescent="0.2">
      <c r="D49" s="87"/>
      <c r="E49" s="87"/>
    </row>
    <row r="50" spans="1:5" x14ac:dyDescent="0.2">
      <c r="A50" t="s">
        <v>157</v>
      </c>
      <c r="D50" s="92">
        <v>282</v>
      </c>
      <c r="E50" s="92">
        <v>-58</v>
      </c>
    </row>
    <row r="51" spans="1:5" ht="13.5" customHeight="1" thickBot="1" x14ac:dyDescent="0.25">
      <c r="D51" s="214">
        <f>SUM(D40:D50)</f>
        <v>8668</v>
      </c>
      <c r="E51" s="214">
        <f>SUM(E40:E50)</f>
        <v>8763</v>
      </c>
    </row>
    <row r="52" spans="1:5" ht="13.5" customHeight="1" thickTop="1" x14ac:dyDescent="0.2"/>
    <row r="54" spans="1:5" x14ac:dyDescent="0.2">
      <c r="A54" t="s">
        <v>158</v>
      </c>
    </row>
  </sheetData>
  <mergeCells count="3">
    <mergeCell ref="A4:E4"/>
    <mergeCell ref="A5:E5"/>
    <mergeCell ref="A6:E6"/>
  </mergeCells>
  <phoneticPr fontId="25" type="noConversion"/>
  <printOptions horizontalCentered="1"/>
  <pageMargins left="0.75" right="0.75" top="0.6" bottom="0.64" header="0.5" footer="0.5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M233"/>
  <sheetViews>
    <sheetView view="pageBreakPreview" zoomScale="60" zoomScaleNormal="100" workbookViewId="0">
      <selection activeCell="B66" sqref="B66:B69"/>
    </sheetView>
  </sheetViews>
  <sheetFormatPr defaultRowHeight="12.75" x14ac:dyDescent="0.2"/>
  <cols>
    <col min="1" max="1" width="3.28515625" style="25" customWidth="1"/>
    <col min="2" max="2" width="3.42578125" style="25" customWidth="1"/>
    <col min="3" max="3" width="67.140625" style="25" customWidth="1"/>
    <col min="4" max="4" width="13.42578125" style="25" hidden="1" customWidth="1"/>
    <col min="5" max="5" width="1.42578125" style="25" hidden="1" customWidth="1"/>
    <col min="6" max="6" width="13.42578125" style="25" hidden="1" customWidth="1"/>
    <col min="7" max="8" width="13.42578125" style="25" customWidth="1"/>
    <col min="9" max="9" width="3.42578125" style="25" customWidth="1"/>
    <col min="10" max="10" width="13.42578125" style="25" customWidth="1"/>
    <col min="11" max="11" width="57.7109375" style="37" customWidth="1"/>
    <col min="12" max="12" width="1.140625" style="25" customWidth="1"/>
    <col min="13" max="13" width="24.5703125" style="25" customWidth="1"/>
    <col min="14" max="14" width="9.140625" style="25" customWidth="1"/>
    <col min="15" max="16384" width="9.140625" style="25"/>
  </cols>
  <sheetData>
    <row r="1" spans="1:13" ht="15.75" customHeight="1" x14ac:dyDescent="0.25">
      <c r="A1" s="300" t="s">
        <v>48</v>
      </c>
      <c r="B1" s="306"/>
      <c r="C1" s="306"/>
      <c r="D1" s="306"/>
      <c r="E1" s="306"/>
      <c r="F1" s="306"/>
      <c r="G1" s="77"/>
      <c r="H1" s="77"/>
      <c r="I1" s="77"/>
      <c r="J1" s="77"/>
    </row>
    <row r="2" spans="1:13" x14ac:dyDescent="0.2">
      <c r="A2" s="301" t="s">
        <v>159</v>
      </c>
      <c r="B2" s="306"/>
      <c r="C2" s="306"/>
      <c r="D2" s="306"/>
      <c r="E2" s="306"/>
      <c r="F2" s="306"/>
      <c r="G2" s="79"/>
      <c r="H2" s="79"/>
      <c r="I2" s="79"/>
      <c r="J2" s="79"/>
    </row>
    <row r="3" spans="1:13" ht="15" customHeight="1" x14ac:dyDescent="0.2">
      <c r="A3" s="312" t="s">
        <v>50</v>
      </c>
      <c r="B3" s="306"/>
      <c r="C3" s="306"/>
      <c r="D3" s="306"/>
      <c r="E3" s="306"/>
      <c r="F3" s="306"/>
      <c r="G3" s="37"/>
      <c r="H3" s="37"/>
      <c r="I3" s="37"/>
      <c r="J3" s="37"/>
    </row>
    <row r="4" spans="1:13" x14ac:dyDescent="0.2">
      <c r="A4" s="301" t="str">
        <f>+'P&amp;L Crib'!I5</f>
        <v>Draft 7/21/03   8 am</v>
      </c>
      <c r="B4" s="306"/>
      <c r="C4" s="306"/>
      <c r="D4" s="306"/>
      <c r="E4" s="306"/>
      <c r="F4" s="306"/>
      <c r="G4" s="79"/>
      <c r="H4" s="79"/>
      <c r="I4" s="79"/>
      <c r="J4" s="79"/>
    </row>
    <row r="5" spans="1:13" x14ac:dyDescent="0.2">
      <c r="A5" s="78"/>
      <c r="B5" s="79"/>
      <c r="C5" s="79"/>
      <c r="D5" s="79"/>
      <c r="E5" s="79"/>
      <c r="F5" s="79"/>
      <c r="G5" s="79"/>
      <c r="H5" s="79"/>
      <c r="I5" s="79"/>
      <c r="J5" s="79"/>
    </row>
    <row r="6" spans="1:13" x14ac:dyDescent="0.2">
      <c r="D6" s="215">
        <v>37437</v>
      </c>
      <c r="E6" s="216"/>
      <c r="F6" s="215">
        <v>37529</v>
      </c>
      <c r="G6" s="215">
        <v>37621</v>
      </c>
      <c r="H6" s="215">
        <v>37711</v>
      </c>
      <c r="I6" s="215"/>
      <c r="J6" s="215">
        <v>37802</v>
      </c>
      <c r="K6" s="26" t="s">
        <v>160</v>
      </c>
    </row>
    <row r="7" spans="1:13" x14ac:dyDescent="0.2">
      <c r="A7" s="27"/>
      <c r="B7" s="28"/>
      <c r="C7" s="28"/>
    </row>
    <row r="8" spans="1:13" s="38" customFormat="1" ht="15" customHeight="1" x14ac:dyDescent="0.2">
      <c r="A8" s="41" t="s">
        <v>161</v>
      </c>
      <c r="B8" s="37"/>
      <c r="C8" s="40"/>
      <c r="D8" s="217">
        <v>1051</v>
      </c>
      <c r="E8" s="217"/>
      <c r="F8" s="217">
        <v>963</v>
      </c>
      <c r="G8" s="217">
        <v>1142</v>
      </c>
      <c r="H8" s="217">
        <v>944</v>
      </c>
      <c r="I8" s="217"/>
      <c r="J8" s="217">
        <f>913+2</f>
        <v>915</v>
      </c>
      <c r="K8" s="81"/>
      <c r="L8" s="37"/>
      <c r="M8" s="37"/>
    </row>
    <row r="9" spans="1:13" s="38" customFormat="1" ht="6.75" customHeight="1" x14ac:dyDescent="0.2">
      <c r="A9" s="41"/>
      <c r="B9" s="37"/>
      <c r="C9" s="40"/>
      <c r="D9" s="217"/>
      <c r="E9" s="217"/>
      <c r="F9" s="217"/>
      <c r="G9" s="217"/>
      <c r="H9" s="217"/>
      <c r="I9" s="217"/>
      <c r="J9" s="217"/>
      <c r="K9" s="81"/>
      <c r="L9" s="37"/>
      <c r="M9" s="37"/>
    </row>
    <row r="10" spans="1:13" s="38" customFormat="1" ht="15" customHeight="1" x14ac:dyDescent="0.2">
      <c r="A10" s="41" t="s">
        <v>142</v>
      </c>
      <c r="B10" s="37"/>
      <c r="C10" s="40"/>
      <c r="D10" s="218"/>
      <c r="E10" s="218"/>
      <c r="F10" s="218"/>
      <c r="G10" s="218"/>
      <c r="H10" s="218"/>
      <c r="I10" s="218"/>
      <c r="J10" s="218"/>
      <c r="K10" s="81"/>
      <c r="L10" s="37"/>
      <c r="M10" s="37"/>
    </row>
    <row r="11" spans="1:13" s="38" customFormat="1" ht="15" hidden="1" customHeight="1" x14ac:dyDescent="0.2">
      <c r="A11" s="41"/>
      <c r="B11" s="37" t="s">
        <v>162</v>
      </c>
      <c r="C11" s="40"/>
      <c r="D11" s="218">
        <v>0</v>
      </c>
      <c r="E11" s="218"/>
      <c r="F11" s="218">
        <f>400-400</f>
        <v>0</v>
      </c>
      <c r="G11" s="218">
        <v>0</v>
      </c>
      <c r="H11" s="218">
        <v>0</v>
      </c>
      <c r="I11" s="218"/>
      <c r="J11" s="218">
        <v>0</v>
      </c>
      <c r="K11" s="81"/>
      <c r="L11" s="37"/>
      <c r="M11" s="37"/>
    </row>
    <row r="12" spans="1:13" s="38" customFormat="1" ht="15" customHeight="1" x14ac:dyDescent="0.2">
      <c r="A12" s="41"/>
      <c r="B12" s="69" t="s">
        <v>93</v>
      </c>
      <c r="C12" s="67"/>
      <c r="D12" s="218">
        <f>32+15</f>
        <v>47</v>
      </c>
      <c r="E12" s="218"/>
      <c r="F12" s="218">
        <f>34+15</f>
        <v>49</v>
      </c>
      <c r="G12" s="218">
        <f>52-37-15</f>
        <v>0</v>
      </c>
      <c r="H12" s="218">
        <v>0</v>
      </c>
      <c r="I12" s="218"/>
      <c r="J12" s="218">
        <v>0</v>
      </c>
      <c r="K12" s="81"/>
      <c r="L12" s="37"/>
      <c r="M12" s="37"/>
    </row>
    <row r="13" spans="1:13" s="38" customFormat="1" ht="15" customHeight="1" x14ac:dyDescent="0.2">
      <c r="A13" s="41"/>
      <c r="B13" s="69" t="s">
        <v>62</v>
      </c>
      <c r="C13" s="67"/>
      <c r="D13" s="218">
        <v>12</v>
      </c>
      <c r="E13" s="218"/>
      <c r="F13" s="218">
        <v>12</v>
      </c>
      <c r="G13" s="218">
        <v>12</v>
      </c>
      <c r="H13" s="218">
        <v>1</v>
      </c>
      <c r="I13" s="218"/>
      <c r="J13" s="218">
        <v>1</v>
      </c>
      <c r="K13" s="81"/>
      <c r="L13" s="37"/>
      <c r="M13" s="37"/>
    </row>
    <row r="14" spans="1:13" s="38" customFormat="1" ht="15.75" customHeight="1" x14ac:dyDescent="0.2">
      <c r="A14" s="41"/>
      <c r="B14" s="69" t="s">
        <v>57</v>
      </c>
      <c r="C14" s="67"/>
      <c r="D14" s="218">
        <v>8</v>
      </c>
      <c r="E14" s="218"/>
      <c r="F14" s="218">
        <v>3</v>
      </c>
      <c r="G14" s="218">
        <f>2+6</f>
        <v>8</v>
      </c>
      <c r="H14" s="218">
        <f>6+640</f>
        <v>646</v>
      </c>
      <c r="I14" s="218"/>
      <c r="J14" s="218">
        <f>6+1</f>
        <v>7</v>
      </c>
      <c r="K14" s="81"/>
      <c r="L14" s="37"/>
      <c r="M14" s="37"/>
    </row>
    <row r="15" spans="1:13" s="38" customFormat="1" ht="15" customHeight="1" x14ac:dyDescent="0.2">
      <c r="A15" s="41"/>
      <c r="B15" s="69" t="s">
        <v>163</v>
      </c>
      <c r="C15" s="67"/>
      <c r="D15" s="218">
        <v>9</v>
      </c>
      <c r="E15" s="218"/>
      <c r="F15" s="218">
        <v>9</v>
      </c>
      <c r="G15" s="218">
        <f>1+8</f>
        <v>9</v>
      </c>
      <c r="H15" s="218">
        <v>1</v>
      </c>
      <c r="I15" s="218"/>
      <c r="J15" s="218">
        <v>1</v>
      </c>
      <c r="K15" s="81"/>
      <c r="L15" s="37"/>
      <c r="M15" s="37"/>
    </row>
    <row r="16" spans="1:13" s="38" customFormat="1" ht="15" customHeight="1" x14ac:dyDescent="0.2">
      <c r="A16" s="41"/>
      <c r="B16" s="69" t="s">
        <v>164</v>
      </c>
      <c r="C16" s="67"/>
      <c r="D16" s="218">
        <v>13</v>
      </c>
      <c r="E16" s="218"/>
      <c r="F16" s="218">
        <v>13</v>
      </c>
      <c r="G16" s="218">
        <v>13</v>
      </c>
      <c r="H16" s="218">
        <v>13</v>
      </c>
      <c r="I16" s="218"/>
      <c r="J16" s="218">
        <v>13</v>
      </c>
      <c r="K16" s="81"/>
      <c r="L16" s="37"/>
      <c r="M16" s="37"/>
    </row>
    <row r="17" spans="1:13" s="38" customFormat="1" ht="15" customHeight="1" x14ac:dyDescent="0.2">
      <c r="A17" s="41"/>
      <c r="B17" s="69" t="s">
        <v>165</v>
      </c>
      <c r="C17" s="67"/>
      <c r="D17" s="218">
        <v>27</v>
      </c>
      <c r="E17" s="218"/>
      <c r="F17" s="218">
        <v>26</v>
      </c>
      <c r="G17" s="218">
        <v>25</v>
      </c>
      <c r="H17" s="218">
        <v>25</v>
      </c>
      <c r="I17" s="218"/>
      <c r="J17" s="218">
        <v>25</v>
      </c>
      <c r="K17" s="81"/>
      <c r="L17" s="37"/>
      <c r="M17" s="37"/>
    </row>
    <row r="18" spans="1:13" s="38" customFormat="1" ht="15" customHeight="1" x14ac:dyDescent="0.2">
      <c r="A18" s="41"/>
      <c r="B18" s="69" t="s">
        <v>166</v>
      </c>
      <c r="C18" s="67"/>
      <c r="D18" s="218">
        <v>17</v>
      </c>
      <c r="E18" s="218"/>
      <c r="F18" s="218">
        <v>17</v>
      </c>
      <c r="G18" s="218">
        <v>17</v>
      </c>
      <c r="H18" s="218">
        <v>17</v>
      </c>
      <c r="I18" s="218"/>
      <c r="J18" s="218">
        <v>17</v>
      </c>
      <c r="K18" s="81"/>
      <c r="L18" s="37"/>
      <c r="M18" s="37"/>
    </row>
    <row r="19" spans="1:13" s="38" customFormat="1" ht="14.25" customHeight="1" x14ac:dyDescent="0.2">
      <c r="A19" s="41"/>
      <c r="B19" s="69" t="s">
        <v>167</v>
      </c>
      <c r="C19" s="67"/>
      <c r="D19" s="218">
        <v>10</v>
      </c>
      <c r="E19" s="218"/>
      <c r="F19" s="218">
        <v>10</v>
      </c>
      <c r="G19" s="218">
        <v>10</v>
      </c>
      <c r="H19" s="218">
        <v>10</v>
      </c>
      <c r="I19" s="218"/>
      <c r="J19" s="218">
        <v>0</v>
      </c>
      <c r="K19" s="69" t="s">
        <v>168</v>
      </c>
      <c r="L19" s="37"/>
      <c r="M19" s="37"/>
    </row>
    <row r="20" spans="1:13" s="38" customFormat="1" ht="15" customHeight="1" x14ac:dyDescent="0.2">
      <c r="A20" s="41"/>
      <c r="B20" s="69" t="s">
        <v>169</v>
      </c>
      <c r="C20" s="67"/>
      <c r="D20" s="219">
        <v>3</v>
      </c>
      <c r="E20" s="218"/>
      <c r="F20" s="219">
        <v>2</v>
      </c>
      <c r="G20" s="219">
        <v>5</v>
      </c>
      <c r="H20" s="219">
        <v>5</v>
      </c>
      <c r="I20" s="218"/>
      <c r="J20" s="219">
        <v>5</v>
      </c>
      <c r="K20" s="81"/>
      <c r="L20" s="37"/>
      <c r="M20" s="37"/>
    </row>
    <row r="21" spans="1:13" s="38" customFormat="1" ht="15" customHeight="1" x14ac:dyDescent="0.2">
      <c r="A21" s="40"/>
      <c r="B21" s="42"/>
      <c r="C21" s="42"/>
      <c r="D21" s="220">
        <f>SUM(D12:D20)</f>
        <v>146</v>
      </c>
      <c r="E21" s="218"/>
      <c r="F21" s="221">
        <f>SUM(F11:F20)</f>
        <v>141</v>
      </c>
      <c r="G21" s="221">
        <f>SUM(G11:G20)</f>
        <v>99</v>
      </c>
      <c r="H21" s="221">
        <f>SUM(H11:H20)</f>
        <v>718</v>
      </c>
      <c r="I21" s="218"/>
      <c r="J21" s="221">
        <f>SUM(J11:J20)</f>
        <v>69</v>
      </c>
      <c r="K21" s="81"/>
      <c r="L21" s="37"/>
      <c r="M21" s="37"/>
    </row>
    <row r="22" spans="1:13" s="38" customFormat="1" ht="6" customHeight="1" x14ac:dyDescent="0.2">
      <c r="A22" s="41"/>
      <c r="B22" s="40"/>
      <c r="C22" s="40"/>
      <c r="D22" s="218"/>
      <c r="E22" s="218"/>
      <c r="F22" s="218"/>
      <c r="G22" s="218"/>
      <c r="H22" s="218"/>
      <c r="I22" s="218"/>
      <c r="J22" s="218"/>
      <c r="K22" s="81"/>
      <c r="L22" s="37"/>
      <c r="M22" s="37"/>
    </row>
    <row r="23" spans="1:13" s="38" customFormat="1" ht="15" customHeight="1" x14ac:dyDescent="0.2">
      <c r="A23" s="41" t="s">
        <v>170</v>
      </c>
      <c r="B23" s="40"/>
      <c r="C23" s="40"/>
      <c r="D23" s="218"/>
      <c r="E23" s="218"/>
      <c r="F23" s="218"/>
      <c r="G23" s="218"/>
      <c r="H23" s="218"/>
      <c r="I23" s="218"/>
      <c r="J23" s="218"/>
      <c r="K23" s="81"/>
      <c r="L23" s="37"/>
      <c r="M23" s="37"/>
    </row>
    <row r="24" spans="1:13" s="38" customFormat="1" ht="15" customHeight="1" x14ac:dyDescent="0.2">
      <c r="A24" s="41"/>
      <c r="B24" s="40" t="s">
        <v>171</v>
      </c>
      <c r="C24" s="40"/>
      <c r="D24" s="218">
        <v>120</v>
      </c>
      <c r="E24" s="218"/>
      <c r="F24" s="218">
        <f>79+2</f>
        <v>81</v>
      </c>
      <c r="G24" s="218">
        <v>44</v>
      </c>
      <c r="H24" s="218">
        <f>112+17-2</f>
        <v>127</v>
      </c>
      <c r="I24" s="218"/>
      <c r="J24" s="218">
        <v>175</v>
      </c>
      <c r="K24" s="81"/>
      <c r="L24" s="37"/>
      <c r="M24" s="37"/>
    </row>
    <row r="25" spans="1:13" s="38" customFormat="1" ht="15" customHeight="1" x14ac:dyDescent="0.2">
      <c r="A25" s="41"/>
      <c r="B25" s="40" t="s">
        <v>172</v>
      </c>
      <c r="C25" s="40"/>
      <c r="D25" s="218">
        <v>11</v>
      </c>
      <c r="E25" s="218"/>
      <c r="F25" s="218">
        <v>9</v>
      </c>
      <c r="G25" s="218">
        <v>7</v>
      </c>
      <c r="H25" s="218">
        <f>24-17</f>
        <v>7</v>
      </c>
      <c r="I25" s="218"/>
      <c r="J25" s="218">
        <v>7</v>
      </c>
      <c r="K25" s="81"/>
      <c r="L25" s="37"/>
      <c r="M25" s="37"/>
    </row>
    <row r="26" spans="1:13" s="38" customFormat="1" ht="15" customHeight="1" x14ac:dyDescent="0.2">
      <c r="A26" s="41"/>
      <c r="B26" s="40" t="s">
        <v>57</v>
      </c>
      <c r="C26" s="40"/>
      <c r="D26" s="218">
        <f>329+225</f>
        <v>554</v>
      </c>
      <c r="E26" s="218"/>
      <c r="F26" s="218">
        <f>185+155</f>
        <v>340</v>
      </c>
      <c r="G26" s="218">
        <f>115+360+2-12</f>
        <v>465</v>
      </c>
      <c r="H26" s="218">
        <f>277-12</f>
        <v>265</v>
      </c>
      <c r="I26" s="218"/>
      <c r="J26" s="218">
        <v>316</v>
      </c>
      <c r="K26" s="81"/>
      <c r="L26" s="37"/>
      <c r="M26" s="37"/>
    </row>
    <row r="27" spans="1:13" s="38" customFormat="1" ht="15" customHeight="1" x14ac:dyDescent="0.2">
      <c r="A27" s="41"/>
      <c r="B27" s="40" t="s">
        <v>93</v>
      </c>
      <c r="C27" s="40"/>
      <c r="D27" s="218">
        <v>10</v>
      </c>
      <c r="E27" s="218"/>
      <c r="F27" s="218">
        <v>11</v>
      </c>
      <c r="G27" s="218">
        <v>10</v>
      </c>
      <c r="H27" s="218">
        <v>9</v>
      </c>
      <c r="I27" s="218"/>
      <c r="J27" s="218">
        <v>9</v>
      </c>
      <c r="K27" s="81"/>
      <c r="L27" s="37"/>
      <c r="M27" s="37"/>
    </row>
    <row r="28" spans="1:13" s="38" customFormat="1" ht="15" customHeight="1" x14ac:dyDescent="0.2">
      <c r="A28" s="40"/>
      <c r="B28" s="40" t="s">
        <v>11</v>
      </c>
      <c r="C28" s="40"/>
      <c r="D28" s="218">
        <v>1</v>
      </c>
      <c r="E28" s="218"/>
      <c r="F28" s="218">
        <v>2</v>
      </c>
      <c r="G28" s="218">
        <v>1</v>
      </c>
      <c r="H28" s="218">
        <v>0</v>
      </c>
      <c r="I28" s="218"/>
      <c r="J28" s="218">
        <v>0</v>
      </c>
      <c r="K28" s="81"/>
      <c r="L28" s="37"/>
      <c r="M28" s="37"/>
    </row>
    <row r="29" spans="1:13" s="38" customFormat="1" ht="15" customHeight="1" x14ac:dyDescent="0.2">
      <c r="A29" s="40"/>
      <c r="B29" s="40"/>
      <c r="C29" s="40"/>
      <c r="D29" s="222">
        <f>SUM(D24:D28)</f>
        <v>696</v>
      </c>
      <c r="E29" s="218"/>
      <c r="F29" s="222">
        <f>SUM(F24:F28)</f>
        <v>443</v>
      </c>
      <c r="G29" s="222">
        <f>SUM(G24:G28)</f>
        <v>527</v>
      </c>
      <c r="H29" s="222">
        <f>SUM(H24:H28)</f>
        <v>408</v>
      </c>
      <c r="I29" s="218"/>
      <c r="J29" s="222">
        <f>SUM(J24:J28)</f>
        <v>507</v>
      </c>
      <c r="K29" s="81"/>
      <c r="L29" s="37"/>
      <c r="M29" s="37"/>
    </row>
    <row r="30" spans="1:13" s="38" customFormat="1" ht="5.25" customHeight="1" x14ac:dyDescent="0.2">
      <c r="A30" s="40"/>
      <c r="B30" s="40"/>
      <c r="C30" s="40"/>
      <c r="D30" s="218"/>
      <c r="E30" s="218"/>
      <c r="F30" s="218"/>
      <c r="G30" s="218"/>
      <c r="H30" s="218"/>
      <c r="I30" s="218"/>
      <c r="J30" s="218"/>
      <c r="K30" s="81"/>
      <c r="L30" s="37"/>
      <c r="M30" s="37"/>
    </row>
    <row r="31" spans="1:13" s="38" customFormat="1" ht="15" customHeight="1" x14ac:dyDescent="0.2">
      <c r="A31" s="41" t="s">
        <v>173</v>
      </c>
      <c r="B31" s="40"/>
      <c r="C31" s="40"/>
      <c r="D31" s="218"/>
      <c r="E31" s="218"/>
      <c r="F31" s="218"/>
      <c r="G31" s="218"/>
      <c r="H31" s="218"/>
      <c r="I31" s="218"/>
      <c r="J31" s="218"/>
      <c r="K31" s="81"/>
      <c r="L31" s="37"/>
      <c r="M31" s="37"/>
    </row>
    <row r="32" spans="1:13" s="38" customFormat="1" ht="14.25" customHeight="1" x14ac:dyDescent="0.2">
      <c r="A32" s="41"/>
      <c r="B32" s="41" t="s">
        <v>174</v>
      </c>
      <c r="C32" s="40"/>
      <c r="D32" s="218">
        <v>22</v>
      </c>
      <c r="E32" s="218"/>
      <c r="F32" s="218">
        <v>24</v>
      </c>
      <c r="G32" s="218">
        <v>19</v>
      </c>
      <c r="H32" s="218">
        <v>19</v>
      </c>
      <c r="I32" s="218"/>
      <c r="J32" s="218">
        <v>18</v>
      </c>
      <c r="K32" s="69" t="s">
        <v>175</v>
      </c>
      <c r="L32" s="37"/>
      <c r="M32" s="37"/>
    </row>
    <row r="33" spans="1:13" s="38" customFormat="1" ht="14.25" customHeight="1" x14ac:dyDescent="0.2">
      <c r="A33" s="41"/>
      <c r="B33" s="41" t="s">
        <v>176</v>
      </c>
      <c r="C33" s="40"/>
      <c r="D33" s="218">
        <v>5</v>
      </c>
      <c r="E33" s="218"/>
      <c r="F33" s="218">
        <v>3</v>
      </c>
      <c r="G33" s="218">
        <v>1</v>
      </c>
      <c r="H33" s="218">
        <v>7</v>
      </c>
      <c r="I33" s="218"/>
      <c r="J33" s="218">
        <v>6</v>
      </c>
      <c r="K33" s="69" t="s">
        <v>177</v>
      </c>
      <c r="L33" s="37"/>
      <c r="M33" s="37"/>
    </row>
    <row r="34" spans="1:13" s="38" customFormat="1" ht="14.25" customHeight="1" x14ac:dyDescent="0.2">
      <c r="A34" s="41"/>
      <c r="B34" s="41" t="s">
        <v>178</v>
      </c>
      <c r="C34" s="40"/>
      <c r="D34" s="218"/>
      <c r="E34" s="218"/>
      <c r="F34" s="218"/>
      <c r="G34" s="218">
        <v>17</v>
      </c>
      <c r="H34" s="218">
        <v>16</v>
      </c>
      <c r="I34" s="218"/>
      <c r="J34" s="218">
        <v>0</v>
      </c>
      <c r="K34" s="69"/>
      <c r="L34" s="37"/>
      <c r="M34" s="37"/>
    </row>
    <row r="35" spans="1:13" s="38" customFormat="1" ht="14.25" customHeight="1" x14ac:dyDescent="0.2">
      <c r="A35" s="40"/>
      <c r="B35" s="40" t="s">
        <v>179</v>
      </c>
      <c r="C35" s="40"/>
      <c r="D35" s="218">
        <v>4</v>
      </c>
      <c r="E35" s="218"/>
      <c r="F35" s="218">
        <v>2</v>
      </c>
      <c r="G35" s="218">
        <v>2</v>
      </c>
      <c r="H35" s="218">
        <v>3</v>
      </c>
      <c r="I35" s="218"/>
      <c r="J35" s="218">
        <v>3</v>
      </c>
      <c r="K35" s="69"/>
      <c r="L35" s="37"/>
      <c r="M35" s="37"/>
    </row>
    <row r="36" spans="1:13" s="38" customFormat="1" ht="14.25" customHeight="1" x14ac:dyDescent="0.2">
      <c r="A36" s="40"/>
      <c r="B36" s="41" t="s">
        <v>180</v>
      </c>
      <c r="C36" s="40"/>
      <c r="D36" s="218">
        <v>6</v>
      </c>
      <c r="E36" s="218"/>
      <c r="F36" s="218">
        <v>6</v>
      </c>
      <c r="G36" s="218">
        <v>5</v>
      </c>
      <c r="H36" s="218">
        <v>5</v>
      </c>
      <c r="I36" s="218"/>
      <c r="J36" s="218">
        <v>7</v>
      </c>
      <c r="K36" s="69"/>
      <c r="L36" s="37"/>
      <c r="M36" s="37"/>
    </row>
    <row r="37" spans="1:13" s="38" customFormat="1" ht="14.25" customHeight="1" x14ac:dyDescent="0.2">
      <c r="A37" s="40"/>
      <c r="B37" s="41" t="s">
        <v>181</v>
      </c>
      <c r="C37" s="40"/>
      <c r="D37" s="218">
        <v>0</v>
      </c>
      <c r="E37" s="218"/>
      <c r="F37" s="218">
        <v>0</v>
      </c>
      <c r="G37" s="218">
        <v>0</v>
      </c>
      <c r="H37" s="218">
        <f>34-21</f>
        <v>13</v>
      </c>
      <c r="I37" s="218"/>
      <c r="J37" s="218">
        <v>10</v>
      </c>
      <c r="K37" s="69"/>
      <c r="L37" s="37"/>
      <c r="M37" s="37"/>
    </row>
    <row r="38" spans="1:13" s="38" customFormat="1" ht="26.25" customHeight="1" x14ac:dyDescent="0.2">
      <c r="A38" s="40"/>
      <c r="B38" s="41" t="s">
        <v>57</v>
      </c>
      <c r="C38" s="40"/>
      <c r="D38" s="218">
        <f>4+110</f>
        <v>114</v>
      </c>
      <c r="E38" s="218"/>
      <c r="F38" s="218">
        <f>4+42</f>
        <v>46</v>
      </c>
      <c r="G38" s="218">
        <f>68+27</f>
        <v>95</v>
      </c>
      <c r="H38" s="218">
        <v>35</v>
      </c>
      <c r="I38" s="218"/>
      <c r="J38" s="218">
        <v>25</v>
      </c>
      <c r="K38" s="69"/>
      <c r="L38" s="37"/>
      <c r="M38" s="37"/>
    </row>
    <row r="39" spans="1:13" s="38" customFormat="1" ht="14.25" customHeight="1" x14ac:dyDescent="0.2">
      <c r="A39" s="40"/>
      <c r="B39" s="41" t="s">
        <v>182</v>
      </c>
      <c r="C39" s="40"/>
      <c r="D39" s="218">
        <v>13</v>
      </c>
      <c r="E39" s="218"/>
      <c r="F39" s="218">
        <v>10</v>
      </c>
      <c r="G39" s="218">
        <v>6</v>
      </c>
      <c r="H39" s="218">
        <f>2</f>
        <v>2</v>
      </c>
      <c r="I39" s="218"/>
      <c r="J39" s="218">
        <v>14</v>
      </c>
      <c r="K39" s="68" t="s">
        <v>183</v>
      </c>
      <c r="L39" s="37"/>
      <c r="M39" s="37"/>
    </row>
    <row r="40" spans="1:13" s="38" customFormat="1" ht="14.25" customHeight="1" x14ac:dyDescent="0.2">
      <c r="A40" s="40"/>
      <c r="B40" s="41" t="s">
        <v>184</v>
      </c>
      <c r="C40" s="40"/>
      <c r="D40" s="223">
        <v>3</v>
      </c>
      <c r="E40" s="223"/>
      <c r="F40" s="223">
        <v>3</v>
      </c>
      <c r="G40" s="223">
        <v>3</v>
      </c>
      <c r="H40" s="223">
        <v>2</v>
      </c>
      <c r="I40" s="223"/>
      <c r="J40" s="223">
        <v>3</v>
      </c>
      <c r="K40" s="69"/>
      <c r="L40" s="37"/>
      <c r="M40" s="37"/>
    </row>
    <row r="41" spans="1:13" s="38" customFormat="1" ht="14.25" customHeight="1" x14ac:dyDescent="0.2">
      <c r="A41" s="40"/>
      <c r="B41" s="41" t="s">
        <v>185</v>
      </c>
      <c r="C41" s="40"/>
      <c r="D41" s="223">
        <v>4</v>
      </c>
      <c r="E41" s="223"/>
      <c r="F41" s="223">
        <v>5</v>
      </c>
      <c r="G41" s="223">
        <v>2</v>
      </c>
      <c r="H41" s="223">
        <v>1</v>
      </c>
      <c r="I41" s="223"/>
      <c r="J41" s="223">
        <v>1</v>
      </c>
      <c r="K41" s="69"/>
      <c r="L41" s="37"/>
      <c r="M41" s="37"/>
    </row>
    <row r="42" spans="1:13" s="38" customFormat="1" ht="14.25" customHeight="1" x14ac:dyDescent="0.2">
      <c r="A42" s="40"/>
      <c r="B42" s="41" t="s">
        <v>186</v>
      </c>
      <c r="C42" s="40"/>
      <c r="D42" s="223">
        <v>7</v>
      </c>
      <c r="E42" s="223"/>
      <c r="F42" s="223">
        <v>7</v>
      </c>
      <c r="G42" s="223">
        <v>2</v>
      </c>
      <c r="H42" s="223">
        <v>11</v>
      </c>
      <c r="I42" s="223"/>
      <c r="J42" s="223">
        <v>7</v>
      </c>
      <c r="K42" s="69"/>
      <c r="L42" s="37"/>
      <c r="M42" s="37"/>
    </row>
    <row r="43" spans="1:13" s="38" customFormat="1" ht="14.25" customHeight="1" x14ac:dyDescent="0.2">
      <c r="A43" s="40"/>
      <c r="B43" s="41" t="s">
        <v>187</v>
      </c>
      <c r="C43" s="40"/>
      <c r="D43" s="223">
        <v>4</v>
      </c>
      <c r="E43" s="223"/>
      <c r="F43" s="223">
        <v>1</v>
      </c>
      <c r="G43" s="223">
        <v>6</v>
      </c>
      <c r="H43" s="223">
        <f>10-4</f>
        <v>6</v>
      </c>
      <c r="I43" s="223"/>
      <c r="J43" s="223">
        <v>7</v>
      </c>
      <c r="K43" s="69"/>
      <c r="L43" s="37"/>
      <c r="M43" s="37"/>
    </row>
    <row r="44" spans="1:13" s="38" customFormat="1" ht="14.25" customHeight="1" x14ac:dyDescent="0.2">
      <c r="A44" s="40"/>
      <c r="B44" s="41" t="s">
        <v>188</v>
      </c>
      <c r="C44" s="40"/>
      <c r="D44" s="223">
        <v>5</v>
      </c>
      <c r="E44" s="223"/>
      <c r="F44" s="223">
        <v>5</v>
      </c>
      <c r="G44" s="223">
        <v>5</v>
      </c>
      <c r="H44" s="223">
        <v>5</v>
      </c>
      <c r="I44" s="223"/>
      <c r="J44" s="223">
        <v>5</v>
      </c>
      <c r="K44" s="69"/>
      <c r="L44" s="37"/>
      <c r="M44" s="37"/>
    </row>
    <row r="45" spans="1:13" s="38" customFormat="1" ht="14.25" customHeight="1" x14ac:dyDescent="0.2">
      <c r="A45" s="40"/>
      <c r="B45" s="41" t="s">
        <v>189</v>
      </c>
      <c r="C45" s="40"/>
      <c r="D45" s="223">
        <v>0</v>
      </c>
      <c r="E45" s="223"/>
      <c r="F45" s="223">
        <v>0</v>
      </c>
      <c r="G45" s="223">
        <v>0</v>
      </c>
      <c r="H45" s="223">
        <v>0</v>
      </c>
      <c r="I45" s="223"/>
      <c r="J45" s="223">
        <v>5</v>
      </c>
      <c r="K45" s="69" t="s">
        <v>190</v>
      </c>
      <c r="L45" s="37"/>
      <c r="M45" s="37"/>
    </row>
    <row r="46" spans="1:13" s="38" customFormat="1" ht="14.25" customHeight="1" x14ac:dyDescent="0.2">
      <c r="A46" s="40"/>
      <c r="B46" s="41" t="s">
        <v>191</v>
      </c>
      <c r="C46" s="40"/>
      <c r="D46" s="223">
        <v>0</v>
      </c>
      <c r="E46" s="223"/>
      <c r="F46" s="223">
        <v>0</v>
      </c>
      <c r="G46" s="223">
        <v>0</v>
      </c>
      <c r="H46" s="223">
        <v>0</v>
      </c>
      <c r="I46" s="223"/>
      <c r="J46" s="223">
        <v>21</v>
      </c>
      <c r="K46" s="69"/>
      <c r="L46" s="37"/>
      <c r="M46" s="37"/>
    </row>
    <row r="47" spans="1:13" s="38" customFormat="1" ht="14.25" customHeight="1" x14ac:dyDescent="0.2">
      <c r="A47" s="40"/>
      <c r="B47" s="41" t="s">
        <v>192</v>
      </c>
      <c r="C47" s="40"/>
      <c r="D47" s="218">
        <v>8</v>
      </c>
      <c r="E47" s="218"/>
      <c r="F47" s="218">
        <v>9</v>
      </c>
      <c r="G47" s="218">
        <v>8</v>
      </c>
      <c r="H47" s="218">
        <f>4+4</f>
        <v>8</v>
      </c>
      <c r="I47" s="218"/>
      <c r="J47" s="218">
        <v>7</v>
      </c>
      <c r="K47" s="68" t="s">
        <v>60</v>
      </c>
      <c r="L47" s="37"/>
      <c r="M47" s="37"/>
    </row>
    <row r="48" spans="1:13" s="38" customFormat="1" ht="14.25" customHeight="1" x14ac:dyDescent="0.2">
      <c r="A48" s="40"/>
      <c r="B48" s="40"/>
      <c r="C48" s="40"/>
      <c r="D48" s="224">
        <f>SUM(D32:D47)</f>
        <v>195</v>
      </c>
      <c r="E48" s="218"/>
      <c r="F48" s="224">
        <f>SUM(F32:F47)</f>
        <v>121</v>
      </c>
      <c r="G48" s="224">
        <f>SUM(G32:G47)</f>
        <v>171</v>
      </c>
      <c r="H48" s="224">
        <f>SUM(H32:H47)</f>
        <v>133</v>
      </c>
      <c r="I48" s="218"/>
      <c r="J48" s="224">
        <f>SUM(J32:J47)</f>
        <v>139</v>
      </c>
      <c r="K48" s="69"/>
      <c r="L48" s="37"/>
      <c r="M48" s="37"/>
    </row>
    <row r="49" spans="1:13" s="38" customFormat="1" ht="8.25" customHeight="1" x14ac:dyDescent="0.2">
      <c r="A49" s="40"/>
      <c r="B49" s="40"/>
      <c r="C49" s="40"/>
      <c r="D49" s="218"/>
      <c r="E49" s="218"/>
      <c r="F49" s="218"/>
      <c r="G49" s="218"/>
      <c r="H49" s="218"/>
      <c r="I49" s="218"/>
      <c r="J49" s="218"/>
      <c r="K49" s="69"/>
      <c r="L49" s="37"/>
      <c r="M49" s="37"/>
    </row>
    <row r="50" spans="1:13" s="38" customFormat="1" ht="14.25" customHeight="1" x14ac:dyDescent="0.2">
      <c r="A50" s="41" t="s">
        <v>140</v>
      </c>
      <c r="B50" s="40"/>
      <c r="C50" s="40"/>
      <c r="D50" s="225">
        <f>+D8+D21+D29+D48</f>
        <v>2088</v>
      </c>
      <c r="E50" s="218"/>
      <c r="F50" s="225">
        <f>+F8+F21+F29+F48</f>
        <v>1668</v>
      </c>
      <c r="G50" s="225">
        <f>+G8+G21+G29+G48</f>
        <v>1939</v>
      </c>
      <c r="H50" s="225">
        <f>+H8+H21+H29+H48</f>
        <v>2203</v>
      </c>
      <c r="I50" s="218"/>
      <c r="J50" s="225">
        <f>+J8+J21+J29+J48</f>
        <v>1630</v>
      </c>
      <c r="K50" s="69"/>
      <c r="L50" s="37"/>
      <c r="M50" s="37"/>
    </row>
    <row r="51" spans="1:13" s="38" customFormat="1" ht="6" customHeight="1" x14ac:dyDescent="0.2">
      <c r="A51" s="40"/>
      <c r="B51" s="40"/>
      <c r="C51" s="40"/>
      <c r="D51" s="218"/>
      <c r="E51" s="218"/>
      <c r="F51" s="218"/>
      <c r="G51" s="218"/>
      <c r="H51" s="218"/>
      <c r="I51" s="218"/>
      <c r="J51" s="218"/>
      <c r="K51" s="69"/>
      <c r="L51" s="37"/>
      <c r="M51" s="37"/>
    </row>
    <row r="52" spans="1:13" s="38" customFormat="1" ht="5.25" customHeight="1" x14ac:dyDescent="0.2">
      <c r="A52" s="40"/>
      <c r="B52" s="40"/>
      <c r="C52" s="40"/>
      <c r="D52" s="218"/>
      <c r="E52" s="218"/>
      <c r="F52" s="218"/>
      <c r="G52" s="218"/>
      <c r="H52" s="218"/>
      <c r="I52" s="218"/>
      <c r="J52" s="218"/>
      <c r="K52" s="69"/>
      <c r="L52" s="37"/>
      <c r="M52" s="37"/>
    </row>
    <row r="53" spans="1:13" s="38" customFormat="1" ht="14.25" customHeight="1" x14ac:dyDescent="0.2">
      <c r="A53" s="41" t="s">
        <v>193</v>
      </c>
      <c r="B53" s="40"/>
      <c r="C53" s="40"/>
      <c r="D53" s="37"/>
      <c r="E53" s="37"/>
      <c r="F53" s="37"/>
      <c r="G53" s="37"/>
      <c r="H53" s="37"/>
      <c r="I53" s="37"/>
      <c r="J53" s="37"/>
      <c r="K53" s="69"/>
      <c r="L53" s="37"/>
      <c r="M53" s="37"/>
    </row>
    <row r="54" spans="1:13" s="38" customFormat="1" ht="14.25" customHeight="1" x14ac:dyDescent="0.2">
      <c r="A54" s="41"/>
      <c r="B54" s="40" t="s">
        <v>9</v>
      </c>
      <c r="C54" s="40"/>
      <c r="D54" s="218">
        <v>6429</v>
      </c>
      <c r="E54" s="218"/>
      <c r="F54" s="218">
        <v>6200</v>
      </c>
      <c r="G54" s="218">
        <v>5857</v>
      </c>
      <c r="H54" s="218">
        <v>5975</v>
      </c>
      <c r="I54" s="218"/>
      <c r="J54" s="218">
        <v>5879</v>
      </c>
      <c r="K54" s="69"/>
      <c r="L54" s="37"/>
      <c r="M54" s="37"/>
    </row>
    <row r="55" spans="1:13" s="38" customFormat="1" ht="14.25" customHeight="1" x14ac:dyDescent="0.2">
      <c r="A55" s="41"/>
      <c r="B55" s="40" t="s">
        <v>10</v>
      </c>
      <c r="C55" s="40"/>
      <c r="D55" s="218">
        <v>49</v>
      </c>
      <c r="E55" s="218"/>
      <c r="F55" s="218">
        <v>48</v>
      </c>
      <c r="G55" s="218">
        <v>44</v>
      </c>
      <c r="H55" s="218">
        <v>43</v>
      </c>
      <c r="I55" s="218"/>
      <c r="J55" s="218">
        <v>44</v>
      </c>
      <c r="K55" s="69"/>
      <c r="L55" s="37"/>
      <c r="M55" s="37"/>
    </row>
    <row r="56" spans="1:13" s="38" customFormat="1" ht="14.25" customHeight="1" x14ac:dyDescent="0.2">
      <c r="A56" s="41"/>
      <c r="B56" s="40" t="s">
        <v>57</v>
      </c>
      <c r="C56" s="40"/>
      <c r="D56" s="218">
        <v>19</v>
      </c>
      <c r="E56" s="218"/>
      <c r="F56" s="218">
        <v>18</v>
      </c>
      <c r="G56" s="218">
        <v>11</v>
      </c>
      <c r="H56" s="218">
        <f>14-4</f>
        <v>10</v>
      </c>
      <c r="I56" s="218"/>
      <c r="J56" s="218">
        <v>8</v>
      </c>
      <c r="K56" s="69"/>
      <c r="L56" s="37"/>
      <c r="M56" s="37"/>
    </row>
    <row r="57" spans="1:13" s="38" customFormat="1" ht="14.25" customHeight="1" x14ac:dyDescent="0.2">
      <c r="A57" s="41"/>
      <c r="B57" s="40" t="s">
        <v>58</v>
      </c>
      <c r="C57" s="40"/>
      <c r="D57" s="218">
        <v>12</v>
      </c>
      <c r="E57" s="218"/>
      <c r="F57" s="218">
        <v>11</v>
      </c>
      <c r="G57" s="218">
        <v>11</v>
      </c>
      <c r="H57" s="218">
        <v>11</v>
      </c>
      <c r="I57" s="218"/>
      <c r="J57" s="218">
        <v>10</v>
      </c>
      <c r="K57" s="69"/>
      <c r="L57" s="37"/>
      <c r="M57" s="37"/>
    </row>
    <row r="58" spans="1:13" s="38" customFormat="1" ht="14.25" customHeight="1" x14ac:dyDescent="0.2">
      <c r="A58" s="40"/>
      <c r="B58" s="41" t="s">
        <v>62</v>
      </c>
      <c r="C58" s="40"/>
      <c r="D58" s="226">
        <f>95-12</f>
        <v>83</v>
      </c>
      <c r="E58" s="218"/>
      <c r="F58" s="226">
        <f>94-11</f>
        <v>83</v>
      </c>
      <c r="G58" s="226">
        <f>93-11</f>
        <v>82</v>
      </c>
      <c r="H58" s="226">
        <f>10-10</f>
        <v>0</v>
      </c>
      <c r="I58" s="218"/>
      <c r="J58" s="226">
        <v>0</v>
      </c>
      <c r="K58" s="69"/>
      <c r="L58" s="37"/>
      <c r="M58" s="37"/>
    </row>
    <row r="59" spans="1:13" s="38" customFormat="1" ht="14.25" customHeight="1" x14ac:dyDescent="0.2">
      <c r="A59" s="40"/>
      <c r="B59" s="40"/>
      <c r="C59" s="40"/>
      <c r="D59" s="227">
        <f>SUM(D54:D58)</f>
        <v>6592</v>
      </c>
      <c r="E59" s="218"/>
      <c r="F59" s="228">
        <f>SUM(F53:F58)</f>
        <v>6360</v>
      </c>
      <c r="G59" s="228">
        <f>SUM(G53:G58)</f>
        <v>6005</v>
      </c>
      <c r="H59" s="228">
        <f>SUM(H53:H58)</f>
        <v>6039</v>
      </c>
      <c r="I59" s="218"/>
      <c r="J59" s="228">
        <f>SUM(J53:J58)</f>
        <v>5941</v>
      </c>
      <c r="K59" s="69"/>
      <c r="L59" s="37"/>
      <c r="M59" s="37"/>
    </row>
    <row r="60" spans="1:13" s="38" customFormat="1" ht="15.75" customHeight="1" x14ac:dyDescent="0.2">
      <c r="A60" s="40" t="s">
        <v>194</v>
      </c>
      <c r="B60" s="40"/>
      <c r="C60" s="37"/>
      <c r="D60" s="218"/>
      <c r="E60" s="218"/>
      <c r="F60" s="218"/>
      <c r="G60" s="218"/>
      <c r="H60" s="218"/>
      <c r="I60" s="218"/>
      <c r="J60" s="218"/>
      <c r="K60" s="69"/>
      <c r="L60" s="37"/>
      <c r="M60" s="37"/>
    </row>
    <row r="61" spans="1:13" s="38" customFormat="1" ht="14.25" customHeight="1" x14ac:dyDescent="0.2">
      <c r="A61" s="40"/>
      <c r="B61" s="69" t="s">
        <v>162</v>
      </c>
      <c r="C61" s="37"/>
      <c r="D61" s="218">
        <v>0</v>
      </c>
      <c r="E61" s="218"/>
      <c r="F61" s="218">
        <v>400</v>
      </c>
      <c r="G61" s="218">
        <v>400</v>
      </c>
      <c r="H61" s="218">
        <v>400</v>
      </c>
      <c r="I61" s="218"/>
      <c r="J61" s="218">
        <v>400</v>
      </c>
      <c r="K61" s="69"/>
      <c r="L61" s="37"/>
      <c r="M61" s="37"/>
    </row>
    <row r="62" spans="1:13" s="38" customFormat="1" ht="14.25" customHeight="1" x14ac:dyDescent="0.2">
      <c r="A62" s="40"/>
      <c r="B62" s="69" t="s">
        <v>93</v>
      </c>
      <c r="C62" s="37"/>
      <c r="D62" s="218">
        <v>0</v>
      </c>
      <c r="E62" s="218"/>
      <c r="F62" s="218">
        <v>0</v>
      </c>
      <c r="G62" s="218">
        <f>37+15</f>
        <v>52</v>
      </c>
      <c r="H62" s="218">
        <f>15+39</f>
        <v>54</v>
      </c>
      <c r="I62" s="218"/>
      <c r="J62" s="218">
        <f>16+41</f>
        <v>57</v>
      </c>
      <c r="K62" s="69" t="s">
        <v>195</v>
      </c>
      <c r="L62" s="37"/>
      <c r="M62" s="37"/>
    </row>
    <row r="63" spans="1:13" s="38" customFormat="1" ht="28.5" customHeight="1" x14ac:dyDescent="0.2">
      <c r="A63" s="40"/>
      <c r="B63" s="69" t="s">
        <v>196</v>
      </c>
      <c r="C63" s="37"/>
      <c r="D63" s="219">
        <v>0</v>
      </c>
      <c r="E63" s="218"/>
      <c r="F63" s="219">
        <v>0</v>
      </c>
      <c r="G63" s="219">
        <v>15</v>
      </c>
      <c r="H63" s="219">
        <v>15</v>
      </c>
      <c r="I63" s="218"/>
      <c r="J63" s="219">
        <f>15+2</f>
        <v>17</v>
      </c>
      <c r="K63" s="68" t="s">
        <v>197</v>
      </c>
      <c r="L63" s="37"/>
      <c r="M63" s="37"/>
    </row>
    <row r="64" spans="1:13" s="38" customFormat="1" ht="13.5" customHeight="1" x14ac:dyDescent="0.2">
      <c r="A64" s="40"/>
      <c r="B64" s="40"/>
      <c r="C64" s="37"/>
      <c r="D64" s="229">
        <f>SUM(D61:D63)</f>
        <v>0</v>
      </c>
      <c r="E64" s="218"/>
      <c r="F64" s="229">
        <f>SUM(F61:F63)</f>
        <v>400</v>
      </c>
      <c r="G64" s="229">
        <f>SUM(G61:G63)</f>
        <v>467</v>
      </c>
      <c r="H64" s="229">
        <f>SUM(H61:H63)</f>
        <v>469</v>
      </c>
      <c r="I64" s="218"/>
      <c r="J64" s="229">
        <f>SUM(J61:J63)</f>
        <v>474</v>
      </c>
      <c r="K64" s="69"/>
      <c r="L64" s="37"/>
      <c r="M64" s="37"/>
    </row>
    <row r="65" spans="1:13" s="38" customFormat="1" ht="13.5" customHeight="1" x14ac:dyDescent="0.2">
      <c r="A65" s="41" t="s">
        <v>198</v>
      </c>
      <c r="B65" s="40"/>
      <c r="C65" s="40"/>
      <c r="D65" s="218"/>
      <c r="E65" s="218"/>
      <c r="F65" s="218"/>
      <c r="G65" s="218"/>
      <c r="H65" s="218"/>
      <c r="I65" s="218"/>
      <c r="J65" s="218"/>
      <c r="K65" s="69"/>
      <c r="L65" s="37"/>
      <c r="M65" s="37"/>
    </row>
    <row r="66" spans="1:13" s="38" customFormat="1" ht="14.25" customHeight="1" x14ac:dyDescent="0.2">
      <c r="A66" s="41"/>
      <c r="B66" s="40" t="s">
        <v>199</v>
      </c>
      <c r="C66" s="40"/>
      <c r="D66" s="218">
        <v>30</v>
      </c>
      <c r="E66" s="218"/>
      <c r="F66" s="218">
        <v>30</v>
      </c>
      <c r="G66" s="218">
        <v>30</v>
      </c>
      <c r="H66" s="218">
        <v>30</v>
      </c>
      <c r="I66" s="218"/>
      <c r="J66" s="218">
        <v>30</v>
      </c>
      <c r="K66" s="69"/>
      <c r="L66" s="37"/>
      <c r="M66" s="37"/>
    </row>
    <row r="67" spans="1:13" s="38" customFormat="1" ht="11.25" customHeight="1" x14ac:dyDescent="0.2">
      <c r="A67" s="41"/>
      <c r="B67" s="40" t="s">
        <v>200</v>
      </c>
      <c r="C67" s="40"/>
      <c r="D67" s="218"/>
      <c r="E67" s="218"/>
      <c r="F67" s="218"/>
      <c r="G67" s="218"/>
      <c r="H67" s="218"/>
      <c r="I67" s="218"/>
      <c r="J67" s="218" t="s">
        <v>60</v>
      </c>
      <c r="K67" s="69"/>
      <c r="L67" s="37"/>
      <c r="M67" s="37"/>
    </row>
    <row r="68" spans="1:13" s="38" customFormat="1" ht="14.25" customHeight="1" x14ac:dyDescent="0.2">
      <c r="A68" s="41"/>
      <c r="B68" s="40"/>
      <c r="C68" s="40" t="s">
        <v>201</v>
      </c>
      <c r="D68" s="218">
        <v>33</v>
      </c>
      <c r="E68" s="218"/>
      <c r="F68" s="218">
        <v>34</v>
      </c>
      <c r="G68" s="218">
        <v>41</v>
      </c>
      <c r="H68" s="218">
        <v>41</v>
      </c>
      <c r="I68" s="218"/>
      <c r="J68" s="218">
        <v>41</v>
      </c>
      <c r="K68" s="69"/>
      <c r="L68" s="37"/>
      <c r="M68" s="37"/>
    </row>
    <row r="69" spans="1:13" s="38" customFormat="1" ht="14.25" customHeight="1" x14ac:dyDescent="0.2">
      <c r="A69" s="41"/>
      <c r="B69" s="40"/>
      <c r="C69" s="40" t="s">
        <v>202</v>
      </c>
      <c r="D69" s="218">
        <v>42</v>
      </c>
      <c r="E69" s="218"/>
      <c r="F69" s="218">
        <v>36</v>
      </c>
      <c r="G69" s="218">
        <v>31</v>
      </c>
      <c r="H69" s="218">
        <v>26</v>
      </c>
      <c r="I69" s="218"/>
      <c r="J69" s="218">
        <f>26-5</f>
        <v>21</v>
      </c>
      <c r="K69" s="69" t="s">
        <v>203</v>
      </c>
      <c r="L69" s="37"/>
      <c r="M69" s="37"/>
    </row>
    <row r="70" spans="1:13" s="38" customFormat="1" ht="12.75" customHeight="1" x14ac:dyDescent="0.2">
      <c r="A70" s="41"/>
      <c r="B70" s="40" t="s">
        <v>204</v>
      </c>
      <c r="C70" s="40"/>
      <c r="D70" s="37"/>
      <c r="E70" s="37"/>
      <c r="F70" s="37"/>
      <c r="G70" s="37"/>
      <c r="H70" s="37"/>
      <c r="I70" s="37"/>
      <c r="J70" s="37"/>
      <c r="K70" s="69"/>
      <c r="L70" s="37"/>
      <c r="M70" s="37"/>
    </row>
    <row r="71" spans="1:13" s="38" customFormat="1" ht="14.25" customHeight="1" x14ac:dyDescent="0.2">
      <c r="A71" s="41"/>
      <c r="B71" s="40"/>
      <c r="C71" s="40" t="s">
        <v>201</v>
      </c>
      <c r="D71" s="218">
        <f>153-26</f>
        <v>127</v>
      </c>
      <c r="E71" s="218"/>
      <c r="F71" s="218">
        <v>130</v>
      </c>
      <c r="G71" s="218">
        <v>131</v>
      </c>
      <c r="H71" s="218">
        <f>131+4</f>
        <v>135</v>
      </c>
      <c r="I71" s="218"/>
      <c r="J71" s="218">
        <v>128</v>
      </c>
      <c r="K71" s="69" t="s">
        <v>60</v>
      </c>
      <c r="L71" s="37"/>
      <c r="M71" s="37"/>
    </row>
    <row r="72" spans="1:13" s="38" customFormat="1" ht="14.25" customHeight="1" x14ac:dyDescent="0.2">
      <c r="A72" s="41"/>
      <c r="B72" s="40"/>
      <c r="C72" s="40" t="s">
        <v>202</v>
      </c>
      <c r="D72" s="218">
        <v>26</v>
      </c>
      <c r="E72" s="218"/>
      <c r="F72" s="218">
        <v>25</v>
      </c>
      <c r="G72" s="218">
        <f>26-2</f>
        <v>24</v>
      </c>
      <c r="H72" s="218">
        <v>23</v>
      </c>
      <c r="I72" s="218"/>
      <c r="J72" s="218">
        <v>22</v>
      </c>
      <c r="K72" s="69"/>
      <c r="L72" s="37"/>
      <c r="M72" s="37"/>
    </row>
    <row r="73" spans="1:13" s="38" customFormat="1" ht="11.25" customHeight="1" x14ac:dyDescent="0.2">
      <c r="A73" s="41"/>
      <c r="B73" s="40" t="s">
        <v>57</v>
      </c>
      <c r="C73" s="40"/>
      <c r="D73" s="37"/>
      <c r="E73" s="37"/>
      <c r="F73" s="37"/>
      <c r="G73" s="37"/>
      <c r="H73" s="37"/>
      <c r="I73" s="37"/>
      <c r="J73" s="37"/>
      <c r="K73" s="69"/>
      <c r="L73" s="37"/>
      <c r="M73" s="37"/>
    </row>
    <row r="74" spans="1:13" s="38" customFormat="1" ht="14.25" customHeight="1" x14ac:dyDescent="0.2">
      <c r="A74" s="41"/>
      <c r="B74" s="40"/>
      <c r="C74" s="40" t="s">
        <v>201</v>
      </c>
      <c r="D74" s="218">
        <f>121-49</f>
        <v>72</v>
      </c>
      <c r="E74" s="218"/>
      <c r="F74" s="218">
        <v>75</v>
      </c>
      <c r="G74" s="218">
        <v>79</v>
      </c>
      <c r="H74" s="218">
        <v>79</v>
      </c>
      <c r="I74" s="218"/>
      <c r="J74" s="218">
        <v>79</v>
      </c>
      <c r="K74" s="69"/>
      <c r="L74" s="37"/>
      <c r="M74" s="37"/>
    </row>
    <row r="75" spans="1:13" s="38" customFormat="1" ht="14.25" customHeight="1" x14ac:dyDescent="0.2">
      <c r="A75" s="41"/>
      <c r="B75" s="40"/>
      <c r="C75" s="40" t="s">
        <v>202</v>
      </c>
      <c r="D75" s="218">
        <v>49</v>
      </c>
      <c r="E75" s="218"/>
      <c r="F75" s="218">
        <v>47</v>
      </c>
      <c r="G75" s="218">
        <f>49-3</f>
        <v>46</v>
      </c>
      <c r="H75" s="218">
        <v>45</v>
      </c>
      <c r="I75" s="218"/>
      <c r="J75" s="218">
        <v>44</v>
      </c>
      <c r="K75" s="69"/>
      <c r="L75" s="37"/>
      <c r="M75" s="37"/>
    </row>
    <row r="76" spans="1:13" s="38" customFormat="1" ht="12.75" customHeight="1" x14ac:dyDescent="0.2">
      <c r="A76" s="41"/>
      <c r="B76" s="40" t="s">
        <v>61</v>
      </c>
      <c r="C76" s="40"/>
      <c r="D76" s="218"/>
      <c r="E76" s="218"/>
      <c r="F76" s="218"/>
      <c r="G76" s="218"/>
      <c r="H76" s="218"/>
      <c r="I76" s="218"/>
      <c r="J76" s="218"/>
      <c r="K76" s="69"/>
      <c r="L76" s="37"/>
      <c r="M76" s="37"/>
    </row>
    <row r="77" spans="1:13" s="38" customFormat="1" ht="14.25" customHeight="1" x14ac:dyDescent="0.2">
      <c r="A77" s="41"/>
      <c r="B77" s="40"/>
      <c r="C77" s="40" t="s">
        <v>202</v>
      </c>
      <c r="D77" s="218">
        <v>0</v>
      </c>
      <c r="E77" s="218"/>
      <c r="F77" s="218">
        <v>0</v>
      </c>
      <c r="G77" s="218">
        <v>0</v>
      </c>
      <c r="H77" s="218">
        <f>131-5</f>
        <v>126</v>
      </c>
      <c r="I77" s="218"/>
      <c r="J77" s="218">
        <f>131-15</f>
        <v>116</v>
      </c>
      <c r="K77" s="69" t="s">
        <v>205</v>
      </c>
      <c r="L77" s="37"/>
      <c r="M77" s="37"/>
    </row>
    <row r="78" spans="1:13" s="38" customFormat="1" ht="14.25" customHeight="1" x14ac:dyDescent="0.2">
      <c r="A78" s="41"/>
      <c r="B78" s="40" t="s">
        <v>206</v>
      </c>
      <c r="C78" s="40"/>
      <c r="D78" s="219">
        <v>-2</v>
      </c>
      <c r="E78" s="218"/>
      <c r="F78" s="219">
        <v>-2</v>
      </c>
      <c r="G78" s="219">
        <v>-2</v>
      </c>
      <c r="H78" s="219">
        <v>0</v>
      </c>
      <c r="I78" s="218"/>
      <c r="J78" s="219">
        <v>0</v>
      </c>
      <c r="K78" s="69"/>
      <c r="L78" s="37"/>
      <c r="M78" s="37"/>
    </row>
    <row r="79" spans="1:13" s="38" customFormat="1" ht="14.25" customHeight="1" x14ac:dyDescent="0.2">
      <c r="A79" s="41"/>
      <c r="B79" s="40"/>
      <c r="C79" s="40"/>
      <c r="D79" s="230">
        <f>SUM(D66:D78)</f>
        <v>377</v>
      </c>
      <c r="E79" s="218"/>
      <c r="F79" s="230">
        <f>SUM(F66:F78)</f>
        <v>375</v>
      </c>
      <c r="G79" s="230">
        <f>SUM(G66:G78)</f>
        <v>380</v>
      </c>
      <c r="H79" s="230">
        <f>SUM(H66:H78)</f>
        <v>505</v>
      </c>
      <c r="I79" s="218"/>
      <c r="J79" s="230">
        <f>SUM(J66:J78)</f>
        <v>481</v>
      </c>
      <c r="K79" s="69"/>
      <c r="L79" s="37"/>
      <c r="M79" s="37"/>
    </row>
    <row r="80" spans="1:13" s="38" customFormat="1" ht="12.75" customHeight="1" x14ac:dyDescent="0.2">
      <c r="A80" s="41" t="s">
        <v>207</v>
      </c>
      <c r="B80" s="40"/>
      <c r="C80" s="40"/>
      <c r="D80" s="218"/>
      <c r="E80" s="218"/>
      <c r="F80" s="218"/>
      <c r="G80" s="218"/>
      <c r="H80" s="218"/>
      <c r="I80" s="218"/>
      <c r="J80" s="218"/>
      <c r="K80" s="69"/>
      <c r="L80" s="37"/>
      <c r="M80" s="37"/>
    </row>
    <row r="81" spans="1:13" s="38" customFormat="1" ht="14.25" customHeight="1" x14ac:dyDescent="0.2">
      <c r="A81" s="41"/>
      <c r="B81" s="41" t="s">
        <v>208</v>
      </c>
      <c r="C81" s="40"/>
      <c r="D81" s="218"/>
      <c r="E81" s="218"/>
      <c r="F81" s="218"/>
      <c r="G81" s="218"/>
      <c r="H81" s="218"/>
      <c r="I81" s="218"/>
      <c r="J81" s="218"/>
      <c r="K81" s="69"/>
      <c r="L81" s="37"/>
      <c r="M81" s="37"/>
    </row>
    <row r="82" spans="1:13" s="38" customFormat="1" ht="14.25" customHeight="1" x14ac:dyDescent="0.2">
      <c r="A82" s="40"/>
      <c r="B82" s="37"/>
      <c r="C82" s="40" t="s">
        <v>209</v>
      </c>
      <c r="D82" s="218">
        <v>5</v>
      </c>
      <c r="E82" s="218"/>
      <c r="F82" s="218">
        <v>5</v>
      </c>
      <c r="G82" s="218">
        <f>2+3</f>
        <v>5</v>
      </c>
      <c r="H82" s="218">
        <v>6</v>
      </c>
      <c r="I82" s="218"/>
      <c r="J82" s="218">
        <v>6</v>
      </c>
      <c r="K82" s="69"/>
      <c r="L82" s="37"/>
      <c r="M82" s="37"/>
    </row>
    <row r="83" spans="1:13" s="38" customFormat="1" ht="14.25" customHeight="1" x14ac:dyDescent="0.2">
      <c r="A83" s="40"/>
      <c r="B83" s="37"/>
      <c r="C83" s="40" t="s">
        <v>210</v>
      </c>
      <c r="D83" s="218">
        <v>1</v>
      </c>
      <c r="E83" s="218"/>
      <c r="F83" s="218">
        <v>1</v>
      </c>
      <c r="G83" s="218">
        <v>1</v>
      </c>
      <c r="H83" s="218">
        <v>1</v>
      </c>
      <c r="I83" s="218"/>
      <c r="J83" s="218">
        <v>1</v>
      </c>
      <c r="K83" s="69"/>
      <c r="L83" s="37"/>
      <c r="M83" s="37"/>
    </row>
    <row r="84" spans="1:13" s="38" customFormat="1" ht="14.25" customHeight="1" x14ac:dyDescent="0.2">
      <c r="A84" s="40"/>
      <c r="B84" s="37"/>
      <c r="C84" s="41" t="s">
        <v>211</v>
      </c>
      <c r="D84" s="218">
        <v>45</v>
      </c>
      <c r="E84" s="218"/>
      <c r="F84" s="218">
        <v>48</v>
      </c>
      <c r="G84" s="218">
        <v>9</v>
      </c>
      <c r="H84" s="218">
        <v>10</v>
      </c>
      <c r="I84" s="218"/>
      <c r="J84" s="218">
        <v>11</v>
      </c>
      <c r="K84" s="69"/>
      <c r="L84" s="37"/>
      <c r="M84" s="37"/>
    </row>
    <row r="85" spans="1:13" s="38" customFormat="1" ht="14.25" customHeight="1" x14ac:dyDescent="0.2">
      <c r="A85" s="40"/>
      <c r="B85" s="37"/>
      <c r="C85" s="41" t="s">
        <v>212</v>
      </c>
      <c r="D85" s="218">
        <v>34</v>
      </c>
      <c r="E85" s="218"/>
      <c r="F85" s="218">
        <v>34</v>
      </c>
      <c r="G85" s="218">
        <v>6</v>
      </c>
      <c r="H85" s="218">
        <v>6</v>
      </c>
      <c r="I85" s="218"/>
      <c r="J85" s="218">
        <v>6</v>
      </c>
      <c r="K85" s="69"/>
      <c r="L85" s="37"/>
      <c r="M85" s="37"/>
    </row>
    <row r="86" spans="1:13" s="38" customFormat="1" ht="14.25" customHeight="1" x14ac:dyDescent="0.2">
      <c r="A86" s="40"/>
      <c r="B86" s="40"/>
      <c r="C86" s="40"/>
      <c r="D86" s="231">
        <f>SUM(D82:D85)</f>
        <v>85</v>
      </c>
      <c r="E86" s="218"/>
      <c r="F86" s="231">
        <f>SUM(F82:F85)</f>
        <v>88</v>
      </c>
      <c r="G86" s="231">
        <f>SUM(G82:G85)</f>
        <v>21</v>
      </c>
      <c r="H86" s="231">
        <f>SUM(H82:H85)</f>
        <v>23</v>
      </c>
      <c r="I86" s="218"/>
      <c r="J86" s="231">
        <f>SUM(J82:J85)</f>
        <v>24</v>
      </c>
      <c r="K86" s="69"/>
      <c r="L86" s="37"/>
      <c r="M86" s="37"/>
    </row>
    <row r="87" spans="1:13" s="38" customFormat="1" ht="9.75" customHeight="1" x14ac:dyDescent="0.2">
      <c r="A87" s="40"/>
      <c r="B87" s="40"/>
      <c r="C87" s="37"/>
      <c r="D87" s="218"/>
      <c r="E87" s="218"/>
      <c r="F87" s="218"/>
      <c r="G87" s="218"/>
      <c r="H87" s="218"/>
      <c r="I87" s="218"/>
      <c r="J87" s="218"/>
      <c r="K87" s="69"/>
      <c r="L87" s="37"/>
      <c r="M87" s="37"/>
    </row>
    <row r="88" spans="1:13" s="38" customFormat="1" ht="14.25" customHeight="1" x14ac:dyDescent="0.2">
      <c r="A88" s="40"/>
      <c r="B88" s="41" t="s">
        <v>213</v>
      </c>
      <c r="C88" s="40"/>
      <c r="D88" s="223">
        <f>13+2</f>
        <v>15</v>
      </c>
      <c r="E88" s="223"/>
      <c r="F88" s="223">
        <f>11+2</f>
        <v>13</v>
      </c>
      <c r="G88" s="223">
        <f>9+2</f>
        <v>11</v>
      </c>
      <c r="H88" s="223">
        <v>10</v>
      </c>
      <c r="I88" s="223"/>
      <c r="J88" s="223">
        <f>8+1</f>
        <v>9</v>
      </c>
      <c r="K88" s="69"/>
      <c r="L88" s="37"/>
      <c r="M88" s="37"/>
    </row>
    <row r="89" spans="1:13" s="38" customFormat="1" ht="15" customHeight="1" x14ac:dyDescent="0.2">
      <c r="A89" s="40"/>
      <c r="B89" s="41" t="s">
        <v>214</v>
      </c>
      <c r="C89" s="40"/>
      <c r="D89" s="174">
        <v>7</v>
      </c>
      <c r="E89" s="174"/>
      <c r="F89" s="174">
        <v>5</v>
      </c>
      <c r="G89" s="174">
        <v>3</v>
      </c>
      <c r="H89" s="174">
        <v>3</v>
      </c>
      <c r="I89" s="232"/>
      <c r="J89" s="162">
        <v>0</v>
      </c>
      <c r="K89" s="69" t="s">
        <v>215</v>
      </c>
      <c r="L89" s="37"/>
      <c r="M89" s="37"/>
    </row>
    <row r="90" spans="1:13" s="38" customFormat="1" ht="14.25" customHeight="1" x14ac:dyDescent="0.2">
      <c r="A90" s="40"/>
      <c r="B90" s="41" t="s">
        <v>216</v>
      </c>
      <c r="C90" s="40"/>
      <c r="D90" s="223">
        <v>2</v>
      </c>
      <c r="E90" s="223"/>
      <c r="F90" s="223">
        <v>2</v>
      </c>
      <c r="G90" s="223">
        <v>2</v>
      </c>
      <c r="H90" s="223">
        <v>2</v>
      </c>
      <c r="I90" s="223"/>
      <c r="J90" s="223">
        <v>3</v>
      </c>
      <c r="K90" s="69" t="s">
        <v>60</v>
      </c>
      <c r="L90" s="37"/>
      <c r="M90" s="37"/>
    </row>
    <row r="91" spans="1:13" s="38" customFormat="1" ht="14.25" customHeight="1" x14ac:dyDescent="0.2">
      <c r="A91" s="40"/>
      <c r="B91" s="41" t="s">
        <v>174</v>
      </c>
      <c r="C91" s="40"/>
      <c r="D91" s="218">
        <v>99</v>
      </c>
      <c r="E91" s="218"/>
      <c r="F91" s="218">
        <v>103</v>
      </c>
      <c r="G91" s="218">
        <v>93</v>
      </c>
      <c r="H91" s="218">
        <v>89</v>
      </c>
      <c r="I91" s="218"/>
      <c r="J91" s="218">
        <f>72</f>
        <v>72</v>
      </c>
      <c r="K91" s="68" t="s">
        <v>217</v>
      </c>
      <c r="L91" s="37"/>
      <c r="M91" s="37"/>
    </row>
    <row r="92" spans="1:13" s="38" customFormat="1" ht="14.25" customHeight="1" x14ac:dyDescent="0.2">
      <c r="A92" s="40"/>
      <c r="B92" s="41" t="s">
        <v>57</v>
      </c>
      <c r="C92" s="40"/>
      <c r="D92" s="218">
        <f>1+1</f>
        <v>2</v>
      </c>
      <c r="E92" s="218"/>
      <c r="F92" s="218">
        <f>2+1</f>
        <v>3</v>
      </c>
      <c r="G92" s="218">
        <f>1+4</f>
        <v>5</v>
      </c>
      <c r="H92" s="218">
        <v>1</v>
      </c>
      <c r="I92" s="218"/>
      <c r="J92" s="218">
        <v>1</v>
      </c>
      <c r="K92" s="69"/>
      <c r="L92" s="37"/>
      <c r="M92" s="37"/>
    </row>
    <row r="93" spans="1:13" s="38" customFormat="1" ht="14.25" customHeight="1" x14ac:dyDescent="0.2">
      <c r="A93" s="40"/>
      <c r="B93" s="41" t="s">
        <v>218</v>
      </c>
      <c r="C93" s="40"/>
      <c r="D93" s="218">
        <v>19</v>
      </c>
      <c r="E93" s="218"/>
      <c r="F93" s="218">
        <v>19</v>
      </c>
      <c r="G93" s="218">
        <v>19</v>
      </c>
      <c r="H93" s="218">
        <v>0</v>
      </c>
      <c r="I93" s="218"/>
      <c r="J93" s="218">
        <v>0</v>
      </c>
      <c r="K93" s="69"/>
      <c r="L93" s="37"/>
      <c r="M93" s="37"/>
    </row>
    <row r="94" spans="1:13" s="38" customFormat="1" ht="14.25" customHeight="1" x14ac:dyDescent="0.2">
      <c r="A94" s="40"/>
      <c r="B94" s="41" t="s">
        <v>219</v>
      </c>
      <c r="C94" s="40"/>
      <c r="D94" s="218">
        <v>4</v>
      </c>
      <c r="E94" s="218"/>
      <c r="F94" s="218">
        <v>4</v>
      </c>
      <c r="G94" s="218">
        <v>3</v>
      </c>
      <c r="H94" s="218">
        <v>3</v>
      </c>
      <c r="I94" s="218"/>
      <c r="J94" s="218">
        <v>3</v>
      </c>
      <c r="K94" s="69"/>
      <c r="L94" s="37"/>
      <c r="M94" s="37"/>
    </row>
    <row r="95" spans="1:13" s="38" customFormat="1" ht="14.25" customHeight="1" x14ac:dyDescent="0.2">
      <c r="A95" s="40"/>
      <c r="B95" s="41" t="s">
        <v>220</v>
      </c>
      <c r="C95" s="40"/>
      <c r="D95" s="218">
        <v>5</v>
      </c>
      <c r="E95" s="218"/>
      <c r="F95" s="218">
        <v>5</v>
      </c>
      <c r="G95" s="218">
        <v>5</v>
      </c>
      <c r="H95" s="218">
        <v>5</v>
      </c>
      <c r="I95" s="218"/>
      <c r="J95" s="218">
        <v>1</v>
      </c>
      <c r="K95" s="69" t="s">
        <v>221</v>
      </c>
      <c r="L95" s="37"/>
      <c r="M95" s="37"/>
    </row>
    <row r="96" spans="1:13" s="38" customFormat="1" ht="14.25" customHeight="1" x14ac:dyDescent="0.2">
      <c r="A96" s="40"/>
      <c r="B96" s="41" t="s">
        <v>61</v>
      </c>
      <c r="C96" s="40"/>
      <c r="D96" s="218">
        <v>0</v>
      </c>
      <c r="E96" s="218"/>
      <c r="F96" s="218">
        <v>0</v>
      </c>
      <c r="G96" s="218">
        <v>0</v>
      </c>
      <c r="H96" s="218">
        <v>21</v>
      </c>
      <c r="I96" s="218"/>
      <c r="J96" s="218">
        <v>21</v>
      </c>
      <c r="K96" s="69"/>
      <c r="L96" s="37"/>
      <c r="M96" s="37"/>
    </row>
    <row r="97" spans="1:13" s="38" customFormat="1" ht="14.25" customHeight="1" x14ac:dyDescent="0.2">
      <c r="A97" s="41" t="s">
        <v>60</v>
      </c>
      <c r="B97" s="41" t="s">
        <v>191</v>
      </c>
      <c r="C97" s="40"/>
      <c r="D97" s="218">
        <v>49</v>
      </c>
      <c r="E97" s="218"/>
      <c r="F97" s="218">
        <v>49</v>
      </c>
      <c r="G97" s="218">
        <f>27-17</f>
        <v>10</v>
      </c>
      <c r="H97" s="218">
        <f>7+2+1-2+21</f>
        <v>29</v>
      </c>
      <c r="I97" s="218"/>
      <c r="J97" s="218">
        <f>29-21</f>
        <v>8</v>
      </c>
      <c r="K97" s="69" t="s">
        <v>222</v>
      </c>
      <c r="L97" s="37"/>
      <c r="M97" s="37"/>
    </row>
    <row r="98" spans="1:13" s="38" customFormat="1" ht="14.25" customHeight="1" x14ac:dyDescent="0.2">
      <c r="A98" s="40"/>
      <c r="B98" s="40"/>
      <c r="C98" s="40"/>
      <c r="D98" s="233">
        <f>SUM(D86:D97)</f>
        <v>287</v>
      </c>
      <c r="E98" s="218"/>
      <c r="F98" s="234">
        <f>SUM(F88:F97)+F86</f>
        <v>291</v>
      </c>
      <c r="G98" s="234">
        <f>SUM(G88:G97)+G86</f>
        <v>172</v>
      </c>
      <c r="H98" s="234">
        <f>SUM(H88:H97)+H86</f>
        <v>186</v>
      </c>
      <c r="I98" s="218"/>
      <c r="J98" s="234">
        <f>SUM(J88:J97)+J86</f>
        <v>142</v>
      </c>
      <c r="K98" s="69"/>
      <c r="L98" s="37"/>
      <c r="M98" s="37"/>
    </row>
    <row r="99" spans="1:13" s="38" customFormat="1" ht="6" customHeight="1" x14ac:dyDescent="0.2">
      <c r="A99" s="40"/>
      <c r="B99" s="40"/>
      <c r="C99" s="40"/>
      <c r="D99" s="218"/>
      <c r="E99" s="218"/>
      <c r="F99" s="218"/>
      <c r="G99" s="218"/>
      <c r="H99" s="218"/>
      <c r="I99" s="218"/>
      <c r="J99" s="218"/>
      <c r="K99" s="69"/>
      <c r="L99" s="37"/>
      <c r="M99" s="37"/>
    </row>
    <row r="100" spans="1:13" s="38" customFormat="1" ht="15" customHeight="1" thickBot="1" x14ac:dyDescent="0.25">
      <c r="A100" s="41" t="s">
        <v>223</v>
      </c>
      <c r="B100" s="40"/>
      <c r="C100" s="40"/>
      <c r="D100" s="235">
        <f>D50+D59+D98+D79</f>
        <v>9344</v>
      </c>
      <c r="E100" s="217"/>
      <c r="F100" s="236">
        <f>F50+F59+F98+F79+F64</f>
        <v>9094</v>
      </c>
      <c r="G100" s="236">
        <f>G50+G59+G98+G79+G64</f>
        <v>8963</v>
      </c>
      <c r="H100" s="236">
        <f>H50+H59+H98+H79+H64</f>
        <v>9402</v>
      </c>
      <c r="I100" s="217"/>
      <c r="J100" s="237">
        <f>J50+J59+J98+J79+J64</f>
        <v>8668</v>
      </c>
      <c r="K100" s="69"/>
      <c r="L100" s="37"/>
      <c r="M100" s="37"/>
    </row>
    <row r="101" spans="1:13" s="38" customFormat="1" ht="6" customHeight="1" thickTop="1" x14ac:dyDescent="0.2">
      <c r="A101" s="41"/>
      <c r="B101" s="40"/>
      <c r="C101" s="40"/>
      <c r="D101" s="37"/>
      <c r="E101" s="37"/>
      <c r="F101" s="37"/>
      <c r="G101" s="37"/>
      <c r="H101" s="37"/>
      <c r="I101" s="37"/>
      <c r="J101" s="238"/>
      <c r="K101" s="69"/>
      <c r="L101" s="37"/>
      <c r="M101" s="37"/>
    </row>
    <row r="102" spans="1:13" s="38" customFormat="1" ht="14.25" hidden="1" customHeight="1" x14ac:dyDescent="0.2">
      <c r="A102" s="310" t="str">
        <f>A4</f>
        <v>Draft 7/21/03   8 am</v>
      </c>
      <c r="B102" s="311"/>
      <c r="C102" s="311"/>
      <c r="D102" s="37"/>
      <c r="E102" s="37"/>
      <c r="F102" s="37"/>
      <c r="G102" s="37"/>
      <c r="H102" s="37"/>
      <c r="I102" s="37"/>
      <c r="J102" s="238"/>
      <c r="K102" s="69"/>
      <c r="L102" s="37"/>
      <c r="M102" s="37"/>
    </row>
    <row r="103" spans="1:13" s="38" customFormat="1" ht="14.25" hidden="1" customHeight="1" x14ac:dyDescent="0.2">
      <c r="A103" s="41"/>
      <c r="B103" s="40"/>
      <c r="C103" s="40"/>
      <c r="D103" s="239">
        <v>37437</v>
      </c>
      <c r="E103" s="240"/>
      <c r="F103" s="239">
        <v>37529</v>
      </c>
      <c r="G103" s="239">
        <v>37529</v>
      </c>
      <c r="H103" s="239">
        <v>37529</v>
      </c>
      <c r="I103" s="240"/>
      <c r="J103" s="241">
        <v>37529</v>
      </c>
      <c r="K103" s="69"/>
      <c r="L103" s="37"/>
      <c r="M103" s="37"/>
    </row>
    <row r="104" spans="1:13" s="38" customFormat="1" ht="14.25" customHeight="1" x14ac:dyDescent="0.2">
      <c r="A104" s="41"/>
      <c r="B104" s="40"/>
      <c r="C104" s="40"/>
      <c r="D104" s="37"/>
      <c r="E104" s="37"/>
      <c r="F104" s="37"/>
      <c r="G104" s="37"/>
      <c r="H104" s="37"/>
      <c r="I104" s="37"/>
      <c r="J104" s="238"/>
      <c r="K104" s="69"/>
      <c r="L104" s="37"/>
      <c r="M104" s="37"/>
    </row>
    <row r="105" spans="1:13" s="38" customFormat="1" ht="14.25" customHeight="1" x14ac:dyDescent="0.2">
      <c r="A105" s="41" t="s">
        <v>224</v>
      </c>
      <c r="B105" s="41"/>
      <c r="C105" s="40"/>
      <c r="D105" s="217">
        <v>450</v>
      </c>
      <c r="E105" s="217"/>
      <c r="F105" s="217">
        <f>560-132-97</f>
        <v>331</v>
      </c>
      <c r="G105" s="217">
        <f>694-447</f>
        <v>247</v>
      </c>
      <c r="H105" s="217">
        <f>492-244</f>
        <v>248</v>
      </c>
      <c r="I105" s="217"/>
      <c r="J105" s="242">
        <f>259+5+2</f>
        <v>266</v>
      </c>
      <c r="K105" s="69"/>
      <c r="L105" s="37"/>
      <c r="M105" s="37"/>
    </row>
    <row r="106" spans="1:13" s="38" customFormat="1" ht="14.25" customHeight="1" x14ac:dyDescent="0.2">
      <c r="A106" s="41" t="s">
        <v>57</v>
      </c>
      <c r="B106" s="41"/>
      <c r="C106" s="40"/>
      <c r="D106" s="243">
        <f>186+308</f>
        <v>494</v>
      </c>
      <c r="E106" s="244"/>
      <c r="F106" s="243">
        <f>132+97</f>
        <v>229</v>
      </c>
      <c r="G106" s="243">
        <f>447-3</f>
        <v>444</v>
      </c>
      <c r="H106" s="243">
        <v>244</v>
      </c>
      <c r="I106" s="244"/>
      <c r="J106" s="245">
        <v>301</v>
      </c>
      <c r="K106" s="69"/>
      <c r="L106" s="37"/>
      <c r="M106" s="37"/>
    </row>
    <row r="107" spans="1:13" s="38" customFormat="1" ht="18.75" customHeight="1" x14ac:dyDescent="0.2">
      <c r="A107" s="41"/>
      <c r="B107" s="41"/>
      <c r="C107" s="40"/>
      <c r="D107" s="246">
        <f>SUM(D105:D106)</f>
        <v>944</v>
      </c>
      <c r="E107" s="244"/>
      <c r="F107" s="246">
        <f>SUM(F105:F106)</f>
        <v>560</v>
      </c>
      <c r="G107" s="246">
        <f>SUM(G105:G106)</f>
        <v>691</v>
      </c>
      <c r="H107" s="246">
        <f>SUM(H105:H106)</f>
        <v>492</v>
      </c>
      <c r="I107" s="244"/>
      <c r="J107" s="247">
        <f>SUM(J105:J106)</f>
        <v>567</v>
      </c>
      <c r="K107" s="69"/>
      <c r="L107" s="37"/>
      <c r="M107" s="37"/>
    </row>
    <row r="108" spans="1:13" s="38" customFormat="1" ht="18.75" customHeight="1" x14ac:dyDescent="0.2">
      <c r="A108" s="41" t="s">
        <v>225</v>
      </c>
      <c r="B108" s="40"/>
      <c r="C108" s="40"/>
      <c r="D108" s="218"/>
      <c r="E108" s="218"/>
      <c r="F108" s="218"/>
      <c r="G108" s="218"/>
      <c r="H108" s="218"/>
      <c r="I108" s="218"/>
      <c r="J108" s="218"/>
      <c r="K108" s="69"/>
      <c r="L108" s="37"/>
      <c r="M108" s="37"/>
    </row>
    <row r="109" spans="1:13" s="38" customFormat="1" ht="11.25" customHeight="1" x14ac:dyDescent="0.2">
      <c r="A109" s="41"/>
      <c r="B109" s="40" t="s">
        <v>226</v>
      </c>
      <c r="C109" s="40"/>
      <c r="D109" s="218">
        <v>0</v>
      </c>
      <c r="E109" s="218"/>
      <c r="F109" s="218">
        <v>0</v>
      </c>
      <c r="G109" s="218">
        <v>2</v>
      </c>
      <c r="H109" s="218">
        <v>1</v>
      </c>
      <c r="I109" s="218"/>
      <c r="J109" s="218">
        <v>1</v>
      </c>
      <c r="K109" s="69"/>
      <c r="L109" s="37"/>
      <c r="M109" s="37"/>
    </row>
    <row r="110" spans="1:13" s="38" customFormat="1" ht="11.25" customHeight="1" x14ac:dyDescent="0.2">
      <c r="A110" s="41"/>
      <c r="B110" s="40" t="s">
        <v>227</v>
      </c>
      <c r="C110" s="40"/>
      <c r="D110" s="218">
        <v>0</v>
      </c>
      <c r="E110" s="218"/>
      <c r="F110" s="218">
        <v>0</v>
      </c>
      <c r="G110" s="218">
        <v>0</v>
      </c>
      <c r="H110" s="218">
        <v>0</v>
      </c>
      <c r="I110" s="218"/>
      <c r="J110" s="218">
        <v>1</v>
      </c>
      <c r="K110" s="69"/>
      <c r="L110" s="37"/>
      <c r="M110" s="37"/>
    </row>
    <row r="111" spans="1:13" s="38" customFormat="1" ht="14.25" customHeight="1" x14ac:dyDescent="0.2">
      <c r="A111" s="40"/>
      <c r="B111" s="41" t="s">
        <v>200</v>
      </c>
      <c r="C111" s="40"/>
      <c r="D111" s="218">
        <v>7</v>
      </c>
      <c r="E111" s="218"/>
      <c r="F111" s="218">
        <v>4</v>
      </c>
      <c r="G111" s="218">
        <v>0</v>
      </c>
      <c r="H111" s="218">
        <v>0</v>
      </c>
      <c r="I111" s="218"/>
      <c r="J111" s="218">
        <v>0</v>
      </c>
      <c r="K111" s="69"/>
      <c r="L111" s="37"/>
      <c r="M111" s="37"/>
    </row>
    <row r="112" spans="1:13" s="38" customFormat="1" ht="14.25" customHeight="1" x14ac:dyDescent="0.2">
      <c r="A112" s="40"/>
      <c r="B112" s="41" t="s">
        <v>204</v>
      </c>
      <c r="C112" s="40"/>
      <c r="D112" s="218">
        <v>2</v>
      </c>
      <c r="E112" s="218"/>
      <c r="F112" s="218">
        <v>7</v>
      </c>
      <c r="G112" s="218">
        <v>1</v>
      </c>
      <c r="H112" s="218">
        <v>0</v>
      </c>
      <c r="I112" s="218"/>
      <c r="J112" s="218">
        <v>0</v>
      </c>
      <c r="K112" s="69"/>
      <c r="L112" s="37"/>
      <c r="M112" s="37"/>
    </row>
    <row r="113" spans="1:13" s="38" customFormat="1" ht="14.25" customHeight="1" x14ac:dyDescent="0.2">
      <c r="A113" s="40"/>
      <c r="B113" s="41" t="s">
        <v>228</v>
      </c>
      <c r="C113" s="40"/>
      <c r="D113" s="218">
        <v>0</v>
      </c>
      <c r="E113" s="218"/>
      <c r="F113" s="218">
        <v>0</v>
      </c>
      <c r="G113" s="218">
        <v>0</v>
      </c>
      <c r="H113" s="218">
        <v>121</v>
      </c>
      <c r="I113" s="218"/>
      <c r="J113" s="218">
        <v>121</v>
      </c>
      <c r="K113" s="69"/>
      <c r="L113" s="37"/>
      <c r="M113" s="37"/>
    </row>
    <row r="114" spans="1:13" s="38" customFormat="1" ht="14.25" customHeight="1" x14ac:dyDescent="0.2">
      <c r="A114" s="40"/>
      <c r="B114" s="41" t="s">
        <v>229</v>
      </c>
      <c r="C114" s="40"/>
      <c r="D114" s="218">
        <v>0</v>
      </c>
      <c r="E114" s="218"/>
      <c r="F114" s="218">
        <v>0</v>
      </c>
      <c r="G114" s="218">
        <v>1</v>
      </c>
      <c r="H114" s="218">
        <v>2</v>
      </c>
      <c r="I114" s="218"/>
      <c r="J114" s="218">
        <v>2</v>
      </c>
      <c r="K114" s="69"/>
      <c r="L114" s="37"/>
      <c r="M114" s="37"/>
    </row>
    <row r="115" spans="1:13" s="38" customFormat="1" ht="15" customHeight="1" x14ac:dyDescent="0.2">
      <c r="A115" s="40"/>
      <c r="B115" s="81" t="s">
        <v>230</v>
      </c>
      <c r="C115" s="40"/>
      <c r="D115" s="218">
        <v>1</v>
      </c>
      <c r="E115" s="218"/>
      <c r="F115" s="218">
        <v>1</v>
      </c>
      <c r="G115" s="218">
        <v>0</v>
      </c>
      <c r="H115" s="218">
        <v>0</v>
      </c>
      <c r="I115" s="218"/>
      <c r="J115" s="218">
        <v>0</v>
      </c>
      <c r="K115" s="69"/>
      <c r="L115" s="37"/>
      <c r="M115" s="37"/>
    </row>
    <row r="116" spans="1:13" s="38" customFormat="1" ht="14.25" customHeight="1" x14ac:dyDescent="0.2">
      <c r="A116" s="40"/>
      <c r="B116" s="40"/>
      <c r="C116" s="40"/>
      <c r="D116" s="248">
        <f>SUM(D109:D115)</f>
        <v>10</v>
      </c>
      <c r="E116" s="218"/>
      <c r="F116" s="248">
        <f>SUM(F109:F115)</f>
        <v>12</v>
      </c>
      <c r="G116" s="248">
        <f>SUM(G109:G115)</f>
        <v>4</v>
      </c>
      <c r="H116" s="248">
        <f>SUM(H109:H115)</f>
        <v>124</v>
      </c>
      <c r="I116" s="218"/>
      <c r="J116" s="248">
        <f>SUM(J109:J115)</f>
        <v>125</v>
      </c>
      <c r="K116" s="69"/>
      <c r="L116" s="37"/>
      <c r="M116" s="37"/>
    </row>
    <row r="117" spans="1:13" s="38" customFormat="1" ht="5.25" customHeight="1" x14ac:dyDescent="0.2">
      <c r="A117" s="40"/>
      <c r="B117" s="40"/>
      <c r="C117" s="40"/>
      <c r="D117" s="218"/>
      <c r="E117" s="218"/>
      <c r="F117" s="218"/>
      <c r="G117" s="218"/>
      <c r="H117" s="218"/>
      <c r="I117" s="218"/>
      <c r="J117" s="218"/>
      <c r="K117" s="69"/>
      <c r="L117" s="37"/>
      <c r="M117" s="37"/>
    </row>
    <row r="118" spans="1:13" s="38" customFormat="1" ht="14.25" customHeight="1" x14ac:dyDescent="0.2">
      <c r="A118" s="41" t="s">
        <v>231</v>
      </c>
      <c r="B118" s="40"/>
      <c r="C118" s="40"/>
      <c r="D118" s="218">
        <f>152+27+5</f>
        <v>184</v>
      </c>
      <c r="E118" s="218"/>
      <c r="F118" s="218">
        <v>173</v>
      </c>
      <c r="G118" s="218">
        <f>156-8-1</f>
        <v>147</v>
      </c>
      <c r="H118" s="218">
        <f>122+4-2</f>
        <v>124</v>
      </c>
      <c r="I118" s="218"/>
      <c r="J118" s="218">
        <v>146</v>
      </c>
      <c r="K118" s="69" t="s">
        <v>232</v>
      </c>
      <c r="L118" s="37"/>
      <c r="M118" s="37"/>
    </row>
    <row r="119" spans="1:13" s="38" customFormat="1" ht="6.75" customHeight="1" x14ac:dyDescent="0.2">
      <c r="A119" s="40"/>
      <c r="B119" s="40"/>
      <c r="C119" s="40"/>
      <c r="D119" s="218"/>
      <c r="E119" s="218"/>
      <c r="F119" s="218"/>
      <c r="G119" s="218"/>
      <c r="H119" s="218"/>
      <c r="I119" s="218"/>
      <c r="J119" s="218"/>
      <c r="K119" s="69"/>
      <c r="L119" s="37"/>
      <c r="M119" s="37"/>
    </row>
    <row r="120" spans="1:13" s="38" customFormat="1" ht="14.25" customHeight="1" x14ac:dyDescent="0.2">
      <c r="A120" s="41" t="s">
        <v>233</v>
      </c>
      <c r="B120" s="40"/>
      <c r="C120" s="40"/>
      <c r="D120" s="218">
        <v>83</v>
      </c>
      <c r="E120" s="218"/>
      <c r="F120" s="218">
        <f>76-2</f>
        <v>74</v>
      </c>
      <c r="G120" s="218">
        <v>92</v>
      </c>
      <c r="H120" s="218">
        <v>88</v>
      </c>
      <c r="I120" s="218"/>
      <c r="J120" s="218">
        <v>88</v>
      </c>
      <c r="K120" s="69"/>
      <c r="L120" s="37"/>
      <c r="M120" s="37"/>
    </row>
    <row r="121" spans="1:13" s="38" customFormat="1" ht="6" customHeight="1" x14ac:dyDescent="0.2">
      <c r="A121" s="40"/>
      <c r="B121" s="40"/>
      <c r="C121" s="40"/>
      <c r="D121" s="218"/>
      <c r="E121" s="218"/>
      <c r="F121" s="218"/>
      <c r="G121" s="218"/>
      <c r="H121" s="218"/>
      <c r="I121" s="218"/>
      <c r="J121" s="218"/>
      <c r="K121" s="69"/>
      <c r="L121" s="37"/>
      <c r="M121" s="37"/>
    </row>
    <row r="122" spans="1:13" s="38" customFormat="1" ht="14.25" customHeight="1" x14ac:dyDescent="0.2">
      <c r="A122" s="41" t="s">
        <v>154</v>
      </c>
      <c r="B122" s="40"/>
      <c r="C122" s="40"/>
      <c r="D122" s="218" t="s">
        <v>60</v>
      </c>
      <c r="E122" s="218"/>
      <c r="F122" s="218" t="s">
        <v>60</v>
      </c>
      <c r="G122" s="218" t="s">
        <v>60</v>
      </c>
      <c r="H122" s="218" t="s">
        <v>60</v>
      </c>
      <c r="I122" s="218"/>
      <c r="J122" s="218" t="s">
        <v>60</v>
      </c>
      <c r="K122" s="69"/>
      <c r="L122" s="37"/>
      <c r="M122" s="37"/>
    </row>
    <row r="123" spans="1:13" s="38" customFormat="1" ht="14.25" customHeight="1" x14ac:dyDescent="0.2">
      <c r="A123" s="41"/>
      <c r="B123" s="40" t="s">
        <v>171</v>
      </c>
      <c r="C123" s="40"/>
      <c r="D123" s="218">
        <v>131</v>
      </c>
      <c r="E123" s="218"/>
      <c r="F123" s="218">
        <v>133</v>
      </c>
      <c r="G123" s="218">
        <f>142</f>
        <v>142</v>
      </c>
      <c r="H123" s="218">
        <f>124-16-3</f>
        <v>105</v>
      </c>
      <c r="I123" s="218"/>
      <c r="J123" s="218">
        <v>109</v>
      </c>
      <c r="K123" s="69"/>
      <c r="L123" s="37"/>
      <c r="M123" s="37"/>
    </row>
    <row r="124" spans="1:13" s="38" customFormat="1" ht="14.25" customHeight="1" x14ac:dyDescent="0.2">
      <c r="A124" s="41"/>
      <c r="B124" s="40" t="s">
        <v>172</v>
      </c>
      <c r="C124" s="40"/>
      <c r="D124" s="218">
        <v>1</v>
      </c>
      <c r="E124" s="218"/>
      <c r="F124" s="218">
        <v>1</v>
      </c>
      <c r="G124" s="218">
        <v>1</v>
      </c>
      <c r="H124" s="218">
        <v>1</v>
      </c>
      <c r="I124" s="218"/>
      <c r="J124" s="218">
        <v>1</v>
      </c>
      <c r="K124" s="69"/>
      <c r="L124" s="37"/>
      <c r="M124" s="37"/>
    </row>
    <row r="125" spans="1:13" s="38" customFormat="1" ht="14.25" customHeight="1" x14ac:dyDescent="0.2">
      <c r="A125" s="41"/>
      <c r="B125" s="40" t="s">
        <v>57</v>
      </c>
      <c r="C125" s="40"/>
      <c r="D125" s="219">
        <f>104+4</f>
        <v>108</v>
      </c>
      <c r="E125" s="218"/>
      <c r="F125" s="219">
        <v>24</v>
      </c>
      <c r="G125" s="219">
        <f>40+16</f>
        <v>56</v>
      </c>
      <c r="H125" s="219">
        <v>11</v>
      </c>
      <c r="I125" s="218"/>
      <c r="J125" s="219">
        <v>16</v>
      </c>
      <c r="K125" s="69"/>
      <c r="L125" s="37"/>
      <c r="M125" s="37"/>
    </row>
    <row r="126" spans="1:13" s="38" customFormat="1" ht="14.25" customHeight="1" x14ac:dyDescent="0.2">
      <c r="A126" s="41"/>
      <c r="B126" s="40"/>
      <c r="C126" s="40"/>
      <c r="D126" s="249">
        <f>SUM(D123:D125)</f>
        <v>240</v>
      </c>
      <c r="E126" s="218"/>
      <c r="F126" s="249">
        <f>SUM(F123:F125)</f>
        <v>158</v>
      </c>
      <c r="G126" s="249">
        <f>SUM(G123:G125)</f>
        <v>199</v>
      </c>
      <c r="H126" s="249">
        <f>SUM(H123:H125)</f>
        <v>117</v>
      </c>
      <c r="I126" s="218"/>
      <c r="J126" s="249">
        <f>SUM(J123:J125)</f>
        <v>126</v>
      </c>
      <c r="K126" s="69"/>
      <c r="L126" s="37"/>
      <c r="M126" s="37"/>
    </row>
    <row r="127" spans="1:13" s="38" customFormat="1" ht="12.75" customHeight="1" x14ac:dyDescent="0.2">
      <c r="A127" s="41"/>
      <c r="B127" s="40"/>
      <c r="C127" s="40"/>
      <c r="D127" s="218"/>
      <c r="E127" s="218"/>
      <c r="F127" s="218"/>
      <c r="G127" s="218"/>
      <c r="H127" s="218"/>
      <c r="I127" s="218"/>
      <c r="J127" s="218"/>
      <c r="K127" s="69"/>
      <c r="L127" s="37"/>
      <c r="M127" s="37"/>
    </row>
    <row r="128" spans="1:13" s="38" customFormat="1" ht="14.25" customHeight="1" x14ac:dyDescent="0.2">
      <c r="A128" s="40" t="s">
        <v>234</v>
      </c>
      <c r="B128" s="41"/>
      <c r="C128" s="40"/>
      <c r="D128" s="223"/>
      <c r="E128" s="223"/>
      <c r="F128" s="223"/>
      <c r="G128" s="223"/>
      <c r="H128" s="223"/>
      <c r="I128" s="223"/>
      <c r="J128" s="223"/>
      <c r="K128" s="69"/>
      <c r="L128" s="37"/>
      <c r="M128" s="37"/>
    </row>
    <row r="129" spans="1:13" s="38" customFormat="1" ht="14.25" customHeight="1" x14ac:dyDescent="0.2">
      <c r="A129" s="40"/>
      <c r="B129" s="41" t="s">
        <v>235</v>
      </c>
      <c r="C129" s="40"/>
      <c r="D129" s="218">
        <v>12</v>
      </c>
      <c r="E129" s="218"/>
      <c r="F129" s="218">
        <v>21</v>
      </c>
      <c r="G129" s="218">
        <v>22</v>
      </c>
      <c r="H129" s="218">
        <v>23</v>
      </c>
      <c r="I129" s="218"/>
      <c r="J129" s="218">
        <v>21</v>
      </c>
      <c r="K129" s="69"/>
      <c r="L129" s="37"/>
      <c r="M129" s="37"/>
    </row>
    <row r="130" spans="1:13" s="38" customFormat="1" ht="14.25" customHeight="1" x14ac:dyDescent="0.2">
      <c r="A130" s="40"/>
      <c r="B130" s="41" t="s">
        <v>236</v>
      </c>
      <c r="C130" s="40"/>
      <c r="D130" s="218">
        <v>65</v>
      </c>
      <c r="E130" s="218"/>
      <c r="F130" s="218">
        <v>72</v>
      </c>
      <c r="G130" s="218">
        <v>62</v>
      </c>
      <c r="H130" s="218">
        <v>61</v>
      </c>
      <c r="I130" s="218"/>
      <c r="J130" s="218">
        <v>57</v>
      </c>
      <c r="K130" s="69"/>
      <c r="L130" s="37"/>
      <c r="M130" s="37"/>
    </row>
    <row r="131" spans="1:13" s="38" customFormat="1" ht="14.25" customHeight="1" x14ac:dyDescent="0.2">
      <c r="A131" s="40"/>
      <c r="B131" s="41" t="s">
        <v>237</v>
      </c>
      <c r="C131" s="40"/>
      <c r="D131" s="218">
        <v>10</v>
      </c>
      <c r="E131" s="218"/>
      <c r="F131" s="218">
        <v>10</v>
      </c>
      <c r="G131" s="218">
        <v>10</v>
      </c>
      <c r="H131" s="218">
        <v>10</v>
      </c>
      <c r="I131" s="218"/>
      <c r="J131" s="218">
        <v>0</v>
      </c>
      <c r="K131" s="69" t="s">
        <v>238</v>
      </c>
      <c r="L131" s="37"/>
      <c r="M131" s="37"/>
    </row>
    <row r="132" spans="1:13" s="38" customFormat="1" ht="14.25" customHeight="1" x14ac:dyDescent="0.2">
      <c r="A132" s="40"/>
      <c r="B132" s="41" t="s">
        <v>239</v>
      </c>
      <c r="C132" s="40"/>
      <c r="D132" s="218">
        <v>12</v>
      </c>
      <c r="E132" s="218"/>
      <c r="F132" s="218">
        <v>12</v>
      </c>
      <c r="G132" s="218">
        <v>11</v>
      </c>
      <c r="H132" s="218">
        <v>9</v>
      </c>
      <c r="I132" s="218"/>
      <c r="J132" s="218">
        <v>10</v>
      </c>
      <c r="K132" s="69"/>
      <c r="L132" s="37"/>
      <c r="M132" s="37"/>
    </row>
    <row r="133" spans="1:13" s="38" customFormat="1" ht="14.25" customHeight="1" x14ac:dyDescent="0.2">
      <c r="A133" s="40"/>
      <c r="B133" s="41" t="s">
        <v>240</v>
      </c>
      <c r="C133" s="40"/>
      <c r="D133" s="218">
        <v>3</v>
      </c>
      <c r="E133" s="218"/>
      <c r="F133" s="218">
        <v>2</v>
      </c>
      <c r="G133" s="218">
        <v>6</v>
      </c>
      <c r="H133" s="218">
        <f>9-3</f>
        <v>6</v>
      </c>
      <c r="I133" s="218"/>
      <c r="J133" s="218">
        <v>6</v>
      </c>
      <c r="K133" s="69"/>
      <c r="L133" s="37"/>
      <c r="M133" s="37"/>
    </row>
    <row r="134" spans="1:13" s="38" customFormat="1" ht="14.25" customHeight="1" x14ac:dyDescent="0.2">
      <c r="A134" s="40"/>
      <c r="B134" s="41" t="s">
        <v>241</v>
      </c>
      <c r="C134" s="40"/>
      <c r="D134" s="218">
        <v>20</v>
      </c>
      <c r="E134" s="218"/>
      <c r="F134" s="218">
        <v>21</v>
      </c>
      <c r="G134" s="218">
        <v>21</v>
      </c>
      <c r="H134" s="218">
        <v>22</v>
      </c>
      <c r="I134" s="218"/>
      <c r="J134" s="218">
        <v>22</v>
      </c>
      <c r="K134" s="69"/>
      <c r="L134" s="37"/>
      <c r="M134" s="37"/>
    </row>
    <row r="135" spans="1:13" s="38" customFormat="1" ht="14.25" customHeight="1" x14ac:dyDescent="0.2">
      <c r="A135" s="40"/>
      <c r="B135" s="41" t="s">
        <v>242</v>
      </c>
      <c r="C135" s="40"/>
      <c r="D135" s="218">
        <v>23</v>
      </c>
      <c r="E135" s="218"/>
      <c r="F135" s="218">
        <v>13</v>
      </c>
      <c r="G135" s="218">
        <v>8</v>
      </c>
      <c r="H135" s="218">
        <v>3</v>
      </c>
      <c r="I135" s="218"/>
      <c r="J135" s="218">
        <v>3</v>
      </c>
      <c r="K135" s="69"/>
      <c r="L135" s="37"/>
      <c r="M135" s="37"/>
    </row>
    <row r="136" spans="1:13" s="38" customFormat="1" ht="14.25" customHeight="1" x14ac:dyDescent="0.2">
      <c r="A136" s="40"/>
      <c r="B136" s="41" t="s">
        <v>243</v>
      </c>
      <c r="C136" s="40"/>
      <c r="D136" s="218">
        <v>21</v>
      </c>
      <c r="E136" s="218"/>
      <c r="F136" s="218">
        <v>19</v>
      </c>
      <c r="G136" s="218">
        <v>10</v>
      </c>
      <c r="H136" s="218">
        <v>9</v>
      </c>
      <c r="I136" s="218"/>
      <c r="J136" s="218">
        <v>8</v>
      </c>
      <c r="K136" s="69"/>
      <c r="L136" s="37"/>
      <c r="M136" s="37"/>
    </row>
    <row r="137" spans="1:13" s="38" customFormat="1" ht="14.25" customHeight="1" x14ac:dyDescent="0.2">
      <c r="A137" s="40"/>
      <c r="B137" s="41" t="s">
        <v>244</v>
      </c>
      <c r="C137" s="40"/>
      <c r="D137" s="218">
        <v>22</v>
      </c>
      <c r="E137" s="218"/>
      <c r="F137" s="218">
        <v>28</v>
      </c>
      <c r="G137" s="218">
        <v>23</v>
      </c>
      <c r="H137" s="218">
        <v>20</v>
      </c>
      <c r="I137" s="218"/>
      <c r="J137" s="218">
        <v>21</v>
      </c>
      <c r="K137" s="69"/>
      <c r="L137" s="37"/>
      <c r="M137" s="37"/>
    </row>
    <row r="138" spans="1:13" s="38" customFormat="1" ht="14.25" customHeight="1" x14ac:dyDescent="0.2">
      <c r="A138" s="40"/>
      <c r="B138" s="41" t="s">
        <v>245</v>
      </c>
      <c r="C138" s="40"/>
      <c r="D138" s="218">
        <v>4</v>
      </c>
      <c r="E138" s="218"/>
      <c r="F138" s="218">
        <v>2</v>
      </c>
      <c r="G138" s="218">
        <v>0</v>
      </c>
      <c r="H138" s="218">
        <v>0</v>
      </c>
      <c r="I138" s="218"/>
      <c r="J138" s="218">
        <v>0</v>
      </c>
      <c r="K138" s="69"/>
      <c r="L138" s="37"/>
      <c r="M138" s="37"/>
    </row>
    <row r="139" spans="1:13" s="38" customFormat="1" ht="14.25" customHeight="1" x14ac:dyDescent="0.2">
      <c r="A139" s="40"/>
      <c r="B139" s="41" t="s">
        <v>219</v>
      </c>
      <c r="C139" s="40"/>
      <c r="D139" s="218">
        <v>1</v>
      </c>
      <c r="E139" s="218"/>
      <c r="F139" s="218">
        <v>1</v>
      </c>
      <c r="G139" s="218">
        <v>1</v>
      </c>
      <c r="H139" s="218">
        <f>7-6</f>
        <v>1</v>
      </c>
      <c r="I139" s="218"/>
      <c r="J139" s="218">
        <v>1</v>
      </c>
      <c r="K139" s="69"/>
      <c r="L139" s="37"/>
      <c r="M139" s="37"/>
    </row>
    <row r="140" spans="1:13" s="38" customFormat="1" ht="14.25" customHeight="1" x14ac:dyDescent="0.2">
      <c r="A140" s="40"/>
      <c r="B140" s="41" t="s">
        <v>220</v>
      </c>
      <c r="C140" s="40"/>
      <c r="D140" s="218">
        <v>6</v>
      </c>
      <c r="E140" s="218"/>
      <c r="F140" s="218">
        <v>6</v>
      </c>
      <c r="G140" s="218">
        <v>6</v>
      </c>
      <c r="H140" s="218">
        <v>6</v>
      </c>
      <c r="I140" s="218"/>
      <c r="J140" s="218">
        <v>0</v>
      </c>
      <c r="K140" s="69" t="s">
        <v>246</v>
      </c>
      <c r="L140" s="37"/>
      <c r="M140" s="37"/>
    </row>
    <row r="141" spans="1:13" s="38" customFormat="1" ht="14.25" customHeight="1" x14ac:dyDescent="0.2">
      <c r="A141" s="40"/>
      <c r="B141" s="41" t="s">
        <v>172</v>
      </c>
      <c r="C141" s="40"/>
      <c r="D141" s="218">
        <v>1</v>
      </c>
      <c r="E141" s="218"/>
      <c r="F141" s="218">
        <v>1</v>
      </c>
      <c r="G141" s="218">
        <v>1</v>
      </c>
      <c r="H141" s="218">
        <v>0</v>
      </c>
      <c r="I141" s="218"/>
      <c r="J141" s="218">
        <v>0</v>
      </c>
      <c r="K141" s="69"/>
      <c r="L141" s="37"/>
      <c r="M141" s="37"/>
    </row>
    <row r="142" spans="1:13" s="38" customFormat="1" ht="14.25" customHeight="1" x14ac:dyDescent="0.2">
      <c r="A142" s="40"/>
      <c r="B142" s="41" t="s">
        <v>247</v>
      </c>
      <c r="C142" s="40"/>
      <c r="D142" s="218">
        <v>0</v>
      </c>
      <c r="E142" s="218"/>
      <c r="F142" s="218">
        <v>0</v>
      </c>
      <c r="G142" s="218">
        <v>0</v>
      </c>
      <c r="H142" s="218">
        <v>0</v>
      </c>
      <c r="I142" s="218"/>
      <c r="J142" s="218">
        <v>6</v>
      </c>
      <c r="K142" s="69"/>
      <c r="L142" s="37"/>
      <c r="M142" s="37"/>
    </row>
    <row r="143" spans="1:13" s="38" customFormat="1" ht="14.25" customHeight="1" x14ac:dyDescent="0.2">
      <c r="A143" s="40"/>
      <c r="B143" s="41" t="s">
        <v>248</v>
      </c>
      <c r="C143" s="40"/>
      <c r="D143" s="218"/>
      <c r="E143" s="218"/>
      <c r="F143" s="218"/>
      <c r="G143" s="218">
        <v>2</v>
      </c>
      <c r="H143" s="218">
        <v>3</v>
      </c>
      <c r="I143" s="218"/>
      <c r="J143" s="218">
        <v>0</v>
      </c>
      <c r="K143" s="69"/>
      <c r="L143" s="37"/>
      <c r="M143" s="37"/>
    </row>
    <row r="144" spans="1:13" s="38" customFormat="1" ht="14.25" customHeight="1" x14ac:dyDescent="0.2">
      <c r="A144" s="40"/>
      <c r="B144" s="41" t="s">
        <v>57</v>
      </c>
      <c r="C144" s="40"/>
      <c r="D144" s="218">
        <f>4+17</f>
        <v>21</v>
      </c>
      <c r="E144" s="218"/>
      <c r="F144" s="218">
        <v>15</v>
      </c>
      <c r="G144" s="218">
        <f>18+2-1+8-1</f>
        <v>26</v>
      </c>
      <c r="H144" s="218">
        <v>22</v>
      </c>
      <c r="I144" s="218"/>
      <c r="J144" s="218">
        <v>20</v>
      </c>
      <c r="K144" s="69" t="s">
        <v>60</v>
      </c>
      <c r="L144" s="37"/>
      <c r="M144" s="37"/>
    </row>
    <row r="145" spans="1:13" s="38" customFormat="1" ht="14.25" customHeight="1" x14ac:dyDescent="0.2">
      <c r="A145" s="40"/>
      <c r="B145" s="41" t="s">
        <v>62</v>
      </c>
      <c r="C145" s="40"/>
      <c r="D145" s="218">
        <v>3</v>
      </c>
      <c r="E145" s="218"/>
      <c r="F145" s="218">
        <v>3</v>
      </c>
      <c r="G145" s="218">
        <v>3</v>
      </c>
      <c r="H145" s="218">
        <v>1</v>
      </c>
      <c r="I145" s="218"/>
      <c r="J145" s="218">
        <v>1</v>
      </c>
      <c r="K145" s="69"/>
      <c r="L145" s="37"/>
      <c r="M145" s="37"/>
    </row>
    <row r="146" spans="1:13" s="38" customFormat="1" ht="14.25" customHeight="1" x14ac:dyDescent="0.2">
      <c r="A146" s="40"/>
      <c r="B146" s="41" t="s">
        <v>61</v>
      </c>
      <c r="C146" s="40"/>
      <c r="D146" s="218">
        <v>0</v>
      </c>
      <c r="E146" s="218"/>
      <c r="F146" s="218">
        <v>0</v>
      </c>
      <c r="G146" s="218">
        <v>0</v>
      </c>
      <c r="H146" s="218">
        <v>36</v>
      </c>
      <c r="I146" s="218"/>
      <c r="J146" s="218">
        <v>32</v>
      </c>
      <c r="K146" s="69"/>
      <c r="L146" s="37"/>
      <c r="M146" s="37"/>
    </row>
    <row r="147" spans="1:13" s="38" customFormat="1" ht="14.25" customHeight="1" x14ac:dyDescent="0.2">
      <c r="A147" s="40"/>
      <c r="B147" s="41" t="s">
        <v>11</v>
      </c>
      <c r="C147" s="40"/>
      <c r="D147" s="218">
        <v>6</v>
      </c>
      <c r="E147" s="218"/>
      <c r="F147" s="218">
        <f>7+1</f>
        <v>8</v>
      </c>
      <c r="G147" s="218">
        <f>7+1+1-1</f>
        <v>8</v>
      </c>
      <c r="H147" s="218">
        <f>2+2+2</f>
        <v>6</v>
      </c>
      <c r="I147" s="218"/>
      <c r="J147" s="218">
        <f>2+4</f>
        <v>6</v>
      </c>
      <c r="K147" s="69" t="s">
        <v>60</v>
      </c>
      <c r="L147" s="37"/>
      <c r="M147" s="37"/>
    </row>
    <row r="148" spans="1:13" s="38" customFormat="1" ht="14.25" customHeight="1" x14ac:dyDescent="0.2">
      <c r="A148" s="40"/>
      <c r="B148" s="40"/>
      <c r="C148" s="40"/>
      <c r="D148" s="250">
        <f>SUM(D128:D147)</f>
        <v>230</v>
      </c>
      <c r="E148" s="218"/>
      <c r="F148" s="250">
        <f>SUM(F128:F147)</f>
        <v>234</v>
      </c>
      <c r="G148" s="250">
        <f>SUM(G128:G147)</f>
        <v>220</v>
      </c>
      <c r="H148" s="250">
        <f>SUM(H128:H147)</f>
        <v>238</v>
      </c>
      <c r="I148" s="218"/>
      <c r="J148" s="250">
        <f>SUM(J128:J147)</f>
        <v>214</v>
      </c>
      <c r="K148" s="69"/>
      <c r="L148" s="37"/>
      <c r="M148" s="37"/>
    </row>
    <row r="149" spans="1:13" s="38" customFormat="1" ht="14.25" customHeight="1" x14ac:dyDescent="0.2">
      <c r="A149" s="40"/>
      <c r="B149" s="40"/>
      <c r="C149" s="40"/>
      <c r="D149" s="218"/>
      <c r="E149" s="218"/>
      <c r="F149" s="218"/>
      <c r="G149" s="218"/>
      <c r="H149" s="218"/>
      <c r="I149" s="218"/>
      <c r="J149" s="218"/>
      <c r="K149" s="69"/>
      <c r="L149" s="37"/>
      <c r="M149" s="37"/>
    </row>
    <row r="150" spans="1:13" s="38" customFormat="1" ht="14.25" customHeight="1" x14ac:dyDescent="0.2">
      <c r="A150" s="41" t="s">
        <v>249</v>
      </c>
      <c r="B150" s="40"/>
      <c r="C150" s="40"/>
      <c r="D150" s="251">
        <f>+D107+D116+D120+D118+D126+D148</f>
        <v>1691</v>
      </c>
      <c r="E150" s="218"/>
      <c r="F150" s="251">
        <f>+F107+F116+F120+F118+F126+F148</f>
        <v>1211</v>
      </c>
      <c r="G150" s="251">
        <f>+G107+G116+G120+G118+G126+G148</f>
        <v>1353</v>
      </c>
      <c r="H150" s="251">
        <f>+H107+H116+H120+H118+H126+H148</f>
        <v>1183</v>
      </c>
      <c r="I150" s="218"/>
      <c r="J150" s="251">
        <f>+J107+J116+J120+J118+J126+J148</f>
        <v>1266</v>
      </c>
      <c r="K150" s="69"/>
      <c r="L150" s="37"/>
      <c r="M150" s="37"/>
    </row>
    <row r="151" spans="1:13" s="38" customFormat="1" ht="4.5" customHeight="1" x14ac:dyDescent="0.2">
      <c r="A151" s="40"/>
      <c r="B151" s="40"/>
      <c r="C151" s="40"/>
      <c r="D151" s="218"/>
      <c r="E151" s="218"/>
      <c r="F151" s="218"/>
      <c r="G151" s="218"/>
      <c r="H151" s="218"/>
      <c r="I151" s="218"/>
      <c r="J151" s="218"/>
      <c r="K151" s="69"/>
      <c r="L151" s="37"/>
      <c r="M151" s="37"/>
    </row>
    <row r="152" spans="1:13" s="38" customFormat="1" ht="14.25" customHeight="1" x14ac:dyDescent="0.2">
      <c r="A152" s="41" t="s">
        <v>250</v>
      </c>
      <c r="B152" s="40"/>
      <c r="C152" s="40"/>
      <c r="D152" s="218"/>
      <c r="E152" s="218"/>
      <c r="F152" s="218"/>
      <c r="G152" s="218"/>
      <c r="H152" s="218"/>
      <c r="I152" s="218"/>
      <c r="J152" s="218"/>
      <c r="K152" s="69"/>
      <c r="L152" s="37"/>
      <c r="M152" s="37"/>
    </row>
    <row r="153" spans="1:13" s="38" customFormat="1" ht="14.25" customHeight="1" x14ac:dyDescent="0.2">
      <c r="A153" s="40"/>
      <c r="B153" s="41" t="s">
        <v>251</v>
      </c>
      <c r="C153" s="40"/>
      <c r="D153" s="218">
        <v>1400</v>
      </c>
      <c r="E153" s="218"/>
      <c r="F153" s="218">
        <v>1388</v>
      </c>
      <c r="G153" s="218">
        <v>1388</v>
      </c>
      <c r="H153" s="218">
        <v>1388</v>
      </c>
      <c r="I153" s="218"/>
      <c r="J153" s="218">
        <v>1288</v>
      </c>
      <c r="K153" s="69" t="s">
        <v>252</v>
      </c>
      <c r="L153" s="37"/>
      <c r="M153" s="37"/>
    </row>
    <row r="154" spans="1:13" s="38" customFormat="1" ht="14.25" customHeight="1" x14ac:dyDescent="0.2">
      <c r="A154" s="40"/>
      <c r="B154" s="41" t="s">
        <v>253</v>
      </c>
      <c r="C154" s="40"/>
      <c r="D154" s="218">
        <v>433</v>
      </c>
      <c r="E154" s="218"/>
      <c r="F154" s="218">
        <v>433</v>
      </c>
      <c r="G154" s="218">
        <v>433</v>
      </c>
      <c r="H154" s="218">
        <v>433</v>
      </c>
      <c r="I154" s="218"/>
      <c r="J154" s="218">
        <v>433</v>
      </c>
      <c r="K154" s="69"/>
      <c r="L154" s="37"/>
      <c r="M154" s="37"/>
    </row>
    <row r="155" spans="1:13" s="38" customFormat="1" ht="14.25" customHeight="1" x14ac:dyDescent="0.2">
      <c r="A155" s="40"/>
      <c r="B155" s="41" t="s">
        <v>254</v>
      </c>
      <c r="C155" s="40"/>
      <c r="D155" s="218">
        <v>614</v>
      </c>
      <c r="E155" s="218"/>
      <c r="F155" s="218">
        <v>629</v>
      </c>
      <c r="G155" s="218">
        <v>566</v>
      </c>
      <c r="H155" s="218">
        <v>581</v>
      </c>
      <c r="I155" s="218"/>
      <c r="J155" s="218">
        <v>596</v>
      </c>
      <c r="K155" s="69" t="s">
        <v>255</v>
      </c>
      <c r="L155" s="37"/>
      <c r="M155" s="37"/>
    </row>
    <row r="156" spans="1:13" s="38" customFormat="1" ht="14.25" customHeight="1" x14ac:dyDescent="0.2">
      <c r="A156" s="40"/>
      <c r="B156" s="41" t="s">
        <v>256</v>
      </c>
      <c r="C156" s="40"/>
      <c r="D156" s="218">
        <v>317</v>
      </c>
      <c r="E156" s="218"/>
      <c r="F156" s="218">
        <v>314</v>
      </c>
      <c r="G156" s="218">
        <v>335</v>
      </c>
      <c r="H156" s="218">
        <v>343</v>
      </c>
      <c r="I156" s="218"/>
      <c r="J156" s="218">
        <v>367</v>
      </c>
      <c r="K156" s="69" t="s">
        <v>257</v>
      </c>
      <c r="L156" s="37"/>
      <c r="M156" s="37"/>
    </row>
    <row r="157" spans="1:13" s="38" customFormat="1" ht="14.25" customHeight="1" x14ac:dyDescent="0.2">
      <c r="A157" s="40"/>
      <c r="B157" s="41" t="s">
        <v>258</v>
      </c>
      <c r="C157" s="40"/>
      <c r="D157" s="218">
        <v>357</v>
      </c>
      <c r="E157" s="218"/>
      <c r="F157" s="218">
        <v>368</v>
      </c>
      <c r="G157" s="218">
        <v>371</v>
      </c>
      <c r="H157" s="218">
        <v>382</v>
      </c>
      <c r="I157" s="218"/>
      <c r="J157" s="218">
        <v>394</v>
      </c>
      <c r="K157" s="69" t="s">
        <v>259</v>
      </c>
      <c r="L157" s="37"/>
      <c r="M157" s="37"/>
    </row>
    <row r="158" spans="1:13" s="38" customFormat="1" ht="14.25" customHeight="1" x14ac:dyDescent="0.2">
      <c r="A158" s="40"/>
      <c r="B158" s="41" t="s">
        <v>260</v>
      </c>
      <c r="C158" s="40"/>
      <c r="D158" s="218">
        <v>103</v>
      </c>
      <c r="E158" s="218"/>
      <c r="F158" s="218">
        <v>102</v>
      </c>
      <c r="G158" s="218">
        <v>109</v>
      </c>
      <c r="H158" s="218">
        <v>112</v>
      </c>
      <c r="I158" s="218"/>
      <c r="J158" s="218">
        <v>119</v>
      </c>
      <c r="K158" s="69" t="s">
        <v>257</v>
      </c>
      <c r="L158" s="37"/>
      <c r="M158" s="37"/>
    </row>
    <row r="159" spans="1:13" s="38" customFormat="1" ht="14.25" customHeight="1" x14ac:dyDescent="0.2">
      <c r="A159" s="40"/>
      <c r="B159" s="41" t="s">
        <v>261</v>
      </c>
      <c r="C159" s="40"/>
      <c r="D159" s="218">
        <v>1125</v>
      </c>
      <c r="E159" s="218"/>
      <c r="F159" s="218">
        <v>1125</v>
      </c>
      <c r="G159" s="218">
        <v>1125</v>
      </c>
      <c r="H159" s="218">
        <v>1125</v>
      </c>
      <c r="I159" s="218"/>
      <c r="J159" s="218">
        <v>1125</v>
      </c>
      <c r="K159" s="69"/>
      <c r="L159" s="37"/>
      <c r="M159" s="37"/>
    </row>
    <row r="160" spans="1:13" s="38" customFormat="1" ht="14.25" customHeight="1" x14ac:dyDescent="0.2">
      <c r="A160" s="40"/>
      <c r="B160" s="40" t="s">
        <v>262</v>
      </c>
      <c r="C160" s="40"/>
      <c r="D160" s="218">
        <v>124</v>
      </c>
      <c r="E160" s="218"/>
      <c r="F160" s="218">
        <v>124</v>
      </c>
      <c r="G160" s="218">
        <v>124</v>
      </c>
      <c r="H160" s="218">
        <v>124</v>
      </c>
      <c r="I160" s="218"/>
      <c r="J160" s="218">
        <v>124</v>
      </c>
      <c r="K160" s="69"/>
      <c r="L160" s="37"/>
      <c r="M160" s="37"/>
    </row>
    <row r="161" spans="1:13" s="38" customFormat="1" ht="14.25" customHeight="1" x14ac:dyDescent="0.2">
      <c r="A161" s="40"/>
      <c r="B161" s="41" t="s">
        <v>229</v>
      </c>
      <c r="C161" s="40"/>
      <c r="D161" s="218">
        <v>120</v>
      </c>
      <c r="E161" s="218"/>
      <c r="F161" s="218">
        <v>120</v>
      </c>
      <c r="G161" s="218">
        <v>119</v>
      </c>
      <c r="H161" s="218">
        <v>118</v>
      </c>
      <c r="I161" s="218"/>
      <c r="J161" s="218">
        <v>118</v>
      </c>
      <c r="K161" s="69"/>
      <c r="L161" s="37"/>
      <c r="M161" s="37"/>
    </row>
    <row r="162" spans="1:13" s="38" customFormat="1" ht="14.25" customHeight="1" x14ac:dyDescent="0.2">
      <c r="A162" s="40"/>
      <c r="B162" s="41" t="s">
        <v>263</v>
      </c>
      <c r="C162" s="40"/>
      <c r="D162" s="218">
        <v>684</v>
      </c>
      <c r="E162" s="218"/>
      <c r="F162" s="218">
        <v>671</v>
      </c>
      <c r="G162" s="218">
        <v>525</v>
      </c>
      <c r="H162" s="218">
        <v>525</v>
      </c>
      <c r="I162" s="218"/>
      <c r="J162" s="218">
        <v>525</v>
      </c>
      <c r="K162" s="69"/>
      <c r="L162" s="37"/>
      <c r="M162" s="37"/>
    </row>
    <row r="163" spans="1:13" s="38" customFormat="1" ht="14.25" customHeight="1" x14ac:dyDescent="0.2">
      <c r="A163" s="40"/>
      <c r="B163" s="41" t="s">
        <v>264</v>
      </c>
      <c r="C163" s="40"/>
      <c r="D163" s="218">
        <v>463</v>
      </c>
      <c r="E163" s="218"/>
      <c r="F163" s="218">
        <v>413</v>
      </c>
      <c r="G163" s="218">
        <v>364</v>
      </c>
      <c r="H163" s="218">
        <v>364</v>
      </c>
      <c r="I163" s="218"/>
      <c r="J163" s="218">
        <v>364</v>
      </c>
      <c r="K163" s="69"/>
      <c r="L163" s="37"/>
      <c r="M163" s="37"/>
    </row>
    <row r="164" spans="1:13" s="38" customFormat="1" ht="14.25" customHeight="1" x14ac:dyDescent="0.2">
      <c r="A164" s="40"/>
      <c r="B164" s="41" t="s">
        <v>265</v>
      </c>
      <c r="C164" s="40"/>
      <c r="D164" s="218">
        <v>0</v>
      </c>
      <c r="E164" s="218"/>
      <c r="F164" s="218">
        <v>500</v>
      </c>
      <c r="G164" s="218">
        <v>500</v>
      </c>
      <c r="H164" s="218">
        <v>480</v>
      </c>
      <c r="I164" s="218"/>
      <c r="J164" s="218">
        <v>0</v>
      </c>
      <c r="K164" s="69" t="s">
        <v>266</v>
      </c>
      <c r="L164" s="37"/>
      <c r="M164" s="37"/>
    </row>
    <row r="165" spans="1:13" s="38" customFormat="1" ht="14.25" customHeight="1" x14ac:dyDescent="0.2">
      <c r="A165" s="40"/>
      <c r="B165" s="41" t="s">
        <v>267</v>
      </c>
      <c r="C165" s="40"/>
      <c r="D165" s="223">
        <v>59</v>
      </c>
      <c r="E165" s="223"/>
      <c r="F165" s="223">
        <v>58</v>
      </c>
      <c r="G165" s="223">
        <v>0</v>
      </c>
      <c r="H165" s="223">
        <v>0</v>
      </c>
      <c r="I165" s="223"/>
      <c r="J165" s="223">
        <v>0</v>
      </c>
      <c r="K165" s="69"/>
      <c r="L165" s="37"/>
      <c r="M165" s="37"/>
    </row>
    <row r="166" spans="1:13" s="38" customFormat="1" ht="14.25" customHeight="1" x14ac:dyDescent="0.2">
      <c r="A166" s="40"/>
      <c r="B166" s="41" t="s">
        <v>268</v>
      </c>
      <c r="C166" s="40"/>
      <c r="D166" s="223">
        <v>0</v>
      </c>
      <c r="E166" s="223"/>
      <c r="F166" s="223">
        <v>0</v>
      </c>
      <c r="G166" s="223">
        <v>0</v>
      </c>
      <c r="H166" s="223">
        <v>188</v>
      </c>
      <c r="I166" s="223"/>
      <c r="J166" s="223">
        <f>297-121</f>
        <v>176</v>
      </c>
      <c r="K166" s="69" t="s">
        <v>269</v>
      </c>
      <c r="L166" s="37"/>
      <c r="M166" s="37"/>
    </row>
    <row r="167" spans="1:13" s="38" customFormat="1" ht="14.25" customHeight="1" x14ac:dyDescent="0.2">
      <c r="A167" s="40"/>
      <c r="B167" s="41" t="s">
        <v>62</v>
      </c>
      <c r="C167" s="40"/>
      <c r="D167" s="218">
        <v>140</v>
      </c>
      <c r="E167" s="218"/>
      <c r="F167" s="218">
        <v>140</v>
      </c>
      <c r="G167" s="218">
        <v>139</v>
      </c>
      <c r="H167" s="218">
        <v>0</v>
      </c>
      <c r="I167" s="218"/>
      <c r="J167" s="218">
        <v>0</v>
      </c>
      <c r="K167" s="69"/>
      <c r="L167" s="37"/>
      <c r="M167" s="37"/>
    </row>
    <row r="168" spans="1:13" s="38" customFormat="1" ht="14.25" customHeight="1" x14ac:dyDescent="0.2">
      <c r="A168" s="40"/>
      <c r="B168" s="41" t="s">
        <v>270</v>
      </c>
      <c r="C168" s="40"/>
      <c r="D168" s="218">
        <v>0</v>
      </c>
      <c r="E168" s="218"/>
      <c r="F168" s="218">
        <v>0</v>
      </c>
      <c r="G168" s="218">
        <v>4</v>
      </c>
      <c r="H168" s="218">
        <f>4</f>
        <v>4</v>
      </c>
      <c r="I168" s="218"/>
      <c r="J168" s="218">
        <f>3+1+1</f>
        <v>5</v>
      </c>
      <c r="K168" s="69" t="s">
        <v>271</v>
      </c>
      <c r="L168" s="37"/>
      <c r="M168" s="37"/>
    </row>
    <row r="169" spans="1:13" s="38" customFormat="1" ht="14.25" customHeight="1" x14ac:dyDescent="0.2">
      <c r="A169" s="40"/>
      <c r="B169" s="40"/>
      <c r="C169" s="40"/>
      <c r="D169" s="252">
        <f>SUM(D153:D168)</f>
        <v>5939</v>
      </c>
      <c r="E169" s="218"/>
      <c r="F169" s="252">
        <f>SUM(F153:F168)</f>
        <v>6385</v>
      </c>
      <c r="G169" s="252">
        <f>SUM(G153:G168)</f>
        <v>6102</v>
      </c>
      <c r="H169" s="252">
        <f>SUM(H153:H168)</f>
        <v>6167</v>
      </c>
      <c r="I169" s="218"/>
      <c r="J169" s="252">
        <f>SUM(J153:J168)</f>
        <v>5634</v>
      </c>
      <c r="K169" s="69"/>
      <c r="L169" s="37"/>
      <c r="M169" s="37"/>
    </row>
    <row r="170" spans="1:13" s="38" customFormat="1" ht="6" customHeight="1" x14ac:dyDescent="0.2">
      <c r="A170" s="40"/>
      <c r="B170" s="40"/>
      <c r="C170" s="40"/>
      <c r="D170" s="218"/>
      <c r="E170" s="218"/>
      <c r="F170" s="218"/>
      <c r="G170" s="218"/>
      <c r="H170" s="218"/>
      <c r="I170" s="218"/>
      <c r="J170" s="218"/>
      <c r="K170" s="69"/>
      <c r="L170" s="37"/>
      <c r="M170" s="37"/>
    </row>
    <row r="171" spans="1:13" s="38" customFormat="1" ht="11.25" customHeight="1" x14ac:dyDescent="0.2">
      <c r="A171" s="41" t="s">
        <v>272</v>
      </c>
      <c r="B171" s="40"/>
      <c r="C171" s="40"/>
      <c r="D171" s="218" t="s">
        <v>60</v>
      </c>
      <c r="E171" s="218"/>
      <c r="F171" s="218" t="s">
        <v>60</v>
      </c>
      <c r="G171" s="218" t="s">
        <v>60</v>
      </c>
      <c r="H171" s="218" t="s">
        <v>60</v>
      </c>
      <c r="I171" s="218"/>
      <c r="J171" s="218" t="s">
        <v>60</v>
      </c>
      <c r="K171" s="69"/>
      <c r="L171" s="37"/>
      <c r="M171" s="37"/>
    </row>
    <row r="172" spans="1:13" s="38" customFormat="1" ht="14.25" customHeight="1" x14ac:dyDescent="0.2">
      <c r="A172" s="41"/>
      <c r="B172" s="40" t="s">
        <v>171</v>
      </c>
      <c r="C172" s="40"/>
      <c r="D172" s="218">
        <v>1348</v>
      </c>
      <c r="E172" s="218"/>
      <c r="F172" s="218">
        <v>1291</v>
      </c>
      <c r="G172" s="218">
        <f>1264</f>
        <v>1264</v>
      </c>
      <c r="H172" s="218">
        <f>906+16+3</f>
        <v>925</v>
      </c>
      <c r="I172" s="218"/>
      <c r="J172" s="218">
        <v>938</v>
      </c>
      <c r="K172" s="69"/>
      <c r="L172" s="37"/>
      <c r="M172" s="37"/>
    </row>
    <row r="173" spans="1:13" s="38" customFormat="1" ht="14.25" customHeight="1" x14ac:dyDescent="0.2">
      <c r="A173" s="41"/>
      <c r="B173" s="40" t="s">
        <v>273</v>
      </c>
      <c r="C173" s="40"/>
      <c r="D173" s="219">
        <v>1</v>
      </c>
      <c r="E173" s="218"/>
      <c r="F173" s="219">
        <v>0</v>
      </c>
      <c r="G173" s="219">
        <v>0</v>
      </c>
      <c r="H173" s="219">
        <v>0</v>
      </c>
      <c r="I173" s="218"/>
      <c r="J173" s="219">
        <v>0</v>
      </c>
      <c r="K173" s="69"/>
      <c r="L173" s="37"/>
      <c r="M173" s="37"/>
    </row>
    <row r="174" spans="1:13" s="38" customFormat="1" ht="14.25" hidden="1" customHeight="1" x14ac:dyDescent="0.2">
      <c r="A174" s="41"/>
      <c r="B174" s="40" t="s">
        <v>57</v>
      </c>
      <c r="C174" s="40"/>
      <c r="D174" s="218">
        <v>0</v>
      </c>
      <c r="E174" s="218"/>
      <c r="F174" s="218">
        <v>0</v>
      </c>
      <c r="G174" s="218">
        <v>0</v>
      </c>
      <c r="H174" s="218">
        <v>0</v>
      </c>
      <c r="I174" s="218"/>
      <c r="J174" s="218">
        <v>0</v>
      </c>
      <c r="K174" s="69"/>
      <c r="L174" s="37"/>
      <c r="M174" s="37"/>
    </row>
    <row r="175" spans="1:13" s="38" customFormat="1" ht="14.25" hidden="1" customHeight="1" x14ac:dyDescent="0.2">
      <c r="A175" s="41"/>
      <c r="B175" s="40" t="s">
        <v>204</v>
      </c>
      <c r="C175" s="40"/>
      <c r="D175" s="219">
        <v>0</v>
      </c>
      <c r="E175" s="218"/>
      <c r="F175" s="219">
        <v>0</v>
      </c>
      <c r="G175" s="219">
        <v>0</v>
      </c>
      <c r="H175" s="219">
        <v>0</v>
      </c>
      <c r="I175" s="218"/>
      <c r="J175" s="219">
        <v>0</v>
      </c>
      <c r="K175" s="69"/>
      <c r="L175" s="37"/>
      <c r="M175" s="37"/>
    </row>
    <row r="176" spans="1:13" s="38" customFormat="1" ht="14.25" customHeight="1" x14ac:dyDescent="0.2">
      <c r="A176" s="41"/>
      <c r="B176" s="40"/>
      <c r="C176" s="40"/>
      <c r="D176" s="253">
        <f>SUM(D172:D175)</f>
        <v>1349</v>
      </c>
      <c r="E176" s="218"/>
      <c r="F176" s="253">
        <f>SUM(F172:F175)</f>
        <v>1291</v>
      </c>
      <c r="G176" s="253">
        <f>SUM(G172:G175)</f>
        <v>1264</v>
      </c>
      <c r="H176" s="253">
        <f>SUM(H172:H175)</f>
        <v>925</v>
      </c>
      <c r="I176" s="218"/>
      <c r="J176" s="253">
        <f>SUM(J172:J175)</f>
        <v>938</v>
      </c>
      <c r="K176" s="69"/>
      <c r="L176" s="37"/>
      <c r="M176" s="37"/>
    </row>
    <row r="177" spans="1:13" s="38" customFormat="1" ht="8.25" customHeight="1" x14ac:dyDescent="0.2">
      <c r="A177" s="40"/>
      <c r="B177" s="40"/>
      <c r="C177" s="40"/>
      <c r="D177" s="218"/>
      <c r="E177" s="218"/>
      <c r="F177" s="218"/>
      <c r="G177" s="218"/>
      <c r="H177" s="218"/>
      <c r="I177" s="218"/>
      <c r="J177" s="218"/>
      <c r="K177" s="69"/>
      <c r="L177" s="37"/>
      <c r="M177" s="37"/>
    </row>
    <row r="178" spans="1:13" s="38" customFormat="1" ht="14.25" customHeight="1" x14ac:dyDescent="0.2">
      <c r="A178" s="41" t="s">
        <v>274</v>
      </c>
      <c r="B178" s="40"/>
      <c r="C178" s="40"/>
      <c r="D178" s="218">
        <v>91</v>
      </c>
      <c r="E178" s="218"/>
      <c r="F178" s="218">
        <v>92</v>
      </c>
      <c r="G178" s="218">
        <v>92</v>
      </c>
      <c r="H178" s="218">
        <v>86</v>
      </c>
      <c r="I178" s="218"/>
      <c r="J178" s="218">
        <v>85</v>
      </c>
      <c r="K178" s="69"/>
      <c r="L178" s="37"/>
      <c r="M178" s="37"/>
    </row>
    <row r="179" spans="1:13" s="38" customFormat="1" ht="6.75" customHeight="1" x14ac:dyDescent="0.2">
      <c r="A179" s="40"/>
      <c r="B179" s="40"/>
      <c r="C179" s="40"/>
      <c r="D179" s="218"/>
      <c r="E179" s="218"/>
      <c r="F179" s="218"/>
      <c r="G179" s="218"/>
      <c r="H179" s="218"/>
      <c r="I179" s="218"/>
      <c r="J179" s="218"/>
      <c r="K179" s="69"/>
      <c r="L179" s="37"/>
      <c r="M179" s="37"/>
    </row>
    <row r="180" spans="1:13" s="38" customFormat="1" ht="14.25" customHeight="1" x14ac:dyDescent="0.2">
      <c r="A180" s="41" t="s">
        <v>275</v>
      </c>
      <c r="B180" s="40"/>
      <c r="C180" s="40"/>
      <c r="D180" s="218"/>
      <c r="E180" s="218"/>
      <c r="F180" s="218"/>
      <c r="G180" s="218"/>
      <c r="H180" s="218"/>
      <c r="I180" s="218"/>
      <c r="J180" s="218"/>
      <c r="K180" s="69"/>
      <c r="L180" s="37"/>
      <c r="M180" s="37"/>
    </row>
    <row r="181" spans="1:13" s="38" customFormat="1" ht="14.25" customHeight="1" x14ac:dyDescent="0.2">
      <c r="A181" s="40"/>
      <c r="B181" s="41" t="s">
        <v>276</v>
      </c>
      <c r="C181" s="40"/>
      <c r="D181" s="218">
        <v>12</v>
      </c>
      <c r="E181" s="218"/>
      <c r="F181" s="218">
        <v>12</v>
      </c>
      <c r="G181" s="218">
        <v>12</v>
      </c>
      <c r="H181" s="218">
        <v>12</v>
      </c>
      <c r="I181" s="218"/>
      <c r="J181" s="218">
        <f>14+1</f>
        <v>15</v>
      </c>
      <c r="K181" s="68" t="s">
        <v>277</v>
      </c>
      <c r="L181" s="37"/>
      <c r="M181" s="37"/>
    </row>
    <row r="182" spans="1:13" s="38" customFormat="1" ht="14.25" customHeight="1" x14ac:dyDescent="0.2">
      <c r="A182" s="40"/>
      <c r="B182" s="41" t="s">
        <v>278</v>
      </c>
      <c r="C182" s="40"/>
      <c r="D182" s="218">
        <v>18</v>
      </c>
      <c r="E182" s="218"/>
      <c r="F182" s="218">
        <v>14</v>
      </c>
      <c r="G182" s="218">
        <f>11+2+1</f>
        <v>14</v>
      </c>
      <c r="H182" s="218">
        <v>12</v>
      </c>
      <c r="I182" s="218"/>
      <c r="J182" s="218">
        <f>10+1</f>
        <v>11</v>
      </c>
      <c r="K182" s="69"/>
      <c r="L182" s="37"/>
      <c r="M182" s="37"/>
    </row>
    <row r="183" spans="1:13" s="38" customFormat="1" ht="14.25" customHeight="1" x14ac:dyDescent="0.2">
      <c r="A183" s="40"/>
      <c r="B183" s="41" t="s">
        <v>279</v>
      </c>
      <c r="C183" s="40"/>
      <c r="D183" s="218">
        <v>13</v>
      </c>
      <c r="E183" s="218"/>
      <c r="F183" s="218">
        <v>9</v>
      </c>
      <c r="G183" s="218">
        <v>8</v>
      </c>
      <c r="H183" s="218">
        <v>8</v>
      </c>
      <c r="I183" s="218"/>
      <c r="J183" s="218">
        <v>8</v>
      </c>
      <c r="K183" s="69"/>
      <c r="L183" s="37"/>
      <c r="M183" s="37"/>
    </row>
    <row r="184" spans="1:13" s="38" customFormat="1" ht="14.25" customHeight="1" x14ac:dyDescent="0.2">
      <c r="A184" s="40"/>
      <c r="B184" s="41" t="s">
        <v>280</v>
      </c>
      <c r="C184" s="40"/>
      <c r="D184" s="218">
        <f>114</f>
        <v>114</v>
      </c>
      <c r="E184" s="218"/>
      <c r="F184" s="218">
        <f>90</f>
        <v>90</v>
      </c>
      <c r="G184" s="218">
        <f>91</f>
        <v>91</v>
      </c>
      <c r="H184" s="218">
        <v>91</v>
      </c>
      <c r="I184" s="218"/>
      <c r="J184" s="218">
        <v>91</v>
      </c>
      <c r="K184" s="69"/>
      <c r="L184" s="37"/>
      <c r="M184" s="37"/>
    </row>
    <row r="185" spans="1:13" s="38" customFormat="1" ht="14.25" customHeight="1" x14ac:dyDescent="0.2">
      <c r="A185" s="40"/>
      <c r="B185" s="41" t="s">
        <v>281</v>
      </c>
      <c r="C185" s="40"/>
      <c r="D185" s="218">
        <v>76</v>
      </c>
      <c r="E185" s="218"/>
      <c r="F185" s="218">
        <v>80</v>
      </c>
      <c r="G185" s="218">
        <f>88+2</f>
        <v>90</v>
      </c>
      <c r="H185" s="218">
        <v>93</v>
      </c>
      <c r="I185" s="218"/>
      <c r="J185" s="218">
        <v>92</v>
      </c>
      <c r="K185" s="69"/>
      <c r="L185" s="37"/>
      <c r="M185" s="37"/>
    </row>
    <row r="186" spans="1:13" s="38" customFormat="1" ht="14.25" customHeight="1" x14ac:dyDescent="0.2">
      <c r="A186" s="40"/>
      <c r="B186" s="41" t="s">
        <v>235</v>
      </c>
      <c r="C186" s="40"/>
      <c r="D186" s="223">
        <v>85</v>
      </c>
      <c r="E186" s="223"/>
      <c r="F186" s="223">
        <v>70</v>
      </c>
      <c r="G186" s="223">
        <v>67</v>
      </c>
      <c r="H186" s="223">
        <v>66</v>
      </c>
      <c r="I186" s="223"/>
      <c r="J186" s="223">
        <v>64</v>
      </c>
      <c r="K186" s="69"/>
      <c r="L186" s="37"/>
      <c r="M186" s="37"/>
    </row>
    <row r="187" spans="1:13" s="38" customFormat="1" ht="14.25" customHeight="1" x14ac:dyDescent="0.2">
      <c r="A187" s="40"/>
      <c r="B187" s="41" t="s">
        <v>282</v>
      </c>
      <c r="C187" s="40"/>
      <c r="D187" s="218">
        <f>30+3</f>
        <v>33</v>
      </c>
      <c r="E187" s="218"/>
      <c r="F187" s="218">
        <f>29+3</f>
        <v>32</v>
      </c>
      <c r="G187" s="218">
        <f>28+3</f>
        <v>31</v>
      </c>
      <c r="H187" s="218">
        <v>31</v>
      </c>
      <c r="I187" s="218"/>
      <c r="J187" s="218">
        <f>32-8</f>
        <v>24</v>
      </c>
      <c r="K187" s="69"/>
      <c r="L187" s="37"/>
      <c r="M187" s="37"/>
    </row>
    <row r="188" spans="1:13" s="38" customFormat="1" ht="14.25" customHeight="1" x14ac:dyDescent="0.2">
      <c r="A188" s="40"/>
      <c r="B188" s="41" t="s">
        <v>283</v>
      </c>
      <c r="C188" s="40"/>
      <c r="D188" s="218">
        <v>-3</v>
      </c>
      <c r="E188" s="218"/>
      <c r="F188" s="218">
        <v>-3</v>
      </c>
      <c r="G188" s="218">
        <f>19-3</f>
        <v>16</v>
      </c>
      <c r="H188" s="218">
        <f>16+6</f>
        <v>22</v>
      </c>
      <c r="I188" s="218"/>
      <c r="J188" s="218">
        <f>16+9</f>
        <v>25</v>
      </c>
      <c r="K188" s="69"/>
      <c r="L188" s="37"/>
      <c r="M188" s="37"/>
    </row>
    <row r="189" spans="1:13" s="38" customFormat="1" ht="14.25" customHeight="1" x14ac:dyDescent="0.2">
      <c r="A189" s="40"/>
      <c r="B189" s="41" t="s">
        <v>284</v>
      </c>
      <c r="C189" s="40"/>
      <c r="D189" s="218">
        <v>10</v>
      </c>
      <c r="E189" s="218"/>
      <c r="F189" s="218">
        <f>10</f>
        <v>10</v>
      </c>
      <c r="G189" s="218">
        <v>9</v>
      </c>
      <c r="H189" s="218">
        <v>9</v>
      </c>
      <c r="I189" s="218"/>
      <c r="J189" s="218">
        <v>9</v>
      </c>
      <c r="K189" s="69"/>
      <c r="L189" s="37"/>
      <c r="M189" s="37"/>
    </row>
    <row r="190" spans="1:13" s="38" customFormat="1" ht="14.25" customHeight="1" x14ac:dyDescent="0.2">
      <c r="A190" s="40"/>
      <c r="B190" s="41" t="s">
        <v>285</v>
      </c>
      <c r="C190" s="40"/>
      <c r="D190" s="218">
        <v>0</v>
      </c>
      <c r="E190" s="218"/>
      <c r="F190" s="218">
        <v>19</v>
      </c>
      <c r="G190" s="218">
        <v>18</v>
      </c>
      <c r="H190" s="218">
        <v>17</v>
      </c>
      <c r="I190" s="218"/>
      <c r="J190" s="218">
        <v>17</v>
      </c>
      <c r="K190" s="69"/>
      <c r="L190" s="37"/>
      <c r="M190" s="37"/>
    </row>
    <row r="191" spans="1:13" s="38" customFormat="1" ht="14.25" customHeight="1" x14ac:dyDescent="0.2">
      <c r="A191" s="40"/>
      <c r="B191" s="41" t="s">
        <v>286</v>
      </c>
      <c r="C191" s="40"/>
      <c r="D191" s="218">
        <v>0</v>
      </c>
      <c r="E191" s="218"/>
      <c r="F191" s="218">
        <f>43-1</f>
        <v>42</v>
      </c>
      <c r="G191" s="218">
        <v>42</v>
      </c>
      <c r="H191" s="218">
        <f>8+33</f>
        <v>41</v>
      </c>
      <c r="I191" s="218"/>
      <c r="J191" s="218">
        <f>35+8</f>
        <v>43</v>
      </c>
      <c r="K191" s="69" t="s">
        <v>287</v>
      </c>
      <c r="L191" s="37"/>
      <c r="M191" s="37"/>
    </row>
    <row r="192" spans="1:13" s="38" customFormat="1" ht="14.25" customHeight="1" x14ac:dyDescent="0.2">
      <c r="A192" s="40"/>
      <c r="B192" s="41" t="s">
        <v>288</v>
      </c>
      <c r="C192" s="40"/>
      <c r="D192" s="218">
        <v>0</v>
      </c>
      <c r="E192" s="218"/>
      <c r="F192" s="218">
        <v>0</v>
      </c>
      <c r="G192" s="218">
        <v>0</v>
      </c>
      <c r="H192" s="218">
        <v>33</v>
      </c>
      <c r="I192" s="218"/>
      <c r="J192" s="218">
        <v>35</v>
      </c>
      <c r="K192" s="69" t="s">
        <v>289</v>
      </c>
      <c r="L192" s="37"/>
      <c r="M192" s="37"/>
    </row>
    <row r="193" spans="1:13" s="38" customFormat="1" ht="14.25" customHeight="1" x14ac:dyDescent="0.2">
      <c r="A193" s="40"/>
      <c r="B193" s="41" t="s">
        <v>290</v>
      </c>
      <c r="C193" s="40"/>
      <c r="D193" s="218">
        <v>0</v>
      </c>
      <c r="E193" s="218"/>
      <c r="F193" s="218">
        <v>0</v>
      </c>
      <c r="G193" s="218">
        <v>0</v>
      </c>
      <c r="H193" s="218">
        <v>22</v>
      </c>
      <c r="I193" s="218"/>
      <c r="J193" s="218">
        <v>21</v>
      </c>
      <c r="K193" s="69"/>
      <c r="L193" s="37"/>
      <c r="M193" s="37"/>
    </row>
    <row r="194" spans="1:13" s="38" customFormat="1" ht="14.25" customHeight="1" x14ac:dyDescent="0.2">
      <c r="A194" s="40"/>
      <c r="B194" s="39" t="s">
        <v>62</v>
      </c>
      <c r="C194" s="40"/>
      <c r="D194" s="218">
        <v>3</v>
      </c>
      <c r="E194" s="218"/>
      <c r="F194" s="218">
        <v>3</v>
      </c>
      <c r="G194" s="218">
        <v>3</v>
      </c>
      <c r="H194" s="218">
        <v>0</v>
      </c>
      <c r="I194" s="218"/>
      <c r="J194" s="218">
        <v>0</v>
      </c>
      <c r="K194" s="69"/>
      <c r="L194" s="37"/>
      <c r="M194" s="37"/>
    </row>
    <row r="195" spans="1:13" s="38" customFormat="1" ht="14.25" customHeight="1" x14ac:dyDescent="0.2">
      <c r="A195" s="40"/>
      <c r="B195" s="41" t="s">
        <v>291</v>
      </c>
      <c r="C195" s="40"/>
      <c r="D195" s="218">
        <v>4</v>
      </c>
      <c r="E195" s="218"/>
      <c r="F195" s="218">
        <v>3</v>
      </c>
      <c r="G195" s="218">
        <v>3</v>
      </c>
      <c r="H195" s="218">
        <v>3</v>
      </c>
      <c r="I195" s="218"/>
      <c r="J195" s="218">
        <v>7</v>
      </c>
      <c r="K195" s="69" t="s">
        <v>292</v>
      </c>
      <c r="L195" s="37"/>
      <c r="M195" s="37"/>
    </row>
    <row r="196" spans="1:13" s="38" customFormat="1" ht="14.25" customHeight="1" x14ac:dyDescent="0.2">
      <c r="A196" s="40"/>
      <c r="B196" s="41" t="s">
        <v>293</v>
      </c>
      <c r="C196" s="40"/>
      <c r="D196" s="219">
        <v>-13</v>
      </c>
      <c r="E196" s="218"/>
      <c r="F196" s="219">
        <v>-12</v>
      </c>
      <c r="G196" s="219">
        <v>-12</v>
      </c>
      <c r="H196" s="219">
        <v>0</v>
      </c>
      <c r="I196" s="218"/>
      <c r="J196" s="219">
        <v>1</v>
      </c>
      <c r="K196" s="69"/>
      <c r="L196" s="37"/>
      <c r="M196" s="37"/>
    </row>
    <row r="197" spans="1:13" s="38" customFormat="1" ht="14.25" customHeight="1" x14ac:dyDescent="0.2">
      <c r="A197" s="40"/>
      <c r="B197" s="40"/>
      <c r="C197" s="40"/>
      <c r="D197" s="254">
        <f>SUM(D181:D196)</f>
        <v>352</v>
      </c>
      <c r="E197" s="218"/>
      <c r="F197" s="254">
        <f>SUM(F181:F196)</f>
        <v>369</v>
      </c>
      <c r="G197" s="254">
        <f>SUM(G181:G196)</f>
        <v>392</v>
      </c>
      <c r="H197" s="254">
        <f>SUM(H181:H196)</f>
        <v>460</v>
      </c>
      <c r="I197" s="218"/>
      <c r="J197" s="254">
        <f>SUM(J181:J196)</f>
        <v>463</v>
      </c>
      <c r="K197" s="69"/>
      <c r="L197" s="37"/>
      <c r="M197" s="37"/>
    </row>
    <row r="198" spans="1:13" s="38" customFormat="1" ht="9" customHeight="1" x14ac:dyDescent="0.2">
      <c r="A198" s="40"/>
      <c r="B198" s="40"/>
      <c r="C198" s="40"/>
      <c r="D198" s="218"/>
      <c r="E198" s="218"/>
      <c r="F198" s="218"/>
      <c r="G198" s="218"/>
      <c r="H198" s="218"/>
      <c r="I198" s="218"/>
      <c r="J198" s="218"/>
      <c r="K198" s="69"/>
      <c r="L198" s="37"/>
      <c r="M198" s="37"/>
    </row>
    <row r="199" spans="1:13" s="38" customFormat="1" ht="14.25" customHeight="1" x14ac:dyDescent="0.2">
      <c r="A199" s="41" t="s">
        <v>294</v>
      </c>
      <c r="B199" s="40"/>
      <c r="C199" s="40"/>
      <c r="D199" s="255">
        <f>D150+D169+D176+D178+D197</f>
        <v>9422</v>
      </c>
      <c r="E199" s="218"/>
      <c r="F199" s="255">
        <f>F150+F169+F176+F178+F197</f>
        <v>9348</v>
      </c>
      <c r="G199" s="255">
        <f>G150+G169+G176+G178+G197</f>
        <v>9203</v>
      </c>
      <c r="H199" s="255">
        <f>H150+H169+H176+H178+H197</f>
        <v>8821</v>
      </c>
      <c r="I199" s="218"/>
      <c r="J199" s="255">
        <f>J150+J169+J176+J178+J197</f>
        <v>8386</v>
      </c>
      <c r="K199" s="69"/>
      <c r="L199" s="37"/>
      <c r="M199" s="37"/>
    </row>
    <row r="200" spans="1:13" s="38" customFormat="1" ht="9" customHeight="1" x14ac:dyDescent="0.2">
      <c r="A200" s="40"/>
      <c r="B200" s="40"/>
      <c r="C200" s="40"/>
      <c r="D200" s="218"/>
      <c r="E200" s="218"/>
      <c r="F200" s="218"/>
      <c r="G200" s="218"/>
      <c r="H200" s="218"/>
      <c r="I200" s="218"/>
      <c r="J200" s="218"/>
      <c r="K200" s="69"/>
      <c r="L200" s="37"/>
      <c r="M200" s="37"/>
    </row>
    <row r="201" spans="1:13" s="38" customFormat="1" ht="14.25" customHeight="1" x14ac:dyDescent="0.2">
      <c r="A201" s="40" t="s">
        <v>295</v>
      </c>
      <c r="B201" s="40"/>
      <c r="C201" s="41"/>
      <c r="D201" s="219">
        <v>-78</v>
      </c>
      <c r="E201" s="218"/>
      <c r="F201" s="219">
        <f>-214-8-35+1+2</f>
        <v>-254</v>
      </c>
      <c r="G201" s="219">
        <v>-240</v>
      </c>
      <c r="H201" s="219">
        <v>-58</v>
      </c>
      <c r="I201" s="218"/>
      <c r="J201" s="219">
        <v>282</v>
      </c>
      <c r="K201" s="69"/>
      <c r="L201" s="37"/>
      <c r="M201" s="37"/>
    </row>
    <row r="202" spans="1:13" s="38" customFormat="1" ht="7.5" customHeight="1" x14ac:dyDescent="0.2">
      <c r="A202" s="40"/>
      <c r="B202" s="40"/>
      <c r="C202" s="41"/>
      <c r="D202" s="218"/>
      <c r="E202" s="218"/>
      <c r="F202" s="218"/>
      <c r="G202" s="218"/>
      <c r="H202" s="218"/>
      <c r="I202" s="218"/>
      <c r="J202" s="218"/>
      <c r="K202" s="69"/>
      <c r="L202" s="37"/>
      <c r="M202" s="37"/>
    </row>
    <row r="203" spans="1:13" s="38" customFormat="1" ht="15" customHeight="1" thickBot="1" x14ac:dyDescent="0.25">
      <c r="A203" s="40"/>
      <c r="B203" s="40" t="s">
        <v>296</v>
      </c>
      <c r="C203" s="41"/>
      <c r="D203" s="256">
        <f>SUM(D199:D201)</f>
        <v>9344</v>
      </c>
      <c r="E203" s="217"/>
      <c r="F203" s="256">
        <f>SUM(F199:F201)</f>
        <v>9094</v>
      </c>
      <c r="G203" s="256">
        <f>SUM(G199:G201)</f>
        <v>8963</v>
      </c>
      <c r="H203" s="256">
        <f>SUM(H199:H201)</f>
        <v>8763</v>
      </c>
      <c r="I203" s="217"/>
      <c r="J203" s="257">
        <f>SUM(J199:J201)</f>
        <v>8668</v>
      </c>
      <c r="K203" s="69"/>
      <c r="L203" s="37"/>
      <c r="M203" s="37"/>
    </row>
    <row r="204" spans="1:13" s="38" customFormat="1" ht="15" customHeight="1" thickTop="1" x14ac:dyDescent="0.2">
      <c r="A204" s="40"/>
      <c r="B204" s="40"/>
      <c r="C204" s="41"/>
      <c r="D204" s="258">
        <f>+D203-D100</f>
        <v>0</v>
      </c>
      <c r="E204" s="218"/>
      <c r="F204" s="258">
        <f>+F203-F100</f>
        <v>0</v>
      </c>
      <c r="G204" s="258">
        <f>+G203-G100</f>
        <v>0</v>
      </c>
      <c r="H204" s="258">
        <f>+H203-H100</f>
        <v>-639</v>
      </c>
      <c r="I204" s="218"/>
      <c r="J204" s="258">
        <f>+J203-J100</f>
        <v>0</v>
      </c>
      <c r="K204" s="69"/>
      <c r="L204" s="37"/>
      <c r="M204" s="37"/>
    </row>
    <row r="205" spans="1:13" s="38" customFormat="1" ht="14.25" customHeight="1" x14ac:dyDescent="0.2">
      <c r="K205" s="69"/>
    </row>
    <row r="206" spans="1:13" s="38" customFormat="1" x14ac:dyDescent="0.2">
      <c r="K206" s="37"/>
    </row>
    <row r="207" spans="1:13" s="38" customFormat="1" x14ac:dyDescent="0.2">
      <c r="K207" s="37"/>
    </row>
    <row r="208" spans="1:13" s="38" customFormat="1" x14ac:dyDescent="0.2">
      <c r="K208" s="37"/>
    </row>
    <row r="209" spans="11:11" s="38" customFormat="1" x14ac:dyDescent="0.2">
      <c r="K209" s="37"/>
    </row>
    <row r="210" spans="11:11" s="38" customFormat="1" x14ac:dyDescent="0.2">
      <c r="K210" s="37"/>
    </row>
    <row r="211" spans="11:11" s="38" customFormat="1" x14ac:dyDescent="0.2">
      <c r="K211" s="37"/>
    </row>
    <row r="212" spans="11:11" s="38" customFormat="1" x14ac:dyDescent="0.2">
      <c r="K212" s="37"/>
    </row>
    <row r="213" spans="11:11" s="38" customFormat="1" x14ac:dyDescent="0.2">
      <c r="K213" s="37"/>
    </row>
    <row r="214" spans="11:11" s="38" customFormat="1" x14ac:dyDescent="0.2">
      <c r="K214" s="37"/>
    </row>
    <row r="215" spans="11:11" s="38" customFormat="1" x14ac:dyDescent="0.2">
      <c r="K215" s="37"/>
    </row>
    <row r="216" spans="11:11" s="38" customFormat="1" x14ac:dyDescent="0.2">
      <c r="K216" s="37"/>
    </row>
    <row r="217" spans="11:11" s="38" customFormat="1" x14ac:dyDescent="0.2">
      <c r="K217" s="37"/>
    </row>
    <row r="218" spans="11:11" s="38" customFormat="1" x14ac:dyDescent="0.2">
      <c r="K218" s="37"/>
    </row>
    <row r="219" spans="11:11" s="38" customFormat="1" x14ac:dyDescent="0.2">
      <c r="K219" s="37"/>
    </row>
    <row r="220" spans="11:11" s="38" customFormat="1" x14ac:dyDescent="0.2">
      <c r="K220" s="37"/>
    </row>
    <row r="221" spans="11:11" s="38" customFormat="1" x14ac:dyDescent="0.2">
      <c r="K221" s="37"/>
    </row>
    <row r="222" spans="11:11" s="38" customFormat="1" x14ac:dyDescent="0.2">
      <c r="K222" s="37"/>
    </row>
    <row r="223" spans="11:11" s="38" customFormat="1" x14ac:dyDescent="0.2">
      <c r="K223" s="37"/>
    </row>
    <row r="224" spans="11:11" s="38" customFormat="1" x14ac:dyDescent="0.2">
      <c r="K224" s="37"/>
    </row>
    <row r="225" spans="1:11" s="38" customFormat="1" x14ac:dyDescent="0.2">
      <c r="K225" s="37"/>
    </row>
    <row r="226" spans="1:11" s="38" customFormat="1" x14ac:dyDescent="0.2">
      <c r="K226" s="37"/>
    </row>
    <row r="227" spans="1:11" s="38" customFormat="1" x14ac:dyDescent="0.2">
      <c r="K227" s="37"/>
    </row>
    <row r="228" spans="1:11" s="38" customFormat="1" x14ac:dyDescent="0.2">
      <c r="K228" s="37"/>
    </row>
    <row r="229" spans="1:11" s="38" customFormat="1" x14ac:dyDescent="0.2">
      <c r="K229" s="37"/>
    </row>
    <row r="230" spans="1:11" s="38" customFormat="1" x14ac:dyDescent="0.2">
      <c r="K230" s="37"/>
    </row>
    <row r="231" spans="1:11" s="38" customFormat="1" x14ac:dyDescent="0.2">
      <c r="K231" s="37"/>
    </row>
    <row r="232" spans="1:11" s="38" customFormat="1" x14ac:dyDescent="0.2">
      <c r="K232" s="37"/>
    </row>
    <row r="233" spans="1:11" x14ac:dyDescent="0.2">
      <c r="A233" t="s">
        <v>158</v>
      </c>
    </row>
  </sheetData>
  <mergeCells count="5">
    <mergeCell ref="A102:C102"/>
    <mergeCell ref="A1:F1"/>
    <mergeCell ref="A2:F2"/>
    <mergeCell ref="A3:F3"/>
    <mergeCell ref="A4:F4"/>
  </mergeCells>
  <phoneticPr fontId="25" type="noConversion"/>
  <pageMargins left="0.25" right="0.25" top="0.17" bottom="0.19" header="0" footer="0"/>
  <pageSetup scale="76" fitToHeight="0" orientation="landscape" r:id="rId1"/>
  <rowBreaks count="3" manualBreakCount="3">
    <brk id="52" max="16383" man="1"/>
    <brk id="100" max="12" man="1"/>
    <brk id="151" max="16383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N370"/>
  <sheetViews>
    <sheetView workbookViewId="0">
      <selection activeCell="A2" sqref="A2:H2"/>
    </sheetView>
  </sheetViews>
  <sheetFormatPr defaultColWidth="12.7109375" defaultRowHeight="12.75" x14ac:dyDescent="0.2"/>
  <cols>
    <col min="1" max="2" width="2.42578125" style="19" customWidth="1"/>
    <col min="3" max="3" width="55.140625" style="19" customWidth="1"/>
    <col min="4" max="4" width="18.28515625" style="19" customWidth="1"/>
    <col min="5" max="5" width="5.7109375" style="19" hidden="1" customWidth="1"/>
    <col min="6" max="6" width="1.5703125" style="19" customWidth="1"/>
    <col min="7" max="7" width="18.140625" style="15" customWidth="1"/>
    <col min="8" max="8" width="14.85546875" style="82" hidden="1" customWidth="1"/>
    <col min="9" max="9" width="12.7109375" style="82" hidden="1" customWidth="1"/>
    <col min="10" max="10" width="12.85546875" style="82" customWidth="1"/>
    <col min="11" max="11" width="12.85546875" style="19" customWidth="1"/>
    <col min="12" max="12" width="12.7109375" style="19" customWidth="1"/>
    <col min="13" max="16384" width="12.7109375" style="19"/>
  </cols>
  <sheetData>
    <row r="1" spans="1:11" ht="15.75" customHeight="1" x14ac:dyDescent="0.25">
      <c r="A1" s="6"/>
      <c r="G1" s="65"/>
    </row>
    <row r="2" spans="1:11" x14ac:dyDescent="0.2">
      <c r="A2" s="313" t="s">
        <v>0</v>
      </c>
      <c r="B2" s="314"/>
      <c r="C2" s="314"/>
      <c r="D2" s="314"/>
      <c r="E2" s="314"/>
      <c r="F2" s="314"/>
      <c r="G2" s="315"/>
      <c r="H2" s="297"/>
    </row>
    <row r="3" spans="1:11" x14ac:dyDescent="0.2">
      <c r="A3" s="316" t="s">
        <v>297</v>
      </c>
      <c r="B3" s="314"/>
      <c r="C3" s="314"/>
      <c r="D3" s="314"/>
      <c r="E3" s="314"/>
      <c r="F3" s="314"/>
      <c r="G3" s="315"/>
      <c r="H3" s="297"/>
    </row>
    <row r="4" spans="1:11" x14ac:dyDescent="0.2">
      <c r="A4" s="317" t="s">
        <v>7</v>
      </c>
      <c r="B4" s="314"/>
      <c r="C4" s="314"/>
      <c r="D4" s="314"/>
      <c r="E4" s="314"/>
      <c r="F4" s="314"/>
      <c r="G4" s="315"/>
      <c r="H4" s="297"/>
    </row>
    <row r="5" spans="1:11" x14ac:dyDescent="0.2">
      <c r="A5" s="317" t="s">
        <v>134</v>
      </c>
      <c r="B5" s="314"/>
      <c r="C5" s="314"/>
      <c r="D5" s="314"/>
      <c r="E5" s="314"/>
      <c r="F5" s="314"/>
      <c r="G5" s="315"/>
      <c r="H5" s="297"/>
    </row>
    <row r="6" spans="1:11" x14ac:dyDescent="0.2">
      <c r="A6" s="83"/>
      <c r="B6" s="83"/>
    </row>
    <row r="7" spans="1:11" ht="12.75" customHeight="1" x14ac:dyDescent="0.2">
      <c r="D7" s="70" t="s">
        <v>3</v>
      </c>
      <c r="E7" s="70"/>
      <c r="F7" s="70"/>
      <c r="G7" s="64" t="s">
        <v>4</v>
      </c>
    </row>
    <row r="8" spans="1:11" x14ac:dyDescent="0.2">
      <c r="D8" s="7" t="s">
        <v>298</v>
      </c>
      <c r="E8" s="8"/>
      <c r="G8" s="63" t="s">
        <v>298</v>
      </c>
      <c r="H8" s="7" t="s">
        <v>299</v>
      </c>
      <c r="I8" s="9" t="s">
        <v>300</v>
      </c>
    </row>
    <row r="9" spans="1:11" x14ac:dyDescent="0.2">
      <c r="G9" s="10"/>
      <c r="H9" s="11"/>
    </row>
    <row r="10" spans="1:11" x14ac:dyDescent="0.2">
      <c r="A10" s="19" t="s">
        <v>301</v>
      </c>
    </row>
    <row r="11" spans="1:11" x14ac:dyDescent="0.2">
      <c r="B11" s="19" t="s">
        <v>33</v>
      </c>
      <c r="D11" s="259">
        <v>-462</v>
      </c>
      <c r="E11" s="259">
        <v>119</v>
      </c>
      <c r="G11" s="260">
        <f>+D11+E11</f>
        <v>-343</v>
      </c>
      <c r="H11" s="259">
        <v>-90</v>
      </c>
      <c r="I11" s="259">
        <v>-246</v>
      </c>
    </row>
    <row r="12" spans="1:11" x14ac:dyDescent="0.2">
      <c r="C12" s="19" t="s">
        <v>302</v>
      </c>
      <c r="D12" s="261">
        <v>9</v>
      </c>
      <c r="E12" s="261">
        <v>-2</v>
      </c>
      <c r="G12" s="262">
        <f>+D12+E12</f>
        <v>7</v>
      </c>
      <c r="H12" s="261">
        <v>0</v>
      </c>
      <c r="I12" s="261">
        <v>0</v>
      </c>
    </row>
    <row r="13" spans="1:11" x14ac:dyDescent="0.2">
      <c r="C13" s="19" t="s">
        <v>303</v>
      </c>
      <c r="D13" s="263">
        <v>0</v>
      </c>
      <c r="E13" s="264">
        <v>-5</v>
      </c>
      <c r="G13" s="265">
        <f>+D13+E13</f>
        <v>-5</v>
      </c>
      <c r="H13" s="264">
        <v>0</v>
      </c>
      <c r="I13" s="264">
        <v>0</v>
      </c>
    </row>
    <row r="14" spans="1:11" x14ac:dyDescent="0.2">
      <c r="C14" s="19" t="s">
        <v>304</v>
      </c>
      <c r="D14" s="266">
        <f>SUM(D11:D13)</f>
        <v>-453</v>
      </c>
      <c r="E14" s="266">
        <f>SUM(E11:E13)</f>
        <v>112</v>
      </c>
      <c r="G14" s="262">
        <f>+D14+E14</f>
        <v>-341</v>
      </c>
      <c r="H14" s="267">
        <f>SUM(H11:H12)</f>
        <v>-90</v>
      </c>
      <c r="I14" s="267">
        <f>SUM(I11:I12)</f>
        <v>-246</v>
      </c>
    </row>
    <row r="15" spans="1:11" ht="27.75" customHeight="1" x14ac:dyDescent="0.2">
      <c r="C15" s="12" t="s">
        <v>305</v>
      </c>
      <c r="D15" s="15"/>
      <c r="E15" s="15"/>
      <c r="F15" s="12"/>
      <c r="H15" s="15"/>
      <c r="I15" s="15"/>
      <c r="K15" s="259"/>
    </row>
    <row r="16" spans="1:11" x14ac:dyDescent="0.2">
      <c r="B16" s="21" t="s">
        <v>306</v>
      </c>
      <c r="D16" s="268">
        <v>-1</v>
      </c>
      <c r="E16" s="15">
        <v>-1</v>
      </c>
      <c r="G16" s="269">
        <f t="shared" ref="G16:G27" si="0">+D16+E16</f>
        <v>-2</v>
      </c>
      <c r="H16" s="15">
        <v>-4</v>
      </c>
      <c r="I16" s="15">
        <v>-7</v>
      </c>
      <c r="K16" s="270"/>
    </row>
    <row r="17" spans="2:11" x14ac:dyDescent="0.2">
      <c r="B17" s="19" t="s">
        <v>307</v>
      </c>
      <c r="D17" s="268">
        <v>228</v>
      </c>
      <c r="E17" s="15">
        <f>208-1</f>
        <v>207</v>
      </c>
      <c r="G17" s="269">
        <f t="shared" si="0"/>
        <v>435</v>
      </c>
      <c r="H17" s="15">
        <v>210</v>
      </c>
      <c r="I17" s="15">
        <v>400</v>
      </c>
      <c r="K17" s="270"/>
    </row>
    <row r="18" spans="2:11" x14ac:dyDescent="0.2">
      <c r="C18" s="19" t="s">
        <v>308</v>
      </c>
      <c r="D18" s="268">
        <v>190</v>
      </c>
      <c r="E18" s="268">
        <v>0</v>
      </c>
      <c r="G18" s="269">
        <f t="shared" si="0"/>
        <v>190</v>
      </c>
      <c r="H18" s="268">
        <v>0</v>
      </c>
      <c r="I18" s="268">
        <v>0</v>
      </c>
      <c r="K18" s="270"/>
    </row>
    <row r="19" spans="2:11" x14ac:dyDescent="0.2">
      <c r="B19" s="19" t="s">
        <v>309</v>
      </c>
      <c r="D19" s="268">
        <v>-2</v>
      </c>
      <c r="E19" s="268">
        <v>0</v>
      </c>
      <c r="G19" s="269">
        <f t="shared" si="0"/>
        <v>-2</v>
      </c>
      <c r="H19" s="268">
        <v>-130</v>
      </c>
      <c r="I19" s="268">
        <v>-206</v>
      </c>
      <c r="K19" s="270"/>
    </row>
    <row r="20" spans="2:11" hidden="1" x14ac:dyDescent="0.2">
      <c r="B20" s="19" t="s">
        <v>310</v>
      </c>
      <c r="D20" s="268">
        <v>0</v>
      </c>
      <c r="E20" s="268">
        <v>0</v>
      </c>
      <c r="G20" s="269">
        <f t="shared" si="0"/>
        <v>0</v>
      </c>
      <c r="H20" s="268">
        <v>2</v>
      </c>
      <c r="I20" s="268">
        <v>3</v>
      </c>
      <c r="K20" s="270"/>
    </row>
    <row r="21" spans="2:11" hidden="1" x14ac:dyDescent="0.2">
      <c r="C21" s="19" t="s">
        <v>311</v>
      </c>
      <c r="D21" s="268">
        <v>0</v>
      </c>
      <c r="E21" s="268">
        <v>0</v>
      </c>
      <c r="G21" s="269">
        <f t="shared" si="0"/>
        <v>0</v>
      </c>
      <c r="H21" s="268">
        <v>0</v>
      </c>
      <c r="I21" s="268">
        <v>44</v>
      </c>
      <c r="K21" s="270"/>
    </row>
    <row r="22" spans="2:11" ht="27.75" customHeight="1" x14ac:dyDescent="0.2">
      <c r="C22" s="13" t="s">
        <v>312</v>
      </c>
      <c r="D22" s="268">
        <v>2</v>
      </c>
      <c r="E22" s="15">
        <v>-69</v>
      </c>
      <c r="G22" s="269">
        <f t="shared" si="0"/>
        <v>-67</v>
      </c>
      <c r="H22" s="268">
        <v>2</v>
      </c>
      <c r="I22" s="268">
        <v>-100</v>
      </c>
      <c r="K22" s="270"/>
    </row>
    <row r="23" spans="2:11" x14ac:dyDescent="0.2">
      <c r="B23" s="19" t="s">
        <v>313</v>
      </c>
      <c r="D23" s="268">
        <v>25</v>
      </c>
      <c r="E23" s="15">
        <v>23</v>
      </c>
      <c r="G23" s="269">
        <f t="shared" si="0"/>
        <v>48</v>
      </c>
      <c r="H23" s="15">
        <v>64</v>
      </c>
      <c r="I23" s="15">
        <v>117</v>
      </c>
      <c r="K23" s="270"/>
    </row>
    <row r="24" spans="2:11" x14ac:dyDescent="0.2">
      <c r="B24" s="19" t="s">
        <v>314</v>
      </c>
      <c r="D24" s="268">
        <v>12</v>
      </c>
      <c r="E24" s="15">
        <v>-348</v>
      </c>
      <c r="G24" s="269">
        <f t="shared" si="0"/>
        <v>-336</v>
      </c>
      <c r="H24" s="15">
        <v>23</v>
      </c>
      <c r="I24" s="15">
        <v>120</v>
      </c>
      <c r="K24" s="270"/>
    </row>
    <row r="25" spans="2:11" x14ac:dyDescent="0.2">
      <c r="B25" s="19" t="s">
        <v>315</v>
      </c>
      <c r="D25" s="268">
        <v>5</v>
      </c>
      <c r="E25" s="15">
        <v>5</v>
      </c>
      <c r="G25" s="269">
        <f t="shared" si="0"/>
        <v>10</v>
      </c>
      <c r="H25" s="268">
        <v>3</v>
      </c>
      <c r="I25" s="268">
        <v>8</v>
      </c>
      <c r="K25" s="270"/>
    </row>
    <row r="26" spans="2:11" x14ac:dyDescent="0.2">
      <c r="B26" s="19" t="s">
        <v>316</v>
      </c>
      <c r="D26" s="268">
        <v>28</v>
      </c>
      <c r="E26" s="17">
        <v>26</v>
      </c>
      <c r="G26" s="269">
        <f t="shared" si="0"/>
        <v>54</v>
      </c>
      <c r="H26" s="17">
        <v>27</v>
      </c>
      <c r="I26" s="17">
        <v>55</v>
      </c>
      <c r="K26" s="270"/>
    </row>
    <row r="27" spans="2:11" x14ac:dyDescent="0.2">
      <c r="B27" s="19" t="s">
        <v>317</v>
      </c>
      <c r="D27" s="268">
        <v>9</v>
      </c>
      <c r="E27" s="271">
        <v>0</v>
      </c>
      <c r="G27" s="269">
        <f t="shared" si="0"/>
        <v>9</v>
      </c>
      <c r="H27" s="271">
        <v>-21</v>
      </c>
      <c r="I27" s="271">
        <v>-3</v>
      </c>
      <c r="K27" s="270"/>
    </row>
    <row r="28" spans="2:11" x14ac:dyDescent="0.2">
      <c r="B28" s="24" t="s">
        <v>318</v>
      </c>
      <c r="G28" s="268" t="s">
        <v>60</v>
      </c>
      <c r="H28" s="14" t="s">
        <v>60</v>
      </c>
      <c r="I28" s="14" t="s">
        <v>60</v>
      </c>
      <c r="K28" s="270"/>
    </row>
    <row r="29" spans="2:11" x14ac:dyDescent="0.2">
      <c r="B29" s="19" t="s">
        <v>319</v>
      </c>
      <c r="D29" s="268">
        <v>-97</v>
      </c>
      <c r="E29" s="268">
        <v>118</v>
      </c>
      <c r="G29" s="269">
        <f t="shared" ref="G29:G34" si="1">+D29+E29</f>
        <v>21</v>
      </c>
      <c r="H29" s="268">
        <v>35</v>
      </c>
      <c r="I29" s="268">
        <v>-159</v>
      </c>
      <c r="K29" s="270"/>
    </row>
    <row r="30" spans="2:11" x14ac:dyDescent="0.2">
      <c r="B30" s="19" t="s">
        <v>320</v>
      </c>
      <c r="D30" s="268">
        <v>-3</v>
      </c>
      <c r="E30" s="15">
        <v>50</v>
      </c>
      <c r="G30" s="269">
        <f t="shared" si="1"/>
        <v>47</v>
      </c>
      <c r="H30" s="15">
        <v>-15</v>
      </c>
      <c r="I30" s="15">
        <v>-117</v>
      </c>
      <c r="K30" s="270"/>
    </row>
    <row r="31" spans="2:11" x14ac:dyDescent="0.2">
      <c r="B31" s="19" t="s">
        <v>321</v>
      </c>
      <c r="D31" s="268">
        <v>73</v>
      </c>
      <c r="E31" s="15">
        <v>-199</v>
      </c>
      <c r="G31" s="269">
        <f t="shared" si="1"/>
        <v>-126</v>
      </c>
      <c r="H31" s="15">
        <v>-165</v>
      </c>
      <c r="I31" s="15">
        <v>-51</v>
      </c>
      <c r="K31" s="270"/>
    </row>
    <row r="32" spans="2:11" x14ac:dyDescent="0.2">
      <c r="B32" s="19" t="s">
        <v>322</v>
      </c>
      <c r="D32" s="268">
        <v>1</v>
      </c>
      <c r="E32" s="15">
        <v>-30</v>
      </c>
      <c r="G32" s="269">
        <f t="shared" si="1"/>
        <v>-29</v>
      </c>
      <c r="H32" s="15">
        <v>-4</v>
      </c>
      <c r="I32" s="15">
        <v>-76</v>
      </c>
      <c r="K32" s="270"/>
    </row>
    <row r="33" spans="1:12" x14ac:dyDescent="0.2">
      <c r="B33" s="19" t="s">
        <v>323</v>
      </c>
      <c r="D33" s="272">
        <v>2</v>
      </c>
      <c r="E33" s="16">
        <f>-6+1+2</f>
        <v>-3</v>
      </c>
      <c r="G33" s="273">
        <f t="shared" si="1"/>
        <v>-1</v>
      </c>
      <c r="H33" s="16">
        <v>-7</v>
      </c>
      <c r="I33" s="16">
        <f>-1-8</f>
        <v>-9</v>
      </c>
      <c r="K33" s="270"/>
    </row>
    <row r="34" spans="1:12" x14ac:dyDescent="0.2">
      <c r="A34" s="19" t="s">
        <v>324</v>
      </c>
      <c r="D34" s="274">
        <f>SUM(D14:D33)</f>
        <v>19</v>
      </c>
      <c r="E34" s="274">
        <f>SUM(E14:E33)</f>
        <v>-109</v>
      </c>
      <c r="G34" s="275">
        <f t="shared" si="1"/>
        <v>-90</v>
      </c>
      <c r="H34" s="274">
        <f>SUM(H14:H33)</f>
        <v>-70</v>
      </c>
      <c r="I34" s="274">
        <f>SUM(I14:I33)</f>
        <v>-227</v>
      </c>
      <c r="K34" s="270"/>
    </row>
    <row r="35" spans="1:12" x14ac:dyDescent="0.2">
      <c r="D35" s="15"/>
      <c r="E35" s="15"/>
      <c r="H35" s="15"/>
      <c r="I35" s="15"/>
      <c r="K35" s="270"/>
    </row>
    <row r="36" spans="1:12" x14ac:dyDescent="0.2">
      <c r="A36" s="19" t="s">
        <v>325</v>
      </c>
      <c r="D36" s="15"/>
      <c r="E36" s="15"/>
      <c r="H36" s="15"/>
      <c r="I36" s="15"/>
      <c r="K36" s="276"/>
      <c r="L36" s="24"/>
    </row>
    <row r="37" spans="1:12" hidden="1" x14ac:dyDescent="0.2">
      <c r="B37" s="19" t="s">
        <v>326</v>
      </c>
      <c r="D37" s="268">
        <v>0</v>
      </c>
      <c r="E37" s="268">
        <v>0</v>
      </c>
      <c r="G37" s="269">
        <f t="shared" ref="G37:G48" si="2">+D37+E37</f>
        <v>0</v>
      </c>
      <c r="H37" s="268">
        <v>200</v>
      </c>
      <c r="I37" s="268">
        <v>200</v>
      </c>
      <c r="K37" s="276"/>
      <c r="L37" s="24"/>
    </row>
    <row r="38" spans="1:12" x14ac:dyDescent="0.2">
      <c r="B38" s="19" t="s">
        <v>327</v>
      </c>
      <c r="D38" s="268">
        <f>5-10</f>
        <v>-5</v>
      </c>
      <c r="E38" s="17">
        <v>7</v>
      </c>
      <c r="G38" s="269">
        <f t="shared" si="2"/>
        <v>2</v>
      </c>
      <c r="H38" s="17">
        <v>18</v>
      </c>
      <c r="I38" s="17">
        <v>9</v>
      </c>
      <c r="K38" s="276"/>
      <c r="L38" s="24"/>
    </row>
    <row r="39" spans="1:12" x14ac:dyDescent="0.2">
      <c r="B39" s="19" t="s">
        <v>328</v>
      </c>
      <c r="D39" s="268">
        <v>-65</v>
      </c>
      <c r="E39" s="17">
        <v>-25</v>
      </c>
      <c r="G39" s="269">
        <f t="shared" si="2"/>
        <v>-90</v>
      </c>
      <c r="H39" s="17">
        <v>-53</v>
      </c>
      <c r="I39" s="17">
        <v>-142</v>
      </c>
      <c r="K39" s="276"/>
      <c r="L39" s="24"/>
    </row>
    <row r="40" spans="1:12" x14ac:dyDescent="0.2">
      <c r="B40" s="19" t="s">
        <v>329</v>
      </c>
      <c r="D40" s="268">
        <v>15</v>
      </c>
      <c r="E40" s="17">
        <v>6</v>
      </c>
      <c r="G40" s="269">
        <f t="shared" si="2"/>
        <v>21</v>
      </c>
      <c r="H40" s="271">
        <v>0</v>
      </c>
      <c r="I40" s="271">
        <v>114</v>
      </c>
      <c r="K40" s="276"/>
      <c r="L40" s="24"/>
    </row>
    <row r="41" spans="1:12" x14ac:dyDescent="0.2">
      <c r="B41" s="19" t="s">
        <v>330</v>
      </c>
      <c r="D41" s="268">
        <v>-1</v>
      </c>
      <c r="E41" s="17">
        <v>-143</v>
      </c>
      <c r="G41" s="269">
        <f t="shared" si="2"/>
        <v>-144</v>
      </c>
      <c r="H41" s="271">
        <v>0</v>
      </c>
      <c r="I41" s="271">
        <v>0</v>
      </c>
      <c r="K41" s="276"/>
      <c r="L41" s="24"/>
    </row>
    <row r="42" spans="1:12" x14ac:dyDescent="0.2">
      <c r="B42" s="19" t="s">
        <v>331</v>
      </c>
      <c r="D42" s="268">
        <v>0</v>
      </c>
      <c r="E42" s="17">
        <v>-1</v>
      </c>
      <c r="G42" s="269">
        <f t="shared" si="2"/>
        <v>-1</v>
      </c>
      <c r="H42" s="17">
        <v>-14</v>
      </c>
      <c r="I42" s="17">
        <v>-16</v>
      </c>
      <c r="K42" s="276"/>
      <c r="L42" s="24"/>
    </row>
    <row r="43" spans="1:12" hidden="1" x14ac:dyDescent="0.2">
      <c r="B43" s="19" t="s">
        <v>332</v>
      </c>
      <c r="D43" s="268">
        <v>0</v>
      </c>
      <c r="E43" s="271">
        <v>0</v>
      </c>
      <c r="G43" s="269">
        <f t="shared" si="2"/>
        <v>0</v>
      </c>
      <c r="H43" s="271">
        <v>-50</v>
      </c>
      <c r="I43" s="271">
        <v>-50</v>
      </c>
      <c r="K43" s="276"/>
      <c r="L43" s="24"/>
    </row>
    <row r="44" spans="1:12" hidden="1" x14ac:dyDescent="0.2">
      <c r="B44" s="19" t="s">
        <v>333</v>
      </c>
      <c r="D44" s="268">
        <v>0</v>
      </c>
      <c r="E44" s="271">
        <v>0</v>
      </c>
      <c r="G44" s="269">
        <f t="shared" si="2"/>
        <v>0</v>
      </c>
      <c r="H44" s="271">
        <v>-89</v>
      </c>
      <c r="I44" s="271">
        <v>-94</v>
      </c>
      <c r="K44" s="276"/>
      <c r="L44" s="24"/>
    </row>
    <row r="45" spans="1:12" hidden="1" x14ac:dyDescent="0.2">
      <c r="B45" s="19" t="s">
        <v>334</v>
      </c>
      <c r="D45" s="268">
        <v>0</v>
      </c>
      <c r="E45" s="271">
        <v>0</v>
      </c>
      <c r="G45" s="269">
        <f t="shared" si="2"/>
        <v>0</v>
      </c>
      <c r="H45" s="271">
        <v>0</v>
      </c>
      <c r="I45" s="271">
        <v>-93</v>
      </c>
      <c r="K45" s="276"/>
      <c r="L45" s="24"/>
    </row>
    <row r="46" spans="1:12" hidden="1" x14ac:dyDescent="0.2">
      <c r="B46" s="19" t="s">
        <v>335</v>
      </c>
      <c r="D46" s="268">
        <v>0</v>
      </c>
      <c r="E46" s="271">
        <v>0</v>
      </c>
      <c r="G46" s="269">
        <f t="shared" si="2"/>
        <v>0</v>
      </c>
      <c r="H46" s="271">
        <v>0</v>
      </c>
      <c r="I46" s="271">
        <v>166</v>
      </c>
      <c r="K46" s="276"/>
      <c r="L46" s="24"/>
    </row>
    <row r="47" spans="1:12" x14ac:dyDescent="0.2">
      <c r="B47" s="19" t="s">
        <v>336</v>
      </c>
      <c r="D47" s="268">
        <v>0</v>
      </c>
      <c r="E47" s="17">
        <v>46</v>
      </c>
      <c r="G47" s="269">
        <f t="shared" si="2"/>
        <v>46</v>
      </c>
      <c r="H47" s="271">
        <v>0</v>
      </c>
      <c r="I47" s="271">
        <v>0</v>
      </c>
      <c r="K47" s="276"/>
      <c r="L47" s="24"/>
    </row>
    <row r="48" spans="1:12" x14ac:dyDescent="0.2">
      <c r="B48" s="19" t="s">
        <v>337</v>
      </c>
      <c r="D48" s="272">
        <v>5</v>
      </c>
      <c r="E48" s="18">
        <v>16</v>
      </c>
      <c r="G48" s="273">
        <f t="shared" si="2"/>
        <v>21</v>
      </c>
      <c r="H48" s="18">
        <v>6</v>
      </c>
      <c r="I48" s="18">
        <v>12</v>
      </c>
      <c r="K48" s="276"/>
      <c r="L48" s="24"/>
    </row>
    <row r="49" spans="1:12" x14ac:dyDescent="0.2">
      <c r="A49" s="19" t="s">
        <v>338</v>
      </c>
      <c r="D49" s="277">
        <f>SUM(D38:D48)</f>
        <v>-51</v>
      </c>
      <c r="E49" s="277">
        <f>SUM(E38:E48)</f>
        <v>-94</v>
      </c>
      <c r="G49" s="277">
        <f>SUM(G38:G48)</f>
        <v>-145</v>
      </c>
      <c r="H49" s="278">
        <f>SUM(H37:H48)</f>
        <v>18</v>
      </c>
      <c r="I49" s="278">
        <f>SUM(I37:I48)</f>
        <v>106</v>
      </c>
      <c r="K49" s="276"/>
      <c r="L49" s="24"/>
    </row>
    <row r="50" spans="1:12" x14ac:dyDescent="0.2">
      <c r="D50" s="15"/>
      <c r="E50" s="15"/>
      <c r="H50" s="15"/>
      <c r="I50" s="15"/>
      <c r="K50" s="276"/>
      <c r="L50" s="24"/>
    </row>
    <row r="51" spans="1:12" x14ac:dyDescent="0.2">
      <c r="A51" s="19" t="s">
        <v>339</v>
      </c>
      <c r="D51" s="15"/>
      <c r="E51" s="15"/>
      <c r="H51" s="15"/>
      <c r="I51" s="15"/>
      <c r="K51" s="276"/>
      <c r="L51" s="24"/>
    </row>
    <row r="52" spans="1:12" x14ac:dyDescent="0.2">
      <c r="B52" s="19" t="s">
        <v>340</v>
      </c>
      <c r="D52" s="268">
        <v>3</v>
      </c>
      <c r="E52" s="268">
        <v>0</v>
      </c>
      <c r="G52" s="269">
        <f>+D52+E52</f>
        <v>3</v>
      </c>
      <c r="H52" s="268">
        <v>0</v>
      </c>
      <c r="I52" s="268">
        <v>0</v>
      </c>
      <c r="K52" s="276"/>
      <c r="L52" s="24"/>
    </row>
    <row r="53" spans="1:12" x14ac:dyDescent="0.2">
      <c r="B53" s="19" t="s">
        <v>341</v>
      </c>
      <c r="D53" s="272">
        <v>-13</v>
      </c>
      <c r="E53" s="16">
        <v>-1</v>
      </c>
      <c r="G53" s="273">
        <f>+D53+E53</f>
        <v>-14</v>
      </c>
      <c r="H53" s="16">
        <v>-90</v>
      </c>
      <c r="I53" s="16">
        <v>-91</v>
      </c>
      <c r="K53" s="276"/>
      <c r="L53" s="24"/>
    </row>
    <row r="54" spans="1:12" x14ac:dyDescent="0.2">
      <c r="A54" s="19" t="s">
        <v>342</v>
      </c>
      <c r="D54" s="279">
        <f>SUM(D52:D53)</f>
        <v>-10</v>
      </c>
      <c r="E54" s="279">
        <f>SUM(E52:E53)</f>
        <v>-1</v>
      </c>
      <c r="G54" s="279">
        <f>SUM(G52:G53)</f>
        <v>-11</v>
      </c>
      <c r="H54" s="279">
        <f>SUM(H52:H53)</f>
        <v>-90</v>
      </c>
      <c r="I54" s="279">
        <f>SUM(I52:I53)</f>
        <v>-91</v>
      </c>
      <c r="K54" s="280"/>
    </row>
    <row r="55" spans="1:12" x14ac:dyDescent="0.2">
      <c r="D55" s="15"/>
      <c r="E55" s="15"/>
      <c r="H55" s="15"/>
      <c r="I55" s="15"/>
      <c r="K55" s="280"/>
    </row>
    <row r="56" spans="1:12" x14ac:dyDescent="0.2">
      <c r="A56" s="19" t="s">
        <v>343</v>
      </c>
      <c r="D56" s="268">
        <v>12</v>
      </c>
      <c r="E56" s="268">
        <v>4</v>
      </c>
      <c r="G56" s="269">
        <f>+D56+E56</f>
        <v>16</v>
      </c>
      <c r="H56" s="268">
        <v>-47</v>
      </c>
      <c r="I56" s="268">
        <v>-48</v>
      </c>
      <c r="K56" s="280"/>
    </row>
    <row r="57" spans="1:12" x14ac:dyDescent="0.2">
      <c r="D57" s="15"/>
      <c r="E57" s="15"/>
      <c r="H57" s="15"/>
      <c r="I57" s="15"/>
      <c r="K57" s="280"/>
    </row>
    <row r="58" spans="1:12" x14ac:dyDescent="0.2">
      <c r="A58" s="19" t="s">
        <v>344</v>
      </c>
      <c r="D58" s="16">
        <v>1</v>
      </c>
      <c r="E58" s="16">
        <v>2</v>
      </c>
      <c r="G58" s="273">
        <f>+D58+E58</f>
        <v>3</v>
      </c>
      <c r="H58" s="16">
        <v>-5</v>
      </c>
      <c r="I58" s="16">
        <v>7</v>
      </c>
      <c r="K58" s="276"/>
    </row>
    <row r="59" spans="1:12" x14ac:dyDescent="0.2">
      <c r="D59" s="15"/>
      <c r="E59" s="15"/>
      <c r="H59" s="15"/>
      <c r="I59" s="15"/>
      <c r="K59" s="276"/>
    </row>
    <row r="60" spans="1:12" x14ac:dyDescent="0.2">
      <c r="A60" s="21" t="s">
        <v>345</v>
      </c>
      <c r="D60" s="281">
        <f>+D34+D49+D54+D56+D58</f>
        <v>-29</v>
      </c>
      <c r="E60" s="281">
        <f>+E34+E49+E54+E56+E58</f>
        <v>-198</v>
      </c>
      <c r="G60" s="282">
        <f>+D60+E60</f>
        <v>-227</v>
      </c>
      <c r="H60" s="281">
        <f>+H34+H49+H54+H56+H58</f>
        <v>-194</v>
      </c>
      <c r="I60" s="281">
        <f>+I34+I49+I54+I56+I58</f>
        <v>-253</v>
      </c>
      <c r="K60" s="276"/>
    </row>
    <row r="61" spans="1:12" x14ac:dyDescent="0.2">
      <c r="D61" s="15"/>
      <c r="E61" s="15"/>
      <c r="H61" s="15"/>
      <c r="I61" s="15"/>
      <c r="K61" s="276"/>
    </row>
    <row r="62" spans="1:12" x14ac:dyDescent="0.2">
      <c r="A62" s="21" t="s">
        <v>346</v>
      </c>
      <c r="D62" s="16">
        <v>944</v>
      </c>
      <c r="E62" s="16">
        <v>1142</v>
      </c>
      <c r="G62" s="16">
        <v>1142</v>
      </c>
      <c r="H62" s="16">
        <v>1297</v>
      </c>
      <c r="I62" s="16">
        <v>1297</v>
      </c>
      <c r="K62" s="276"/>
    </row>
    <row r="63" spans="1:12" x14ac:dyDescent="0.2">
      <c r="D63" s="15"/>
      <c r="E63" s="15"/>
      <c r="H63" s="15"/>
      <c r="I63" s="15"/>
      <c r="K63" s="276"/>
    </row>
    <row r="64" spans="1:12" ht="13.5" customHeight="1" thickBot="1" x14ac:dyDescent="0.25">
      <c r="A64" s="21" t="s">
        <v>347</v>
      </c>
      <c r="D64" s="283">
        <f>+D60+D62</f>
        <v>915</v>
      </c>
      <c r="E64" s="283">
        <f>+E60+E62</f>
        <v>944</v>
      </c>
      <c r="G64" s="283">
        <f>+G60+G62</f>
        <v>915</v>
      </c>
      <c r="H64" s="283">
        <f>+H60+H62</f>
        <v>1103</v>
      </c>
      <c r="I64" s="283">
        <f>+I60+I62</f>
        <v>1044</v>
      </c>
      <c r="K64" s="276"/>
    </row>
    <row r="65" spans="1:14" ht="13.5" customHeight="1" thickTop="1" x14ac:dyDescent="0.2">
      <c r="D65" s="20"/>
      <c r="E65" s="20"/>
      <c r="G65" s="20"/>
      <c r="H65" s="284"/>
      <c r="I65" s="284"/>
      <c r="K65" s="276"/>
    </row>
    <row r="66" spans="1:14" x14ac:dyDescent="0.2">
      <c r="D66" s="20"/>
      <c r="E66" s="20"/>
      <c r="G66" s="20"/>
      <c r="H66" s="284"/>
      <c r="I66" s="284"/>
      <c r="K66" s="276"/>
    </row>
    <row r="67" spans="1:14" x14ac:dyDescent="0.2">
      <c r="A67" s="19" t="s">
        <v>348</v>
      </c>
      <c r="D67" s="15"/>
      <c r="E67" s="15"/>
      <c r="H67" s="284"/>
      <c r="I67" s="284"/>
      <c r="K67" s="276"/>
    </row>
    <row r="68" spans="1:14" x14ac:dyDescent="0.2">
      <c r="B68" s="19" t="s">
        <v>349</v>
      </c>
      <c r="D68" s="285">
        <v>101</v>
      </c>
      <c r="E68" s="285">
        <v>109</v>
      </c>
      <c r="F68" s="286"/>
      <c r="G68" s="285">
        <f>109+101</f>
        <v>210</v>
      </c>
      <c r="H68" s="285">
        <v>116</v>
      </c>
      <c r="I68" s="285">
        <v>195</v>
      </c>
      <c r="J68" s="287"/>
      <c r="K68" s="286"/>
      <c r="L68" s="286"/>
      <c r="M68" s="286"/>
      <c r="N68" s="286"/>
    </row>
    <row r="69" spans="1:14" x14ac:dyDescent="0.2">
      <c r="A69" s="21"/>
      <c r="D69" s="288"/>
      <c r="E69" s="288"/>
      <c r="F69" s="286"/>
      <c r="G69" s="288"/>
      <c r="H69" s="289"/>
      <c r="I69" s="289"/>
      <c r="J69" s="287"/>
      <c r="K69" s="286"/>
      <c r="L69" s="290"/>
      <c r="M69" s="286"/>
      <c r="N69" s="286"/>
    </row>
    <row r="70" spans="1:14" x14ac:dyDescent="0.2">
      <c r="A70" s="19" t="s">
        <v>350</v>
      </c>
      <c r="D70" s="286"/>
      <c r="E70" s="286"/>
      <c r="F70" s="286"/>
      <c r="G70" s="286"/>
      <c r="H70" s="289"/>
      <c r="I70" s="289"/>
      <c r="J70" s="287"/>
      <c r="K70" s="286"/>
      <c r="L70" s="286"/>
      <c r="M70" s="286"/>
      <c r="N70" s="286"/>
    </row>
    <row r="71" spans="1:14" x14ac:dyDescent="0.2">
      <c r="A71" s="21"/>
      <c r="B71" s="19" t="s">
        <v>351</v>
      </c>
      <c r="D71" s="285">
        <v>754</v>
      </c>
      <c r="E71" s="285">
        <v>20</v>
      </c>
      <c r="F71" s="286"/>
      <c r="G71" s="285">
        <f>754+20</f>
        <v>774</v>
      </c>
      <c r="H71" s="285">
        <v>32</v>
      </c>
      <c r="I71" s="285">
        <v>71</v>
      </c>
      <c r="J71" s="287"/>
      <c r="K71" s="288"/>
      <c r="L71" s="286"/>
      <c r="M71" s="286"/>
      <c r="N71" s="286"/>
    </row>
    <row r="72" spans="1:14" x14ac:dyDescent="0.2">
      <c r="A72" s="21"/>
      <c r="B72" s="19" t="s">
        <v>352</v>
      </c>
      <c r="D72" s="261">
        <v>9</v>
      </c>
      <c r="E72" s="261">
        <v>0</v>
      </c>
      <c r="F72" s="268"/>
      <c r="G72" s="261">
        <v>9</v>
      </c>
      <c r="H72" s="261">
        <v>0</v>
      </c>
      <c r="I72" s="261">
        <v>0</v>
      </c>
      <c r="J72" s="287"/>
      <c r="K72" s="288"/>
      <c r="L72" s="286"/>
      <c r="M72" s="286"/>
      <c r="N72" s="286"/>
    </row>
    <row r="73" spans="1:14" x14ac:dyDescent="0.2">
      <c r="A73" s="21"/>
      <c r="B73" s="19" t="s">
        <v>353</v>
      </c>
      <c r="D73" s="261">
        <v>580</v>
      </c>
      <c r="E73" s="261">
        <v>20</v>
      </c>
      <c r="G73" s="261">
        <f>580+20</f>
        <v>600</v>
      </c>
      <c r="H73" s="261">
        <v>0</v>
      </c>
      <c r="I73" s="261">
        <v>313</v>
      </c>
      <c r="K73" s="291"/>
    </row>
    <row r="74" spans="1:14" x14ac:dyDescent="0.2">
      <c r="A74" s="21"/>
      <c r="B74" s="21" t="s">
        <v>354</v>
      </c>
      <c r="D74" s="261">
        <v>0</v>
      </c>
      <c r="E74" s="261">
        <v>139</v>
      </c>
      <c r="G74" s="261">
        <v>139</v>
      </c>
      <c r="H74" s="292">
        <v>0</v>
      </c>
      <c r="I74" s="292">
        <v>0</v>
      </c>
    </row>
    <row r="75" spans="1:14" x14ac:dyDescent="0.2">
      <c r="A75" s="22"/>
      <c r="B75" s="22"/>
      <c r="C75" s="23"/>
      <c r="D75" s="293"/>
      <c r="E75" s="293"/>
      <c r="F75" s="23"/>
      <c r="G75" s="293"/>
      <c r="H75" s="294"/>
    </row>
    <row r="76" spans="1:14" x14ac:dyDescent="0.2">
      <c r="D76" s="15"/>
      <c r="E76" s="15"/>
    </row>
    <row r="77" spans="1:14" x14ac:dyDescent="0.2">
      <c r="D77" s="15"/>
      <c r="E77" s="15"/>
    </row>
    <row r="78" spans="1:14" x14ac:dyDescent="0.2">
      <c r="D78" s="15"/>
      <c r="E78" s="15"/>
    </row>
    <row r="79" spans="1:14" x14ac:dyDescent="0.2">
      <c r="D79" s="259"/>
      <c r="E79" s="259"/>
      <c r="G79" s="259"/>
    </row>
    <row r="80" spans="1:14" x14ac:dyDescent="0.2">
      <c r="D80" s="15"/>
      <c r="E80" s="15"/>
    </row>
    <row r="81" spans="3:11" x14ac:dyDescent="0.2">
      <c r="D81" s="15"/>
      <c r="E81" s="15"/>
    </row>
    <row r="82" spans="3:11" x14ac:dyDescent="0.2">
      <c r="D82" s="17"/>
      <c r="E82" s="17"/>
      <c r="G82" s="17"/>
    </row>
    <row r="83" spans="3:11" x14ac:dyDescent="0.2">
      <c r="C83" s="24"/>
      <c r="D83" s="24"/>
      <c r="E83" s="24"/>
      <c r="F83" s="24"/>
    </row>
    <row r="84" spans="3:11" x14ac:dyDescent="0.2">
      <c r="C84" s="24"/>
      <c r="D84" s="24"/>
      <c r="E84" s="24"/>
      <c r="F84" s="24"/>
      <c r="G84" s="291"/>
      <c r="K84" s="291"/>
    </row>
    <row r="85" spans="3:11" x14ac:dyDescent="0.2">
      <c r="G85" s="291"/>
      <c r="K85" s="276"/>
    </row>
    <row r="86" spans="3:11" x14ac:dyDescent="0.2">
      <c r="G86" s="291"/>
      <c r="K86" s="276"/>
    </row>
    <row r="87" spans="3:11" x14ac:dyDescent="0.2">
      <c r="G87" s="291"/>
      <c r="K87" s="276"/>
    </row>
    <row r="88" spans="3:11" x14ac:dyDescent="0.2">
      <c r="G88" s="291"/>
      <c r="K88" s="276"/>
    </row>
    <row r="89" spans="3:11" x14ac:dyDescent="0.2">
      <c r="G89" s="291"/>
      <c r="K89" s="276"/>
    </row>
    <row r="90" spans="3:11" x14ac:dyDescent="0.2">
      <c r="G90" s="291"/>
      <c r="K90" s="276"/>
    </row>
    <row r="91" spans="3:11" x14ac:dyDescent="0.2">
      <c r="G91" s="295"/>
      <c r="K91" s="276"/>
    </row>
    <row r="92" spans="3:11" x14ac:dyDescent="0.2">
      <c r="G92" s="291"/>
      <c r="K92" s="276"/>
    </row>
    <row r="93" spans="3:11" x14ac:dyDescent="0.2">
      <c r="K93" s="276"/>
    </row>
    <row r="94" spans="3:11" x14ac:dyDescent="0.2">
      <c r="K94" s="276"/>
    </row>
    <row r="95" spans="3:11" x14ac:dyDescent="0.2">
      <c r="G95" s="17"/>
      <c r="K95" s="276"/>
    </row>
    <row r="96" spans="3:11" x14ac:dyDescent="0.2">
      <c r="G96" s="17"/>
      <c r="K96" s="276"/>
    </row>
    <row r="97" spans="1:11" x14ac:dyDescent="0.2">
      <c r="G97" s="14"/>
      <c r="K97" s="276"/>
    </row>
    <row r="98" spans="1:11" x14ac:dyDescent="0.2">
      <c r="G98" s="14"/>
      <c r="K98" s="276"/>
    </row>
    <row r="100" spans="1:11" x14ac:dyDescent="0.2">
      <c r="K100" s="276"/>
    </row>
    <row r="105" spans="1:11" x14ac:dyDescent="0.2">
      <c r="A105" s="24"/>
      <c r="B105" s="24"/>
      <c r="G105" s="291"/>
    </row>
    <row r="107" spans="1:11" x14ac:dyDescent="0.2">
      <c r="A107" s="24"/>
      <c r="B107" s="24"/>
    </row>
    <row r="109" spans="1:11" x14ac:dyDescent="0.2">
      <c r="A109" s="24"/>
      <c r="B109" s="24"/>
      <c r="G109" s="259"/>
    </row>
    <row r="370" spans="1:1" x14ac:dyDescent="0.2">
      <c r="A370" t="s">
        <v>158</v>
      </c>
    </row>
  </sheetData>
  <mergeCells count="4">
    <mergeCell ref="A2:H2"/>
    <mergeCell ref="A3:H3"/>
    <mergeCell ref="A4:H4"/>
    <mergeCell ref="A5:H5"/>
  </mergeCells>
  <phoneticPr fontId="25" type="noConversion"/>
  <printOptions horizontalCentered="1"/>
  <pageMargins left="0.25" right="0.25" top="0.28000000000000003" bottom="0.23" header="0" footer="0"/>
  <pageSetup scale="85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5</vt:i4>
      </vt:variant>
    </vt:vector>
  </HeadingPairs>
  <TitlesOfParts>
    <vt:vector size="10" baseType="lpstr">
      <vt:lpstr>P&amp;L</vt:lpstr>
      <vt:lpstr>P&amp;L Crib</vt:lpstr>
      <vt:lpstr>BS</vt:lpstr>
      <vt:lpstr>BS Crib</vt:lpstr>
      <vt:lpstr>CF</vt:lpstr>
      <vt:lpstr>'BS Crib'!Print_Area</vt:lpstr>
      <vt:lpstr>'P&amp;L'!Print_Area</vt:lpstr>
      <vt:lpstr>'P&amp;L Crib'!Print_Area</vt:lpstr>
      <vt:lpstr>'BS Crib'!Print_Titles</vt:lpstr>
      <vt:lpstr>'P&amp;L Crib'!Print_Titles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lynch</dc:creator>
  <cp:lastModifiedBy>xbany</cp:lastModifiedBy>
  <cp:lastPrinted>2003-07-24T03:33:16Z</cp:lastPrinted>
  <dcterms:created xsi:type="dcterms:W3CDTF">2003-07-18T17:43:53Z</dcterms:created>
  <dcterms:modified xsi:type="dcterms:W3CDTF">2021-01-12T02:58:28Z</dcterms:modified>
</cp:coreProperties>
</file>