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uhen\Desktop\ВРФ\"/>
    </mc:Choice>
  </mc:AlternateContent>
  <bookViews>
    <workbookView xWindow="0" yWindow="0" windowWidth="18150" windowHeight="118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96" i="1" l="1"/>
  <c r="H66" i="1" l="1"/>
  <c r="I63" i="1"/>
  <c r="I60" i="1"/>
  <c r="I57" i="1"/>
  <c r="I54" i="1"/>
  <c r="L51" i="1"/>
  <c r="L50" i="1"/>
  <c r="J35" i="1"/>
  <c r="J34" i="1"/>
  <c r="C23" i="1"/>
  <c r="G4" i="1"/>
  <c r="L25" i="1" s="1"/>
  <c r="G3" i="1"/>
  <c r="K25" i="1" s="1"/>
  <c r="G1" i="1"/>
  <c r="E16" i="1" s="1"/>
  <c r="J12" i="1"/>
  <c r="G2" i="1"/>
  <c r="H69" i="1" l="1"/>
  <c r="I69" i="1" s="1"/>
  <c r="D69" i="1" s="1"/>
  <c r="J100" i="1"/>
  <c r="M12" i="1"/>
  <c r="C22" i="1"/>
  <c r="G20" i="1"/>
  <c r="N78" i="1" s="1"/>
  <c r="L12" i="1"/>
  <c r="C21" i="1"/>
  <c r="I66" i="1"/>
  <c r="J66" i="1" s="1"/>
  <c r="K66" i="1" s="1"/>
  <c r="E66" i="1" s="1"/>
  <c r="J60" i="1"/>
  <c r="M50" i="1"/>
  <c r="K34" i="1"/>
  <c r="F16" i="1"/>
  <c r="D17" i="1" s="1"/>
  <c r="K35" i="1"/>
  <c r="C20" i="1"/>
  <c r="K39" i="1" s="1"/>
  <c r="K33" i="1"/>
  <c r="J45" i="1"/>
  <c r="K42" i="1"/>
  <c r="J54" i="1"/>
  <c r="J39" i="1"/>
  <c r="L49" i="1"/>
  <c r="M51" i="1"/>
  <c r="J57" i="1"/>
  <c r="J63" i="1"/>
  <c r="F23" i="1" l="1"/>
  <c r="J13" i="1"/>
  <c r="K13" i="1" s="1"/>
  <c r="F13" i="1" s="1"/>
  <c r="J25" i="1" s="1"/>
  <c r="M25" i="1" s="1"/>
  <c r="F25" i="1" s="1"/>
  <c r="F28" i="1" s="1"/>
  <c r="D28" i="1" s="1"/>
  <c r="C31" i="1" s="1"/>
  <c r="F22" i="1"/>
  <c r="N77" i="1" s="1"/>
  <c r="J78" i="1"/>
  <c r="L78" i="1"/>
  <c r="K77" i="1"/>
  <c r="K57" i="1"/>
  <c r="F57" i="1" s="1"/>
  <c r="M79" i="1" s="1"/>
  <c r="L33" i="1"/>
  <c r="L35" i="1"/>
  <c r="M35" i="1" s="1"/>
  <c r="L42" i="1"/>
  <c r="G42" i="1" s="1"/>
  <c r="J73" i="1" s="1"/>
  <c r="K45" i="1"/>
  <c r="F45" i="1" s="1"/>
  <c r="K73" i="1" s="1"/>
  <c r="K63" i="1"/>
  <c r="G63" i="1" s="1"/>
  <c r="L79" i="1" s="1"/>
  <c r="N50" i="1"/>
  <c r="O50" i="1" s="1"/>
  <c r="N51" i="1"/>
  <c r="O51" i="1" s="1"/>
  <c r="L34" i="1"/>
  <c r="M34" i="1" s="1"/>
  <c r="M49" i="1"/>
  <c r="K54" i="1"/>
  <c r="F54" i="1" s="1"/>
  <c r="J79" i="1" s="1"/>
  <c r="F39" i="1"/>
  <c r="I73" i="1" s="1"/>
  <c r="K60" i="1"/>
  <c r="G60" i="1" s="1"/>
  <c r="K79" i="1" s="1"/>
  <c r="I35" i="1" l="1"/>
  <c r="I34" i="1"/>
  <c r="K51" i="1"/>
  <c r="K50" i="1"/>
  <c r="G33" i="1" l="1"/>
  <c r="L72" i="1" s="1"/>
  <c r="M72" i="1" s="1"/>
  <c r="N72" i="1" s="1"/>
  <c r="I48" i="1"/>
  <c r="K78" i="1" s="1"/>
  <c r="I72" i="1" l="1"/>
  <c r="J72" i="1"/>
  <c r="K72" i="1" s="1"/>
  <c r="M78" i="1"/>
  <c r="L77" i="1"/>
  <c r="M77" i="1" s="1"/>
  <c r="O78" i="1"/>
  <c r="J77" i="1"/>
  <c r="O77" i="1"/>
  <c r="P77" i="1" s="1"/>
  <c r="G72" i="1" l="1"/>
  <c r="G83" i="1" s="1"/>
  <c r="C86" i="1" s="1"/>
  <c r="K89" i="1" s="1"/>
  <c r="H77" i="1"/>
  <c r="C83" i="1" s="1"/>
  <c r="J86" i="1" l="1"/>
  <c r="K86" i="1" s="1"/>
  <c r="H86" i="1" s="1"/>
  <c r="J89" i="1" s="1"/>
  <c r="L89" i="1" s="1"/>
  <c r="M89" i="1" s="1"/>
  <c r="D89" i="1" s="1"/>
  <c r="F92" i="1" s="1"/>
  <c r="G92" i="1" s="1"/>
  <c r="H92" i="1" s="1"/>
  <c r="D92" i="1" l="1"/>
  <c r="I100" i="1" s="1"/>
  <c r="D100" i="1" s="1"/>
  <c r="C9" i="1" s="1"/>
</calcChain>
</file>

<file path=xl/sharedStrings.xml><?xml version="1.0" encoding="utf-8"?>
<sst xmlns="http://schemas.openxmlformats.org/spreadsheetml/2006/main" count="23" uniqueCount="22">
  <si>
    <t>Давление</t>
  </si>
  <si>
    <t>Температура</t>
  </si>
  <si>
    <t>Азот</t>
  </si>
  <si>
    <t>Углекислый газ</t>
  </si>
  <si>
    <t>Плотность</t>
  </si>
  <si>
    <t>. </t>
  </si>
  <si>
    <t xml:space="preserve">Коэф.сжимаемости при ст.условиях </t>
  </si>
  <si>
    <t>Кельвин</t>
  </si>
  <si>
    <t>МПа</t>
  </si>
  <si>
    <t>Т2</t>
  </si>
  <si>
    <t>k</t>
  </si>
  <si>
    <t>Хэ2</t>
  </si>
  <si>
    <t>Хэ3</t>
  </si>
  <si>
    <t>, </t>
  </si>
  <si>
    <t>Нэ2</t>
  </si>
  <si>
    <t>Xa2</t>
  </si>
  <si>
    <t>Xy2</t>
  </si>
  <si>
    <t>Коэф.сжимаемости</t>
  </si>
  <si>
    <t>Расход газа</t>
  </si>
  <si>
    <t xml:space="preserve">Станд. расход газа </t>
  </si>
  <si>
    <t>Tc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</si>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</sst>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  <font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Font="1"/>
    <xf numFmtId="0" fontId="0" fillId="2" borderId="0" xfId="0" applyFill="1"/>
    <xf numFmtId="0" fontId="2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3" fillId="2" borderId="5" xfId="0" applyFont="1" applyFill="1" applyBorder="1"/>
    <xf numFmtId="0" fontId="0" fillId="2" borderId="6" xfId="0" applyFont="1" applyFill="1" applyBorder="1"/>
    <xf numFmtId="0" fontId="0" fillId="2" borderId="8" xfId="0" applyFont="1" applyFill="1" applyBorder="1"/>
    <xf numFmtId="0" fontId="0" fillId="2" borderId="0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2" fillId="2" borderId="5" xfId="0" applyFont="1" applyFill="1" applyBorder="1"/>
    <xf numFmtId="0" fontId="0" fillId="2" borderId="8" xfId="0" applyFill="1" applyBorder="1"/>
    <xf numFmtId="0" fontId="0" fillId="0" borderId="4" xfId="0" applyBorder="1"/>
    <xf numFmtId="0" fontId="1" fillId="0" borderId="0" xfId="0" applyFont="1"/>
    <xf numFmtId="0" fontId="1" fillId="0" borderId="1" xfId="0" applyFont="1" applyBorder="1"/>
    <xf numFmtId="0" fontId="0" fillId="3" borderId="2" xfId="0" applyFill="1" applyBorder="1"/>
    <xf numFmtId="0" fontId="0" fillId="3" borderId="3" xfId="0" applyFill="1" applyBorder="1"/>
    <xf numFmtId="0" fontId="0" fillId="4" borderId="8" xfId="0" applyFill="1" applyBorder="1"/>
    <xf numFmtId="0" fontId="0" fillId="4" borderId="0" xfId="0" applyFill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emf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emf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12</xdr:row>
      <xdr:rowOff>38100</xdr:rowOff>
    </xdr:from>
    <xdr:to>
      <xdr:col>4</xdr:col>
      <xdr:colOff>542925</xdr:colOff>
      <xdr:row>13</xdr:row>
      <xdr:rowOff>123825</xdr:rowOff>
    </xdr:to>
    <xdr:pic>
      <xdr:nvPicPr>
        <xdr:cNvPr id="3" name="Рисунок 2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371600"/>
          <a:ext cx="3095625" cy="276225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57150</xdr:colOff>
      <xdr:row>15</xdr:row>
      <xdr:rowOff>180975</xdr:rowOff>
    </xdr:from>
    <xdr:to>
      <xdr:col>2</xdr:col>
      <xdr:colOff>9525</xdr:colOff>
      <xdr:row>17</xdr:row>
      <xdr:rowOff>57150</xdr:rowOff>
    </xdr:to>
    <xdr:pic>
      <xdr:nvPicPr>
        <xdr:cNvPr id="4" name="Рисунок 3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85975"/>
          <a:ext cx="12477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133350</xdr:colOff>
      <xdr:row>19</xdr:row>
      <xdr:rowOff>85725</xdr:rowOff>
    </xdr:from>
    <xdr:to>
      <xdr:col>5</xdr:col>
      <xdr:colOff>523875</xdr:colOff>
      <xdr:row>20</xdr:row>
      <xdr:rowOff>133350</xdr:rowOff>
    </xdr:to>
    <xdr:pic>
      <xdr:nvPicPr>
        <xdr:cNvPr id="5" name="Рисунок 4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752725"/>
          <a:ext cx="1000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24</xdr:row>
      <xdr:rowOff>85725</xdr:rowOff>
    </xdr:from>
    <xdr:to>
      <xdr:col>4</xdr:col>
      <xdr:colOff>590550</xdr:colOff>
      <xdr:row>25</xdr:row>
      <xdr:rowOff>133350</xdr:rowOff>
    </xdr:to>
    <xdr:pic>
      <xdr:nvPicPr>
        <xdr:cNvPr id="6" name="Рисунок 5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705225"/>
          <a:ext cx="31908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27</xdr:row>
      <xdr:rowOff>85725</xdr:rowOff>
    </xdr:from>
    <xdr:to>
      <xdr:col>2</xdr:col>
      <xdr:colOff>609600</xdr:colOff>
      <xdr:row>28</xdr:row>
      <xdr:rowOff>123825</xdr:rowOff>
    </xdr:to>
    <xdr:pic>
      <xdr:nvPicPr>
        <xdr:cNvPr id="7" name="Рисунок 6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276725"/>
          <a:ext cx="1628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32</xdr:row>
      <xdr:rowOff>95250</xdr:rowOff>
    </xdr:from>
    <xdr:to>
      <xdr:col>6</xdr:col>
      <xdr:colOff>9525</xdr:colOff>
      <xdr:row>36</xdr:row>
      <xdr:rowOff>133350</xdr:rowOff>
    </xdr:to>
    <xdr:pic>
      <xdr:nvPicPr>
        <xdr:cNvPr id="8" name="Рисунок 7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38750"/>
          <a:ext cx="38385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38</xdr:row>
      <xdr:rowOff>57150</xdr:rowOff>
    </xdr:from>
    <xdr:to>
      <xdr:col>4</xdr:col>
      <xdr:colOff>447675</xdr:colOff>
      <xdr:row>39</xdr:row>
      <xdr:rowOff>123825</xdr:rowOff>
    </xdr:to>
    <xdr:pic>
      <xdr:nvPicPr>
        <xdr:cNvPr id="9" name="Рисунок 8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343650"/>
          <a:ext cx="2933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371475</xdr:colOff>
      <xdr:row>41</xdr:row>
      <xdr:rowOff>57150</xdr:rowOff>
    </xdr:from>
    <xdr:to>
      <xdr:col>5</xdr:col>
      <xdr:colOff>409575</xdr:colOff>
      <xdr:row>42</xdr:row>
      <xdr:rowOff>133350</xdr:rowOff>
    </xdr:to>
    <xdr:pic>
      <xdr:nvPicPr>
        <xdr:cNvPr id="10" name="Рисунок 9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6915150"/>
          <a:ext cx="3286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</xdr:colOff>
      <xdr:row>44</xdr:row>
      <xdr:rowOff>47625</xdr:rowOff>
    </xdr:from>
    <xdr:to>
      <xdr:col>4</xdr:col>
      <xdr:colOff>495300</xdr:colOff>
      <xdr:row>45</xdr:row>
      <xdr:rowOff>123825</xdr:rowOff>
    </xdr:to>
    <xdr:pic>
      <xdr:nvPicPr>
        <xdr:cNvPr id="11" name="Рисунок 10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7477125"/>
          <a:ext cx="30099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</xdr:colOff>
      <xdr:row>47</xdr:row>
      <xdr:rowOff>114300</xdr:rowOff>
    </xdr:from>
    <xdr:to>
      <xdr:col>7</xdr:col>
      <xdr:colOff>504825</xdr:colOff>
      <xdr:row>51</xdr:row>
      <xdr:rowOff>104775</xdr:rowOff>
    </xdr:to>
    <xdr:pic>
      <xdr:nvPicPr>
        <xdr:cNvPr id="12" name="Рисунок 11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8115300"/>
          <a:ext cx="48863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53</xdr:row>
      <xdr:rowOff>47625</xdr:rowOff>
    </xdr:from>
    <xdr:to>
      <xdr:col>4</xdr:col>
      <xdr:colOff>590550</xdr:colOff>
      <xdr:row>54</xdr:row>
      <xdr:rowOff>114300</xdr:rowOff>
    </xdr:to>
    <xdr:pic>
      <xdr:nvPicPr>
        <xdr:cNvPr id="13" name="Рисунок 12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9191625"/>
          <a:ext cx="3200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56</xdr:row>
      <xdr:rowOff>47625</xdr:rowOff>
    </xdr:from>
    <xdr:to>
      <xdr:col>4</xdr:col>
      <xdr:colOff>590550</xdr:colOff>
      <xdr:row>57</xdr:row>
      <xdr:rowOff>123825</xdr:rowOff>
    </xdr:to>
    <xdr:pic>
      <xdr:nvPicPr>
        <xdr:cNvPr id="14" name="Рисунок 13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9763125"/>
          <a:ext cx="3200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59</xdr:row>
      <xdr:rowOff>66675</xdr:rowOff>
    </xdr:from>
    <xdr:to>
      <xdr:col>5</xdr:col>
      <xdr:colOff>400050</xdr:colOff>
      <xdr:row>60</xdr:row>
      <xdr:rowOff>142875</xdr:rowOff>
    </xdr:to>
    <xdr:pic>
      <xdr:nvPicPr>
        <xdr:cNvPr id="15" name="Рисунок 14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0353675"/>
          <a:ext cx="35052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62</xdr:row>
      <xdr:rowOff>47625</xdr:rowOff>
    </xdr:from>
    <xdr:to>
      <xdr:col>5</xdr:col>
      <xdr:colOff>371475</xdr:colOff>
      <xdr:row>63</xdr:row>
      <xdr:rowOff>123825</xdr:rowOff>
    </xdr:to>
    <xdr:pic>
      <xdr:nvPicPr>
        <xdr:cNvPr id="16" name="Рисунок 15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906125"/>
          <a:ext cx="35433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314325</xdr:colOff>
      <xdr:row>65</xdr:row>
      <xdr:rowOff>57150</xdr:rowOff>
    </xdr:from>
    <xdr:to>
      <xdr:col>3</xdr:col>
      <xdr:colOff>352425</xdr:colOff>
      <xdr:row>66</xdr:row>
      <xdr:rowOff>123825</xdr:rowOff>
    </xdr:to>
    <xdr:pic>
      <xdr:nvPicPr>
        <xdr:cNvPr id="17" name="Рисунок 16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1487150"/>
          <a:ext cx="2066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68</xdr:row>
      <xdr:rowOff>95250</xdr:rowOff>
    </xdr:from>
    <xdr:to>
      <xdr:col>2</xdr:col>
      <xdr:colOff>647700</xdr:colOff>
      <xdr:row>69</xdr:row>
      <xdr:rowOff>104775</xdr:rowOff>
    </xdr:to>
    <xdr:pic>
      <xdr:nvPicPr>
        <xdr:cNvPr id="18" name="Рисунок 17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2096750"/>
          <a:ext cx="1828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71</xdr:row>
      <xdr:rowOff>95250</xdr:rowOff>
    </xdr:from>
    <xdr:to>
      <xdr:col>5</xdr:col>
      <xdr:colOff>361950</xdr:colOff>
      <xdr:row>74</xdr:row>
      <xdr:rowOff>104775</xdr:rowOff>
    </xdr:to>
    <xdr:pic>
      <xdr:nvPicPr>
        <xdr:cNvPr id="19" name="Рисунок 18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2668250"/>
          <a:ext cx="341947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76</xdr:row>
      <xdr:rowOff>38100</xdr:rowOff>
    </xdr:from>
    <xdr:to>
      <xdr:col>6</xdr:col>
      <xdr:colOff>514350</xdr:colOff>
      <xdr:row>80</xdr:row>
      <xdr:rowOff>152400</xdr:rowOff>
    </xdr:to>
    <xdr:pic>
      <xdr:nvPicPr>
        <xdr:cNvPr id="20" name="Рисунок 19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3563600"/>
          <a:ext cx="431482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82</xdr:row>
      <xdr:rowOff>76200</xdr:rowOff>
    </xdr:from>
    <xdr:to>
      <xdr:col>1</xdr:col>
      <xdr:colOff>971550</xdr:colOff>
      <xdr:row>83</xdr:row>
      <xdr:rowOff>152400</xdr:rowOff>
    </xdr:to>
    <xdr:pic>
      <xdr:nvPicPr>
        <xdr:cNvPr id="21" name="Рисунок 20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4744700"/>
          <a:ext cx="7239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82</xdr:row>
      <xdr:rowOff>76200</xdr:rowOff>
    </xdr:from>
    <xdr:to>
      <xdr:col>5</xdr:col>
      <xdr:colOff>342900</xdr:colOff>
      <xdr:row>83</xdr:row>
      <xdr:rowOff>114300</xdr:rowOff>
    </xdr:to>
    <xdr:pic>
      <xdr:nvPicPr>
        <xdr:cNvPr id="22" name="Рисунок 21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14744700"/>
          <a:ext cx="647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85</xdr:row>
      <xdr:rowOff>76200</xdr:rowOff>
    </xdr:from>
    <xdr:to>
      <xdr:col>1</xdr:col>
      <xdr:colOff>942975</xdr:colOff>
      <xdr:row>86</xdr:row>
      <xdr:rowOff>114300</xdr:rowOff>
    </xdr:to>
    <xdr:pic>
      <xdr:nvPicPr>
        <xdr:cNvPr id="23" name="Рисунок 22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5316200"/>
          <a:ext cx="7239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85</xdr:row>
      <xdr:rowOff>66675</xdr:rowOff>
    </xdr:from>
    <xdr:to>
      <xdr:col>6</xdr:col>
      <xdr:colOff>342900</xdr:colOff>
      <xdr:row>86</xdr:row>
      <xdr:rowOff>104775</xdr:rowOff>
    </xdr:to>
    <xdr:pic>
      <xdr:nvPicPr>
        <xdr:cNvPr id="24" name="Рисунок 23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15306675"/>
          <a:ext cx="1333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88</xdr:row>
      <xdr:rowOff>66675</xdr:rowOff>
    </xdr:from>
    <xdr:to>
      <xdr:col>2</xdr:col>
      <xdr:colOff>561975</xdr:colOff>
      <xdr:row>89</xdr:row>
      <xdr:rowOff>142875</xdr:rowOff>
    </xdr:to>
    <xdr:pic>
      <xdr:nvPicPr>
        <xdr:cNvPr id="25" name="Рисунок 24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5878175"/>
          <a:ext cx="17430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91</xdr:row>
      <xdr:rowOff>95250</xdr:rowOff>
    </xdr:from>
    <xdr:to>
      <xdr:col>2</xdr:col>
      <xdr:colOff>400050</xdr:colOff>
      <xdr:row>92</xdr:row>
      <xdr:rowOff>123825</xdr:rowOff>
    </xdr:to>
    <xdr:pic>
      <xdr:nvPicPr>
        <xdr:cNvPr id="26" name="Рисунок 25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6478250"/>
          <a:ext cx="14954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95</xdr:row>
      <xdr:rowOff>38100</xdr:rowOff>
    </xdr:from>
    <xdr:to>
      <xdr:col>1</xdr:col>
      <xdr:colOff>1008380</xdr:colOff>
      <xdr:row>97</xdr:row>
      <xdr:rowOff>139700</xdr:rowOff>
    </xdr:to>
    <xdr:pic>
      <xdr:nvPicPr>
        <xdr:cNvPr id="27" name="Рисунок 26"/>
        <xdr:cNvPicPr/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8135600"/>
          <a:ext cx="665480" cy="482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95250</xdr:colOff>
      <xdr:row>99</xdr:row>
      <xdr:rowOff>76200</xdr:rowOff>
    </xdr:from>
    <xdr:to>
      <xdr:col>3</xdr:col>
      <xdr:colOff>19685</xdr:colOff>
      <xdr:row>101</xdr:row>
      <xdr:rowOff>156210</xdr:rowOff>
    </xdr:to>
    <xdr:pic>
      <xdr:nvPicPr>
        <xdr:cNvPr id="28" name="Рисунок 27"/>
        <xdr:cNvPicPr/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935700"/>
          <a:ext cx="1953260" cy="4610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2"/>
  <sheetViews>
    <sheetView tabSelected="1" workbookViewId="0">
      <selection activeCell="F97" sqref="F97"/>
    </sheetView>
  </sheetViews>
  <sheetFormatPr defaultRowHeight="15" x14ac:dyDescent="0.25"/>
  <cols>
    <col min="2" max="2" width="19.42578125" customWidth="1"/>
    <col min="3" max="3" width="11" bestFit="1" customWidth="1"/>
    <col min="8" max="8" width="11" bestFit="1" customWidth="1"/>
    <col min="9" max="13" width="12.7109375" bestFit="1" customWidth="1"/>
    <col min="14" max="14" width="12" bestFit="1" customWidth="1"/>
    <col min="15" max="15" width="12.7109375" bestFit="1" customWidth="1"/>
    <col min="16" max="16" width="12" bestFit="1" customWidth="1"/>
  </cols>
  <sheetData>
    <row r="1" spans="2:13" x14ac:dyDescent="0.25">
      <c r="B1" s="32" t="s">
        <v>0</v>
      </c>
      <c r="C1" s="33">
        <v>700</v>
      </c>
      <c r="G1" s="7">
        <f>C1/1000</f>
        <v>0.7</v>
      </c>
      <c r="H1" s="8" t="s">
        <v>8</v>
      </c>
    </row>
    <row r="2" spans="2:13" x14ac:dyDescent="0.25">
      <c r="B2" s="32" t="s">
        <v>1</v>
      </c>
      <c r="C2" s="33">
        <v>15</v>
      </c>
      <c r="G2" s="7">
        <f>273.15+C2</f>
        <v>288.14999999999998</v>
      </c>
      <c r="H2" s="8" t="s">
        <v>7</v>
      </c>
    </row>
    <row r="3" spans="2:13" x14ac:dyDescent="0.25">
      <c r="B3" s="28" t="s">
        <v>2</v>
      </c>
      <c r="C3" s="29">
        <v>1</v>
      </c>
      <c r="G3">
        <f>C3/100</f>
        <v>0.01</v>
      </c>
    </row>
    <row r="4" spans="2:13" x14ac:dyDescent="0.25">
      <c r="B4" s="28" t="s">
        <v>3</v>
      </c>
      <c r="C4" s="29">
        <v>7.0000000000000007E-2</v>
      </c>
      <c r="G4">
        <f>C4/100</f>
        <v>7.000000000000001E-4</v>
      </c>
    </row>
    <row r="5" spans="2:13" x14ac:dyDescent="0.25">
      <c r="B5" s="32" t="s">
        <v>4</v>
      </c>
      <c r="C5" s="33">
        <v>0.6784</v>
      </c>
    </row>
    <row r="6" spans="2:13" x14ac:dyDescent="0.25">
      <c r="B6" s="30" t="s">
        <v>17</v>
      </c>
      <c r="C6" s="31">
        <f>D92/F13</f>
        <v>0.98811843909369546</v>
      </c>
    </row>
    <row r="8" spans="2:13" x14ac:dyDescent="0.25">
      <c r="B8" s="32" t="s">
        <v>18</v>
      </c>
      <c r="C8" s="33">
        <v>1199.8800000000001</v>
      </c>
    </row>
    <row r="9" spans="2:13" x14ac:dyDescent="0.25">
      <c r="B9" s="34" t="s">
        <v>19</v>
      </c>
      <c r="C9" s="35">
        <f>D100</f>
        <v>7952.3011695824152</v>
      </c>
    </row>
    <row r="12" spans="2:13" x14ac:dyDescent="0.25">
      <c r="B12" s="12" t="s">
        <v>6</v>
      </c>
      <c r="C12" s="12"/>
      <c r="D12" s="12"/>
      <c r="E12" s="6" t="s">
        <v>5</v>
      </c>
      <c r="F12" s="5"/>
      <c r="J12">
        <f>0.0741*C5</f>
        <v>5.0269439999999999E-2</v>
      </c>
      <c r="K12">
        <v>6.0000000000000001E-3</v>
      </c>
      <c r="L12">
        <f>0.063*G3</f>
        <v>6.3000000000000003E-4</v>
      </c>
      <c r="M12">
        <f>0.0575*G4</f>
        <v>4.0250000000000009E-5</v>
      </c>
    </row>
    <row r="13" spans="2:13" x14ac:dyDescent="0.25">
      <c r="B13" s="5"/>
      <c r="C13" s="5"/>
      <c r="D13" s="5"/>
      <c r="E13" s="5"/>
      <c r="F13" s="49">
        <f>1-K13</f>
        <v>0.99809911063134393</v>
      </c>
      <c r="J13">
        <f>J12-K12-L12-M12</f>
        <v>4.3599190000000003E-2</v>
      </c>
      <c r="K13">
        <f>J13*J13</f>
        <v>1.9008893686561002E-3</v>
      </c>
    </row>
    <row r="14" spans="2:13" x14ac:dyDescent="0.25">
      <c r="B14" s="5"/>
      <c r="C14" s="5"/>
      <c r="D14" s="5"/>
      <c r="E14" s="5"/>
      <c r="F14" s="49"/>
    </row>
    <row r="16" spans="2:13" x14ac:dyDescent="0.25">
      <c r="B16" s="9" t="s">
        <v>5</v>
      </c>
      <c r="C16" s="10"/>
      <c r="D16" s="15"/>
      <c r="E16">
        <f>G1*1000</f>
        <v>700</v>
      </c>
      <c r="F16">
        <f>2.7715*G2</f>
        <v>798.60772499999996</v>
      </c>
    </row>
    <row r="17" spans="2:13" x14ac:dyDescent="0.25">
      <c r="B17" s="11"/>
      <c r="C17" s="12"/>
      <c r="D17" s="16">
        <f>E16/F16</f>
        <v>0.87652545559836659</v>
      </c>
    </row>
    <row r="18" spans="2:13" x14ac:dyDescent="0.25">
      <c r="B18" s="13"/>
      <c r="C18" s="14"/>
      <c r="D18" s="17"/>
    </row>
    <row r="20" spans="2:13" x14ac:dyDescent="0.25">
      <c r="B20" s="7" t="s">
        <v>9</v>
      </c>
      <c r="C20" s="8">
        <f>G2*G2</f>
        <v>83030.422499999986</v>
      </c>
      <c r="E20" s="18"/>
      <c r="F20" s="19"/>
      <c r="G20" s="47">
        <f>1-G3-G4</f>
        <v>0.98929999999999996</v>
      </c>
    </row>
    <row r="21" spans="2:13" x14ac:dyDescent="0.25">
      <c r="B21" s="7" t="s">
        <v>15</v>
      </c>
      <c r="C21" s="8">
        <f>G3*G3</f>
        <v>1E-4</v>
      </c>
      <c r="E21" s="20"/>
      <c r="F21" s="21"/>
      <c r="G21" s="48"/>
    </row>
    <row r="22" spans="2:13" x14ac:dyDescent="0.25">
      <c r="B22" s="7" t="s">
        <v>16</v>
      </c>
      <c r="C22" s="8">
        <f>G4*G4</f>
        <v>4.9000000000000018E-7</v>
      </c>
      <c r="E22" s="7" t="s">
        <v>11</v>
      </c>
      <c r="F22" s="8">
        <f>G20*G20</f>
        <v>0.97871448999999988</v>
      </c>
    </row>
    <row r="23" spans="2:13" x14ac:dyDescent="0.25">
      <c r="B23" s="7" t="s">
        <v>10</v>
      </c>
      <c r="C23" s="8">
        <f>1/3</f>
        <v>0.33333333333333331</v>
      </c>
      <c r="E23" s="7" t="s">
        <v>12</v>
      </c>
      <c r="F23" s="8">
        <f>G20*G20*G20</f>
        <v>0.96824224495699984</v>
      </c>
    </row>
    <row r="24" spans="2:13" x14ac:dyDescent="0.25">
      <c r="B24" s="3"/>
    </row>
    <row r="25" spans="2:13" x14ac:dyDescent="0.25">
      <c r="B25" s="23" t="s">
        <v>13</v>
      </c>
      <c r="C25" s="19"/>
      <c r="D25" s="19"/>
      <c r="E25" s="19"/>
      <c r="F25" s="47">
        <f>M25/G20</f>
        <v>16.149923007460153</v>
      </c>
      <c r="J25" s="1">
        <f>24.05525*F13*C5</f>
        <v>16.28806083128033</v>
      </c>
      <c r="K25" s="25">
        <f>28.0135*G3</f>
        <v>0.28013500000000002</v>
      </c>
      <c r="L25" s="2">
        <f>44.01*G4</f>
        <v>3.0807000000000005E-2</v>
      </c>
      <c r="M25" s="27">
        <f>J25-K25-L25</f>
        <v>15.977118831280329</v>
      </c>
    </row>
    <row r="26" spans="2:13" x14ac:dyDescent="0.25">
      <c r="B26" s="20"/>
      <c r="C26" s="21"/>
      <c r="D26" s="21"/>
      <c r="E26" s="21"/>
      <c r="F26" s="48"/>
    </row>
    <row r="28" spans="2:13" x14ac:dyDescent="0.25">
      <c r="B28" s="18"/>
      <c r="C28" s="19"/>
      <c r="D28" s="47">
        <f>128.64+F28</f>
        <v>895.42219447120056</v>
      </c>
      <c r="F28" s="26">
        <f>47.479*F25</f>
        <v>766.78219447120057</v>
      </c>
    </row>
    <row r="29" spans="2:13" x14ac:dyDescent="0.25">
      <c r="B29" s="20"/>
      <c r="C29" s="21"/>
      <c r="D29" s="48"/>
    </row>
    <row r="31" spans="2:13" x14ac:dyDescent="0.25">
      <c r="B31" s="7" t="s">
        <v>14</v>
      </c>
      <c r="C31" s="8">
        <f>D28*D28</f>
        <v>801780.90635162056</v>
      </c>
    </row>
    <row r="33" spans="2:13" x14ac:dyDescent="0.25">
      <c r="B33" s="18"/>
      <c r="C33" s="19"/>
      <c r="D33" s="19"/>
      <c r="E33" s="19"/>
      <c r="F33" s="19"/>
      <c r="G33" s="47">
        <f>J33+K33-L33+I34+I35</f>
        <v>-4.7577762948464504E-2</v>
      </c>
      <c r="J33" s="26">
        <v>-0.42546800000000001</v>
      </c>
      <c r="K33" s="26">
        <f>2.865*G2/1000</f>
        <v>0.82554974999999997</v>
      </c>
      <c r="L33" s="26">
        <f>4.62073*C20/1000000</f>
        <v>0.38366116415842494</v>
      </c>
    </row>
    <row r="34" spans="2:13" x14ac:dyDescent="0.25">
      <c r="B34" s="24"/>
      <c r="C34" s="22"/>
      <c r="D34" s="22"/>
      <c r="E34" s="22"/>
      <c r="F34" s="22"/>
      <c r="G34" s="50"/>
      <c r="I34" s="26">
        <f>D28*M34</f>
        <v>5.4791753504646124E-3</v>
      </c>
      <c r="J34">
        <f>8.77118/10000</f>
        <v>8.7711799999999997E-4</v>
      </c>
      <c r="K34">
        <f>5.56281*G2/1000000</f>
        <v>1.6029237014999998E-3</v>
      </c>
      <c r="L34">
        <f>8.81514*C20/1000000000</f>
        <v>7.3192479859664975E-4</v>
      </c>
      <c r="M34">
        <f>J34-K34+L34</f>
        <v>6.1190970966499073E-6</v>
      </c>
    </row>
    <row r="35" spans="2:13" x14ac:dyDescent="0.25">
      <c r="B35" s="24"/>
      <c r="C35" s="22"/>
      <c r="D35" s="22"/>
      <c r="E35" s="22"/>
      <c r="F35" s="22"/>
      <c r="G35" s="50"/>
      <c r="I35" s="26">
        <f>C31*M35</f>
        <v>-6.9477524140504135E-2</v>
      </c>
      <c r="J35">
        <f>-8.24747/10000000</f>
        <v>-8.2474699999999994E-7</v>
      </c>
      <c r="K35">
        <f>4.31436*G2/1000000000</f>
        <v>1.2431828339999998E-6</v>
      </c>
      <c r="L35">
        <f>6.08319*C20/1000000000000</f>
        <v>5.0508983584777496E-7</v>
      </c>
      <c r="M35">
        <f>J35+K35-L35</f>
        <v>-8.6654001847775113E-8</v>
      </c>
    </row>
    <row r="36" spans="2:13" x14ac:dyDescent="0.25">
      <c r="B36" s="24"/>
      <c r="C36" s="22"/>
      <c r="D36" s="22"/>
      <c r="E36" s="22"/>
      <c r="F36" s="22"/>
      <c r="G36" s="50"/>
    </row>
    <row r="37" spans="2:13" x14ac:dyDescent="0.25">
      <c r="B37" s="20"/>
      <c r="C37" s="21"/>
      <c r="D37" s="21"/>
      <c r="E37" s="21"/>
      <c r="F37" s="21"/>
      <c r="G37" s="48"/>
    </row>
    <row r="39" spans="2:13" x14ac:dyDescent="0.25">
      <c r="B39" s="23"/>
      <c r="C39" s="19"/>
      <c r="D39" s="19"/>
      <c r="E39" s="19"/>
      <c r="F39" s="47">
        <f>I39+J39-K39</f>
        <v>-6.8263772988750304E-3</v>
      </c>
      <c r="I39" s="26">
        <v>-0.14460000000000001</v>
      </c>
      <c r="J39" s="26">
        <f>7.4091*G2/10000</f>
        <v>0.21349321649999997</v>
      </c>
      <c r="K39" s="26">
        <f>9.1195*C20/10000000</f>
        <v>7.5719593798874996E-2</v>
      </c>
    </row>
    <row r="40" spans="2:13" x14ac:dyDescent="0.25">
      <c r="B40" s="20"/>
      <c r="C40" s="21"/>
      <c r="D40" s="21"/>
      <c r="E40" s="21"/>
      <c r="F40" s="48"/>
    </row>
    <row r="42" spans="2:13" x14ac:dyDescent="0.25">
      <c r="B42" s="23"/>
      <c r="C42" s="19"/>
      <c r="D42" s="19"/>
      <c r="E42" s="19"/>
      <c r="F42" s="19"/>
      <c r="G42" s="47">
        <f>J42+K42-L42</f>
        <v>-4.5002618412525064E-2</v>
      </c>
      <c r="J42" s="26">
        <v>-0.33969300000000002</v>
      </c>
      <c r="K42" s="26">
        <f>1.61176*G2/1000</f>
        <v>0.46442864399999995</v>
      </c>
      <c r="L42" s="26">
        <f>2.04429*C20/1000000</f>
        <v>0.16973826241252499</v>
      </c>
    </row>
    <row r="43" spans="2:13" x14ac:dyDescent="0.25">
      <c r="B43" s="20"/>
      <c r="C43" s="21"/>
      <c r="D43" s="21"/>
      <c r="E43" s="21"/>
      <c r="F43" s="21"/>
      <c r="G43" s="48"/>
    </row>
    <row r="45" spans="2:13" x14ac:dyDescent="0.25">
      <c r="B45" s="23"/>
      <c r="C45" s="19"/>
      <c r="D45" s="19"/>
      <c r="E45" s="19"/>
      <c r="F45" s="47">
        <f>I45+J45-K45</f>
        <v>-0.13381581350824989</v>
      </c>
      <c r="I45" s="26">
        <v>-0.86834</v>
      </c>
      <c r="J45" s="26">
        <f>4.0376*G2/1000</f>
        <v>1.1634344400000001</v>
      </c>
      <c r="K45" s="26">
        <f>5.1657*C20/1000000</f>
        <v>0.42891025350824996</v>
      </c>
    </row>
    <row r="46" spans="2:13" x14ac:dyDescent="0.25">
      <c r="B46" s="20"/>
      <c r="C46" s="21"/>
      <c r="D46" s="21"/>
      <c r="E46" s="21"/>
      <c r="F46" s="48"/>
    </row>
    <row r="48" spans="2:13" x14ac:dyDescent="0.25">
      <c r="B48" s="23"/>
      <c r="C48" s="19"/>
      <c r="D48" s="19"/>
      <c r="E48" s="19"/>
      <c r="F48" s="19"/>
      <c r="G48" s="19"/>
      <c r="H48" s="19"/>
      <c r="I48" s="47">
        <f>K49+L49-M49+K50+K51</f>
        <v>2.5601461030103369E-3</v>
      </c>
    </row>
    <row r="49" spans="2:15" x14ac:dyDescent="0.25">
      <c r="B49" s="24"/>
      <c r="C49" s="22"/>
      <c r="D49" s="22"/>
      <c r="E49" s="22"/>
      <c r="F49" s="22"/>
      <c r="G49" s="22"/>
      <c r="H49" s="22"/>
      <c r="I49" s="50"/>
      <c r="K49" s="26">
        <v>-0.30248799999999998</v>
      </c>
      <c r="L49" s="26">
        <f>1.95861*G2/1000</f>
        <v>0.56437347149999995</v>
      </c>
      <c r="M49" s="26">
        <f>3.16302*C20/1000000</f>
        <v>0.26262688697594999</v>
      </c>
    </row>
    <row r="50" spans="2:15" x14ac:dyDescent="0.25">
      <c r="B50" s="24"/>
      <c r="C50" s="22"/>
      <c r="D50" s="22"/>
      <c r="E50" s="22"/>
      <c r="F50" s="22"/>
      <c r="G50" s="22"/>
      <c r="H50" s="22"/>
      <c r="I50" s="50"/>
      <c r="K50" s="26">
        <f>D28*O50</f>
        <v>-6.4070093839640194E-4</v>
      </c>
      <c r="L50">
        <f>6.46422/10000</f>
        <v>6.4642200000000001E-4</v>
      </c>
      <c r="M50">
        <f>4.22876*G2/1000000</f>
        <v>1.218517194E-3</v>
      </c>
      <c r="N50">
        <f>6.88157*C20/1000000000</f>
        <v>5.7137966456332484E-4</v>
      </c>
      <c r="O50">
        <f>L50-M50+N50</f>
        <v>-7.155294366751469E-7</v>
      </c>
    </row>
    <row r="51" spans="2:15" x14ac:dyDescent="0.25">
      <c r="B51" s="24"/>
      <c r="C51" s="22"/>
      <c r="D51" s="22"/>
      <c r="E51" s="22"/>
      <c r="F51" s="22"/>
      <c r="G51" s="22"/>
      <c r="H51" s="22"/>
      <c r="I51" s="50"/>
      <c r="K51" s="26">
        <f>C31*O51</f>
        <v>3.9422625173567635E-3</v>
      </c>
      <c r="L51">
        <f>-3.32805/10000000</f>
        <v>-3.3280499999999999E-7</v>
      </c>
      <c r="M51">
        <f>2.2316*G2/1000000000</f>
        <v>6.4303553999999988E-7</v>
      </c>
      <c r="N51">
        <f>3.67713*C20/1000000000000</f>
        <v>3.0531365748742495E-7</v>
      </c>
      <c r="O51">
        <f>L51+M51-N51</f>
        <v>4.9168825125749329E-9</v>
      </c>
    </row>
    <row r="52" spans="2:15" x14ac:dyDescent="0.25">
      <c r="B52" s="20"/>
      <c r="C52" s="21"/>
      <c r="D52" s="21"/>
      <c r="E52" s="21"/>
      <c r="F52" s="21"/>
      <c r="G52" s="21"/>
      <c r="H52" s="21"/>
      <c r="I52" s="48"/>
    </row>
    <row r="54" spans="2:15" x14ac:dyDescent="0.25">
      <c r="B54" s="18"/>
      <c r="C54" s="19"/>
      <c r="D54" s="19"/>
      <c r="E54" s="19"/>
      <c r="F54" s="47">
        <f>I54-J54+K54</f>
        <v>1.4344382115074987E-3</v>
      </c>
      <c r="I54" s="26">
        <f>7.8498/1000</f>
        <v>7.8498000000000005E-3</v>
      </c>
      <c r="J54" s="26">
        <f>3.9895*G2/100000</f>
        <v>1.149574425E-2</v>
      </c>
      <c r="K54" s="26">
        <f>6.1187*C20/100000000</f>
        <v>5.0803824615074985E-3</v>
      </c>
    </row>
    <row r="55" spans="2:15" x14ac:dyDescent="0.25">
      <c r="B55" s="20"/>
      <c r="C55" s="21"/>
      <c r="D55" s="21"/>
      <c r="E55" s="21"/>
      <c r="F55" s="48"/>
    </row>
    <row r="57" spans="2:15" x14ac:dyDescent="0.25">
      <c r="B57" s="18"/>
      <c r="C57" s="19"/>
      <c r="D57" s="19"/>
      <c r="E57" s="19"/>
      <c r="F57" s="47">
        <f>I57+J57-K57</f>
        <v>5.1543817454824999E-3</v>
      </c>
      <c r="I57" s="26">
        <f>2.0513/1000</f>
        <v>2.0512999999999998E-3</v>
      </c>
      <c r="J57" s="26">
        <f>3.4888*G2/100000</f>
        <v>1.0052977199999999E-2</v>
      </c>
      <c r="K57" s="26">
        <f>8.3703*C20/100000000</f>
        <v>6.9498954545174994E-3</v>
      </c>
    </row>
    <row r="58" spans="2:15" x14ac:dyDescent="0.25">
      <c r="B58" s="20"/>
      <c r="C58" s="21"/>
      <c r="D58" s="21"/>
      <c r="E58" s="21"/>
      <c r="F58" s="48"/>
    </row>
    <row r="60" spans="2:15" x14ac:dyDescent="0.25">
      <c r="B60" s="18"/>
      <c r="C60" s="19"/>
      <c r="D60" s="19"/>
      <c r="E60" s="19"/>
      <c r="F60" s="19"/>
      <c r="G60" s="47">
        <f>I60-J60+K60</f>
        <v>1.9671725123902497E-3</v>
      </c>
      <c r="I60" s="26">
        <f>5.52066/1000</f>
        <v>5.5206600000000002E-3</v>
      </c>
      <c r="J60" s="26">
        <f>1.68609*G2/100000</f>
        <v>4.8584683350000003E-3</v>
      </c>
      <c r="K60" s="26">
        <f>1.57169*C20/100000000</f>
        <v>1.3049808473902498E-3</v>
      </c>
    </row>
    <row r="61" spans="2:15" x14ac:dyDescent="0.25">
      <c r="B61" s="20"/>
      <c r="C61" s="21"/>
      <c r="D61" s="21"/>
      <c r="E61" s="21"/>
      <c r="F61" s="21"/>
      <c r="G61" s="48"/>
    </row>
    <row r="63" spans="2:15" x14ac:dyDescent="0.25">
      <c r="B63" s="18"/>
      <c r="C63" s="19"/>
      <c r="D63" s="19"/>
      <c r="E63" s="19"/>
      <c r="F63" s="19"/>
      <c r="G63" s="47">
        <f>I63+J63-K63</f>
        <v>3.2071465720345002E-3</v>
      </c>
      <c r="I63" s="26">
        <f>3.58783/1000</f>
        <v>3.5878299999999998E-3</v>
      </c>
      <c r="J63" s="26">
        <f>8.06674*G2/1000000</f>
        <v>2.324431131E-3</v>
      </c>
      <c r="K63" s="26">
        <f>3.25798*C20/100000000</f>
        <v>2.7051145589654991E-3</v>
      </c>
    </row>
    <row r="64" spans="2:15" x14ac:dyDescent="0.25">
      <c r="B64" s="20"/>
      <c r="C64" s="21"/>
      <c r="D64" s="21"/>
      <c r="E64" s="21"/>
      <c r="F64" s="21"/>
      <c r="G64" s="48"/>
    </row>
    <row r="66" spans="2:16" x14ac:dyDescent="0.25">
      <c r="B66" s="18"/>
      <c r="C66" s="19"/>
      <c r="D66" s="19"/>
      <c r="E66" s="47">
        <f>G66+K66</f>
        <v>0.73902042187500006</v>
      </c>
      <c r="G66" s="26">
        <v>0.72</v>
      </c>
      <c r="H66" s="4">
        <f>1.875/100000</f>
        <v>1.8749999999999998E-5</v>
      </c>
      <c r="I66">
        <f>320-G2</f>
        <v>31.850000000000023</v>
      </c>
      <c r="J66" s="4">
        <f>I66*I66</f>
        <v>1014.4225000000015</v>
      </c>
      <c r="K66" s="26">
        <f>H66*J66</f>
        <v>1.9020421875000026E-2</v>
      </c>
    </row>
    <row r="67" spans="2:16" x14ac:dyDescent="0.25">
      <c r="B67" s="20"/>
      <c r="C67" s="21"/>
      <c r="D67" s="21"/>
      <c r="E67" s="48"/>
    </row>
    <row r="69" spans="2:16" x14ac:dyDescent="0.25">
      <c r="B69" s="18"/>
      <c r="C69" s="19"/>
      <c r="D69" s="47">
        <f>G69+I69</f>
        <v>0.94359499999999996</v>
      </c>
      <c r="G69" s="26">
        <v>0.92</v>
      </c>
      <c r="H69">
        <f>G2-270</f>
        <v>18.149999999999977</v>
      </c>
      <c r="I69" s="26">
        <f>0.0013*H69</f>
        <v>2.359499999999997E-2</v>
      </c>
    </row>
    <row r="70" spans="2:16" x14ac:dyDescent="0.25">
      <c r="B70" s="20"/>
      <c r="C70" s="21"/>
      <c r="D70" s="48"/>
    </row>
    <row r="72" spans="2:16" x14ac:dyDescent="0.25">
      <c r="B72" s="18"/>
      <c r="C72" s="19"/>
      <c r="D72" s="19"/>
      <c r="E72" s="19"/>
      <c r="F72" s="19"/>
      <c r="G72" s="47">
        <f>I72+K72-N72+I73+J73+K73</f>
        <v>-4.7200237796899136E-2</v>
      </c>
      <c r="I72" s="26">
        <f>F22*G33</f>
        <v>-4.656504599944733E-2</v>
      </c>
      <c r="J72">
        <f>G33+F39</f>
        <v>-5.4404140247339534E-2</v>
      </c>
      <c r="K72" s="26">
        <f>G20*G3*J72</f>
        <v>-5.3822015946692996E-4</v>
      </c>
      <c r="L72">
        <f>G33*F45</f>
        <v>6.366657053851448E-3</v>
      </c>
      <c r="M72">
        <f>IF(L72&lt;0,-1*(SQRT(-1*L72)),SQRT(L72))</f>
        <v>7.9791334453381893E-2</v>
      </c>
      <c r="N72" s="26">
        <f>1.73*G20*G4*M72</f>
        <v>9.559339384859888E-5</v>
      </c>
    </row>
    <row r="73" spans="2:16" x14ac:dyDescent="0.25">
      <c r="B73" s="24"/>
      <c r="C73" s="22"/>
      <c r="D73" s="22"/>
      <c r="E73" s="22"/>
      <c r="F73" s="22"/>
      <c r="G73" s="50"/>
      <c r="I73" s="26">
        <f>C21*F39</f>
        <v>-6.8263772988750312E-7</v>
      </c>
      <c r="J73" s="26">
        <f>2*G3*G4*G42</f>
        <v>-6.3003665777535098E-7</v>
      </c>
      <c r="K73" s="26">
        <f>C22*F45</f>
        <v>-6.5569748619042472E-8</v>
      </c>
    </row>
    <row r="74" spans="2:16" x14ac:dyDescent="0.25">
      <c r="B74" s="24"/>
      <c r="C74" s="22"/>
      <c r="D74" s="22"/>
      <c r="E74" s="22"/>
      <c r="F74" s="22"/>
      <c r="G74" s="50"/>
    </row>
    <row r="75" spans="2:16" x14ac:dyDescent="0.25">
      <c r="B75" s="20"/>
      <c r="C75" s="21"/>
      <c r="D75" s="21"/>
      <c r="E75" s="21"/>
      <c r="F75" s="21"/>
      <c r="G75" s="48"/>
    </row>
    <row r="77" spans="2:16" x14ac:dyDescent="0.25">
      <c r="B77" s="18"/>
      <c r="C77" s="19"/>
      <c r="D77" s="19"/>
      <c r="E77" s="19"/>
      <c r="F77" s="19"/>
      <c r="G77" s="19"/>
      <c r="H77" s="47">
        <f>J77+M77+P77+K78+M78+O78+J79+K79+L79+M79</f>
        <v>2.5440452608214877E-3</v>
      </c>
      <c r="J77" s="26">
        <f>F23*I48</f>
        <v>2.4788416101966431E-3</v>
      </c>
      <c r="K77">
        <f>3*F22*G3*D69</f>
        <v>2.7705302975746495E-2</v>
      </c>
      <c r="L77">
        <f>POWER(I48*I48*F54,C23)</f>
        <v>2.1105895435920272E-3</v>
      </c>
      <c r="M77" s="26">
        <f>K77*L77</f>
        <v>5.8474522762659627E-5</v>
      </c>
      <c r="N77">
        <f>2.76*F22*G4</f>
        <v>1.8908763946799999E-3</v>
      </c>
      <c r="O77">
        <f>POWER(I48*I48*F57,C23)</f>
        <v>3.2327244930744309E-3</v>
      </c>
      <c r="P77" s="26">
        <f>N77*O77</f>
        <v>6.1126824344583104E-6</v>
      </c>
    </row>
    <row r="78" spans="2:16" x14ac:dyDescent="0.25">
      <c r="B78" s="24"/>
      <c r="C78" s="22"/>
      <c r="D78" s="22"/>
      <c r="E78" s="22"/>
      <c r="F78" s="22"/>
      <c r="G78" s="22"/>
      <c r="H78" s="50"/>
      <c r="J78">
        <f>3*G20*C21*D69</f>
        <v>2.8004956005000002E-4</v>
      </c>
      <c r="K78" s="26">
        <f>J78*POWER(I48*F54*F54,C23)</f>
        <v>4.8727901512093945E-7</v>
      </c>
      <c r="L78">
        <f>6.6*G20*G3*G4</f>
        <v>4.5705660000000009E-5</v>
      </c>
      <c r="M78" s="26">
        <f>L78*POWER(I48*F54*F57,C23)</f>
        <v>1.2180853224446292E-7</v>
      </c>
      <c r="N78">
        <f>2.76*G20*C22</f>
        <v>1.3379293200000004E-6</v>
      </c>
      <c r="O78" s="26">
        <f>N78*POWER(I48*F57*F57,C23)</f>
        <v>5.4614229144452842E-9</v>
      </c>
    </row>
    <row r="79" spans="2:16" x14ac:dyDescent="0.25">
      <c r="B79" s="24"/>
      <c r="C79" s="22"/>
      <c r="D79" s="22"/>
      <c r="E79" s="22"/>
      <c r="F79" s="22"/>
      <c r="G79" s="22"/>
      <c r="H79" s="50"/>
      <c r="J79" s="26">
        <f>G3*C21*F54</f>
        <v>1.434438211507499E-9</v>
      </c>
      <c r="K79" s="26">
        <f>3*C21*G4*G60</f>
        <v>4.1310622760195252E-10</v>
      </c>
      <c r="L79" s="26">
        <f>3*G3*C22*G63</f>
        <v>4.7145054608907166E-11</v>
      </c>
      <c r="M79" s="26">
        <f>G4*C22*F57</f>
        <v>1.7679529387004982E-12</v>
      </c>
    </row>
    <row r="80" spans="2:16" x14ac:dyDescent="0.25">
      <c r="B80" s="24"/>
      <c r="C80" s="22"/>
      <c r="D80" s="22"/>
      <c r="E80" s="22"/>
      <c r="F80" s="22"/>
      <c r="G80" s="22"/>
      <c r="H80" s="50"/>
    </row>
    <row r="81" spans="2:13" x14ac:dyDescent="0.25">
      <c r="B81" s="20"/>
      <c r="C81" s="21"/>
      <c r="D81" s="21"/>
      <c r="E81" s="21"/>
      <c r="F81" s="21"/>
      <c r="G81" s="21"/>
      <c r="H81" s="48"/>
    </row>
    <row r="83" spans="2:13" x14ac:dyDescent="0.25">
      <c r="B83" s="18"/>
      <c r="C83" s="47">
        <f>D17*D17*H77</f>
        <v>1.9545820219972125E-3</v>
      </c>
      <c r="E83" s="18"/>
      <c r="F83" s="19"/>
      <c r="G83" s="47">
        <f>D17*G72</f>
        <v>-4.1372209939278259E-2</v>
      </c>
    </row>
    <row r="84" spans="2:13" x14ac:dyDescent="0.25">
      <c r="B84" s="20"/>
      <c r="C84" s="48"/>
      <c r="E84" s="20"/>
      <c r="F84" s="21"/>
      <c r="G84" s="48"/>
    </row>
    <row r="86" spans="2:13" x14ac:dyDescent="0.25">
      <c r="B86" s="18"/>
      <c r="C86" s="47">
        <f>1+G83</f>
        <v>0.95862779006072174</v>
      </c>
      <c r="E86" s="18"/>
      <c r="F86" s="19"/>
      <c r="G86" s="19"/>
      <c r="H86" s="47">
        <f>1+K86</f>
        <v>0.94087355812407847</v>
      </c>
      <c r="J86">
        <f>G83+C83</f>
        <v>-3.9417627917281046E-2</v>
      </c>
      <c r="K86" s="26">
        <f>1.5*J86</f>
        <v>-5.9126441875921573E-2</v>
      </c>
    </row>
    <row r="87" spans="2:13" x14ac:dyDescent="0.25">
      <c r="B87" s="20"/>
      <c r="C87" s="48"/>
      <c r="E87" s="20"/>
      <c r="F87" s="21"/>
      <c r="G87" s="21"/>
      <c r="H87" s="48"/>
    </row>
    <row r="89" spans="2:13" x14ac:dyDescent="0.25">
      <c r="B89" s="18"/>
      <c r="C89" s="19"/>
      <c r="D89" s="47">
        <f>IF(M89&lt;0,-1,POWER(M89,C23))</f>
        <v>0.95658704022320817</v>
      </c>
      <c r="J89">
        <f>H86*H86</f>
        <v>0.88524305237706369</v>
      </c>
      <c r="K89">
        <f>C86*C86*C86</f>
        <v>0.88094753430120509</v>
      </c>
      <c r="L89">
        <f>J89-K89</f>
        <v>4.2955180758585954E-3</v>
      </c>
      <c r="M89" s="4">
        <f>IF(L89&lt;0,-1,H86-(SQRT(L89)))</f>
        <v>0.87533335614194696</v>
      </c>
    </row>
    <row r="90" spans="2:13" x14ac:dyDescent="0.25">
      <c r="B90" s="20"/>
      <c r="C90" s="21"/>
      <c r="D90" s="48"/>
    </row>
    <row r="92" spans="2:13" x14ac:dyDescent="0.25">
      <c r="B92" s="18"/>
      <c r="C92" s="19"/>
      <c r="D92" s="47">
        <f>IF(M89&lt;0,-1,H92)</f>
        <v>0.98624013525784926</v>
      </c>
      <c r="F92">
        <f>C86/D89</f>
        <v>1.0021333655503397</v>
      </c>
      <c r="G92">
        <f>1+D89+F92</f>
        <v>2.9587204057735477</v>
      </c>
      <c r="H92">
        <f>G92/3</f>
        <v>0.98624013525784926</v>
      </c>
    </row>
    <row r="93" spans="2:13" x14ac:dyDescent="0.25">
      <c r="B93" s="20"/>
      <c r="C93" s="21"/>
      <c r="D93" s="48"/>
    </row>
    <row r="96" spans="2:13" x14ac:dyDescent="0.25">
      <c r="B96" s="38"/>
      <c r="C96" s="44">
        <f>F96/F97</f>
        <v>2695.7809030347889</v>
      </c>
      <c r="E96" s="36" t="s">
        <v>20</v>
      </c>
      <c r="F96" s="37">
        <v>273.14999999999998</v>
      </c>
    </row>
    <row r="97" spans="2:10" x14ac:dyDescent="0.25">
      <c r="B97" s="39"/>
      <c r="C97" s="45"/>
      <c r="E97" s="36" t="s">
        <v>21</v>
      </c>
      <c r="F97" s="37">
        <v>0.101325</v>
      </c>
    </row>
    <row r="98" spans="2:10" x14ac:dyDescent="0.25">
      <c r="B98" s="40"/>
      <c r="C98" s="46"/>
    </row>
    <row r="100" spans="2:10" x14ac:dyDescent="0.25">
      <c r="B100" s="38"/>
      <c r="C100" s="41"/>
      <c r="D100" s="44">
        <f>C96*C8*I100*J100</f>
        <v>7952.3011695824152</v>
      </c>
      <c r="I100" s="26">
        <f>1/C6</f>
        <v>1.0120244299025554</v>
      </c>
      <c r="J100" s="26">
        <f>G1/G2</f>
        <v>2.4292903001908728E-3</v>
      </c>
    </row>
    <row r="101" spans="2:10" x14ac:dyDescent="0.25">
      <c r="B101" s="39"/>
      <c r="C101" s="42"/>
      <c r="D101" s="45"/>
    </row>
    <row r="102" spans="2:10" x14ac:dyDescent="0.25">
      <c r="B102" s="40"/>
      <c r="C102" s="43"/>
      <c r="D102" s="46"/>
    </row>
  </sheetData>
  <mergeCells count="25">
    <mergeCell ref="I48:I52"/>
    <mergeCell ref="F54:F55"/>
    <mergeCell ref="F57:F58"/>
    <mergeCell ref="C86:C87"/>
    <mergeCell ref="H86:H87"/>
    <mergeCell ref="G63:G64"/>
    <mergeCell ref="E66:E67"/>
    <mergeCell ref="D69:D70"/>
    <mergeCell ref="G72:G75"/>
    <mergeCell ref="H77:H81"/>
    <mergeCell ref="C83:C84"/>
    <mergeCell ref="G83:G84"/>
    <mergeCell ref="F13:F14"/>
    <mergeCell ref="D28:D29"/>
    <mergeCell ref="G33:G37"/>
    <mergeCell ref="F39:F40"/>
    <mergeCell ref="G42:G43"/>
    <mergeCell ref="C96:C98"/>
    <mergeCell ref="D100:D102"/>
    <mergeCell ref="G60:G61"/>
    <mergeCell ref="G20:G21"/>
    <mergeCell ref="F25:F26"/>
    <mergeCell ref="F45:F46"/>
    <mergeCell ref="D89:D90"/>
    <mergeCell ref="D92:D9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</dc:creator>
  <cp:lastModifiedBy>Yauhen</cp:lastModifiedBy>
  <dcterms:created xsi:type="dcterms:W3CDTF">2021-01-22T09:10:05Z</dcterms:created>
  <dcterms:modified xsi:type="dcterms:W3CDTF">2021-10-07T09:13:41Z</dcterms:modified>
</cp:coreProperties>
</file>