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dai1151judo/throughly/"/>
    </mc:Choice>
  </mc:AlternateContent>
  <xr:revisionPtr revIDLastSave="0" documentId="13_ncr:1_{28B13EB1-8B84-5143-87B5-AD6B450A4BE3}" xr6:coauthVersionLast="43" xr6:coauthVersionMax="43" xr10:uidLastSave="{00000000-0000-0000-0000-000000000000}"/>
  <bookViews>
    <workbookView xWindow="0" yWindow="460" windowWidth="27320" windowHeight="13900" activeTab="2" xr2:uid="{95077F31-4092-AE49-8CAA-4FF4466A30A2}"/>
  </bookViews>
  <sheets>
    <sheet name="Sheet1" sheetId="1" r:id="rId1"/>
    <sheet name="Sheet2" sheetId="2" r:id="rId2"/>
    <sheet name="Sheet3 (2)" sheetId="4" r:id="rId3"/>
    <sheet name="Sheet3" sheetId="3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4" l="1"/>
  <c r="V14" i="4"/>
  <c r="U14" i="4"/>
  <c r="T49" i="4"/>
  <c r="S45" i="4"/>
  <c r="V15" i="5" l="1"/>
  <c r="W15" i="5" s="1"/>
  <c r="U15" i="5"/>
  <c r="V13" i="5"/>
  <c r="W13" i="5" s="1"/>
  <c r="U13" i="5"/>
  <c r="V22" i="5"/>
  <c r="W22" i="5" s="1"/>
  <c r="U22" i="5"/>
  <c r="V20" i="5"/>
  <c r="W20" i="5" s="1"/>
  <c r="U20" i="5"/>
  <c r="V9" i="5"/>
  <c r="W9" i="5" s="1"/>
  <c r="U9" i="5"/>
  <c r="V7" i="5"/>
  <c r="W7" i="5" s="1"/>
  <c r="U7" i="5"/>
  <c r="J153" i="4"/>
  <c r="J152" i="4"/>
  <c r="J151" i="4"/>
  <c r="J150" i="4"/>
  <c r="J149" i="4"/>
  <c r="J148" i="4"/>
  <c r="J147" i="4"/>
  <c r="J146" i="4"/>
  <c r="J145" i="4"/>
  <c r="P64" i="4"/>
  <c r="C21" i="5"/>
  <c r="C20" i="5"/>
  <c r="C19" i="5"/>
  <c r="C18" i="5"/>
  <c r="C17" i="5"/>
  <c r="C16" i="5"/>
  <c r="C15" i="5"/>
  <c r="C14" i="5"/>
  <c r="X20" i="5" l="1"/>
  <c r="X9" i="5"/>
  <c r="X7" i="5"/>
  <c r="X22" i="5"/>
  <c r="X23" i="5" s="1"/>
  <c r="X13" i="5"/>
  <c r="X15" i="5"/>
  <c r="X10" i="5"/>
  <c r="P57" i="4"/>
  <c r="P58" i="4"/>
  <c r="P59" i="4"/>
  <c r="P60" i="4"/>
  <c r="P61" i="4"/>
  <c r="P62" i="4"/>
  <c r="P63" i="4"/>
  <c r="P56" i="4"/>
  <c r="R32" i="4"/>
  <c r="Q32" i="4"/>
  <c r="AR62" i="4"/>
  <c r="AS62" i="4" s="1"/>
  <c r="AU62" i="4" s="1"/>
  <c r="AV62" i="4" s="1"/>
  <c r="AR61" i="4"/>
  <c r="AS61" i="4" s="1"/>
  <c r="AU61" i="4" s="1"/>
  <c r="AV61" i="4" s="1"/>
  <c r="AR60" i="4"/>
  <c r="AS60" i="4" s="1"/>
  <c r="AU60" i="4" s="1"/>
  <c r="AV60" i="4" s="1"/>
  <c r="AR59" i="4"/>
  <c r="AS59" i="4" s="1"/>
  <c r="AU59" i="4" s="1"/>
  <c r="AV59" i="4" s="1"/>
  <c r="AR58" i="4"/>
  <c r="AS58" i="4" s="1"/>
  <c r="AU58" i="4" s="1"/>
  <c r="AV58" i="4" s="1"/>
  <c r="AR57" i="4"/>
  <c r="AR56" i="4"/>
  <c r="AS56" i="4" s="1"/>
  <c r="AR55" i="4"/>
  <c r="AS55" i="4" s="1"/>
  <c r="AU55" i="4" s="1"/>
  <c r="AV55" i="4" s="1"/>
  <c r="X16" i="5" l="1"/>
  <c r="AU56" i="4"/>
  <c r="AV56" i="4" s="1"/>
  <c r="AS57" i="4"/>
  <c r="AU57" i="4" s="1"/>
  <c r="AV57" i="4" s="1"/>
  <c r="AF58" i="4"/>
  <c r="AF57" i="4"/>
  <c r="AF59" i="4"/>
  <c r="AF60" i="4"/>
  <c r="AF61" i="4"/>
  <c r="AF62" i="4"/>
  <c r="AF63" i="4"/>
  <c r="AF56" i="4"/>
  <c r="AG57" i="4"/>
  <c r="AG58" i="4"/>
  <c r="AG59" i="4"/>
  <c r="AG60" i="4"/>
  <c r="AG61" i="4"/>
  <c r="AG62" i="4"/>
  <c r="AG63" i="4"/>
  <c r="AG56" i="4"/>
  <c r="Z43" i="4"/>
  <c r="Y43" i="4"/>
  <c r="Y26" i="4"/>
  <c r="X26" i="4"/>
  <c r="Z13" i="4"/>
  <c r="Z14" i="4"/>
  <c r="Z12" i="4"/>
  <c r="U9" i="4"/>
  <c r="U22" i="4" s="1"/>
  <c r="U10" i="4"/>
  <c r="U24" i="4" s="1"/>
  <c r="U11" i="4"/>
  <c r="U26" i="4" s="1"/>
  <c r="Y22" i="4" l="1"/>
  <c r="AC9" i="4"/>
  <c r="Y19" i="4"/>
  <c r="S32" i="4"/>
  <c r="Q36" i="4" s="1"/>
  <c r="AE10" i="4"/>
  <c r="AE11" i="4"/>
  <c r="AE9" i="4"/>
  <c r="AC10" i="4"/>
  <c r="T32" i="4"/>
  <c r="O36" i="4" s="1"/>
  <c r="AC11" i="4"/>
  <c r="G20" i="4"/>
  <c r="H20" i="4" s="1"/>
  <c r="F20" i="4"/>
  <c r="F18" i="4"/>
  <c r="G13" i="4"/>
  <c r="H13" i="4" s="1"/>
  <c r="F4" i="4"/>
  <c r="G11" i="4"/>
  <c r="H11" i="4" s="1"/>
  <c r="F13" i="4"/>
  <c r="F11" i="4"/>
  <c r="M21" i="4"/>
  <c r="N21" i="4" s="1"/>
  <c r="P21" i="4" s="1"/>
  <c r="G18" i="4"/>
  <c r="H18" i="4" s="1"/>
  <c r="M14" i="4"/>
  <c r="N14" i="4" s="1"/>
  <c r="P14" i="4" s="1"/>
  <c r="M7" i="4"/>
  <c r="N7" i="4" s="1"/>
  <c r="P7" i="4" s="1"/>
  <c r="G6" i="4"/>
  <c r="H6" i="4" s="1"/>
  <c r="F6" i="4"/>
  <c r="G4" i="4"/>
  <c r="H4" i="4" s="1"/>
  <c r="M21" i="3"/>
  <c r="M14" i="3"/>
  <c r="N14" i="3" s="1"/>
  <c r="M7" i="3"/>
  <c r="N7" i="3" s="1"/>
  <c r="N21" i="3"/>
  <c r="I14" i="3"/>
  <c r="F4" i="3"/>
  <c r="I11" i="3"/>
  <c r="K14" i="3" s="1"/>
  <c r="I13" i="3"/>
  <c r="H11" i="3"/>
  <c r="H13" i="3"/>
  <c r="H20" i="3"/>
  <c r="H4" i="3"/>
  <c r="G20" i="3"/>
  <c r="G18" i="3"/>
  <c r="H18" i="3" s="1"/>
  <c r="F20" i="3"/>
  <c r="I20" i="3" s="1"/>
  <c r="F18" i="3"/>
  <c r="I18" i="3" s="1"/>
  <c r="G11" i="3"/>
  <c r="F11" i="3"/>
  <c r="G6" i="3"/>
  <c r="H6" i="3" s="1"/>
  <c r="F6" i="3"/>
  <c r="I6" i="3" s="1"/>
  <c r="G4" i="3"/>
  <c r="F14" i="2"/>
  <c r="F19" i="1"/>
  <c r="M9" i="1"/>
  <c r="L9" i="1"/>
  <c r="F22" i="1" s="1"/>
  <c r="M8" i="1"/>
  <c r="L12" i="1"/>
  <c r="F25" i="1" s="1"/>
  <c r="L10" i="1"/>
  <c r="L8" i="1"/>
  <c r="F21" i="1" s="1"/>
  <c r="L6" i="1"/>
  <c r="L4" i="1"/>
  <c r="F17" i="1" s="1"/>
  <c r="M12" i="1"/>
  <c r="M10" i="1"/>
  <c r="F23" i="1" s="1"/>
  <c r="M6" i="1"/>
  <c r="M4" i="1"/>
  <c r="L5" i="1"/>
  <c r="F18" i="1" s="1"/>
  <c r="G18" i="1" s="1"/>
  <c r="L7" i="1"/>
  <c r="F20" i="1" s="1"/>
  <c r="G20" i="1" s="1"/>
  <c r="M7" i="1"/>
  <c r="L11" i="1"/>
  <c r="F24" i="1" s="1"/>
  <c r="G24" i="1" s="1"/>
  <c r="M3" i="1"/>
  <c r="L3" i="1"/>
  <c r="F16" i="1" s="1"/>
  <c r="P39" i="4" l="1"/>
  <c r="N39" i="4"/>
  <c r="U39" i="4"/>
  <c r="S39" i="4"/>
  <c r="Y20" i="4"/>
  <c r="Z25" i="4" s="1"/>
  <c r="Y21" i="4"/>
  <c r="I13" i="4"/>
  <c r="F28" i="1"/>
  <c r="G16" i="1"/>
  <c r="G22" i="1"/>
  <c r="K21" i="3"/>
  <c r="L21" i="3" s="1"/>
  <c r="O21" i="3" s="1"/>
  <c r="P21" i="3" s="1"/>
  <c r="I21" i="3"/>
  <c r="L14" i="3"/>
  <c r="O14" i="3" s="1"/>
  <c r="P14" i="3" s="1"/>
  <c r="I4" i="3"/>
  <c r="I6" i="4"/>
  <c r="I18" i="4"/>
  <c r="I4" i="4"/>
  <c r="I20" i="4"/>
  <c r="I11" i="4"/>
  <c r="P42" i="4" l="1"/>
  <c r="S42" i="4"/>
  <c r="S44" i="4" s="1"/>
  <c r="Z26" i="4"/>
  <c r="AA46" i="4"/>
  <c r="AE26" i="4"/>
  <c r="AE29" i="4" s="1"/>
  <c r="AC26" i="4"/>
  <c r="AC30" i="4" s="1"/>
  <c r="K14" i="4"/>
  <c r="O14" i="4" s="1"/>
  <c r="Q14" i="4" s="1"/>
  <c r="R14" i="4" s="1"/>
  <c r="K7" i="4"/>
  <c r="O7" i="4" s="1"/>
  <c r="Q7" i="4" s="1"/>
  <c r="R7" i="4" s="1"/>
  <c r="K21" i="4"/>
  <c r="O21" i="4" s="1"/>
  <c r="Q21" i="4" s="1"/>
  <c r="R21" i="4" s="1"/>
  <c r="K7" i="3"/>
  <c r="L7" i="3" s="1"/>
  <c r="O7" i="3" s="1"/>
  <c r="P7" i="3" s="1"/>
  <c r="I7" i="3"/>
  <c r="I7" i="4"/>
  <c r="I21" i="4"/>
  <c r="I14" i="4"/>
  <c r="AE25" i="4" l="1"/>
  <c r="AC29" i="4" s="1"/>
  <c r="AC32" i="4" s="1"/>
  <c r="AC25" i="4"/>
  <c r="AE30" i="4" s="1"/>
  <c r="AF32" i="4" s="1"/>
  <c r="Q49" i="4"/>
  <c r="P49" i="4"/>
  <c r="L21" i="4"/>
  <c r="R49" i="4" l="1"/>
  <c r="S49" i="4" s="1"/>
  <c r="P52" i="4" s="1"/>
  <c r="Q52" i="4" s="1"/>
  <c r="AF34" i="4"/>
  <c r="Z39" i="4" s="1"/>
  <c r="L151" i="4"/>
  <c r="L149" i="4"/>
  <c r="Q58" i="4"/>
  <c r="AI55" i="4" l="1"/>
  <c r="Q57" i="4"/>
  <c r="L150" i="4"/>
  <c r="L145" i="4"/>
  <c r="Q56" i="4"/>
  <c r="Q62" i="4"/>
  <c r="L152" i="4"/>
  <c r="AF36" i="4"/>
  <c r="Q63" i="4"/>
  <c r="Q61" i="4"/>
  <c r="L147" i="4"/>
  <c r="L153" i="4"/>
  <c r="Q64" i="4"/>
  <c r="Z40" i="4"/>
  <c r="AA43" i="4" s="1"/>
  <c r="AA49" i="4" s="1"/>
  <c r="AE55" i="4" s="1"/>
  <c r="Q60" i="4"/>
  <c r="Q59" i="4"/>
  <c r="L148" i="4"/>
  <c r="L146" i="4"/>
  <c r="AF46" i="4" l="1"/>
  <c r="AC55" i="4" s="1"/>
  <c r="Y57" i="4" s="1"/>
  <c r="Y59" i="4" l="1"/>
  <c r="Y63" i="4"/>
  <c r="Y65" i="4"/>
  <c r="Y64" i="4"/>
  <c r="Y56" i="4"/>
  <c r="Y58" i="4"/>
  <c r="Y62" i="4"/>
  <c r="Y60" i="4"/>
  <c r="Y61" i="4"/>
</calcChain>
</file>

<file path=xl/sharedStrings.xml><?xml version="1.0" encoding="utf-8"?>
<sst xmlns="http://schemas.openxmlformats.org/spreadsheetml/2006/main" count="392" uniqueCount="153">
  <si>
    <t>望遠鏡の位置</t>
    <rPh sb="0" eb="3">
      <t>ボウエn</t>
    </rPh>
    <rPh sb="4" eb="6">
      <t xml:space="preserve">イチ </t>
    </rPh>
    <phoneticPr fontId="1"/>
  </si>
  <si>
    <t>差</t>
    <rPh sb="0" eb="1">
      <t xml:space="preserve">サ </t>
    </rPh>
    <phoneticPr fontId="1"/>
  </si>
  <si>
    <t>Ⅰ</t>
    <phoneticPr fontId="1"/>
  </si>
  <si>
    <t>Ⅱ</t>
    <phoneticPr fontId="1"/>
  </si>
  <si>
    <t>θ-θ'</t>
    <phoneticPr fontId="1"/>
  </si>
  <si>
    <t>N1</t>
  </si>
  <si>
    <t>N1</t>
    <phoneticPr fontId="1"/>
  </si>
  <si>
    <t>N2</t>
  </si>
  <si>
    <t>N2</t>
    <phoneticPr fontId="1"/>
  </si>
  <si>
    <t>副尺</t>
    <rPh sb="0" eb="2">
      <t>フク</t>
    </rPh>
    <phoneticPr fontId="1"/>
  </si>
  <si>
    <t>頂角測定</t>
    <rPh sb="0" eb="4">
      <t>チョウカク</t>
    </rPh>
    <phoneticPr fontId="1"/>
  </si>
  <si>
    <t>278°59'</t>
    <phoneticPr fontId="1"/>
  </si>
  <si>
    <t>218°55'</t>
    <phoneticPr fontId="1"/>
  </si>
  <si>
    <t>98°55'</t>
    <phoneticPr fontId="1"/>
  </si>
  <si>
    <t>39°00'</t>
    <phoneticPr fontId="1"/>
  </si>
  <si>
    <t>279°00'</t>
    <phoneticPr fontId="1"/>
  </si>
  <si>
    <t>98°56'</t>
    <phoneticPr fontId="1"/>
  </si>
  <si>
    <t>218°54'</t>
    <phoneticPr fontId="1"/>
  </si>
  <si>
    <t>279°10'</t>
    <phoneticPr fontId="1"/>
  </si>
  <si>
    <t>39°03'</t>
    <phoneticPr fontId="1"/>
  </si>
  <si>
    <t>99°06'</t>
    <phoneticPr fontId="1"/>
  </si>
  <si>
    <t>279°04'</t>
    <phoneticPr fontId="1"/>
  </si>
  <si>
    <t>39°11'</t>
    <phoneticPr fontId="1"/>
  </si>
  <si>
    <t>99°40'</t>
    <phoneticPr fontId="1"/>
  </si>
  <si>
    <t>219°09'</t>
    <phoneticPr fontId="1"/>
  </si>
  <si>
    <t>99°05'</t>
    <phoneticPr fontId="1"/>
  </si>
  <si>
    <t>39°10'</t>
    <phoneticPr fontId="1"/>
  </si>
  <si>
    <t>219°03'</t>
    <phoneticPr fontId="1"/>
  </si>
  <si>
    <t>121°01'</t>
    <phoneticPr fontId="1"/>
  </si>
  <si>
    <t>120°00'</t>
    <phoneticPr fontId="1"/>
  </si>
  <si>
    <t>120°60'</t>
    <phoneticPr fontId="1"/>
  </si>
  <si>
    <t>120°02'</t>
    <phoneticPr fontId="1"/>
  </si>
  <si>
    <t>120°53'</t>
    <phoneticPr fontId="1"/>
  </si>
  <si>
    <t>119°49'</t>
    <phoneticPr fontId="1"/>
  </si>
  <si>
    <t>120°67'</t>
    <phoneticPr fontId="1"/>
  </si>
  <si>
    <t>120°31'</t>
    <phoneticPr fontId="1"/>
  </si>
  <si>
    <t>121°07'</t>
    <phoneticPr fontId="1"/>
  </si>
  <si>
    <t>yellow</t>
    <phoneticPr fontId="1"/>
  </si>
  <si>
    <t>N1'</t>
  </si>
  <si>
    <t>N1'</t>
    <phoneticPr fontId="1"/>
  </si>
  <si>
    <t>N2'</t>
  </si>
  <si>
    <t>N2'</t>
    <phoneticPr fontId="1"/>
  </si>
  <si>
    <t>puple</t>
    <phoneticPr fontId="1"/>
  </si>
  <si>
    <t>first</t>
    <phoneticPr fontId="1"/>
  </si>
  <si>
    <t>δ</t>
    <phoneticPr fontId="1"/>
  </si>
  <si>
    <t>α</t>
    <phoneticPr fontId="1"/>
  </si>
  <si>
    <t>n</t>
    <phoneticPr fontId="1"/>
  </si>
  <si>
    <t>α/2</t>
    <phoneticPr fontId="1"/>
  </si>
  <si>
    <t>δ/2</t>
    <phoneticPr fontId="1"/>
  </si>
  <si>
    <t>(δ+α)/2</t>
    <phoneticPr fontId="1"/>
  </si>
  <si>
    <t>radian a</t>
    <phoneticPr fontId="1"/>
  </si>
  <si>
    <t>=</t>
    <phoneticPr fontId="1"/>
  </si>
  <si>
    <t>A</t>
    <phoneticPr fontId="1"/>
  </si>
  <si>
    <t>f</t>
    <phoneticPr fontId="1"/>
  </si>
  <si>
    <t>/</t>
    <phoneticPr fontId="1"/>
  </si>
  <si>
    <t>λ^2</t>
    <phoneticPr fontId="1"/>
  </si>
  <si>
    <t>λ0^2</t>
    <phoneticPr fontId="1"/>
  </si>
  <si>
    <t>-</t>
    <phoneticPr fontId="1"/>
  </si>
  <si>
    <t>c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</si>
  <si>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</si>
  <si>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</si>
  <si>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</si>
  <si>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</si>
  <si>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a-c</t>
    <phoneticPr fontId="1"/>
  </si>
  <si>
    <t>d-g</t>
    <phoneticPr fontId="1"/>
  </si>
  <si>
    <t>d-b</t>
    <phoneticPr fontId="1"/>
  </si>
  <si>
    <t>e-c</t>
    <phoneticPr fontId="1"/>
  </si>
  <si>
    <t>g</t>
    <phoneticPr fontId="1"/>
  </si>
  <si>
    <t>right</t>
    <phoneticPr fontId="1"/>
  </si>
  <si>
    <t>left</t>
    <phoneticPr fontId="1"/>
  </si>
  <si>
    <t>x^2</t>
    <phoneticPr fontId="1"/>
  </si>
  <si>
    <t>+</t>
    <phoneticPr fontId="1"/>
  </si>
  <si>
    <t>x</t>
    <phoneticPr fontId="1"/>
  </si>
  <si>
    <t>b-x^2</t>
    <phoneticPr fontId="1"/>
  </si>
  <si>
    <t>d-x^2</t>
    <phoneticPr fontId="1"/>
  </si>
  <si>
    <t>a-c/d-b</t>
    <phoneticPr fontId="1"/>
  </si>
  <si>
    <t>λ</t>
    <phoneticPr fontId="1"/>
  </si>
  <si>
    <t>λ０</t>
    <phoneticPr fontId="1"/>
  </si>
  <si>
    <t>λ^2-λ0^2</t>
    <phoneticPr fontId="1"/>
  </si>
  <si>
    <t>f/λ^2-λ0^2</t>
    <phoneticPr fontId="1"/>
  </si>
  <si>
    <t>A+f/λ^2-λ0^2</t>
    <phoneticPr fontId="1"/>
  </si>
  <si>
    <t>y</t>
    <phoneticPr fontId="1"/>
  </si>
  <si>
    <t>p</t>
    <phoneticPr fontId="1"/>
  </si>
  <si>
    <t>b^2</t>
    <phoneticPr fontId="1"/>
  </si>
  <si>
    <t>d^2</t>
    <phoneticPr fontId="1"/>
  </si>
  <si>
    <t>g^2</t>
    <phoneticPr fontId="1"/>
  </si>
  <si>
    <t>c-e</t>
    <phoneticPr fontId="1"/>
  </si>
  <si>
    <t>d^2-b^2</t>
    <phoneticPr fontId="1"/>
  </si>
  <si>
    <t>g^2-d^2</t>
    <phoneticPr fontId="1"/>
  </si>
  <si>
    <t>(a-c)*(g^2-d^2)</t>
    <phoneticPr fontId="1"/>
  </si>
  <si>
    <t>(-b^2+d^2)*(c-e)</t>
    <phoneticPr fontId="1"/>
  </si>
  <si>
    <t>λ0</t>
    <phoneticPr fontId="1"/>
  </si>
  <si>
    <t>x</t>
  </si>
  <si>
    <t>1014.0nm</t>
  </si>
  <si>
    <t>768.2nm</t>
  </si>
  <si>
    <t>656.3nm</t>
  </si>
  <si>
    <t>587.6nm</t>
  </si>
  <si>
    <t>546.1nm</t>
  </si>
  <si>
    <t>486.1nm</t>
  </si>
  <si>
    <t>435.8nm</t>
  </si>
  <si>
    <t>404.7nm</t>
  </si>
  <si>
    <t>365.0nm</t>
  </si>
  <si>
    <t>sf12</t>
    <phoneticPr fontId="1"/>
  </si>
  <si>
    <t>FK1</t>
  </si>
  <si>
    <t>BK7</t>
  </si>
  <si>
    <t>K3</t>
  </si>
  <si>
    <t>BaK4</t>
  </si>
  <si>
    <t>SK5</t>
  </si>
  <si>
    <t>SSK1</t>
  </si>
  <si>
    <t>LaK3</t>
  </si>
  <si>
    <t>KzF2</t>
  </si>
  <si>
    <t>BaF10</t>
  </si>
  <si>
    <t>LaF2</t>
  </si>
  <si>
    <t>LF5</t>
  </si>
  <si>
    <t>F2</t>
  </si>
  <si>
    <t>SF2</t>
  </si>
  <si>
    <t>SF13</t>
  </si>
  <si>
    <t>-</t>
  </si>
  <si>
    <t>SFS1</t>
  </si>
  <si>
    <t>length</t>
    <phoneticPr fontId="1"/>
  </si>
  <si>
    <t>unknown</t>
    <phoneticPr fontId="1"/>
  </si>
  <si>
    <t>BK7</t>
    <phoneticPr fontId="1"/>
  </si>
  <si>
    <t>平均=120°02'</t>
    <rPh sb="0" eb="2">
      <t>ヘイキ</t>
    </rPh>
    <phoneticPr fontId="1"/>
  </si>
  <si>
    <t>黄色</t>
    <rPh sb="0" eb="2">
      <t>キイロ</t>
    </rPh>
    <phoneticPr fontId="1"/>
  </si>
  <si>
    <t>紫</t>
    <rPh sb="0" eb="1">
      <t>ムラサキ</t>
    </rPh>
    <phoneticPr fontId="1"/>
  </si>
  <si>
    <t>緑</t>
    <rPh sb="0" eb="1">
      <t>ミドリ</t>
    </rPh>
    <phoneticPr fontId="1"/>
  </si>
  <si>
    <t>左に回した時</t>
    <rPh sb="0" eb="1">
      <t>ヒダリ</t>
    </rPh>
    <phoneticPr fontId="1"/>
  </si>
  <si>
    <t>右に回した時</t>
    <rPh sb="0" eb="1">
      <t>ミギニマウ</t>
    </rPh>
    <phoneticPr fontId="1"/>
  </si>
  <si>
    <t>読みの差</t>
    <rPh sb="0" eb="1">
      <t>ヨミ</t>
    </rPh>
    <phoneticPr fontId="1"/>
  </si>
  <si>
    <t>300°35'</t>
    <phoneticPr fontId="1"/>
  </si>
  <si>
    <t>63°15'</t>
    <phoneticPr fontId="1"/>
  </si>
  <si>
    <t>123°40'</t>
    <phoneticPr fontId="1"/>
  </si>
  <si>
    <t>121°00'</t>
    <phoneticPr fontId="1"/>
  </si>
  <si>
    <t>242°40'</t>
    <phoneticPr fontId="1"/>
  </si>
  <si>
    <t>12°,40'</t>
    <phoneticPr fontId="1"/>
  </si>
  <si>
    <t>平均  122°20'</t>
    <phoneticPr fontId="1"/>
  </si>
  <si>
    <t>120°25'</t>
    <phoneticPr fontId="1"/>
  </si>
  <si>
    <t>300°30'</t>
    <phoneticPr fontId="1"/>
  </si>
  <si>
    <t>243°12'</t>
    <phoneticPr fontId="1"/>
  </si>
  <si>
    <t>63°18'</t>
    <phoneticPr fontId="1"/>
  </si>
  <si>
    <t>123°18'</t>
    <phoneticPr fontId="1"/>
  </si>
  <si>
    <t>124°07'</t>
    <phoneticPr fontId="1"/>
  </si>
  <si>
    <t>平均  124°06'</t>
    <phoneticPr fontId="1"/>
  </si>
  <si>
    <t>296°37'</t>
    <phoneticPr fontId="1"/>
  </si>
  <si>
    <t>116°30'</t>
    <phoneticPr fontId="1"/>
  </si>
  <si>
    <t>平均  140°25'</t>
    <phoneticPr fontId="1"/>
  </si>
  <si>
    <t>76°17'</t>
    <phoneticPr fontId="1"/>
  </si>
  <si>
    <t>256°40'</t>
    <phoneticPr fontId="1"/>
  </si>
  <si>
    <t>140°40'</t>
    <phoneticPr fontId="1"/>
  </si>
  <si>
    <t>140°10'</t>
    <phoneticPr fontId="1"/>
  </si>
  <si>
    <r>
      <t>N</t>
    </r>
    <r>
      <rPr>
        <vertAlign val="subscript"/>
        <sz val="12"/>
        <color theme="1"/>
        <rFont val="游ゴシック (本文)"/>
        <family val="3"/>
        <charset val="128"/>
      </rPr>
      <t>1</t>
    </r>
    <phoneticPr fontId="1"/>
  </si>
  <si>
    <r>
      <t>N</t>
    </r>
    <r>
      <rPr>
        <vertAlign val="subscript"/>
        <sz val="12"/>
        <color theme="1"/>
        <rFont val="游ゴシック (本文)"/>
        <charset val="128"/>
      </rPr>
      <t>2</t>
    </r>
    <phoneticPr fontId="1"/>
  </si>
  <si>
    <r>
      <t>N</t>
    </r>
    <r>
      <rPr>
        <vertAlign val="subscript"/>
        <sz val="12"/>
        <color theme="1"/>
        <rFont val="游ゴシック (本文)"/>
        <charset val="128"/>
      </rPr>
      <t>1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</si>
</sst>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Osaka"/>
      <family val="2"/>
      <charset val="128"/>
    </font>
    <font>
      <sz val="12"/>
      <color theme="1"/>
      <name val="Osaka"/>
      <family val="2"/>
      <charset val="128"/>
    </font>
    <font>
      <sz val="12"/>
      <name val="游ゴシック"/>
      <family val="2"/>
      <charset val="128"/>
      <scheme val="minor"/>
    </font>
    <font>
      <sz val="12"/>
      <name val="Osaka"/>
      <family val="2"/>
      <charset val="128"/>
    </font>
    <font>
      <vertAlign val="subscript"/>
      <sz val="12"/>
      <color theme="1"/>
      <name val="游ゴシック (本文)"/>
      <family val="3"/>
      <charset val="128"/>
    </font>
    <font>
      <vertAlign val="subscript"/>
      <sz val="12"/>
      <color theme="1"/>
      <name val="游ゴシック (本文)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'Sheet3 (2)'!$AA$74:$AA$81</c:f>
              <c:numCache>
                <c:formatCode>General</c:formatCode>
                <c:ptCount val="8"/>
                <c:pt idx="0">
                  <c:v>404.7</c:v>
                </c:pt>
                <c:pt idx="1">
                  <c:v>407.8</c:v>
                </c:pt>
                <c:pt idx="2">
                  <c:v>433.9</c:v>
                </c:pt>
                <c:pt idx="3">
                  <c:v>435.8</c:v>
                </c:pt>
                <c:pt idx="4">
                  <c:v>491.6</c:v>
                </c:pt>
                <c:pt idx="5">
                  <c:v>546.1</c:v>
                </c:pt>
                <c:pt idx="6">
                  <c:v>577</c:v>
                </c:pt>
                <c:pt idx="7">
                  <c:v>579.1</c:v>
                </c:pt>
              </c:numCache>
            </c:numRef>
          </c:xVal>
          <c:yVal>
            <c:numRef>
              <c:f>'Sheet3 (2)'!$AB$74:$AB$81</c:f>
              <c:numCache>
                <c:formatCode>General</c:formatCode>
                <c:ptCount val="8"/>
                <c:pt idx="0">
                  <c:v>1.7305783532290364</c:v>
                </c:pt>
                <c:pt idx="1">
                  <c:v>1.7273565973205374</c:v>
                </c:pt>
                <c:pt idx="2">
                  <c:v>1.705706818066661</c:v>
                </c:pt>
                <c:pt idx="3">
                  <c:v>1.7044334311485108</c:v>
                </c:pt>
                <c:pt idx="4">
                  <c:v>1.6702759555323174</c:v>
                </c:pt>
                <c:pt idx="5">
                  <c:v>1.6700714975293107</c:v>
                </c:pt>
                <c:pt idx="6">
                  <c:v>1.6658594883735753</c:v>
                </c:pt>
                <c:pt idx="7">
                  <c:v>1.6363051246894111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5-5142-B2E7-F26528F3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95903"/>
        <c:axId val="1595869103"/>
      </c:scatterChart>
      <c:valAx>
        <c:axId val="1592895903"/>
        <c:scaling>
          <c:orientation val="minMax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869103"/>
        <c:crosses val="autoZero"/>
        <c:crossBetween val="midCat"/>
      </c:valAx>
      <c:valAx>
        <c:axId val="15958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89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(2)'!$Z$144</c:f>
              <c:strCache>
                <c:ptCount val="1"/>
                <c:pt idx="0">
                  <c:v>LaK3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(2)'!$Y$145:$Y$153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(2)'!$Z$145:$Z$153</c:f>
              <c:numCache>
                <c:formatCode>General</c:formatCode>
                <c:ptCount val="9"/>
                <c:pt idx="0">
                  <c:v>1.7259</c:v>
                </c:pt>
                <c:pt idx="1">
                  <c:v>1.7156</c:v>
                </c:pt>
                <c:pt idx="2">
                  <c:v>1.7097</c:v>
                </c:pt>
                <c:pt idx="3">
                  <c:v>1.7024999999999999</c:v>
                </c:pt>
                <c:pt idx="4">
                  <c:v>1.6966000000000001</c:v>
                </c:pt>
                <c:pt idx="5">
                  <c:v>1.6935</c:v>
                </c:pt>
                <c:pt idx="6">
                  <c:v>1.6896</c:v>
                </c:pt>
                <c:pt idx="7">
                  <c:v>1.6852</c:v>
                </c:pt>
                <c:pt idx="8">
                  <c:v>1.6794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4-C34C-A535-ADB7448D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42303"/>
        <c:axId val="1626557583"/>
      </c:scatterChart>
      <c:valAx>
        <c:axId val="16269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557583"/>
        <c:crosses val="autoZero"/>
        <c:crossBetween val="midCat"/>
      </c:valAx>
      <c:valAx>
        <c:axId val="16265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9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(2)'!$AB$144</c:f>
              <c:strCache>
                <c:ptCount val="1"/>
                <c:pt idx="0">
                  <c:v>KzF2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(2)'!$AA$145:$AA$153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(2)'!$AB$145:$AB$153</c:f>
              <c:numCache>
                <c:formatCode>General</c:formatCode>
                <c:ptCount val="9"/>
                <c:pt idx="0">
                  <c:v>1.5550999999999999</c:v>
                </c:pt>
                <c:pt idx="1">
                  <c:v>1.5468999999999999</c:v>
                </c:pt>
                <c:pt idx="2">
                  <c:v>1.5422</c:v>
                </c:pt>
                <c:pt idx="3">
                  <c:v>1.5366</c:v>
                </c:pt>
                <c:pt idx="4">
                  <c:v>1.5319</c:v>
                </c:pt>
                <c:pt idx="5">
                  <c:v>1.5294000000000001</c:v>
                </c:pt>
                <c:pt idx="6">
                  <c:v>1.5263</c:v>
                </c:pt>
                <c:pt idx="7">
                  <c:v>1.5227999999999999</c:v>
                </c:pt>
                <c:pt idx="8">
                  <c:v>1.518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A-7F4E-996E-F1024AFA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93247"/>
        <c:axId val="1662561407"/>
      </c:scatterChart>
      <c:valAx>
        <c:axId val="166209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2561407"/>
        <c:crosses val="autoZero"/>
        <c:crossBetween val="midCat"/>
      </c:valAx>
      <c:valAx>
        <c:axId val="16625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209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(2)'!$AD$144</c:f>
              <c:strCache>
                <c:ptCount val="1"/>
                <c:pt idx="0">
                  <c:v>BaF10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(2)'!$AC$145:$AC$153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(2)'!$AD$145:$AD$153</c:f>
              <c:numCache>
                <c:formatCode>General</c:formatCode>
                <c:ptCount val="9"/>
                <c:pt idx="0">
                  <c:v>1.7068000000000001</c:v>
                </c:pt>
                <c:pt idx="1">
                  <c:v>1.6948000000000001</c:v>
                </c:pt>
                <c:pt idx="2">
                  <c:v>1.6879999999999999</c:v>
                </c:pt>
                <c:pt idx="3">
                  <c:v>1.68</c:v>
                </c:pt>
                <c:pt idx="4">
                  <c:v>1.6734</c:v>
                </c:pt>
                <c:pt idx="5">
                  <c:v>1.67</c:v>
                </c:pt>
                <c:pt idx="6">
                  <c:v>1.6657999999999999</c:v>
                </c:pt>
                <c:pt idx="7">
                  <c:v>1.6611</c:v>
                </c:pt>
                <c:pt idx="8">
                  <c:v>1.655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0-8A4A-AB1A-89AF62A6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80255"/>
        <c:axId val="1599592735"/>
      </c:scatterChart>
      <c:valAx>
        <c:axId val="16620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592735"/>
        <c:crosses val="autoZero"/>
        <c:crossBetween val="midCat"/>
      </c:valAx>
      <c:valAx>
        <c:axId val="15995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208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(2)'!$AF$144</c:f>
              <c:strCache>
                <c:ptCount val="1"/>
                <c:pt idx="0">
                  <c:v>LaF2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(2)'!$AE$145:$AE$153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(2)'!$AF$145:$AF$153</c:f>
              <c:numCache>
                <c:formatCode>General</c:formatCode>
                <c:ptCount val="9"/>
                <c:pt idx="0">
                  <c:v>1.7867</c:v>
                </c:pt>
                <c:pt idx="1">
                  <c:v>1.7727999999999999</c:v>
                </c:pt>
                <c:pt idx="2">
                  <c:v>1.7648999999999999</c:v>
                </c:pt>
                <c:pt idx="3">
                  <c:v>1.7556</c:v>
                </c:pt>
                <c:pt idx="4">
                  <c:v>1.7479</c:v>
                </c:pt>
                <c:pt idx="5">
                  <c:v>1.744</c:v>
                </c:pt>
                <c:pt idx="6">
                  <c:v>1.7390000000000001</c:v>
                </c:pt>
                <c:pt idx="7">
                  <c:v>1.7335</c:v>
                </c:pt>
                <c:pt idx="8">
                  <c:v>1.7262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E-4146-972E-CF17D944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94911"/>
        <c:axId val="1623998767"/>
      </c:scatterChart>
      <c:valAx>
        <c:axId val="160039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3998767"/>
        <c:crosses val="autoZero"/>
        <c:crossBetween val="midCat"/>
      </c:valAx>
      <c:valAx>
        <c:axId val="16239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39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(2)'!$AH$144</c:f>
              <c:strCache>
                <c:ptCount val="1"/>
                <c:pt idx="0">
                  <c:v>LF5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(2)'!$AG$145:$AG$153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(2)'!$AH$145:$AH$153</c:f>
              <c:numCache>
                <c:formatCode>General</c:formatCode>
                <c:ptCount val="9"/>
                <c:pt idx="0">
                  <c:v>1.6192</c:v>
                </c:pt>
                <c:pt idx="1">
                  <c:v>1.6067</c:v>
                </c:pt>
                <c:pt idx="2">
                  <c:v>1.5995999999999999</c:v>
                </c:pt>
                <c:pt idx="3">
                  <c:v>1.5914999999999999</c:v>
                </c:pt>
                <c:pt idx="4">
                  <c:v>1.5848</c:v>
                </c:pt>
                <c:pt idx="5">
                  <c:v>1.5813999999999999</c:v>
                </c:pt>
                <c:pt idx="6">
                  <c:v>1.5771999999999999</c:v>
                </c:pt>
                <c:pt idx="7">
                  <c:v>1.5726</c:v>
                </c:pt>
                <c:pt idx="8">
                  <c:v>1.5667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7-2646-AC6A-F937EF8C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88191"/>
        <c:axId val="1626914975"/>
      </c:scatterChart>
      <c:valAx>
        <c:axId val="15896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914975"/>
        <c:crosses val="autoZero"/>
        <c:crossBetween val="midCat"/>
      </c:valAx>
      <c:valAx>
        <c:axId val="16269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96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(2)'!$AJ$144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(2)'!$AI$145:$AI$153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(2)'!$AJ$145:$AJ$153</c:f>
              <c:numCache>
                <c:formatCode>General</c:formatCode>
                <c:ptCount val="9"/>
                <c:pt idx="0">
                  <c:v>1.6662999999999999</c:v>
                </c:pt>
                <c:pt idx="1">
                  <c:v>1.6507000000000001</c:v>
                </c:pt>
                <c:pt idx="2">
                  <c:v>1.6420999999999999</c:v>
                </c:pt>
                <c:pt idx="3">
                  <c:v>1.6321000000000001</c:v>
                </c:pt>
                <c:pt idx="4">
                  <c:v>1.6241000000000001</c:v>
                </c:pt>
                <c:pt idx="5">
                  <c:v>1.62</c:v>
                </c:pt>
                <c:pt idx="6">
                  <c:v>1.615</c:v>
                </c:pt>
                <c:pt idx="7">
                  <c:v>1.6095999999999999</c:v>
                </c:pt>
                <c:pt idx="8">
                  <c:v>1.6028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8-9049-8B79-8D455903B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083407"/>
        <c:axId val="1626805407"/>
      </c:scatterChart>
      <c:valAx>
        <c:axId val="162708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805407"/>
        <c:crosses val="autoZero"/>
        <c:crossBetween val="midCat"/>
      </c:valAx>
      <c:valAx>
        <c:axId val="16268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08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(2)'!$AL$144</c:f>
              <c:strCache>
                <c:ptCount val="1"/>
                <c:pt idx="0">
                  <c:v>SF2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(2)'!$AK$145:$AK$153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(2)'!$AL$145:$AL$153</c:f>
              <c:numCache>
                <c:formatCode>General</c:formatCode>
                <c:ptCount val="9"/>
                <c:pt idx="0">
                  <c:v>1.7002999999999999</c:v>
                </c:pt>
                <c:pt idx="1">
                  <c:v>1.6822999999999999</c:v>
                </c:pt>
                <c:pt idx="2">
                  <c:v>1.6725000000000001</c:v>
                </c:pt>
                <c:pt idx="3">
                  <c:v>1.6612</c:v>
                </c:pt>
                <c:pt idx="4">
                  <c:v>1.6521999999999999</c:v>
                </c:pt>
                <c:pt idx="5">
                  <c:v>1.6476999999999999</c:v>
                </c:pt>
                <c:pt idx="6">
                  <c:v>1.6420999999999999</c:v>
                </c:pt>
                <c:pt idx="7">
                  <c:v>1.6361000000000001</c:v>
                </c:pt>
                <c:pt idx="8">
                  <c:v>1.6286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6-A749-9F5D-208A225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37743"/>
        <c:axId val="1598772159"/>
      </c:scatterChart>
      <c:valAx>
        <c:axId val="16249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772159"/>
        <c:crosses val="autoZero"/>
        <c:crossBetween val="midCat"/>
      </c:valAx>
      <c:valAx>
        <c:axId val="15987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93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(2)'!$AN$144</c:f>
              <c:strCache>
                <c:ptCount val="1"/>
                <c:pt idx="0">
                  <c:v>SF13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(2)'!$AM$145:$AM$153</c:f>
              <c:numCache>
                <c:formatCode>General</c:formatCode>
                <c:ptCount val="9"/>
                <c:pt idx="0">
                  <c:v>404.7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(2)'!$AN$145:$AN$153</c:f>
              <c:numCache>
                <c:formatCode>General</c:formatCode>
                <c:ptCount val="9"/>
                <c:pt idx="0">
                  <c:v>1.7907</c:v>
                </c:pt>
                <c:pt idx="1">
                  <c:v>1.7907</c:v>
                </c:pt>
                <c:pt idx="2">
                  <c:v>1.7761</c:v>
                </c:pt>
                <c:pt idx="3">
                  <c:v>1.7598</c:v>
                </c:pt>
                <c:pt idx="4">
                  <c:v>1.7471000000000001</c:v>
                </c:pt>
                <c:pt idx="5">
                  <c:v>1.7407999999999999</c:v>
                </c:pt>
                <c:pt idx="6">
                  <c:v>1.7331000000000001</c:v>
                </c:pt>
                <c:pt idx="7">
                  <c:v>1.7248000000000001</c:v>
                </c:pt>
                <c:pt idx="8">
                  <c:v>1.7151000000000001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3-2442-B216-39EA854E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34527"/>
        <c:axId val="1624848175"/>
      </c:scatterChart>
      <c:valAx>
        <c:axId val="15988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848175"/>
        <c:crosses val="autoZero"/>
        <c:crossBetween val="midCat"/>
      </c:valAx>
      <c:valAx>
        <c:axId val="16248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83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(2)'!$AP$144</c:f>
              <c:strCache>
                <c:ptCount val="1"/>
                <c:pt idx="0">
                  <c:v>SFS1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(2)'!$AO$145:$AO$153</c:f>
              <c:numCache>
                <c:formatCode>General</c:formatCode>
                <c:ptCount val="9"/>
                <c:pt idx="0">
                  <c:v>404.7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(2)'!$AP$145:$AP$153</c:f>
              <c:numCache>
                <c:formatCode>General</c:formatCode>
                <c:ptCount val="9"/>
                <c:pt idx="0">
                  <c:v>1.9997</c:v>
                </c:pt>
                <c:pt idx="1">
                  <c:v>1.9997</c:v>
                </c:pt>
                <c:pt idx="2">
                  <c:v>1.9753000000000001</c:v>
                </c:pt>
                <c:pt idx="3">
                  <c:v>1.9483999999999999</c:v>
                </c:pt>
                <c:pt idx="4">
                  <c:v>1.9277</c:v>
                </c:pt>
                <c:pt idx="5">
                  <c:v>1.9176</c:v>
                </c:pt>
                <c:pt idx="6">
                  <c:v>1.9054</c:v>
                </c:pt>
                <c:pt idx="7">
                  <c:v>1.8927</c:v>
                </c:pt>
                <c:pt idx="8">
                  <c:v>1.8781000000000001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D-F14F-82A2-88EB83EF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17423"/>
        <c:axId val="1601942463"/>
      </c:scatterChart>
      <c:valAx>
        <c:axId val="162711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942463"/>
        <c:crosses val="autoZero"/>
        <c:crossBetween val="midCat"/>
      </c:valAx>
      <c:valAx>
        <c:axId val="16019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11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Sheet4!$C$14:$C$21</c:f>
              <c:numCache>
                <c:formatCode>General</c:formatCode>
                <c:ptCount val="8"/>
                <c:pt idx="0">
                  <c:v>404.70000000000005</c:v>
                </c:pt>
                <c:pt idx="1">
                  <c:v>407.8</c:v>
                </c:pt>
                <c:pt idx="2">
                  <c:v>433.9</c:v>
                </c:pt>
                <c:pt idx="3">
                  <c:v>435.8</c:v>
                </c:pt>
                <c:pt idx="4">
                  <c:v>491.59999999999997</c:v>
                </c:pt>
                <c:pt idx="5">
                  <c:v>546.1</c:v>
                </c:pt>
                <c:pt idx="6">
                  <c:v>577</c:v>
                </c:pt>
                <c:pt idx="7">
                  <c:v>579.1</c:v>
                </c:pt>
              </c:numCache>
            </c:numRef>
          </c:xVal>
          <c:yVal>
            <c:numRef>
              <c:f>Sheet4!$D$14:$D$21</c:f>
              <c:numCache>
                <c:formatCode>General</c:formatCode>
                <c:ptCount val="8"/>
                <c:pt idx="0">
                  <c:v>1.8888329680990013</c:v>
                </c:pt>
                <c:pt idx="1">
                  <c:v>1.849939934965378</c:v>
                </c:pt>
                <c:pt idx="2">
                  <c:v>1.7302196107548946</c:v>
                </c:pt>
                <c:pt idx="3">
                  <c:v>1.7266001235396484</c:v>
                </c:pt>
                <c:pt idx="4">
                  <c:v>1.6795886702460519</c:v>
                </c:pt>
                <c:pt idx="5">
                  <c:v>1.6658594883735751</c:v>
                </c:pt>
                <c:pt idx="6">
                  <c:v>1.6616474792178397</c:v>
                </c:pt>
                <c:pt idx="7">
                  <c:v>1.661411979869146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4-AB43-9DF2-FECEC9B9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51343"/>
        <c:axId val="1623883775"/>
      </c:scatterChart>
      <c:valAx>
        <c:axId val="1601751343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3883775"/>
        <c:crosses val="autoZero"/>
        <c:crossBetween val="midCat"/>
      </c:valAx>
      <c:valAx>
        <c:axId val="1623883775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75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(2)'!$O$58:$O$61</c:f>
              <c:numCache>
                <c:formatCode>General</c:formatCode>
                <c:ptCount val="4"/>
                <c:pt idx="0">
                  <c:v>435.8</c:v>
                </c:pt>
                <c:pt idx="1">
                  <c:v>486.1</c:v>
                </c:pt>
                <c:pt idx="2">
                  <c:v>546.1</c:v>
                </c:pt>
                <c:pt idx="3">
                  <c:v>587.6</c:v>
                </c:pt>
              </c:numCache>
            </c:numRef>
          </c:xVal>
          <c:yVal>
            <c:numRef>
              <c:f>'Sheet3 (2)'!$Q$58:$Q$61</c:f>
              <c:numCache>
                <c:formatCode>General</c:formatCode>
                <c:ptCount val="4"/>
                <c:pt idx="0">
                  <c:v>1.7266001235396484</c:v>
                </c:pt>
                <c:pt idx="1">
                  <c:v>1.6818356037363291</c:v>
                </c:pt>
                <c:pt idx="2">
                  <c:v>1.6658594883735751</c:v>
                </c:pt>
                <c:pt idx="3">
                  <c:v>1.6605109738950117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2-6444-A6A8-C64CC609AB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'Sheet3 (2)'!$O$58:$O$61</c:f>
              <c:numCache>
                <c:formatCode>General</c:formatCode>
                <c:ptCount val="4"/>
                <c:pt idx="0">
                  <c:v>435.8</c:v>
                </c:pt>
                <c:pt idx="1">
                  <c:v>486.1</c:v>
                </c:pt>
                <c:pt idx="2">
                  <c:v>546.1</c:v>
                </c:pt>
                <c:pt idx="3">
                  <c:v>587.6</c:v>
                </c:pt>
              </c:numCache>
            </c:numRef>
          </c:xVal>
          <c:yVal>
            <c:numRef>
              <c:f>'Sheet3 (2)'!$R$58:$R$61</c:f>
              <c:numCache>
                <c:formatCode>General</c:formatCode>
                <c:ptCount val="4"/>
                <c:pt idx="0">
                  <c:v>1.7097</c:v>
                </c:pt>
                <c:pt idx="1">
                  <c:v>1.7024999999999999</c:v>
                </c:pt>
                <c:pt idx="2">
                  <c:v>1.6966000000000001</c:v>
                </c:pt>
                <c:pt idx="3">
                  <c:v>1.6935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2-6444-A6A8-C64CC60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631823"/>
        <c:axId val="1598037295"/>
      </c:scatterChart>
      <c:valAx>
        <c:axId val="1598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037295"/>
        <c:crosses val="autoZero"/>
        <c:crossBetween val="midCat"/>
      </c:valAx>
      <c:valAx>
        <c:axId val="15980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6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'Sheet3 (2)'!$K$145:$K$153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(2)'!$L$145:$L$153</c:f>
              <c:numCache>
                <c:formatCode>General</c:formatCode>
                <c:ptCount val="9"/>
                <c:pt idx="0">
                  <c:v>1.4533870445163839</c:v>
                </c:pt>
                <c:pt idx="1">
                  <c:v>1.8888329680990013</c:v>
                </c:pt>
                <c:pt idx="2">
                  <c:v>1.7266001235396484</c:v>
                </c:pt>
                <c:pt idx="3">
                  <c:v>1.6818356037363291</c:v>
                </c:pt>
                <c:pt idx="4">
                  <c:v>1.6658594883735751</c:v>
                </c:pt>
                <c:pt idx="5">
                  <c:v>1.6605109738950117</c:v>
                </c:pt>
                <c:pt idx="6">
                  <c:v>1.6553885926070455</c:v>
                </c:pt>
                <c:pt idx="7">
                  <c:v>1.6511545469404774</c:v>
                </c:pt>
                <c:pt idx="8">
                  <c:v>1.6474387754995099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F2DA-C747-88CD-2D6DA5222473}"/>
            </c:ext>
          </c:extLst>
        </c:ser>
        <c:ser>
          <c:idx val="2"/>
          <c:order val="1"/>
          <c:tx>
            <c:strRef>
              <c:f>'Sheet3 (2)'!$N$144</c:f>
              <c:strCache>
                <c:ptCount val="1"/>
                <c:pt idx="0">
                  <c:v>FK1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(2)'!$M$145:$M$153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(2)'!$N$145:$N$153</c:f>
              <c:numCache>
                <c:formatCode>General</c:formatCode>
                <c:ptCount val="9"/>
                <c:pt idx="0">
                  <c:v>1.4875</c:v>
                </c:pt>
                <c:pt idx="1">
                  <c:v>1.4823</c:v>
                </c:pt>
                <c:pt idx="2">
                  <c:v>1.4793000000000001</c:v>
                </c:pt>
                <c:pt idx="3">
                  <c:v>1.4755</c:v>
                </c:pt>
                <c:pt idx="4">
                  <c:v>1.4723999999999999</c:v>
                </c:pt>
                <c:pt idx="5">
                  <c:v>1.4706999999999999</c:v>
                </c:pt>
                <c:pt idx="6">
                  <c:v>1.4684999999999999</c:v>
                </c:pt>
                <c:pt idx="7">
                  <c:v>1.466</c:v>
                </c:pt>
                <c:pt idx="8">
                  <c:v>1.4622999999999999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2DA-C747-88CD-2D6DA5222473}"/>
            </c:ext>
          </c:extLst>
        </c:ser>
        <c:ser>
          <c:idx val="3"/>
          <c:order val="2"/>
          <c:tx>
            <c:strRef>
              <c:f>'Sheet3 (2)'!$P$144</c:f>
              <c:strCache>
                <c:ptCount val="1"/>
                <c:pt idx="0">
                  <c:v>BK7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(2)'!$O$145:$O$153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(2)'!$P$145:$P$153</c:f>
              <c:numCache>
                <c:formatCode>General</c:formatCode>
                <c:ptCount val="9"/>
                <c:pt idx="0">
                  <c:v>1.5363</c:v>
                </c:pt>
                <c:pt idx="1">
                  <c:v>1.5302</c:v>
                </c:pt>
                <c:pt idx="2">
                  <c:v>1.5266999999999999</c:v>
                </c:pt>
                <c:pt idx="3">
                  <c:v>1.5224</c:v>
                </c:pt>
                <c:pt idx="4">
                  <c:v>1.5186999999999999</c:v>
                </c:pt>
                <c:pt idx="5">
                  <c:v>1.5167999999999999</c:v>
                </c:pt>
                <c:pt idx="6">
                  <c:v>1.5143</c:v>
                </c:pt>
                <c:pt idx="7">
                  <c:v>1.5115000000000001</c:v>
                </c:pt>
                <c:pt idx="8">
                  <c:v>1.5073000000000001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2DA-C747-88CD-2D6DA5222473}"/>
            </c:ext>
          </c:extLst>
        </c:ser>
        <c:ser>
          <c:idx val="4"/>
          <c:order val="3"/>
          <c:tx>
            <c:strRef>
              <c:f>'Sheet3 (2)'!$X$144</c:f>
              <c:strCache>
                <c:ptCount val="1"/>
                <c:pt idx="0">
                  <c:v>SSK1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(2)'!$W$145:$W$153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(2)'!$X$145:$X$153</c:f>
              <c:numCache>
                <c:formatCode>General</c:formatCode>
                <c:ptCount val="9"/>
                <c:pt idx="0">
                  <c:v>1.6458999999999999</c:v>
                </c:pt>
                <c:pt idx="1">
                  <c:v>1.6368</c:v>
                </c:pt>
                <c:pt idx="2">
                  <c:v>1.6315</c:v>
                </c:pt>
                <c:pt idx="3">
                  <c:v>1.6252</c:v>
                </c:pt>
                <c:pt idx="4">
                  <c:v>1.6198999999999999</c:v>
                </c:pt>
                <c:pt idx="5">
                  <c:v>1.6172</c:v>
                </c:pt>
                <c:pt idx="6">
                  <c:v>1.6136999999999999</c:v>
                </c:pt>
                <c:pt idx="7">
                  <c:v>1.6099000000000001</c:v>
                </c:pt>
                <c:pt idx="8">
                  <c:v>1.6048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F2DA-C747-88CD-2D6DA5222473}"/>
            </c:ext>
          </c:extLst>
        </c:ser>
        <c:ser>
          <c:idx val="5"/>
          <c:order val="4"/>
          <c:tx>
            <c:strRef>
              <c:f>'Sheet3 (2)'!$AB$144</c:f>
              <c:strCache>
                <c:ptCount val="1"/>
                <c:pt idx="0">
                  <c:v>KzF2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(2)'!$AA$145:$AA$153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(2)'!$AB$145:$AB$153</c:f>
              <c:numCache>
                <c:formatCode>General</c:formatCode>
                <c:ptCount val="9"/>
                <c:pt idx="0">
                  <c:v>1.5550999999999999</c:v>
                </c:pt>
                <c:pt idx="1">
                  <c:v>1.5468999999999999</c:v>
                </c:pt>
                <c:pt idx="2">
                  <c:v>1.5422</c:v>
                </c:pt>
                <c:pt idx="3">
                  <c:v>1.5366</c:v>
                </c:pt>
                <c:pt idx="4">
                  <c:v>1.5319</c:v>
                </c:pt>
                <c:pt idx="5">
                  <c:v>1.5294000000000001</c:v>
                </c:pt>
                <c:pt idx="6">
                  <c:v>1.5263</c:v>
                </c:pt>
                <c:pt idx="7">
                  <c:v>1.5227999999999999</c:v>
                </c:pt>
                <c:pt idx="8">
                  <c:v>1.518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F2DA-C747-88CD-2D6DA5222473}"/>
            </c:ext>
          </c:extLst>
        </c:ser>
        <c:ser>
          <c:idx val="6"/>
          <c:order val="5"/>
          <c:tx>
            <c:strRef>
              <c:f>'Sheet3 (2)'!$Z$144</c:f>
              <c:strCache>
                <c:ptCount val="1"/>
                <c:pt idx="0">
                  <c:v>LaK3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(2)'!$Y$145:$Y$153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(2)'!$Z$145:$Z$153</c:f>
              <c:numCache>
                <c:formatCode>General</c:formatCode>
                <c:ptCount val="9"/>
                <c:pt idx="0">
                  <c:v>1.7259</c:v>
                </c:pt>
                <c:pt idx="1">
                  <c:v>1.7156</c:v>
                </c:pt>
                <c:pt idx="2">
                  <c:v>1.7097</c:v>
                </c:pt>
                <c:pt idx="3">
                  <c:v>1.7024999999999999</c:v>
                </c:pt>
                <c:pt idx="4">
                  <c:v>1.6966000000000001</c:v>
                </c:pt>
                <c:pt idx="5">
                  <c:v>1.6935</c:v>
                </c:pt>
                <c:pt idx="6">
                  <c:v>1.6896</c:v>
                </c:pt>
                <c:pt idx="7">
                  <c:v>1.6852</c:v>
                </c:pt>
                <c:pt idx="8">
                  <c:v>1.6794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F2DA-C747-88CD-2D6DA5222473}"/>
            </c:ext>
          </c:extLst>
        </c:ser>
        <c:ser>
          <c:idx val="7"/>
          <c:order val="6"/>
          <c:tx>
            <c:strRef>
              <c:f>'Sheet3 (2)'!$R$144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(2)'!$Q$145:$Q$153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(2)'!$R$145:$R$153</c:f>
              <c:numCache>
                <c:formatCode>General</c:formatCode>
                <c:ptCount val="9"/>
                <c:pt idx="0">
                  <c:v>1.5399</c:v>
                </c:pt>
                <c:pt idx="1">
                  <c:v>1.5330999999999999</c:v>
                </c:pt>
                <c:pt idx="2">
                  <c:v>1.5290999999999999</c:v>
                </c:pt>
                <c:pt idx="3">
                  <c:v>1.5243</c:v>
                </c:pt>
                <c:pt idx="4">
                  <c:v>1.5203</c:v>
                </c:pt>
                <c:pt idx="5">
                  <c:v>1.5182</c:v>
                </c:pt>
                <c:pt idx="6">
                  <c:v>1.5155000000000001</c:v>
                </c:pt>
                <c:pt idx="7">
                  <c:v>1.5125</c:v>
                </c:pt>
                <c:pt idx="8">
                  <c:v>1.5083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F2DA-C747-88CD-2D6DA5222473}"/>
            </c:ext>
          </c:extLst>
        </c:ser>
        <c:ser>
          <c:idx val="8"/>
          <c:order val="7"/>
          <c:tx>
            <c:strRef>
              <c:f>'Sheet3 (2)'!$AD$144</c:f>
              <c:strCache>
                <c:ptCount val="1"/>
                <c:pt idx="0">
                  <c:v>BaF10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(2)'!$AC$145:$AC$153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(2)'!$AD$145:$AD$153</c:f>
              <c:numCache>
                <c:formatCode>General</c:formatCode>
                <c:ptCount val="9"/>
                <c:pt idx="0">
                  <c:v>1.7068000000000001</c:v>
                </c:pt>
                <c:pt idx="1">
                  <c:v>1.6948000000000001</c:v>
                </c:pt>
                <c:pt idx="2">
                  <c:v>1.6879999999999999</c:v>
                </c:pt>
                <c:pt idx="3">
                  <c:v>1.68</c:v>
                </c:pt>
                <c:pt idx="4">
                  <c:v>1.6734</c:v>
                </c:pt>
                <c:pt idx="5">
                  <c:v>1.67</c:v>
                </c:pt>
                <c:pt idx="6">
                  <c:v>1.6657999999999999</c:v>
                </c:pt>
                <c:pt idx="7">
                  <c:v>1.6611</c:v>
                </c:pt>
                <c:pt idx="8">
                  <c:v>1.655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F2DA-C747-88CD-2D6DA5222473}"/>
            </c:ext>
          </c:extLst>
        </c:ser>
        <c:ser>
          <c:idx val="9"/>
          <c:order val="8"/>
          <c:tx>
            <c:strRef>
              <c:f>'Sheet3 (2)'!$T$144</c:f>
              <c:strCache>
                <c:ptCount val="1"/>
                <c:pt idx="0">
                  <c:v>BaK4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(2)'!$S$145:$S$153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(2)'!$T$145:$T$153</c:f>
              <c:numCache>
                <c:formatCode>General</c:formatCode>
                <c:ptCount val="9"/>
                <c:pt idx="0">
                  <c:v>1.5941000000000001</c:v>
                </c:pt>
                <c:pt idx="1">
                  <c:v>1.5861000000000001</c:v>
                </c:pt>
                <c:pt idx="2">
                  <c:v>1.5814999999999999</c:v>
                </c:pt>
                <c:pt idx="3">
                  <c:v>1.5759000000000001</c:v>
                </c:pt>
                <c:pt idx="4">
                  <c:v>1.5712999999999999</c:v>
                </c:pt>
                <c:pt idx="5">
                  <c:v>1.5688</c:v>
                </c:pt>
                <c:pt idx="6">
                  <c:v>1.5658000000000001</c:v>
                </c:pt>
                <c:pt idx="7">
                  <c:v>1.5623</c:v>
                </c:pt>
                <c:pt idx="8">
                  <c:v>1.5576000000000001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F2DA-C747-88CD-2D6DA5222473}"/>
            </c:ext>
          </c:extLst>
        </c:ser>
        <c:ser>
          <c:idx val="10"/>
          <c:order val="9"/>
          <c:tx>
            <c:strRef>
              <c:f>'Sheet3 (2)'!$AF$144</c:f>
              <c:strCache>
                <c:ptCount val="1"/>
                <c:pt idx="0">
                  <c:v>LaF2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(2)'!$AE$145:$AE$153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(2)'!$AF$145:$AF$153</c:f>
              <c:numCache>
                <c:formatCode>General</c:formatCode>
                <c:ptCount val="9"/>
                <c:pt idx="0">
                  <c:v>1.7867</c:v>
                </c:pt>
                <c:pt idx="1">
                  <c:v>1.7727999999999999</c:v>
                </c:pt>
                <c:pt idx="2">
                  <c:v>1.7648999999999999</c:v>
                </c:pt>
                <c:pt idx="3">
                  <c:v>1.7556</c:v>
                </c:pt>
                <c:pt idx="4">
                  <c:v>1.7479</c:v>
                </c:pt>
                <c:pt idx="5">
                  <c:v>1.744</c:v>
                </c:pt>
                <c:pt idx="6">
                  <c:v>1.7390000000000001</c:v>
                </c:pt>
                <c:pt idx="7">
                  <c:v>1.7335</c:v>
                </c:pt>
                <c:pt idx="8">
                  <c:v>1.7262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F2DA-C747-88CD-2D6DA5222473}"/>
            </c:ext>
          </c:extLst>
        </c:ser>
        <c:ser>
          <c:idx val="11"/>
          <c:order val="10"/>
          <c:tx>
            <c:strRef>
              <c:f>'Sheet3 (2)'!$V$144</c:f>
              <c:strCache>
                <c:ptCount val="1"/>
                <c:pt idx="0">
                  <c:v>SK5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(2)'!$U$145:$U$153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(2)'!$V$145:$V$153</c:f>
              <c:numCache>
                <c:formatCode>General</c:formatCode>
                <c:ptCount val="9"/>
                <c:pt idx="0">
                  <c:v>1.6126</c:v>
                </c:pt>
                <c:pt idx="1">
                  <c:v>1.6052999999999999</c:v>
                </c:pt>
                <c:pt idx="2">
                  <c:v>1.601</c:v>
                </c:pt>
                <c:pt idx="3">
                  <c:v>1.5958000000000001</c:v>
                </c:pt>
                <c:pt idx="4">
                  <c:v>1.5913999999999999</c:v>
                </c:pt>
                <c:pt idx="5">
                  <c:v>1.5891</c:v>
                </c:pt>
                <c:pt idx="6">
                  <c:v>1.5862000000000001</c:v>
                </c:pt>
                <c:pt idx="7">
                  <c:v>1.5828</c:v>
                </c:pt>
                <c:pt idx="8">
                  <c:v>1.5781000000000001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F2DA-C747-88CD-2D6DA5222473}"/>
            </c:ext>
          </c:extLst>
        </c:ser>
        <c:ser>
          <c:idx val="12"/>
          <c:order val="11"/>
          <c:tx>
            <c:strRef>
              <c:f>'Sheet3 (2)'!$AH$144</c:f>
              <c:strCache>
                <c:ptCount val="1"/>
                <c:pt idx="0">
                  <c:v>LF5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(2)'!$AG$145:$AG$153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(2)'!$AH$145:$AH$153</c:f>
              <c:numCache>
                <c:formatCode>General</c:formatCode>
                <c:ptCount val="9"/>
                <c:pt idx="0">
                  <c:v>1.6192</c:v>
                </c:pt>
                <c:pt idx="1">
                  <c:v>1.6067</c:v>
                </c:pt>
                <c:pt idx="2">
                  <c:v>1.5995999999999999</c:v>
                </c:pt>
                <c:pt idx="3">
                  <c:v>1.5914999999999999</c:v>
                </c:pt>
                <c:pt idx="4">
                  <c:v>1.5848</c:v>
                </c:pt>
                <c:pt idx="5">
                  <c:v>1.5813999999999999</c:v>
                </c:pt>
                <c:pt idx="6">
                  <c:v>1.5771999999999999</c:v>
                </c:pt>
                <c:pt idx="7">
                  <c:v>1.5726</c:v>
                </c:pt>
                <c:pt idx="8">
                  <c:v>1.5667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F2DA-C747-88CD-2D6DA5222473}"/>
            </c:ext>
          </c:extLst>
        </c:ser>
        <c:ser>
          <c:idx val="13"/>
          <c:order val="12"/>
          <c:tx>
            <c:strRef>
              <c:f>'Sheet3 (2)'!$AJ$144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(2)'!$AI$145:$AI$153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(2)'!$AJ$145:$AJ$153</c:f>
              <c:numCache>
                <c:formatCode>General</c:formatCode>
                <c:ptCount val="9"/>
                <c:pt idx="0">
                  <c:v>1.6662999999999999</c:v>
                </c:pt>
                <c:pt idx="1">
                  <c:v>1.6507000000000001</c:v>
                </c:pt>
                <c:pt idx="2">
                  <c:v>1.6420999999999999</c:v>
                </c:pt>
                <c:pt idx="3">
                  <c:v>1.6321000000000001</c:v>
                </c:pt>
                <c:pt idx="4">
                  <c:v>1.6241000000000001</c:v>
                </c:pt>
                <c:pt idx="5">
                  <c:v>1.62</c:v>
                </c:pt>
                <c:pt idx="6">
                  <c:v>1.615</c:v>
                </c:pt>
                <c:pt idx="7">
                  <c:v>1.6095999999999999</c:v>
                </c:pt>
                <c:pt idx="8">
                  <c:v>1.6028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F2DA-C747-88CD-2D6DA5222473}"/>
            </c:ext>
          </c:extLst>
        </c:ser>
        <c:ser>
          <c:idx val="14"/>
          <c:order val="13"/>
          <c:tx>
            <c:strRef>
              <c:f>'Sheet3 (2)'!$AN$144</c:f>
              <c:strCache>
                <c:ptCount val="1"/>
                <c:pt idx="0">
                  <c:v>SF13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'Sheet3 (2)'!$AM$145:$AM$153</c:f>
              <c:numCache>
                <c:formatCode>General</c:formatCode>
                <c:ptCount val="9"/>
                <c:pt idx="0">
                  <c:v>404.7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(2)'!$AN$145:$AN$153</c:f>
              <c:numCache>
                <c:formatCode>General</c:formatCode>
                <c:ptCount val="9"/>
                <c:pt idx="0">
                  <c:v>1.7907</c:v>
                </c:pt>
                <c:pt idx="1">
                  <c:v>1.7907</c:v>
                </c:pt>
                <c:pt idx="2">
                  <c:v>1.7761</c:v>
                </c:pt>
                <c:pt idx="3">
                  <c:v>1.7598</c:v>
                </c:pt>
                <c:pt idx="4">
                  <c:v>1.7471000000000001</c:v>
                </c:pt>
                <c:pt idx="5">
                  <c:v>1.7407999999999999</c:v>
                </c:pt>
                <c:pt idx="6">
                  <c:v>1.7331000000000001</c:v>
                </c:pt>
                <c:pt idx="7">
                  <c:v>1.7248000000000001</c:v>
                </c:pt>
                <c:pt idx="8">
                  <c:v>1.7151000000000001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F2DA-C747-88CD-2D6DA5222473}"/>
            </c:ext>
          </c:extLst>
        </c:ser>
        <c:ser>
          <c:idx val="0"/>
          <c:order val="14"/>
          <c:tx>
            <c:strRef>
              <c:f>'Sheet3 (2)'!$AP$144</c:f>
              <c:strCache>
                <c:ptCount val="1"/>
                <c:pt idx="0">
                  <c:v>SFS1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(2)'!$AO$145:$AO$153</c:f>
              <c:numCache>
                <c:formatCode>General</c:formatCode>
                <c:ptCount val="9"/>
                <c:pt idx="0">
                  <c:v>404.7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(2)'!$AP$145:$AP$153</c:f>
              <c:numCache>
                <c:formatCode>General</c:formatCode>
                <c:ptCount val="9"/>
                <c:pt idx="0">
                  <c:v>1.9997</c:v>
                </c:pt>
                <c:pt idx="1">
                  <c:v>1.9997</c:v>
                </c:pt>
                <c:pt idx="2">
                  <c:v>1.9753000000000001</c:v>
                </c:pt>
                <c:pt idx="3">
                  <c:v>1.9483999999999999</c:v>
                </c:pt>
                <c:pt idx="4">
                  <c:v>1.9277</c:v>
                </c:pt>
                <c:pt idx="5">
                  <c:v>1.9176</c:v>
                </c:pt>
                <c:pt idx="6">
                  <c:v>1.9054</c:v>
                </c:pt>
                <c:pt idx="7">
                  <c:v>1.8927</c:v>
                </c:pt>
                <c:pt idx="8">
                  <c:v>1.8781000000000001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2DA-C747-88CD-2D6DA5222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17423"/>
        <c:axId val="1601942463"/>
      </c:scatterChart>
      <c:valAx>
        <c:axId val="1627117423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942463"/>
        <c:crosses val="autoZero"/>
        <c:crossBetween val="midCat"/>
      </c:valAx>
      <c:valAx>
        <c:axId val="1601942463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1174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(2)'!$N$144</c:f>
              <c:strCache>
                <c:ptCount val="1"/>
                <c:pt idx="0">
                  <c:v>FK1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(2)'!$M$145:$M$153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(2)'!$N$145:$N$153</c:f>
              <c:numCache>
                <c:formatCode>General</c:formatCode>
                <c:ptCount val="9"/>
                <c:pt idx="0">
                  <c:v>1.4875</c:v>
                </c:pt>
                <c:pt idx="1">
                  <c:v>1.4823</c:v>
                </c:pt>
                <c:pt idx="2">
                  <c:v>1.4793000000000001</c:v>
                </c:pt>
                <c:pt idx="3">
                  <c:v>1.4755</c:v>
                </c:pt>
                <c:pt idx="4">
                  <c:v>1.4723999999999999</c:v>
                </c:pt>
                <c:pt idx="5">
                  <c:v>1.4706999999999999</c:v>
                </c:pt>
                <c:pt idx="6">
                  <c:v>1.4684999999999999</c:v>
                </c:pt>
                <c:pt idx="7">
                  <c:v>1.466</c:v>
                </c:pt>
                <c:pt idx="8">
                  <c:v>1.4622999999999999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2-4C4E-B848-3AA8AA4A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92607"/>
        <c:axId val="1625741551"/>
      </c:scatterChart>
      <c:valAx>
        <c:axId val="15975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41551"/>
        <c:crosses val="autoZero"/>
        <c:crossBetween val="midCat"/>
      </c:valAx>
      <c:valAx>
        <c:axId val="16257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5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(2)'!$P$144</c:f>
              <c:strCache>
                <c:ptCount val="1"/>
                <c:pt idx="0">
                  <c:v>BK7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(2)'!$O$145:$O$153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(2)'!$P$145:$P$153</c:f>
              <c:numCache>
                <c:formatCode>General</c:formatCode>
                <c:ptCount val="9"/>
                <c:pt idx="0">
                  <c:v>1.5363</c:v>
                </c:pt>
                <c:pt idx="1">
                  <c:v>1.5302</c:v>
                </c:pt>
                <c:pt idx="2">
                  <c:v>1.5266999999999999</c:v>
                </c:pt>
                <c:pt idx="3">
                  <c:v>1.5224</c:v>
                </c:pt>
                <c:pt idx="4">
                  <c:v>1.5186999999999999</c:v>
                </c:pt>
                <c:pt idx="5">
                  <c:v>1.5167999999999999</c:v>
                </c:pt>
                <c:pt idx="6">
                  <c:v>1.5143</c:v>
                </c:pt>
                <c:pt idx="7">
                  <c:v>1.5115000000000001</c:v>
                </c:pt>
                <c:pt idx="8">
                  <c:v>1.5073000000000001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4-AF41-A16F-183DF71A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29007"/>
        <c:axId val="1599459583"/>
      </c:scatterChart>
      <c:valAx>
        <c:axId val="15916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459583"/>
        <c:crosses val="autoZero"/>
        <c:crossBetween val="midCat"/>
      </c:valAx>
      <c:valAx>
        <c:axId val="15994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6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(2)'!$R$144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(2)'!$Q$145:$Q$153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(2)'!$R$145:$R$153</c:f>
              <c:numCache>
                <c:formatCode>General</c:formatCode>
                <c:ptCount val="9"/>
                <c:pt idx="0">
                  <c:v>1.5399</c:v>
                </c:pt>
                <c:pt idx="1">
                  <c:v>1.5330999999999999</c:v>
                </c:pt>
                <c:pt idx="2">
                  <c:v>1.5290999999999999</c:v>
                </c:pt>
                <c:pt idx="3">
                  <c:v>1.5243</c:v>
                </c:pt>
                <c:pt idx="4">
                  <c:v>1.5203</c:v>
                </c:pt>
                <c:pt idx="5">
                  <c:v>1.5182</c:v>
                </c:pt>
                <c:pt idx="6">
                  <c:v>1.5155000000000001</c:v>
                </c:pt>
                <c:pt idx="7">
                  <c:v>1.5125</c:v>
                </c:pt>
                <c:pt idx="8">
                  <c:v>1.5083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B-B844-97EE-0AD9B3CB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248079"/>
        <c:axId val="1622066239"/>
      </c:scatterChart>
      <c:valAx>
        <c:axId val="16622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2066239"/>
        <c:crosses val="autoZero"/>
        <c:crossBetween val="midCat"/>
      </c:valAx>
      <c:valAx>
        <c:axId val="16220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224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(2)'!$T$144</c:f>
              <c:strCache>
                <c:ptCount val="1"/>
                <c:pt idx="0">
                  <c:v>BaK4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(2)'!$S$145:$S$153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(2)'!$T$145:$T$153</c:f>
              <c:numCache>
                <c:formatCode>General</c:formatCode>
                <c:ptCount val="9"/>
                <c:pt idx="0">
                  <c:v>1.5941000000000001</c:v>
                </c:pt>
                <c:pt idx="1">
                  <c:v>1.5861000000000001</c:v>
                </c:pt>
                <c:pt idx="2">
                  <c:v>1.5814999999999999</c:v>
                </c:pt>
                <c:pt idx="3">
                  <c:v>1.5759000000000001</c:v>
                </c:pt>
                <c:pt idx="4">
                  <c:v>1.5712999999999999</c:v>
                </c:pt>
                <c:pt idx="5">
                  <c:v>1.5688</c:v>
                </c:pt>
                <c:pt idx="6">
                  <c:v>1.5658000000000001</c:v>
                </c:pt>
                <c:pt idx="7">
                  <c:v>1.5623</c:v>
                </c:pt>
                <c:pt idx="8">
                  <c:v>1.5576000000000001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E-1040-B240-64DA4ECC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14063"/>
        <c:axId val="1601270511"/>
      </c:scatterChart>
      <c:valAx>
        <c:axId val="16007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270511"/>
        <c:crosses val="autoZero"/>
        <c:crossBetween val="midCat"/>
      </c:valAx>
      <c:valAx>
        <c:axId val="16012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71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(2)'!$V$144</c:f>
              <c:strCache>
                <c:ptCount val="1"/>
                <c:pt idx="0">
                  <c:v>SK5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(2)'!$U$145:$U$153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(2)'!$V$145:$V$153</c:f>
              <c:numCache>
                <c:formatCode>General</c:formatCode>
                <c:ptCount val="9"/>
                <c:pt idx="0">
                  <c:v>1.6126</c:v>
                </c:pt>
                <c:pt idx="1">
                  <c:v>1.6052999999999999</c:v>
                </c:pt>
                <c:pt idx="2">
                  <c:v>1.601</c:v>
                </c:pt>
                <c:pt idx="3">
                  <c:v>1.5958000000000001</c:v>
                </c:pt>
                <c:pt idx="4">
                  <c:v>1.5913999999999999</c:v>
                </c:pt>
                <c:pt idx="5">
                  <c:v>1.5891</c:v>
                </c:pt>
                <c:pt idx="6">
                  <c:v>1.5862000000000001</c:v>
                </c:pt>
                <c:pt idx="7">
                  <c:v>1.5828</c:v>
                </c:pt>
                <c:pt idx="8">
                  <c:v>1.5781000000000001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8-AD45-A0EB-BCF56A02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40303"/>
        <c:axId val="1662444895"/>
      </c:scatterChart>
      <c:valAx>
        <c:axId val="16624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2444895"/>
        <c:crosses val="autoZero"/>
        <c:crossBetween val="midCat"/>
      </c:valAx>
      <c:valAx>
        <c:axId val="16624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24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(2)'!$X$144</c:f>
              <c:strCache>
                <c:ptCount val="1"/>
                <c:pt idx="0">
                  <c:v>SSK1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(2)'!$W$145:$W$153</c:f>
              <c:numCache>
                <c:formatCode>General</c:formatCode>
                <c:ptCount val="9"/>
                <c:pt idx="0">
                  <c:v>365</c:v>
                </c:pt>
                <c:pt idx="1">
                  <c:v>404.7</c:v>
                </c:pt>
                <c:pt idx="2">
                  <c:v>435.8</c:v>
                </c:pt>
                <c:pt idx="3">
                  <c:v>486.1</c:v>
                </c:pt>
                <c:pt idx="4">
                  <c:v>546.1</c:v>
                </c:pt>
                <c:pt idx="5">
                  <c:v>587.6</c:v>
                </c:pt>
                <c:pt idx="6">
                  <c:v>656.3</c:v>
                </c:pt>
                <c:pt idx="7">
                  <c:v>768.2</c:v>
                </c:pt>
                <c:pt idx="8">
                  <c:v>1014</c:v>
                </c:pt>
              </c:numCache>
            </c:numRef>
          </c:xVal>
          <c:yVal>
            <c:numRef>
              <c:f>'Sheet3 (2)'!$X$145:$X$153</c:f>
              <c:numCache>
                <c:formatCode>General</c:formatCode>
                <c:ptCount val="9"/>
                <c:pt idx="0">
                  <c:v>1.6458999999999999</c:v>
                </c:pt>
                <c:pt idx="1">
                  <c:v>1.6368</c:v>
                </c:pt>
                <c:pt idx="2">
                  <c:v>1.6315</c:v>
                </c:pt>
                <c:pt idx="3">
                  <c:v>1.6252</c:v>
                </c:pt>
                <c:pt idx="4">
                  <c:v>1.6198999999999999</c:v>
                </c:pt>
                <c:pt idx="5">
                  <c:v>1.6172</c:v>
                </c:pt>
                <c:pt idx="6">
                  <c:v>1.6136999999999999</c:v>
                </c:pt>
                <c:pt idx="7">
                  <c:v>1.6099000000000001</c:v>
                </c:pt>
                <c:pt idx="8">
                  <c:v>1.6048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0-F04C-A900-CF3376FD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673695"/>
        <c:axId val="1595111407"/>
      </c:scatterChart>
      <c:valAx>
        <c:axId val="159567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111407"/>
        <c:crosses val="autoZero"/>
        <c:crossBetween val="midCat"/>
      </c:valAx>
      <c:valAx>
        <c:axId val="15951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67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514350</xdr:colOff>
      <xdr:row>71</xdr:row>
      <xdr:rowOff>127000</xdr:rowOff>
    </xdr:from>
    <xdr:to>
      <xdr:col>32</xdr:col>
      <xdr:colOff>361950</xdr:colOff>
      <xdr:row>82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1596D1-E3E5-024B-8959-EF99DEA72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192794</xdr:colOff>
      <xdr:row>50</xdr:row>
      <xdr:rowOff>66713</xdr:rowOff>
    </xdr:from>
    <xdr:to>
      <xdr:col>25</xdr:col>
      <xdr:colOff>1000698</xdr:colOff>
      <xdr:row>60</xdr:row>
      <xdr:rowOff>208708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B1D0B1-C329-FD41-BBE1-86ADD009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452915</xdr:colOff>
      <xdr:row>156</xdr:row>
      <xdr:rowOff>36111</xdr:rowOff>
    </xdr:from>
    <xdr:to>
      <xdr:col>36</xdr:col>
      <xdr:colOff>918071</xdr:colOff>
      <xdr:row>180</xdr:row>
      <xdr:rowOff>168313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1298FAE-67FB-0942-915D-57A3878FF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345807</xdr:colOff>
      <xdr:row>166</xdr:row>
      <xdr:rowOff>66713</xdr:rowOff>
    </xdr:from>
    <xdr:to>
      <xdr:col>12</xdr:col>
      <xdr:colOff>174434</xdr:colOff>
      <xdr:row>176</xdr:row>
      <xdr:rowOff>208708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0848816-36F4-9B4C-9CBB-147DC42A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804843</xdr:colOff>
      <xdr:row>168</xdr:row>
      <xdr:rowOff>112617</xdr:rowOff>
    </xdr:from>
    <xdr:to>
      <xdr:col>13</xdr:col>
      <xdr:colOff>633470</xdr:colOff>
      <xdr:row>178</xdr:row>
      <xdr:rowOff>254612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C15E176-C481-324F-A668-97782A825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835447</xdr:colOff>
      <xdr:row>164</xdr:row>
      <xdr:rowOff>204423</xdr:rowOff>
    </xdr:from>
    <xdr:to>
      <xdr:col>16</xdr:col>
      <xdr:colOff>939495</xdr:colOff>
      <xdr:row>175</xdr:row>
      <xdr:rowOff>86298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825BFBC-D1A3-6643-8D80-E25DE6B6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973156</xdr:colOff>
      <xdr:row>167</xdr:row>
      <xdr:rowOff>250328</xdr:rowOff>
    </xdr:from>
    <xdr:to>
      <xdr:col>19</xdr:col>
      <xdr:colOff>648770</xdr:colOff>
      <xdr:row>178</xdr:row>
      <xdr:rowOff>132202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542EFB40-6112-0548-B83F-6D2D4655F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896650</xdr:colOff>
      <xdr:row>170</xdr:row>
      <xdr:rowOff>82016</xdr:rowOff>
    </xdr:from>
    <xdr:to>
      <xdr:col>21</xdr:col>
      <xdr:colOff>572264</xdr:colOff>
      <xdr:row>180</xdr:row>
      <xdr:rowOff>224011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380929D-0719-6E46-8805-BBF9B7FD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529421</xdr:colOff>
      <xdr:row>169</xdr:row>
      <xdr:rowOff>112617</xdr:rowOff>
    </xdr:from>
    <xdr:to>
      <xdr:col>14</xdr:col>
      <xdr:colOff>1169011</xdr:colOff>
      <xdr:row>179</xdr:row>
      <xdr:rowOff>254612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7C1496C-E169-0340-A270-60DE5F7DC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514121</xdr:colOff>
      <xdr:row>164</xdr:row>
      <xdr:rowOff>173822</xdr:rowOff>
    </xdr:from>
    <xdr:to>
      <xdr:col>16</xdr:col>
      <xdr:colOff>618169</xdr:colOff>
      <xdr:row>175</xdr:row>
      <xdr:rowOff>55697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AD0A70C1-B998-564E-B184-E91EC4CA3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636531</xdr:colOff>
      <xdr:row>164</xdr:row>
      <xdr:rowOff>127918</xdr:rowOff>
    </xdr:from>
    <xdr:to>
      <xdr:col>16</xdr:col>
      <xdr:colOff>740579</xdr:colOff>
      <xdr:row>175</xdr:row>
      <xdr:rowOff>9793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98879F3D-AFBE-FB47-B5ED-9FF715A1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575325</xdr:colOff>
      <xdr:row>166</xdr:row>
      <xdr:rowOff>36111</xdr:rowOff>
    </xdr:from>
    <xdr:to>
      <xdr:col>18</xdr:col>
      <xdr:colOff>327446</xdr:colOff>
      <xdr:row>176</xdr:row>
      <xdr:rowOff>178106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67AF71CD-F66B-2F43-BF3B-D2C0A280A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667132</xdr:colOff>
      <xdr:row>169</xdr:row>
      <xdr:rowOff>36112</xdr:rowOff>
    </xdr:from>
    <xdr:to>
      <xdr:col>20</xdr:col>
      <xdr:colOff>419252</xdr:colOff>
      <xdr:row>179</xdr:row>
      <xdr:rowOff>178107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1620038-F1E8-9441-AE87-4DE00C126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24481</xdr:colOff>
      <xdr:row>166</xdr:row>
      <xdr:rowOff>97314</xdr:rowOff>
    </xdr:from>
    <xdr:to>
      <xdr:col>24</xdr:col>
      <xdr:colOff>495758</xdr:colOff>
      <xdr:row>176</xdr:row>
      <xdr:rowOff>239309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3726E9A4-CABA-9F43-A4B1-D856CF99B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697734</xdr:colOff>
      <xdr:row>160</xdr:row>
      <xdr:rowOff>173822</xdr:rowOff>
    </xdr:from>
    <xdr:to>
      <xdr:col>26</xdr:col>
      <xdr:colOff>266241</xdr:colOff>
      <xdr:row>171</xdr:row>
      <xdr:rowOff>55697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F3EB9ACC-1721-504C-9499-08CE4382A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55084</xdr:colOff>
      <xdr:row>155</xdr:row>
      <xdr:rowOff>112617</xdr:rowOff>
    </xdr:from>
    <xdr:to>
      <xdr:col>28</xdr:col>
      <xdr:colOff>281542</xdr:colOff>
      <xdr:row>165</xdr:row>
      <xdr:rowOff>254612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E79E0C63-FA8A-8B48-9FD5-16D7EF65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1003759</xdr:colOff>
      <xdr:row>165</xdr:row>
      <xdr:rowOff>112616</xdr:rowOff>
    </xdr:from>
    <xdr:to>
      <xdr:col>29</xdr:col>
      <xdr:colOff>908892</xdr:colOff>
      <xdr:row>175</xdr:row>
      <xdr:rowOff>254612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11D0EBC9-ACA6-C846-9F4D-C9FEF7C2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223397</xdr:colOff>
      <xdr:row>150</xdr:row>
      <xdr:rowOff>82015</xdr:rowOff>
    </xdr:from>
    <xdr:to>
      <xdr:col>41</xdr:col>
      <xdr:colOff>52024</xdr:colOff>
      <xdr:row>160</xdr:row>
      <xdr:rowOff>224010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64BFC740-C6C7-B74D-8286-49D5E4895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6</xdr:row>
      <xdr:rowOff>12700</xdr:rowOff>
    </xdr:from>
    <xdr:to>
      <xdr:col>9</xdr:col>
      <xdr:colOff>311150</xdr:colOff>
      <xdr:row>16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130D1A-77BB-7F48-B81F-0D033C3DF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225B-63E9-714A-ADBD-E99B8FD8C50C}">
  <sheetPr codeName="Sheet1"/>
  <dimension ref="A1:M33"/>
  <sheetViews>
    <sheetView zoomScale="89" workbookViewId="0">
      <selection activeCell="I24" sqref="I24"/>
    </sheetView>
  </sheetViews>
  <sheetFormatPr baseColWidth="10" defaultRowHeight="20"/>
  <sheetData>
    <row r="1" spans="1:13">
      <c r="A1" t="s">
        <v>10</v>
      </c>
      <c r="C1" t="s">
        <v>0</v>
      </c>
      <c r="D1" s="2" t="s">
        <v>1</v>
      </c>
    </row>
    <row r="2" spans="1:13">
      <c r="B2" t="s">
        <v>92</v>
      </c>
      <c r="C2" t="s">
        <v>81</v>
      </c>
      <c r="D2" t="s">
        <v>3</v>
      </c>
      <c r="E2" t="s">
        <v>4</v>
      </c>
    </row>
    <row r="3" spans="1:13">
      <c r="A3" s="11" t="s">
        <v>9</v>
      </c>
      <c r="B3">
        <v>60</v>
      </c>
      <c r="C3">
        <v>165</v>
      </c>
      <c r="D3" t="s">
        <v>14</v>
      </c>
      <c r="F3">
        <v>278</v>
      </c>
      <c r="G3">
        <v>59</v>
      </c>
      <c r="I3">
        <v>39</v>
      </c>
      <c r="J3">
        <v>0</v>
      </c>
      <c r="L3">
        <f>360-(F3-I3)</f>
        <v>121</v>
      </c>
      <c r="M3">
        <f>60-(G3-J3)</f>
        <v>1</v>
      </c>
    </row>
    <row r="4" spans="1:13">
      <c r="A4" s="11"/>
      <c r="B4">
        <v>63</v>
      </c>
      <c r="C4">
        <v>172</v>
      </c>
      <c r="D4" t="s">
        <v>12</v>
      </c>
      <c r="F4">
        <v>98</v>
      </c>
      <c r="G4">
        <v>55</v>
      </c>
      <c r="I4">
        <v>218</v>
      </c>
      <c r="J4">
        <v>55</v>
      </c>
      <c r="L4">
        <f>-(F4-I4)</f>
        <v>120</v>
      </c>
      <c r="M4">
        <f>(G4-J4)</f>
        <v>0</v>
      </c>
    </row>
    <row r="5" spans="1:13">
      <c r="A5" s="11" t="s">
        <v>9</v>
      </c>
      <c r="B5">
        <v>68</v>
      </c>
      <c r="C5">
        <v>168</v>
      </c>
      <c r="D5" t="s">
        <v>14</v>
      </c>
      <c r="F5">
        <v>279</v>
      </c>
      <c r="G5">
        <v>0</v>
      </c>
      <c r="I5">
        <v>39</v>
      </c>
      <c r="J5">
        <v>0</v>
      </c>
      <c r="L5">
        <f t="shared" ref="L5:L11" si="0">360-(F5-I5)</f>
        <v>120</v>
      </c>
      <c r="M5">
        <v>0</v>
      </c>
    </row>
    <row r="6" spans="1:13">
      <c r="A6" s="11"/>
      <c r="B6" t="s">
        <v>8</v>
      </c>
      <c r="C6" t="s">
        <v>16</v>
      </c>
      <c r="D6" t="s">
        <v>17</v>
      </c>
      <c r="F6">
        <v>98</v>
      </c>
      <c r="G6">
        <v>56</v>
      </c>
      <c r="I6">
        <v>218</v>
      </c>
      <c r="J6">
        <v>54</v>
      </c>
      <c r="L6">
        <f>-(F6-I6)</f>
        <v>120</v>
      </c>
      <c r="M6">
        <f>(G6-J6)</f>
        <v>2</v>
      </c>
    </row>
    <row r="7" spans="1:13">
      <c r="A7" s="11" t="s">
        <v>9</v>
      </c>
      <c r="B7" t="s">
        <v>6</v>
      </c>
      <c r="C7" t="s">
        <v>18</v>
      </c>
      <c r="D7" t="s">
        <v>19</v>
      </c>
      <c r="F7">
        <v>279</v>
      </c>
      <c r="G7">
        <v>10</v>
      </c>
      <c r="I7">
        <v>39</v>
      </c>
      <c r="J7">
        <v>3</v>
      </c>
      <c r="L7">
        <f t="shared" si="0"/>
        <v>120</v>
      </c>
      <c r="M7">
        <f t="shared" ref="M7" si="1">60-(G7-J7)</f>
        <v>53</v>
      </c>
    </row>
    <row r="8" spans="1:13">
      <c r="A8" s="11"/>
      <c r="B8" t="s">
        <v>8</v>
      </c>
      <c r="C8" t="s">
        <v>20</v>
      </c>
      <c r="D8" t="s">
        <v>12</v>
      </c>
      <c r="F8">
        <v>99</v>
      </c>
      <c r="G8">
        <v>6</v>
      </c>
      <c r="I8">
        <v>218</v>
      </c>
      <c r="J8">
        <v>55</v>
      </c>
      <c r="L8">
        <f>-(F8-I8)</f>
        <v>119</v>
      </c>
      <c r="M8">
        <f>-(G8-J8)</f>
        <v>49</v>
      </c>
    </row>
    <row r="9" spans="1:13">
      <c r="A9" s="11" t="s">
        <v>9</v>
      </c>
      <c r="B9" t="s">
        <v>6</v>
      </c>
      <c r="C9" t="s">
        <v>21</v>
      </c>
      <c r="D9" t="s">
        <v>22</v>
      </c>
      <c r="F9">
        <v>279</v>
      </c>
      <c r="G9">
        <v>4</v>
      </c>
      <c r="I9">
        <v>39</v>
      </c>
      <c r="J9">
        <v>11</v>
      </c>
      <c r="L9">
        <f>360-(F9-I9)+1</f>
        <v>121</v>
      </c>
      <c r="M9">
        <f>-(G9-J9)</f>
        <v>7</v>
      </c>
    </row>
    <row r="10" spans="1:13">
      <c r="A10" s="11"/>
      <c r="B10" t="s">
        <v>8</v>
      </c>
      <c r="C10" t="s">
        <v>23</v>
      </c>
      <c r="D10" t="s">
        <v>24</v>
      </c>
      <c r="F10">
        <v>99</v>
      </c>
      <c r="G10">
        <v>40</v>
      </c>
      <c r="I10">
        <v>219</v>
      </c>
      <c r="J10">
        <v>9</v>
      </c>
      <c r="L10">
        <f>-(F10-I10)</f>
        <v>120</v>
      </c>
      <c r="M10">
        <f>(G10-J10)</f>
        <v>31</v>
      </c>
    </row>
    <row r="11" spans="1:13">
      <c r="A11" s="11" t="s">
        <v>9</v>
      </c>
      <c r="B11" t="s">
        <v>6</v>
      </c>
      <c r="C11" t="s">
        <v>18</v>
      </c>
      <c r="D11" t="s">
        <v>26</v>
      </c>
      <c r="F11">
        <v>279</v>
      </c>
      <c r="G11">
        <v>10</v>
      </c>
      <c r="I11">
        <v>39</v>
      </c>
      <c r="J11">
        <v>10</v>
      </c>
      <c r="L11">
        <f t="shared" si="0"/>
        <v>120</v>
      </c>
      <c r="M11">
        <v>0</v>
      </c>
    </row>
    <row r="12" spans="1:13">
      <c r="A12" s="11"/>
      <c r="B12" t="s">
        <v>8</v>
      </c>
      <c r="C12" t="s">
        <v>25</v>
      </c>
      <c r="D12" t="s">
        <v>27</v>
      </c>
      <c r="F12">
        <v>99</v>
      </c>
      <c r="G12">
        <v>5</v>
      </c>
      <c r="I12">
        <v>219</v>
      </c>
      <c r="J12">
        <v>3</v>
      </c>
      <c r="L12">
        <f>-(F12-I12)</f>
        <v>120</v>
      </c>
      <c r="M12">
        <f>(G12-J12)</f>
        <v>2</v>
      </c>
    </row>
    <row r="13" spans="1:13">
      <c r="A13" s="11" t="s">
        <v>9</v>
      </c>
      <c r="B13" t="s">
        <v>6</v>
      </c>
    </row>
    <row r="14" spans="1:13">
      <c r="A14" s="11"/>
      <c r="B14" t="s">
        <v>8</v>
      </c>
    </row>
    <row r="15" spans="1:13">
      <c r="A15" s="11" t="s">
        <v>9</v>
      </c>
      <c r="B15" t="s">
        <v>6</v>
      </c>
    </row>
    <row r="16" spans="1:13">
      <c r="A16" s="11"/>
      <c r="B16" t="s">
        <v>8</v>
      </c>
      <c r="F16">
        <f>L3+(M3)/60</f>
        <v>121.01666666666667</v>
      </c>
      <c r="G16">
        <f>AVERAGE(F16:F17)</f>
        <v>120.50833333333333</v>
      </c>
    </row>
    <row r="17" spans="1:7">
      <c r="A17" s="11" t="s">
        <v>9</v>
      </c>
      <c r="B17" t="s">
        <v>6</v>
      </c>
      <c r="F17">
        <f t="shared" ref="F17:F24" si="2">L4+(M4)/60</f>
        <v>120</v>
      </c>
    </row>
    <row r="18" spans="1:7">
      <c r="A18" s="11"/>
      <c r="B18" t="s">
        <v>8</v>
      </c>
      <c r="F18">
        <f t="shared" si="2"/>
        <v>120</v>
      </c>
      <c r="G18">
        <f>AVERAGE(F18:F19)</f>
        <v>120.01666666666667</v>
      </c>
    </row>
    <row r="19" spans="1:7">
      <c r="F19">
        <f t="shared" si="2"/>
        <v>120.03333333333333</v>
      </c>
    </row>
    <row r="20" spans="1:7">
      <c r="F20">
        <f t="shared" si="2"/>
        <v>120.88333333333334</v>
      </c>
      <c r="G20">
        <f>AVERAGE(F20:F21)</f>
        <v>120.35</v>
      </c>
    </row>
    <row r="21" spans="1:7">
      <c r="F21">
        <f t="shared" si="2"/>
        <v>119.81666666666666</v>
      </c>
    </row>
    <row r="22" spans="1:7">
      <c r="F22">
        <f t="shared" si="2"/>
        <v>121.11666666666666</v>
      </c>
      <c r="G22">
        <f>AVERAGE(F22:F23)</f>
        <v>120.81666666666666</v>
      </c>
    </row>
    <row r="23" spans="1:7">
      <c r="F23">
        <f t="shared" si="2"/>
        <v>120.51666666666667</v>
      </c>
    </row>
    <row r="24" spans="1:7">
      <c r="A24" t="s">
        <v>11</v>
      </c>
      <c r="B24" t="s">
        <v>14</v>
      </c>
      <c r="C24" t="s">
        <v>28</v>
      </c>
      <c r="F24">
        <f t="shared" si="2"/>
        <v>120</v>
      </c>
      <c r="G24">
        <f>AVERAGE(F24:F25)</f>
        <v>120.01666666666667</v>
      </c>
    </row>
    <row r="25" spans="1:7">
      <c r="A25" t="s">
        <v>13</v>
      </c>
      <c r="B25" t="s">
        <v>12</v>
      </c>
      <c r="C25" t="s">
        <v>29</v>
      </c>
      <c r="F25">
        <f>L12+(M12)/60</f>
        <v>120.03333333333333</v>
      </c>
    </row>
    <row r="26" spans="1:7">
      <c r="A26" t="s">
        <v>15</v>
      </c>
      <c r="B26" t="s">
        <v>14</v>
      </c>
      <c r="C26" t="s">
        <v>30</v>
      </c>
    </row>
    <row r="27" spans="1:7">
      <c r="A27" t="s">
        <v>16</v>
      </c>
      <c r="B27" t="s">
        <v>17</v>
      </c>
      <c r="C27" t="s">
        <v>31</v>
      </c>
    </row>
    <row r="28" spans="1:7">
      <c r="A28" t="s">
        <v>18</v>
      </c>
      <c r="B28" t="s">
        <v>19</v>
      </c>
      <c r="C28" t="s">
        <v>32</v>
      </c>
      <c r="F28">
        <f>AVERAGE(F16:F25)</f>
        <v>120.34166666666665</v>
      </c>
    </row>
    <row r="29" spans="1:7">
      <c r="A29" t="s">
        <v>20</v>
      </c>
      <c r="B29" t="s">
        <v>12</v>
      </c>
      <c r="C29" t="s">
        <v>33</v>
      </c>
    </row>
    <row r="30" spans="1:7">
      <c r="A30" t="s">
        <v>21</v>
      </c>
      <c r="B30" t="s">
        <v>22</v>
      </c>
      <c r="C30" t="s">
        <v>34</v>
      </c>
    </row>
    <row r="31" spans="1:7">
      <c r="A31" t="s">
        <v>23</v>
      </c>
      <c r="B31" t="s">
        <v>24</v>
      </c>
      <c r="C31" t="s">
        <v>35</v>
      </c>
    </row>
    <row r="32" spans="1:7">
      <c r="A32" t="s">
        <v>18</v>
      </c>
      <c r="B32" t="s">
        <v>26</v>
      </c>
      <c r="C32" t="s">
        <v>30</v>
      </c>
    </row>
    <row r="33" spans="1:3">
      <c r="A33" t="s">
        <v>25</v>
      </c>
      <c r="B33" t="s">
        <v>27</v>
      </c>
      <c r="C33" t="s">
        <v>31</v>
      </c>
    </row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22DD-88FF-4345-9217-1095DFCAF11A}">
  <sheetPr codeName="Sheet2"/>
  <dimension ref="A1:F18"/>
  <sheetViews>
    <sheetView topLeftCell="A31" workbookViewId="0">
      <selection sqref="A1:E13"/>
    </sheetView>
  </sheetViews>
  <sheetFormatPr baseColWidth="10" defaultRowHeight="20"/>
  <cols>
    <col min="1" max="1" width="6.140625" customWidth="1"/>
    <col min="2" max="2" width="3.85546875" customWidth="1"/>
  </cols>
  <sheetData>
    <row r="1" spans="1:6">
      <c r="A1" s="12"/>
      <c r="B1" s="12"/>
      <c r="C1" s="12" t="s">
        <v>0</v>
      </c>
      <c r="D1" s="12"/>
      <c r="E1" s="9" t="s">
        <v>1</v>
      </c>
    </row>
    <row r="2" spans="1:6">
      <c r="A2" s="12"/>
      <c r="B2" s="12"/>
      <c r="C2" s="10" t="s">
        <v>2</v>
      </c>
      <c r="D2" s="10" t="s">
        <v>3</v>
      </c>
      <c r="E2" s="10" t="s">
        <v>4</v>
      </c>
    </row>
    <row r="3" spans="1:6">
      <c r="A3" s="12" t="s">
        <v>9</v>
      </c>
      <c r="B3" s="10" t="s">
        <v>6</v>
      </c>
      <c r="C3" s="10" t="s">
        <v>11</v>
      </c>
      <c r="D3" s="10" t="s">
        <v>14</v>
      </c>
      <c r="E3" s="10" t="s">
        <v>28</v>
      </c>
    </row>
    <row r="4" spans="1:6">
      <c r="A4" s="12"/>
      <c r="B4" s="10" t="s">
        <v>8</v>
      </c>
      <c r="C4" s="10" t="s">
        <v>13</v>
      </c>
      <c r="D4" s="10" t="s">
        <v>12</v>
      </c>
      <c r="E4" s="10" t="s">
        <v>29</v>
      </c>
    </row>
    <row r="5" spans="1:6">
      <c r="A5" s="12" t="s">
        <v>9</v>
      </c>
      <c r="B5" s="10" t="s">
        <v>6</v>
      </c>
      <c r="C5" s="10" t="s">
        <v>15</v>
      </c>
      <c r="D5" s="10" t="s">
        <v>14</v>
      </c>
      <c r="E5" s="10" t="s">
        <v>29</v>
      </c>
    </row>
    <row r="6" spans="1:6">
      <c r="A6" s="12"/>
      <c r="B6" s="10" t="s">
        <v>8</v>
      </c>
      <c r="C6" s="10" t="s">
        <v>16</v>
      </c>
      <c r="D6" s="10" t="s">
        <v>17</v>
      </c>
      <c r="E6" s="10" t="s">
        <v>31</v>
      </c>
    </row>
    <row r="7" spans="1:6">
      <c r="A7" s="12" t="s">
        <v>9</v>
      </c>
      <c r="B7" s="10" t="s">
        <v>6</v>
      </c>
      <c r="C7" s="10" t="s">
        <v>18</v>
      </c>
      <c r="D7" s="10" t="s">
        <v>19</v>
      </c>
      <c r="E7" s="10" t="s">
        <v>32</v>
      </c>
    </row>
    <row r="8" spans="1:6">
      <c r="A8" s="12"/>
      <c r="B8" s="10" t="s">
        <v>8</v>
      </c>
      <c r="C8" s="10" t="s">
        <v>20</v>
      </c>
      <c r="D8" s="10" t="s">
        <v>12</v>
      </c>
      <c r="E8" s="10" t="s">
        <v>33</v>
      </c>
    </row>
    <row r="9" spans="1:6">
      <c r="A9" s="12" t="s">
        <v>9</v>
      </c>
      <c r="B9" s="10" t="s">
        <v>6</v>
      </c>
      <c r="C9" s="10" t="s">
        <v>21</v>
      </c>
      <c r="D9" s="10" t="s">
        <v>22</v>
      </c>
      <c r="E9" s="10" t="s">
        <v>36</v>
      </c>
    </row>
    <row r="10" spans="1:6">
      <c r="A10" s="12"/>
      <c r="B10" s="10" t="s">
        <v>8</v>
      </c>
      <c r="C10" s="10" t="s">
        <v>23</v>
      </c>
      <c r="D10" s="10" t="s">
        <v>24</v>
      </c>
      <c r="E10" s="10" t="s">
        <v>35</v>
      </c>
    </row>
    <row r="11" spans="1:6">
      <c r="A11" s="12" t="s">
        <v>9</v>
      </c>
      <c r="B11" s="10" t="s">
        <v>6</v>
      </c>
      <c r="C11" s="10" t="s">
        <v>18</v>
      </c>
      <c r="D11" s="10" t="s">
        <v>26</v>
      </c>
      <c r="E11" s="10" t="s">
        <v>29</v>
      </c>
    </row>
    <row r="12" spans="1:6">
      <c r="A12" s="12"/>
      <c r="B12" s="10" t="s">
        <v>8</v>
      </c>
      <c r="C12" s="10" t="s">
        <v>25</v>
      </c>
      <c r="D12" s="10" t="s">
        <v>27</v>
      </c>
      <c r="E12" s="10" t="s">
        <v>31</v>
      </c>
    </row>
    <row r="13" spans="1:6">
      <c r="A13" s="12"/>
      <c r="B13" s="12"/>
      <c r="C13" s="12" t="s">
        <v>122</v>
      </c>
      <c r="D13" s="12"/>
      <c r="E13" s="12"/>
    </row>
    <row r="14" spans="1:6">
      <c r="A14" s="1"/>
      <c r="E14">
        <v>120.341666666667</v>
      </c>
      <c r="F14">
        <f>(341666666667)*60</f>
        <v>20500000000020</v>
      </c>
    </row>
    <row r="15" spans="1:6">
      <c r="A15" s="1"/>
      <c r="E15" t="s">
        <v>31</v>
      </c>
    </row>
    <row r="16" spans="1:6">
      <c r="A16" s="1"/>
    </row>
    <row r="17" spans="1:1">
      <c r="A17" s="1"/>
    </row>
    <row r="18" spans="1:1">
      <c r="A18" s="1"/>
    </row>
  </sheetData>
  <mergeCells count="9">
    <mergeCell ref="C1:D1"/>
    <mergeCell ref="A1:B2"/>
    <mergeCell ref="A13:B13"/>
    <mergeCell ref="C13:E13"/>
    <mergeCell ref="A3:A4"/>
    <mergeCell ref="A5:A6"/>
    <mergeCell ref="A7:A8"/>
    <mergeCell ref="A9:A10"/>
    <mergeCell ref="A11:A1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080F-F5B4-5641-8F8B-F614FE47F507}">
  <sheetPr codeName="Sheet3"/>
  <dimension ref="B2:CF203"/>
  <sheetViews>
    <sheetView tabSelected="1" topLeftCell="P3" zoomScale="109" zoomScaleNormal="100" workbookViewId="0">
      <selection activeCell="U14" sqref="U14:W14"/>
    </sheetView>
  </sheetViews>
  <sheetFormatPr baseColWidth="10" defaultRowHeight="20"/>
  <cols>
    <col min="14" max="14" width="12.140625" bestFit="1" customWidth="1"/>
    <col min="15" max="15" width="13.28515625" bestFit="1" customWidth="1"/>
    <col min="16" max="16" width="14.140625" bestFit="1" customWidth="1"/>
    <col min="17" max="17" width="13.28515625" bestFit="1" customWidth="1"/>
    <col min="18" max="18" width="13.5703125" bestFit="1" customWidth="1"/>
    <col min="19" max="19" width="14.140625" bestFit="1" customWidth="1"/>
    <col min="20" max="20" width="13.28515625" bestFit="1" customWidth="1"/>
    <col min="21" max="21" width="14.140625" bestFit="1" customWidth="1"/>
    <col min="25" max="25" width="10.28515625" customWidth="1"/>
    <col min="26" max="27" width="13.85546875" bestFit="1" customWidth="1"/>
    <col min="29" max="29" width="13.85546875" bestFit="1" customWidth="1"/>
    <col min="31" max="31" width="14.7109375" customWidth="1"/>
    <col min="32" max="32" width="13.85546875" bestFit="1" customWidth="1"/>
    <col min="33" max="33" width="13" bestFit="1" customWidth="1"/>
    <col min="35" max="35" width="13" bestFit="1" customWidth="1"/>
    <col min="44" max="44" width="12.7109375" bestFit="1" customWidth="1"/>
    <col min="45" max="45" width="14.140625" bestFit="1" customWidth="1"/>
    <col min="47" max="47" width="14.140625" bestFit="1" customWidth="1"/>
  </cols>
  <sheetData>
    <row r="2" spans="2:34">
      <c r="B2" t="s">
        <v>123</v>
      </c>
    </row>
    <row r="4" spans="2:34">
      <c r="B4" t="s">
        <v>6</v>
      </c>
      <c r="C4">
        <v>300</v>
      </c>
      <c r="D4">
        <v>35</v>
      </c>
      <c r="F4">
        <f>360+C5-C4</f>
        <v>123</v>
      </c>
      <c r="G4">
        <f>-(D4)+(D5+60)</f>
        <v>40</v>
      </c>
      <c r="H4">
        <f>G4/60</f>
        <v>0.66666666666666663</v>
      </c>
      <c r="I4">
        <f>F4+H4</f>
        <v>123.66666666666667</v>
      </c>
    </row>
    <row r="5" spans="2:34">
      <c r="B5" t="s">
        <v>39</v>
      </c>
      <c r="C5">
        <v>63</v>
      </c>
      <c r="D5">
        <v>15</v>
      </c>
    </row>
    <row r="6" spans="2:34">
      <c r="B6" t="s">
        <v>8</v>
      </c>
      <c r="C6">
        <v>121</v>
      </c>
      <c r="D6">
        <v>0</v>
      </c>
      <c r="F6">
        <f>-(C6)+(C7)</f>
        <v>121</v>
      </c>
      <c r="G6">
        <f>-(D6)+(D7)</f>
        <v>40</v>
      </c>
      <c r="H6">
        <f t="shared" ref="H6:H20" si="0">G6/60</f>
        <v>0.66666666666666663</v>
      </c>
      <c r="I6">
        <f t="shared" ref="I6:I20" si="1">F6+H6</f>
        <v>121.66666666666667</v>
      </c>
      <c r="K6" t="s">
        <v>44</v>
      </c>
      <c r="L6" t="s">
        <v>48</v>
      </c>
      <c r="M6" t="s">
        <v>45</v>
      </c>
      <c r="N6" t="s">
        <v>47</v>
      </c>
      <c r="O6" t="s">
        <v>49</v>
      </c>
      <c r="P6" t="s">
        <v>50</v>
      </c>
      <c r="R6" t="s">
        <v>46</v>
      </c>
    </row>
    <row r="7" spans="2:34">
      <c r="B7" t="s">
        <v>41</v>
      </c>
      <c r="C7">
        <v>242</v>
      </c>
      <c r="D7">
        <v>40</v>
      </c>
      <c r="I7">
        <f>AVERAGE(I4,I6)</f>
        <v>122.66666666666667</v>
      </c>
      <c r="K7">
        <f>(I4+I6)/4</f>
        <v>61.333333333333336</v>
      </c>
      <c r="M7">
        <f>120.3416667/2</f>
        <v>60.170833350000002</v>
      </c>
      <c r="N7">
        <f>M7/2</f>
        <v>30.085416675000001</v>
      </c>
      <c r="O7">
        <f>(K7+M7)/2</f>
        <v>60.752083341666669</v>
      </c>
      <c r="P7">
        <f>RADIANS(N7)</f>
        <v>0.5250895778131548</v>
      </c>
      <c r="Q7">
        <f>RADIANS(O7)</f>
        <v>1.0603238817580825</v>
      </c>
      <c r="R7">
        <f>SIN(Q7)/P7</f>
        <v>1.66164747921784</v>
      </c>
      <c r="AH7" t="s">
        <v>58</v>
      </c>
    </row>
    <row r="8" spans="2:34">
      <c r="Y8" t="s">
        <v>46</v>
      </c>
      <c r="Z8">
        <v>-1</v>
      </c>
      <c r="AA8" t="s">
        <v>51</v>
      </c>
      <c r="AB8" t="s">
        <v>52</v>
      </c>
      <c r="AC8" t="s">
        <v>53</v>
      </c>
      <c r="AD8" t="s">
        <v>54</v>
      </c>
      <c r="AE8" t="s">
        <v>55</v>
      </c>
      <c r="AF8" t="s">
        <v>57</v>
      </c>
      <c r="AG8" t="s">
        <v>56</v>
      </c>
    </row>
    <row r="9" spans="2:34">
      <c r="B9" t="s">
        <v>124</v>
      </c>
      <c r="T9" t="s">
        <v>82</v>
      </c>
      <c r="U9">
        <f>434.7*10^-9</f>
        <v>4.3469999999999999E-7</v>
      </c>
      <c r="V9">
        <v>1.7286597247496058</v>
      </c>
      <c r="X9" t="s">
        <v>59</v>
      </c>
      <c r="Y9">
        <v>1.72865972474961</v>
      </c>
      <c r="Z9">
        <v>-1</v>
      </c>
      <c r="AB9" t="s">
        <v>52</v>
      </c>
      <c r="AC9">
        <f t="shared" ref="AC9:AC10" si="2">AH9/U9</f>
        <v>689653687600644.12</v>
      </c>
      <c r="AD9" t="s">
        <v>60</v>
      </c>
      <c r="AE9">
        <f t="shared" ref="AE9:AE10" si="3">U9^2</f>
        <v>1.8896408999999999E-13</v>
      </c>
      <c r="AH9">
        <v>299792458</v>
      </c>
    </row>
    <row r="10" spans="2:34">
      <c r="T10" t="s">
        <v>67</v>
      </c>
      <c r="U10">
        <f>546.1*10^-9</f>
        <v>5.4610000000000005E-7</v>
      </c>
      <c r="V10">
        <v>1.6658594883735753</v>
      </c>
      <c r="X10" t="s">
        <v>58</v>
      </c>
      <c r="Y10">
        <v>1.6658594883735753</v>
      </c>
      <c r="Z10">
        <v>-1</v>
      </c>
      <c r="AB10" t="s">
        <v>52</v>
      </c>
      <c r="AC10">
        <f t="shared" si="2"/>
        <v>548969891961179.19</v>
      </c>
      <c r="AD10" t="s">
        <v>62</v>
      </c>
      <c r="AE10">
        <f t="shared" si="3"/>
        <v>2.9822521000000007E-13</v>
      </c>
      <c r="AH10">
        <v>299792458</v>
      </c>
    </row>
    <row r="11" spans="2:34">
      <c r="B11" t="s">
        <v>6</v>
      </c>
      <c r="C11">
        <v>296</v>
      </c>
      <c r="D11">
        <v>37</v>
      </c>
      <c r="F11">
        <f>360-C11+C12</f>
        <v>140</v>
      </c>
      <c r="G11">
        <f>60-D11+D12</f>
        <v>40</v>
      </c>
      <c r="H11">
        <f t="shared" si="0"/>
        <v>0.66666666666666663</v>
      </c>
      <c r="I11">
        <f t="shared" si="1"/>
        <v>140.66666666666666</v>
      </c>
      <c r="T11" t="s">
        <v>81</v>
      </c>
      <c r="U11">
        <f>577*10^-9</f>
        <v>5.7700000000000004E-7</v>
      </c>
      <c r="V11">
        <v>1.66164747921784</v>
      </c>
      <c r="X11" t="s">
        <v>61</v>
      </c>
      <c r="Y11">
        <v>1.66164747921784</v>
      </c>
      <c r="Z11">
        <v>-1</v>
      </c>
      <c r="AB11" t="s">
        <v>52</v>
      </c>
      <c r="AC11">
        <f>AH11/U11</f>
        <v>519570984402079.69</v>
      </c>
      <c r="AD11" t="s">
        <v>67</v>
      </c>
      <c r="AE11">
        <f>U11^2</f>
        <v>3.3292900000000005E-13</v>
      </c>
      <c r="AH11">
        <v>299792458</v>
      </c>
    </row>
    <row r="12" spans="2:34">
      <c r="B12" t="s">
        <v>39</v>
      </c>
      <c r="C12">
        <v>76</v>
      </c>
      <c r="D12">
        <v>17</v>
      </c>
      <c r="Z12">
        <f>Y9+Z9</f>
        <v>0.72865972474961005</v>
      </c>
      <c r="AB12" t="s">
        <v>52</v>
      </c>
    </row>
    <row r="13" spans="2:34">
      <c r="B13" t="s">
        <v>8</v>
      </c>
      <c r="C13">
        <v>116</v>
      </c>
      <c r="D13">
        <v>30</v>
      </c>
      <c r="F13">
        <f>C14-C13</f>
        <v>140</v>
      </c>
      <c r="G13">
        <f>D14-D13</f>
        <v>10</v>
      </c>
      <c r="H13">
        <f t="shared" si="0"/>
        <v>0.16666666666666666</v>
      </c>
      <c r="I13">
        <f t="shared" si="1"/>
        <v>140.16666666666666</v>
      </c>
      <c r="Z13">
        <f t="shared" ref="Z13:Z14" si="4">Y10+Z10</f>
        <v>0.66585948837357534</v>
      </c>
      <c r="AB13" t="s">
        <v>52</v>
      </c>
    </row>
    <row r="14" spans="2:34">
      <c r="B14" t="s">
        <v>41</v>
      </c>
      <c r="C14">
        <v>256</v>
      </c>
      <c r="D14">
        <v>40</v>
      </c>
      <c r="I14">
        <f>AVERAGE(I11,I13)</f>
        <v>140.41666666666666</v>
      </c>
      <c r="K14">
        <f>(I11+I13)/4</f>
        <v>70.208333333333329</v>
      </c>
      <c r="M14">
        <f>120.3416667/2</f>
        <v>60.170833350000002</v>
      </c>
      <c r="N14">
        <f>M14/2</f>
        <v>30.085416675000001</v>
      </c>
      <c r="O14">
        <f>(K14+M14)/2</f>
        <v>65.189583341666662</v>
      </c>
      <c r="P14">
        <f>RADIANS(N14)</f>
        <v>0.5250895778131548</v>
      </c>
      <c r="Q14">
        <f>RADIANS(O14)</f>
        <v>1.1377728673153309</v>
      </c>
      <c r="R14">
        <f>SIN(Q14)/P14</f>
        <v>1.7286597247496058</v>
      </c>
      <c r="U14">
        <f>434.7</f>
        <v>434.7</v>
      </c>
      <c r="V14">
        <f>546.1</f>
        <v>546.1</v>
      </c>
      <c r="W14">
        <f>577</f>
        <v>577</v>
      </c>
      <c r="Z14">
        <f t="shared" si="4"/>
        <v>0.66164747921783995</v>
      </c>
      <c r="AB14" t="s">
        <v>52</v>
      </c>
    </row>
    <row r="16" spans="2:34">
      <c r="B16" t="s">
        <v>125</v>
      </c>
    </row>
    <row r="18" spans="2:33">
      <c r="B18" s="3" t="s">
        <v>5</v>
      </c>
      <c r="C18">
        <v>120</v>
      </c>
      <c r="D18">
        <v>25</v>
      </c>
      <c r="F18">
        <f>C19-C18</f>
        <v>123</v>
      </c>
      <c r="G18">
        <f>D20-D19</f>
        <v>18</v>
      </c>
      <c r="H18">
        <f t="shared" si="0"/>
        <v>0.3</v>
      </c>
      <c r="I18">
        <f t="shared" si="1"/>
        <v>123.3</v>
      </c>
    </row>
    <row r="19" spans="2:33">
      <c r="B19" s="3" t="s">
        <v>38</v>
      </c>
      <c r="C19">
        <v>243</v>
      </c>
      <c r="D19">
        <v>12</v>
      </c>
      <c r="X19" t="s">
        <v>63</v>
      </c>
      <c r="Y19">
        <f>Z12-Z13</f>
        <v>6.2800236376034713E-2</v>
      </c>
    </row>
    <row r="20" spans="2:33">
      <c r="B20" s="3" t="s">
        <v>7</v>
      </c>
      <c r="C20">
        <v>300</v>
      </c>
      <c r="D20">
        <v>30</v>
      </c>
      <c r="F20">
        <f>C21+360-C20</f>
        <v>123</v>
      </c>
      <c r="G20">
        <f>D18+60-D21</f>
        <v>67</v>
      </c>
      <c r="H20">
        <f t="shared" si="0"/>
        <v>1.1166666666666667</v>
      </c>
      <c r="I20">
        <f t="shared" si="1"/>
        <v>124.11666666666666</v>
      </c>
      <c r="X20" t="s">
        <v>64</v>
      </c>
      <c r="Y20">
        <f>AE10-AE11</f>
        <v>-3.470378999999998E-14</v>
      </c>
    </row>
    <row r="21" spans="2:33">
      <c r="B21" s="3" t="s">
        <v>40</v>
      </c>
      <c r="C21">
        <v>63</v>
      </c>
      <c r="D21">
        <v>18</v>
      </c>
      <c r="I21">
        <f>AVERAGE(I18,I20)</f>
        <v>123.70833333333333</v>
      </c>
      <c r="K21">
        <f>(I18+I20)/4</f>
        <v>61.854166666666664</v>
      </c>
      <c r="L21">
        <f>K21/2</f>
        <v>30.927083333333332</v>
      </c>
      <c r="M21">
        <f>120.3416667/2</f>
        <v>60.170833350000002</v>
      </c>
      <c r="N21">
        <f>M21/2</f>
        <v>30.085416675000001</v>
      </c>
      <c r="O21">
        <f>(K21+M21)/2</f>
        <v>61.012500008333333</v>
      </c>
      <c r="P21">
        <f>RADIANS(N21)</f>
        <v>0.5250895778131548</v>
      </c>
      <c r="Q21">
        <f>RADIANS(O21)</f>
        <v>1.0648690100184843</v>
      </c>
      <c r="R21">
        <f>SIN(Q21)/P21</f>
        <v>1.6658594883735753</v>
      </c>
      <c r="T21" t="s">
        <v>59</v>
      </c>
      <c r="U21">
        <v>1.7286597247496058</v>
      </c>
      <c r="X21" t="s">
        <v>65</v>
      </c>
      <c r="Y21">
        <f>AE10-AE9</f>
        <v>1.0926112000000008E-13</v>
      </c>
    </row>
    <row r="22" spans="2:33">
      <c r="T22" t="s">
        <v>83</v>
      </c>
      <c r="U22">
        <f>U9^2</f>
        <v>1.8896408999999999E-13</v>
      </c>
      <c r="X22" t="s">
        <v>66</v>
      </c>
      <c r="Y22">
        <f>Z14-Z13</f>
        <v>-4.2120091557353856E-3</v>
      </c>
    </row>
    <row r="23" spans="2:33">
      <c r="T23" t="s">
        <v>58</v>
      </c>
      <c r="U23">
        <v>1.6658594883735753</v>
      </c>
    </row>
    <row r="24" spans="2:33">
      <c r="T24" t="s">
        <v>84</v>
      </c>
      <c r="U24">
        <f>U10^2</f>
        <v>2.9822521000000007E-13</v>
      </c>
    </row>
    <row r="25" spans="2:33">
      <c r="T25" t="s">
        <v>61</v>
      </c>
      <c r="U25">
        <v>1.66164747921784</v>
      </c>
      <c r="X25" t="s">
        <v>63</v>
      </c>
      <c r="Y25" t="s">
        <v>64</v>
      </c>
      <c r="Z25">
        <f>Y19*Y20</f>
        <v>-2.1794062151442684E-15</v>
      </c>
      <c r="AB25" t="s">
        <v>68</v>
      </c>
      <c r="AC25">
        <f>Z26*AE11</f>
        <v>-1.5321686816188148E-28</v>
      </c>
      <c r="AD25" t="s">
        <v>57</v>
      </c>
      <c r="AE25">
        <f>Z26</f>
        <v>-4.6020883780590295E-16</v>
      </c>
      <c r="AF25" t="s">
        <v>70</v>
      </c>
    </row>
    <row r="26" spans="2:33">
      <c r="T26" t="s">
        <v>85</v>
      </c>
      <c r="U26">
        <f>U11^2</f>
        <v>3.3292900000000005E-13</v>
      </c>
      <c r="X26" t="str">
        <f>X21</f>
        <v>d-b</v>
      </c>
      <c r="Y26" t="str">
        <f>X22</f>
        <v>e-c</v>
      </c>
      <c r="Z26">
        <f>Y21*Y22</f>
        <v>-4.6020883780590295E-16</v>
      </c>
      <c r="AB26" t="s">
        <v>69</v>
      </c>
      <c r="AC26">
        <f>Z25*AE9</f>
        <v>-4.1182951218508092E-28</v>
      </c>
      <c r="AD26" t="s">
        <v>57</v>
      </c>
      <c r="AE26">
        <f>Z25</f>
        <v>-2.1794062151442684E-15</v>
      </c>
      <c r="AF26" t="s">
        <v>70</v>
      </c>
    </row>
    <row r="29" spans="2:33">
      <c r="AB29" t="s">
        <v>69</v>
      </c>
      <c r="AC29">
        <f>AE25</f>
        <v>-4.6020883780590295E-16</v>
      </c>
      <c r="AD29" t="s">
        <v>71</v>
      </c>
      <c r="AE29">
        <f>AE26</f>
        <v>-2.1794062151442684E-15</v>
      </c>
      <c r="AF29" t="s">
        <v>70</v>
      </c>
      <c r="AG29" t="s">
        <v>71</v>
      </c>
    </row>
    <row r="30" spans="2:33">
      <c r="AC30">
        <f>AC26</f>
        <v>-4.1182951218508092E-28</v>
      </c>
      <c r="AD30" t="s">
        <v>71</v>
      </c>
      <c r="AE30">
        <f>AC25</f>
        <v>-1.5321686816188148E-28</v>
      </c>
    </row>
    <row r="31" spans="2:33">
      <c r="Q31" t="s">
        <v>63</v>
      </c>
      <c r="R31" t="s">
        <v>86</v>
      </c>
      <c r="S31" t="s">
        <v>87</v>
      </c>
      <c r="T31" t="s">
        <v>88</v>
      </c>
    </row>
    <row r="32" spans="2:33">
      <c r="Q32">
        <f>U21-U23</f>
        <v>6.2800236376030494E-2</v>
      </c>
      <c r="R32">
        <f>U23-U25</f>
        <v>4.2120091557353856E-3</v>
      </c>
      <c r="S32">
        <f>U24-U22</f>
        <v>1.0926112000000008E-13</v>
      </c>
      <c r="T32">
        <f>U26-U24</f>
        <v>3.470378999999998E-14</v>
      </c>
      <c r="AC32">
        <f>AC29+AE29</f>
        <v>-2.6396150529501712E-15</v>
      </c>
      <c r="AD32" t="s">
        <v>70</v>
      </c>
      <c r="AE32" t="s">
        <v>71</v>
      </c>
      <c r="AF32">
        <f>AE30+AC30</f>
        <v>-5.650463803469624E-28</v>
      </c>
    </row>
    <row r="34" spans="14:32">
      <c r="AD34" t="s">
        <v>70</v>
      </c>
      <c r="AE34" t="s">
        <v>51</v>
      </c>
      <c r="AF34">
        <f>AF32/AC32</f>
        <v>2.1406393319186341E-13</v>
      </c>
    </row>
    <row r="35" spans="14:32">
      <c r="O35" t="s">
        <v>89</v>
      </c>
      <c r="Q35" t="s">
        <v>90</v>
      </c>
    </row>
    <row r="36" spans="14:32">
      <c r="O36">
        <f>Q32*T32</f>
        <v>2.1794062151441221E-15</v>
      </c>
      <c r="Q36">
        <f>R32*S32</f>
        <v>4.6020883780590295E-16</v>
      </c>
      <c r="AD36" t="s">
        <v>72</v>
      </c>
      <c r="AE36" t="s">
        <v>51</v>
      </c>
      <c r="AF36">
        <f>SQRT(AF34)</f>
        <v>4.6267043691148389E-7</v>
      </c>
    </row>
    <row r="39" spans="14:32">
      <c r="N39">
        <f>O36*U22</f>
        <v>4.118295121850532E-28</v>
      </c>
      <c r="O39" t="s">
        <v>71</v>
      </c>
      <c r="P39">
        <f>-O36</f>
        <v>-2.1794062151441221E-15</v>
      </c>
      <c r="Q39" t="s">
        <v>91</v>
      </c>
      <c r="R39" t="s">
        <v>51</v>
      </c>
      <c r="S39">
        <f>Q36*U26</f>
        <v>1.5321686816188148E-28</v>
      </c>
      <c r="T39" t="s">
        <v>71</v>
      </c>
      <c r="U39">
        <f>-Q36</f>
        <v>-4.6020883780590295E-16</v>
      </c>
      <c r="V39" t="s">
        <v>91</v>
      </c>
      <c r="Y39" t="s">
        <v>73</v>
      </c>
      <c r="Z39">
        <f>AE9-AF34</f>
        <v>-2.5099843191863416E-14</v>
      </c>
    </row>
    <row r="40" spans="14:32">
      <c r="Y40" t="s">
        <v>74</v>
      </c>
      <c r="Z40">
        <f>AE10-AF34</f>
        <v>8.4161276808136666E-14</v>
      </c>
    </row>
    <row r="42" spans="14:32">
      <c r="P42">
        <f>P39-U39</f>
        <v>-1.7191973773382191E-15</v>
      </c>
      <c r="Q42" t="s">
        <v>91</v>
      </c>
      <c r="R42" t="s">
        <v>51</v>
      </c>
      <c r="S42">
        <f>S39-N39</f>
        <v>-2.5861264402317172E-28</v>
      </c>
    </row>
    <row r="43" spans="14:32">
      <c r="Y43" t="str">
        <f>Y39</f>
        <v>b-x^2</v>
      </c>
      <c r="Z43" t="str">
        <f>Y40</f>
        <v>d-x^2</v>
      </c>
      <c r="AA43">
        <f>Z39*Z40</f>
        <v>-2.1124348507112415E-27</v>
      </c>
    </row>
    <row r="44" spans="14:32">
      <c r="Q44" t="s">
        <v>56</v>
      </c>
      <c r="R44" t="s">
        <v>51</v>
      </c>
      <c r="S44">
        <f>S42/P42</f>
        <v>1.50426383515995E-13</v>
      </c>
    </row>
    <row r="45" spans="14:32">
      <c r="S45">
        <f>SQRT(S44)</f>
        <v>3.8784840275034651E-7</v>
      </c>
    </row>
    <row r="46" spans="14:32">
      <c r="Y46" t="s">
        <v>75</v>
      </c>
      <c r="Z46" t="s">
        <v>51</v>
      </c>
      <c r="AA46">
        <f>Y19/Y21</f>
        <v>574772035798.5957</v>
      </c>
      <c r="AD46" t="s">
        <v>52</v>
      </c>
      <c r="AE46" t="s">
        <v>51</v>
      </c>
      <c r="AF46">
        <f>Z12-AA49/Z39</f>
        <v>0.68028617634318822</v>
      </c>
    </row>
    <row r="48" spans="14:32">
      <c r="S48" t="s">
        <v>53</v>
      </c>
      <c r="T48">
        <v>3.8784840275034651E-7</v>
      </c>
    </row>
    <row r="49" spans="6:48">
      <c r="P49">
        <f>1/(U22-S44)</f>
        <v>25948612183629.773</v>
      </c>
      <c r="Q49">
        <f>1/(U24-S44)</f>
        <v>6765953585620.7959</v>
      </c>
      <c r="R49">
        <f>P49-Q49</f>
        <v>19182658598008.977</v>
      </c>
      <c r="S49">
        <f>Q32/R49</f>
        <v>3.2738025365550066E-15</v>
      </c>
      <c r="T49">
        <f>R32/S49</f>
        <v>1286580088048.8184</v>
      </c>
      <c r="Y49" t="s">
        <v>53</v>
      </c>
      <c r="Z49" t="s">
        <v>51</v>
      </c>
      <c r="AA49">
        <f>AA43*AA46</f>
        <v>-1.2141684796352028E-15</v>
      </c>
    </row>
    <row r="50" spans="6:48">
      <c r="T50">
        <v>0.64370909236275653</v>
      </c>
    </row>
    <row r="51" spans="6:48">
      <c r="Q51" t="s">
        <v>52</v>
      </c>
    </row>
    <row r="52" spans="6:48">
      <c r="P52">
        <f>S49/(U22-S44)</f>
        <v>8.4950632386849301E-2</v>
      </c>
      <c r="Q52">
        <f>U21-1-P52</f>
        <v>0.64370909236275653</v>
      </c>
    </row>
    <row r="54" spans="6:48">
      <c r="F54" s="4" t="s">
        <v>93</v>
      </c>
      <c r="G54" s="4" t="s">
        <v>94</v>
      </c>
      <c r="H54" s="4" t="s">
        <v>95</v>
      </c>
      <c r="I54" s="4" t="s">
        <v>96</v>
      </c>
      <c r="J54" s="4" t="s">
        <v>97</v>
      </c>
      <c r="K54" s="4" t="s">
        <v>98</v>
      </c>
      <c r="L54" s="4" t="s">
        <v>99</v>
      </c>
      <c r="M54" s="4" t="s">
        <v>100</v>
      </c>
      <c r="N54" s="4" t="s">
        <v>101</v>
      </c>
      <c r="AP54" t="s">
        <v>53</v>
      </c>
      <c r="AQ54" t="s">
        <v>77</v>
      </c>
      <c r="AR54" t="s">
        <v>76</v>
      </c>
      <c r="AS54" t="s">
        <v>78</v>
      </c>
      <c r="AT54" t="s">
        <v>52</v>
      </c>
      <c r="AU54" t="s">
        <v>79</v>
      </c>
      <c r="AV54" t="s">
        <v>80</v>
      </c>
    </row>
    <row r="55" spans="6:48">
      <c r="P55" t="s">
        <v>76</v>
      </c>
      <c r="Q55" t="s">
        <v>46</v>
      </c>
      <c r="S55" t="s">
        <v>102</v>
      </c>
      <c r="Y55" t="s">
        <v>46</v>
      </c>
      <c r="Z55" t="s">
        <v>57</v>
      </c>
      <c r="AA55">
        <v>1</v>
      </c>
      <c r="AB55" t="s">
        <v>51</v>
      </c>
      <c r="AC55">
        <f>AF46</f>
        <v>0.68028617634318822</v>
      </c>
      <c r="AD55" t="s">
        <v>71</v>
      </c>
      <c r="AE55">
        <f>AA49</f>
        <v>-1.2141684796352028E-15</v>
      </c>
      <c r="AF55" t="s">
        <v>54</v>
      </c>
      <c r="AG55" t="s">
        <v>55</v>
      </c>
      <c r="AH55" t="s">
        <v>57</v>
      </c>
      <c r="AI55">
        <f>AF34</f>
        <v>2.1406393319186341E-13</v>
      </c>
      <c r="AP55">
        <v>-1.2141684796352028E-15</v>
      </c>
      <c r="AQ55">
        <v>4.6267043691148389E-7</v>
      </c>
      <c r="AR55">
        <f>404.7*10^-9</f>
        <v>4.0470000000000002E-7</v>
      </c>
      <c r="AS55">
        <f>(AR55^2-$AQ$55^2)</f>
        <v>-5.0281843191863358E-14</v>
      </c>
      <c r="AT55">
        <v>0.68028617634318822</v>
      </c>
      <c r="AU55">
        <f>$AP$55/AS55</f>
        <v>2.4147254805322656E-2</v>
      </c>
      <c r="AV55">
        <f>$AT$55+AU55</f>
        <v>0.70443343114851087</v>
      </c>
    </row>
    <row r="56" spans="6:48">
      <c r="O56">
        <v>365</v>
      </c>
      <c r="P56">
        <f>O56*10^-9</f>
        <v>3.65E-7</v>
      </c>
      <c r="Q56">
        <f t="shared" ref="Q56:Q64" si="5">$Q$52+1+$S$49/(P56^2-$S$44)</f>
        <v>1.4533870445163839</v>
      </c>
      <c r="R56" s="5">
        <v>1.7259</v>
      </c>
      <c r="S56" s="5">
        <v>1.7002999999999999</v>
      </c>
      <c r="Y56">
        <f>1+$AC$55+($AE$55/(AF56^2-$AI$55))</f>
        <v>1.7044334311485108</v>
      </c>
      <c r="AE56">
        <v>404.7</v>
      </c>
      <c r="AF56">
        <f>AE56*10^-9</f>
        <v>4.0470000000000002E-7</v>
      </c>
      <c r="AG56">
        <f>(AE56*10^-9)^2</f>
        <v>1.6378209000000002E-13</v>
      </c>
      <c r="AR56">
        <f>407.8*10^-9</f>
        <v>4.0780000000000004E-7</v>
      </c>
      <c r="AS56">
        <f t="shared" ref="AS56:AS62" si="6">(AR56^2-$AQ$55^2)</f>
        <v>-4.7763093191863349E-14</v>
      </c>
      <c r="AU56">
        <f t="shared" ref="AU56:AU62" si="7">$AP$55/AS56</f>
        <v>2.5420641723472834E-2</v>
      </c>
      <c r="AV56">
        <f t="shared" ref="AV56:AV62" si="8">$AT$55+AU56</f>
        <v>0.70570681806666102</v>
      </c>
    </row>
    <row r="57" spans="6:48">
      <c r="O57">
        <v>404.7</v>
      </c>
      <c r="P57">
        <f t="shared" ref="P57:P64" si="9">O57*10^-9</f>
        <v>4.0470000000000002E-7</v>
      </c>
      <c r="Q57">
        <f t="shared" si="5"/>
        <v>1.8888329680990013</v>
      </c>
      <c r="R57" s="5">
        <v>1.7156</v>
      </c>
      <c r="S57" s="5">
        <v>1.6822999999999999</v>
      </c>
      <c r="Y57">
        <f t="shared" ref="Y57:Y63" si="10">1+$AC$55+($AE$55/(AF57^2-$AI$55))</f>
        <v>1.705706818066661</v>
      </c>
      <c r="AE57">
        <v>407.8</v>
      </c>
      <c r="AF57">
        <f t="shared" ref="AF57:AF63" si="11">AE57*10^-9</f>
        <v>4.0780000000000004E-7</v>
      </c>
      <c r="AG57">
        <f t="shared" ref="AG57:AG63" si="12">(AE57*10^-9)^2</f>
        <v>1.6630084000000003E-13</v>
      </c>
      <c r="AR57">
        <f>433.9*10^-9</f>
        <v>4.3389999999999999E-7</v>
      </c>
      <c r="AS57">
        <f t="shared" si="6"/>
        <v>-2.579472319186339E-14</v>
      </c>
      <c r="AU57">
        <f t="shared" si="7"/>
        <v>4.707042097734921E-2</v>
      </c>
      <c r="AV57">
        <f t="shared" si="8"/>
        <v>0.72735659732053748</v>
      </c>
    </row>
    <row r="58" spans="6:48">
      <c r="O58" s="6">
        <v>435.8</v>
      </c>
      <c r="P58" s="6">
        <f t="shared" si="9"/>
        <v>4.3580000000000002E-7</v>
      </c>
      <c r="Q58" s="6">
        <f t="shared" si="5"/>
        <v>1.7266001235396484</v>
      </c>
      <c r="R58" s="7">
        <v>1.7097</v>
      </c>
      <c r="S58" s="5">
        <v>1.6725000000000001</v>
      </c>
      <c r="Y58">
        <f t="shared" si="10"/>
        <v>1.7273565973205374</v>
      </c>
      <c r="AE58">
        <v>433.9</v>
      </c>
      <c r="AF58">
        <f>AE58*10^-9</f>
        <v>4.3389999999999999E-7</v>
      </c>
      <c r="AG58">
        <f t="shared" si="12"/>
        <v>1.8826920999999999E-13</v>
      </c>
      <c r="AR58">
        <f>435.8*10^-9</f>
        <v>4.3580000000000002E-7</v>
      </c>
      <c r="AS58">
        <f t="shared" si="6"/>
        <v>-2.4142293191863363E-14</v>
      </c>
      <c r="AU58">
        <f t="shared" si="7"/>
        <v>5.0292176885848271E-2</v>
      </c>
      <c r="AV58">
        <f t="shared" si="8"/>
        <v>0.73057835322903653</v>
      </c>
    </row>
    <row r="59" spans="6:48">
      <c r="O59" s="6">
        <v>486.1</v>
      </c>
      <c r="P59" s="6">
        <f t="shared" si="9"/>
        <v>4.861000000000001E-7</v>
      </c>
      <c r="Q59" s="6">
        <f t="shared" si="5"/>
        <v>1.6818356037363291</v>
      </c>
      <c r="R59" s="7">
        <v>1.7024999999999999</v>
      </c>
      <c r="S59" s="5">
        <v>1.6612</v>
      </c>
      <c r="Y59">
        <f>1+$AC$55+($AE$55/(AF59^2-$AI$55))</f>
        <v>1.7305783532290364</v>
      </c>
      <c r="AE59">
        <v>435.8</v>
      </c>
      <c r="AF59">
        <f t="shared" si="11"/>
        <v>4.3580000000000002E-7</v>
      </c>
      <c r="AG59">
        <f t="shared" si="12"/>
        <v>1.8992164000000002E-13</v>
      </c>
      <c r="AR59">
        <f>491.6*10^-9</f>
        <v>4.9160000000000009E-7</v>
      </c>
      <c r="AS59">
        <f t="shared" si="6"/>
        <v>2.7606626808136687E-14</v>
      </c>
      <c r="AU59">
        <f t="shared" si="7"/>
        <v>-4.3981051653776936E-2</v>
      </c>
      <c r="AV59">
        <f t="shared" si="8"/>
        <v>0.63630512468941125</v>
      </c>
    </row>
    <row r="60" spans="6:48">
      <c r="O60" s="6">
        <v>546.1</v>
      </c>
      <c r="P60" s="6">
        <f t="shared" si="9"/>
        <v>5.4610000000000005E-7</v>
      </c>
      <c r="Q60" s="6">
        <f t="shared" si="5"/>
        <v>1.6658594883735751</v>
      </c>
      <c r="R60" s="7">
        <v>1.6966000000000001</v>
      </c>
      <c r="S60" s="5">
        <v>1.6521999999999999</v>
      </c>
      <c r="Y60">
        <f t="shared" si="10"/>
        <v>1.6363051246894111</v>
      </c>
      <c r="AE60">
        <v>491.6</v>
      </c>
      <c r="AF60">
        <f t="shared" si="11"/>
        <v>4.9160000000000009E-7</v>
      </c>
      <c r="AG60">
        <f t="shared" si="12"/>
        <v>2.4167056000000007E-13</v>
      </c>
      <c r="AR60">
        <f>546.1*10^-9</f>
        <v>5.4610000000000005E-7</v>
      </c>
      <c r="AS60">
        <f t="shared" si="6"/>
        <v>8.4161276808136692E-14</v>
      </c>
      <c r="AU60">
        <f t="shared" si="7"/>
        <v>-1.4426687969612852E-2</v>
      </c>
      <c r="AV60">
        <f t="shared" si="8"/>
        <v>0.66585948837357534</v>
      </c>
    </row>
    <row r="61" spans="6:48">
      <c r="O61" s="6">
        <v>587.6</v>
      </c>
      <c r="P61" s="6">
        <f t="shared" si="9"/>
        <v>5.876000000000001E-7</v>
      </c>
      <c r="Q61" s="6">
        <f t="shared" si="5"/>
        <v>1.6605109738950117</v>
      </c>
      <c r="R61" s="7">
        <v>1.6935</v>
      </c>
      <c r="S61" s="5">
        <v>1.6476999999999999</v>
      </c>
      <c r="Y61">
        <f t="shared" si="10"/>
        <v>1.6658594883735753</v>
      </c>
      <c r="AE61">
        <v>546.1</v>
      </c>
      <c r="AF61">
        <f t="shared" si="11"/>
        <v>5.4610000000000005E-7</v>
      </c>
      <c r="AG61">
        <f t="shared" si="12"/>
        <v>2.9822521000000007E-13</v>
      </c>
      <c r="AR61">
        <f>577*10^-9</f>
        <v>5.7700000000000004E-7</v>
      </c>
      <c r="AS61">
        <f t="shared" si="6"/>
        <v>1.1886506680813667E-13</v>
      </c>
      <c r="AU61">
        <f t="shared" si="7"/>
        <v>-1.0214678813877462E-2</v>
      </c>
      <c r="AV61">
        <f t="shared" si="8"/>
        <v>0.67007149752931072</v>
      </c>
    </row>
    <row r="62" spans="6:48">
      <c r="O62">
        <v>656.3</v>
      </c>
      <c r="P62">
        <f t="shared" si="9"/>
        <v>6.5629999999999997E-7</v>
      </c>
      <c r="Q62">
        <f t="shared" si="5"/>
        <v>1.6553885926070455</v>
      </c>
      <c r="R62" s="5">
        <v>1.6896</v>
      </c>
      <c r="S62" s="5">
        <v>1.6420999999999999</v>
      </c>
      <c r="Y62">
        <f t="shared" si="10"/>
        <v>1.6700714975293107</v>
      </c>
      <c r="AE62">
        <v>577</v>
      </c>
      <c r="AF62">
        <f t="shared" si="11"/>
        <v>5.7700000000000004E-7</v>
      </c>
      <c r="AG62">
        <f t="shared" si="12"/>
        <v>3.3292900000000005E-13</v>
      </c>
      <c r="AR62">
        <f>579.1*10^-9</f>
        <v>5.791000000000001E-7</v>
      </c>
      <c r="AS62">
        <f t="shared" si="6"/>
        <v>1.2129287680813672E-13</v>
      </c>
      <c r="AU62">
        <f t="shared" si="7"/>
        <v>-1.0010220810870836E-2</v>
      </c>
      <c r="AV62">
        <f t="shared" si="8"/>
        <v>0.67027595553231734</v>
      </c>
    </row>
    <row r="63" spans="6:48">
      <c r="O63">
        <v>768.2</v>
      </c>
      <c r="P63">
        <f t="shared" si="9"/>
        <v>7.6820000000000012E-7</v>
      </c>
      <c r="Q63">
        <f t="shared" si="5"/>
        <v>1.6511545469404774</v>
      </c>
      <c r="R63" s="5">
        <v>1.6852</v>
      </c>
      <c r="S63" s="5">
        <v>1.6361000000000001</v>
      </c>
      <c r="Y63">
        <f t="shared" si="10"/>
        <v>1.6702759555323174</v>
      </c>
      <c r="AE63">
        <v>579.1</v>
      </c>
      <c r="AF63">
        <f t="shared" si="11"/>
        <v>5.791000000000001E-7</v>
      </c>
      <c r="AG63">
        <f t="shared" si="12"/>
        <v>3.353568100000001E-13</v>
      </c>
    </row>
    <row r="64" spans="6:48">
      <c r="O64">
        <v>1014</v>
      </c>
      <c r="P64">
        <f t="shared" si="9"/>
        <v>1.0140000000000002E-6</v>
      </c>
      <c r="Q64">
        <f t="shared" si="5"/>
        <v>1.6474387754995099</v>
      </c>
      <c r="R64" s="5">
        <v>1.6794</v>
      </c>
      <c r="S64" s="5">
        <v>1.6286</v>
      </c>
      <c r="Y64">
        <f t="shared" ref="Y64:Y65" si="13">1+$AC$55+($AE$55/(AG64-$AI$55))</f>
        <v>1.685958166302127</v>
      </c>
    </row>
    <row r="65" spans="10:28">
      <c r="Y65">
        <f t="shared" si="13"/>
        <v>1.685958166302127</v>
      </c>
    </row>
    <row r="70" spans="10:28">
      <c r="J70" s="5">
        <v>1.6286</v>
      </c>
      <c r="K70" s="5">
        <v>1.6361000000000001</v>
      </c>
      <c r="L70" s="5">
        <v>1.6420999999999999</v>
      </c>
      <c r="M70" s="5">
        <v>1.6476999999999999</v>
      </c>
      <c r="N70" s="5">
        <v>1.6521999999999999</v>
      </c>
      <c r="O70" s="5">
        <v>1.6612</v>
      </c>
      <c r="P70" s="5">
        <v>1.6725000000000001</v>
      </c>
      <c r="Q70" s="5">
        <v>1.6822999999999999</v>
      </c>
      <c r="R70" s="5">
        <v>1.7002999999999999</v>
      </c>
    </row>
    <row r="74" spans="10:28">
      <c r="O74" s="5">
        <v>1.6794</v>
      </c>
      <c r="P74" s="5">
        <v>1.6852</v>
      </c>
      <c r="Q74" s="5">
        <v>1.6896</v>
      </c>
      <c r="R74" s="5">
        <v>1.6935</v>
      </c>
      <c r="S74" s="5">
        <v>1.6966000000000001</v>
      </c>
      <c r="T74" s="5">
        <v>1.7024999999999999</v>
      </c>
      <c r="U74" s="5">
        <v>1.7097</v>
      </c>
      <c r="V74" s="5">
        <v>1.7156</v>
      </c>
      <c r="W74" s="5">
        <v>1.7259</v>
      </c>
      <c r="AA74">
        <v>404.7</v>
      </c>
      <c r="AB74">
        <v>1.7305783532290364</v>
      </c>
    </row>
    <row r="75" spans="10:28">
      <c r="AA75">
        <v>407.8</v>
      </c>
      <c r="AB75">
        <v>1.7273565973205374</v>
      </c>
    </row>
    <row r="76" spans="10:28">
      <c r="AA76">
        <v>433.9</v>
      </c>
      <c r="AB76">
        <v>1.705706818066661</v>
      </c>
    </row>
    <row r="77" spans="10:28">
      <c r="AA77">
        <v>435.8</v>
      </c>
      <c r="AB77">
        <v>1.7044334311485108</v>
      </c>
    </row>
    <row r="78" spans="10:28">
      <c r="AA78">
        <v>491.6</v>
      </c>
      <c r="AB78">
        <v>1.6702759555323174</v>
      </c>
    </row>
    <row r="79" spans="10:28">
      <c r="AA79">
        <v>546.1</v>
      </c>
      <c r="AB79">
        <v>1.6700714975293107</v>
      </c>
    </row>
    <row r="80" spans="10:28">
      <c r="AA80">
        <v>577</v>
      </c>
      <c r="AB80">
        <v>1.6658594883735753</v>
      </c>
    </row>
    <row r="81" spans="27:28">
      <c r="AA81">
        <v>579.1</v>
      </c>
      <c r="AB81">
        <v>1.6363051246894111</v>
      </c>
    </row>
    <row r="82" spans="27:28">
      <c r="AA82">
        <v>4.0470000000000002E-7</v>
      </c>
    </row>
    <row r="83" spans="27:28">
      <c r="AA83">
        <v>4.0780000000000004E-7</v>
      </c>
    </row>
    <row r="84" spans="27:28">
      <c r="AA84">
        <v>4.3389999999999999E-7</v>
      </c>
    </row>
    <row r="85" spans="27:28">
      <c r="AA85">
        <v>4.3580000000000002E-7</v>
      </c>
    </row>
    <row r="86" spans="27:28">
      <c r="AA86">
        <v>4.9160000000000009E-7</v>
      </c>
    </row>
    <row r="87" spans="27:28">
      <c r="AA87">
        <v>5.4610000000000005E-7</v>
      </c>
    </row>
    <row r="88" spans="27:28">
      <c r="AA88">
        <v>5.7700000000000004E-7</v>
      </c>
    </row>
    <row r="89" spans="27:28">
      <c r="AA89">
        <v>5.791000000000001E-7</v>
      </c>
    </row>
    <row r="102" spans="8:22">
      <c r="H102" t="s">
        <v>103</v>
      </c>
      <c r="I102" t="s">
        <v>104</v>
      </c>
      <c r="J102" t="s">
        <v>105</v>
      </c>
      <c r="K102" t="s">
        <v>106</v>
      </c>
      <c r="L102" t="s">
        <v>107</v>
      </c>
      <c r="M102" t="s">
        <v>108</v>
      </c>
      <c r="N102" t="s">
        <v>109</v>
      </c>
      <c r="O102" t="s">
        <v>110</v>
      </c>
      <c r="P102" t="s">
        <v>111</v>
      </c>
      <c r="Q102" t="s">
        <v>112</v>
      </c>
      <c r="R102" t="s">
        <v>113</v>
      </c>
      <c r="S102" t="s">
        <v>114</v>
      </c>
      <c r="T102" t="s">
        <v>115</v>
      </c>
      <c r="U102" t="s">
        <v>116</v>
      </c>
      <c r="V102" t="s">
        <v>118</v>
      </c>
    </row>
    <row r="109" spans="8:22">
      <c r="M109" t="s">
        <v>103</v>
      </c>
      <c r="N109">
        <v>1.4622999999999999</v>
      </c>
      <c r="O109">
        <v>1.466</v>
      </c>
      <c r="P109">
        <v>1.4684999999999999</v>
      </c>
      <c r="Q109">
        <v>1.4706999999999999</v>
      </c>
      <c r="R109">
        <v>1.4723999999999999</v>
      </c>
      <c r="S109">
        <v>1.4755</v>
      </c>
      <c r="T109">
        <v>1.4793000000000001</v>
      </c>
      <c r="U109">
        <v>1.4823</v>
      </c>
      <c r="V109">
        <v>1.4875</v>
      </c>
    </row>
    <row r="110" spans="8:22">
      <c r="M110" t="s">
        <v>104</v>
      </c>
      <c r="N110">
        <v>1.5073000000000001</v>
      </c>
      <c r="O110">
        <v>1.5115000000000001</v>
      </c>
      <c r="P110">
        <v>1.5143</v>
      </c>
      <c r="Q110">
        <v>1.5167999999999999</v>
      </c>
      <c r="R110">
        <v>1.5186999999999999</v>
      </c>
      <c r="S110">
        <v>1.5224</v>
      </c>
      <c r="T110">
        <v>1.5266999999999999</v>
      </c>
      <c r="U110">
        <v>1.5302</v>
      </c>
      <c r="V110">
        <v>1.5363</v>
      </c>
    </row>
    <row r="111" spans="8:22">
      <c r="M111" t="s">
        <v>105</v>
      </c>
      <c r="N111">
        <v>1.5083</v>
      </c>
      <c r="O111">
        <v>1.5125</v>
      </c>
      <c r="P111">
        <v>1.5155000000000001</v>
      </c>
      <c r="Q111">
        <v>1.5182</v>
      </c>
      <c r="R111">
        <v>1.5203</v>
      </c>
      <c r="S111">
        <v>1.5243</v>
      </c>
      <c r="T111">
        <v>1.5290999999999999</v>
      </c>
      <c r="U111">
        <v>1.5330999999999999</v>
      </c>
      <c r="V111">
        <v>1.5399</v>
      </c>
    </row>
    <row r="112" spans="8:22">
      <c r="M112" t="s">
        <v>106</v>
      </c>
      <c r="N112">
        <v>1.5576000000000001</v>
      </c>
      <c r="O112">
        <v>1.5623</v>
      </c>
      <c r="P112">
        <v>1.5658000000000001</v>
      </c>
      <c r="Q112">
        <v>1.5688</v>
      </c>
      <c r="R112">
        <v>1.5712999999999999</v>
      </c>
      <c r="S112">
        <v>1.5759000000000001</v>
      </c>
      <c r="T112">
        <v>1.5814999999999999</v>
      </c>
      <c r="U112">
        <v>1.5861000000000001</v>
      </c>
      <c r="V112">
        <v>1.5941000000000001</v>
      </c>
    </row>
    <row r="113" spans="13:22">
      <c r="M113" t="s">
        <v>107</v>
      </c>
      <c r="N113">
        <v>1.5781000000000001</v>
      </c>
      <c r="O113">
        <v>1.5828</v>
      </c>
      <c r="P113">
        <v>1.5862000000000001</v>
      </c>
      <c r="Q113">
        <v>1.5891</v>
      </c>
      <c r="R113">
        <v>1.5913999999999999</v>
      </c>
      <c r="S113">
        <v>1.5958000000000001</v>
      </c>
      <c r="T113">
        <v>1.601</v>
      </c>
      <c r="U113">
        <v>1.6052999999999999</v>
      </c>
      <c r="V113">
        <v>1.6126</v>
      </c>
    </row>
    <row r="114" spans="13:22">
      <c r="M114" t="s">
        <v>108</v>
      </c>
      <c r="N114">
        <v>1.6048</v>
      </c>
      <c r="O114">
        <v>1.6099000000000001</v>
      </c>
      <c r="P114">
        <v>1.6136999999999999</v>
      </c>
      <c r="Q114">
        <v>1.6172</v>
      </c>
      <c r="R114">
        <v>1.6198999999999999</v>
      </c>
      <c r="S114">
        <v>1.6252</v>
      </c>
      <c r="T114">
        <v>1.6315</v>
      </c>
      <c r="U114">
        <v>1.6368</v>
      </c>
      <c r="V114">
        <v>1.6458999999999999</v>
      </c>
    </row>
    <row r="115" spans="13:22">
      <c r="M115" t="s">
        <v>109</v>
      </c>
      <c r="N115">
        <v>1.6794</v>
      </c>
      <c r="O115">
        <v>1.6852</v>
      </c>
      <c r="P115">
        <v>1.6896</v>
      </c>
      <c r="Q115">
        <v>1.6935</v>
      </c>
      <c r="R115">
        <v>1.6966000000000001</v>
      </c>
      <c r="S115">
        <v>1.7024999999999999</v>
      </c>
      <c r="T115">
        <v>1.7097</v>
      </c>
      <c r="U115">
        <v>1.7156</v>
      </c>
      <c r="V115">
        <v>1.7259</v>
      </c>
    </row>
    <row r="116" spans="13:22">
      <c r="M116" t="s">
        <v>110</v>
      </c>
      <c r="N116">
        <v>1.518</v>
      </c>
      <c r="O116">
        <v>1.5227999999999999</v>
      </c>
      <c r="P116">
        <v>1.5263</v>
      </c>
      <c r="Q116">
        <v>1.5294000000000001</v>
      </c>
      <c r="R116">
        <v>1.5319</v>
      </c>
      <c r="S116">
        <v>1.5366</v>
      </c>
      <c r="T116">
        <v>1.5422</v>
      </c>
      <c r="U116">
        <v>1.5468999999999999</v>
      </c>
      <c r="V116">
        <v>1.5550999999999999</v>
      </c>
    </row>
    <row r="117" spans="13:22">
      <c r="M117" t="s">
        <v>111</v>
      </c>
      <c r="N117">
        <v>1.655</v>
      </c>
      <c r="O117">
        <v>1.6611</v>
      </c>
      <c r="P117">
        <v>1.6657999999999999</v>
      </c>
      <c r="Q117">
        <v>1.67</v>
      </c>
      <c r="R117">
        <v>1.6734</v>
      </c>
      <c r="S117">
        <v>1.68</v>
      </c>
      <c r="T117">
        <v>1.6879999999999999</v>
      </c>
      <c r="U117">
        <v>1.6948000000000001</v>
      </c>
      <c r="V117">
        <v>1.7068000000000001</v>
      </c>
    </row>
    <row r="118" spans="13:22">
      <c r="M118" t="s">
        <v>112</v>
      </c>
      <c r="N118">
        <v>1.7262</v>
      </c>
      <c r="O118">
        <v>1.7335</v>
      </c>
      <c r="P118">
        <v>1.7390000000000001</v>
      </c>
      <c r="Q118">
        <v>1.744</v>
      </c>
      <c r="R118">
        <v>1.7479</v>
      </c>
      <c r="S118">
        <v>1.7556</v>
      </c>
      <c r="T118">
        <v>1.7648999999999999</v>
      </c>
      <c r="U118">
        <v>1.7727999999999999</v>
      </c>
      <c r="V118">
        <v>1.7867</v>
      </c>
    </row>
    <row r="119" spans="13:22">
      <c r="M119" t="s">
        <v>113</v>
      </c>
      <c r="N119">
        <v>1.5667</v>
      </c>
      <c r="O119">
        <v>1.5726</v>
      </c>
      <c r="P119">
        <v>1.5771999999999999</v>
      </c>
      <c r="Q119">
        <v>1.5813999999999999</v>
      </c>
      <c r="R119">
        <v>1.5848</v>
      </c>
      <c r="S119">
        <v>1.5914999999999999</v>
      </c>
      <c r="T119">
        <v>1.5995999999999999</v>
      </c>
      <c r="U119">
        <v>1.6067</v>
      </c>
      <c r="V119">
        <v>1.6192</v>
      </c>
    </row>
    <row r="120" spans="13:22">
      <c r="M120" t="s">
        <v>114</v>
      </c>
      <c r="N120">
        <v>1.6028</v>
      </c>
      <c r="O120">
        <v>1.6095999999999999</v>
      </c>
      <c r="P120">
        <v>1.615</v>
      </c>
      <c r="Q120">
        <v>1.62</v>
      </c>
      <c r="R120">
        <v>1.6241000000000001</v>
      </c>
      <c r="S120">
        <v>1.6321000000000001</v>
      </c>
      <c r="T120">
        <v>1.6420999999999999</v>
      </c>
      <c r="U120">
        <v>1.6507000000000001</v>
      </c>
      <c r="V120">
        <v>1.6662999999999999</v>
      </c>
    </row>
    <row r="121" spans="13:22">
      <c r="M121" t="s">
        <v>115</v>
      </c>
      <c r="N121">
        <v>1.6286</v>
      </c>
      <c r="O121">
        <v>1.6361000000000001</v>
      </c>
      <c r="P121">
        <v>1.6420999999999999</v>
      </c>
      <c r="Q121">
        <v>1.6476999999999999</v>
      </c>
      <c r="R121">
        <v>1.6521999999999999</v>
      </c>
      <c r="S121">
        <v>1.6612</v>
      </c>
      <c r="T121">
        <v>1.6725000000000001</v>
      </c>
      <c r="U121">
        <v>1.6822999999999999</v>
      </c>
      <c r="V121">
        <v>1.7002999999999999</v>
      </c>
    </row>
    <row r="122" spans="13:22">
      <c r="M122" t="s">
        <v>116</v>
      </c>
      <c r="N122">
        <v>1.7151000000000001</v>
      </c>
      <c r="O122">
        <v>1.7248000000000001</v>
      </c>
      <c r="P122">
        <v>1.7331000000000001</v>
      </c>
      <c r="Q122">
        <v>1.7407999999999999</v>
      </c>
      <c r="R122">
        <v>1.7471000000000001</v>
      </c>
      <c r="S122">
        <v>1.7598</v>
      </c>
      <c r="T122">
        <v>1.7761</v>
      </c>
      <c r="U122">
        <v>1.7907</v>
      </c>
      <c r="V122" t="s">
        <v>117</v>
      </c>
    </row>
    <row r="123" spans="13:22">
      <c r="M123" t="s">
        <v>118</v>
      </c>
      <c r="N123">
        <v>1.8781000000000001</v>
      </c>
      <c r="O123">
        <v>1.8927</v>
      </c>
      <c r="P123">
        <v>1.9054</v>
      </c>
      <c r="Q123">
        <v>1.9176</v>
      </c>
      <c r="R123">
        <v>1.9277</v>
      </c>
      <c r="S123">
        <v>1.9483999999999999</v>
      </c>
      <c r="T123">
        <v>1.9753000000000001</v>
      </c>
      <c r="U123">
        <v>1.9997</v>
      </c>
      <c r="V123" t="s">
        <v>117</v>
      </c>
    </row>
    <row r="129" spans="8:84">
      <c r="K129">
        <v>1.4533870445163839</v>
      </c>
      <c r="L129">
        <v>1.8888329680990013</v>
      </c>
      <c r="M129">
        <v>1.7266001235396484</v>
      </c>
      <c r="N129">
        <v>1.6818356037363291</v>
      </c>
      <c r="O129">
        <v>1.6658594883735751</v>
      </c>
      <c r="P129">
        <v>1.6605109738950117</v>
      </c>
      <c r="Q129">
        <v>1.6553885926070455</v>
      </c>
      <c r="R129">
        <v>1.6511545469404774</v>
      </c>
      <c r="S129">
        <v>1.6474387754995099</v>
      </c>
    </row>
    <row r="130" spans="8:84">
      <c r="H130">
        <v>1.4533870445163839</v>
      </c>
      <c r="AY130">
        <v>365</v>
      </c>
      <c r="AZ130">
        <v>404.7</v>
      </c>
      <c r="BA130" s="6">
        <v>435.8</v>
      </c>
      <c r="BB130" s="6">
        <v>486.1</v>
      </c>
      <c r="BC130" s="6">
        <v>546.1</v>
      </c>
      <c r="BD130" s="6">
        <v>587.6</v>
      </c>
      <c r="BE130">
        <v>656.3</v>
      </c>
      <c r="BF130">
        <v>768.2</v>
      </c>
      <c r="BG130">
        <v>1014</v>
      </c>
      <c r="BH130" s="6"/>
      <c r="BJ130" s="6"/>
      <c r="BL130" s="6"/>
      <c r="BN130" s="6"/>
      <c r="BP130" s="6"/>
      <c r="BR130" s="6"/>
      <c r="BT130" s="6"/>
      <c r="BV130" s="6"/>
      <c r="BX130" s="6"/>
      <c r="BZ130" s="6"/>
      <c r="CB130" s="6"/>
      <c r="CD130" s="6"/>
      <c r="CF130" s="6"/>
    </row>
    <row r="131" spans="8:84">
      <c r="H131">
        <v>1.8888329680990013</v>
      </c>
      <c r="AX131" t="s">
        <v>103</v>
      </c>
      <c r="AY131">
        <v>1.4875</v>
      </c>
      <c r="AZ131">
        <v>1.4823</v>
      </c>
      <c r="BA131">
        <v>1.4793000000000001</v>
      </c>
      <c r="BB131" s="8">
        <v>1.4755</v>
      </c>
      <c r="BC131" s="8">
        <v>1.4723999999999999</v>
      </c>
      <c r="BD131" s="8">
        <v>1.4706999999999999</v>
      </c>
      <c r="BE131" s="8">
        <v>1.4684999999999999</v>
      </c>
      <c r="BF131">
        <v>1.466</v>
      </c>
      <c r="BG131">
        <v>1.4622999999999999</v>
      </c>
      <c r="BH131" s="6"/>
      <c r="BI131" s="8"/>
      <c r="BJ131" s="6"/>
      <c r="BK131" s="8"/>
      <c r="BL131" s="6"/>
      <c r="BM131" s="8"/>
      <c r="BN131" s="6"/>
      <c r="BO131" s="8"/>
      <c r="BP131" s="6"/>
      <c r="BQ131" s="8"/>
      <c r="BR131" s="6"/>
      <c r="BS131" s="8"/>
      <c r="BT131" s="6"/>
      <c r="BU131" s="8"/>
      <c r="BV131" s="6"/>
      <c r="BX131" s="6"/>
      <c r="BZ131" s="6"/>
      <c r="CB131" s="6"/>
      <c r="CD131" s="6"/>
      <c r="CF131" s="6"/>
    </row>
    <row r="132" spans="8:84">
      <c r="H132">
        <v>1.7266001235396484</v>
      </c>
      <c r="AY132">
        <v>365</v>
      </c>
      <c r="AZ132">
        <v>404.7</v>
      </c>
      <c r="BA132" s="6">
        <v>435.8</v>
      </c>
      <c r="BB132" s="6">
        <v>486.1</v>
      </c>
      <c r="BC132" s="6">
        <v>546.1</v>
      </c>
      <c r="BD132" s="6">
        <v>587.6</v>
      </c>
      <c r="BE132">
        <v>656.3</v>
      </c>
      <c r="BF132">
        <v>768.2</v>
      </c>
      <c r="BG132">
        <v>1014</v>
      </c>
      <c r="BH132" s="6"/>
      <c r="BI132" s="8"/>
      <c r="BJ132" s="6"/>
      <c r="BK132" s="8"/>
      <c r="BL132" s="6"/>
      <c r="BM132" s="8"/>
      <c r="BN132" s="6"/>
      <c r="BO132" s="8"/>
      <c r="BP132" s="6"/>
      <c r="BQ132" s="8"/>
      <c r="BR132" s="6"/>
      <c r="BS132" s="8"/>
      <c r="BT132" s="6"/>
      <c r="BU132" s="8"/>
      <c r="BV132" s="6"/>
      <c r="BX132" s="6"/>
      <c r="BZ132" s="6"/>
      <c r="CB132" s="6"/>
      <c r="CD132" s="6"/>
      <c r="CF132" s="6"/>
    </row>
    <row r="133" spans="8:84">
      <c r="H133">
        <v>1.6818356037363291</v>
      </c>
      <c r="AX133" t="s">
        <v>121</v>
      </c>
      <c r="AY133">
        <v>1.5363</v>
      </c>
      <c r="AZ133">
        <v>1.5302</v>
      </c>
      <c r="BA133">
        <v>1.5266999999999999</v>
      </c>
      <c r="BB133" s="8">
        <v>1.5224</v>
      </c>
      <c r="BC133" s="8">
        <v>1.5186999999999999</v>
      </c>
      <c r="BD133" s="8">
        <v>1.5167999999999999</v>
      </c>
      <c r="BE133" s="8">
        <v>1.5143</v>
      </c>
      <c r="BF133">
        <v>1.5115000000000001</v>
      </c>
      <c r="BG133">
        <v>1.5073000000000001</v>
      </c>
      <c r="BH133" s="6"/>
      <c r="BI133" s="8"/>
      <c r="BJ133" s="6"/>
      <c r="BK133" s="8"/>
      <c r="BL133" s="6"/>
      <c r="BM133" s="8"/>
      <c r="BN133" s="6"/>
      <c r="BO133" s="8"/>
      <c r="BP133" s="6"/>
      <c r="BQ133" s="8"/>
      <c r="BR133" s="6"/>
      <c r="BS133" s="8"/>
      <c r="BT133" s="6"/>
      <c r="BU133" s="8"/>
      <c r="BV133" s="6"/>
      <c r="BX133" s="6"/>
      <c r="BZ133" s="6"/>
      <c r="CB133" s="6"/>
      <c r="CD133" s="6"/>
      <c r="CF133" s="6"/>
    </row>
    <row r="134" spans="8:84">
      <c r="H134">
        <v>1.6658594883735751</v>
      </c>
      <c r="AY134">
        <v>365</v>
      </c>
      <c r="AZ134">
        <v>404.7</v>
      </c>
      <c r="BA134" s="6">
        <v>435.8</v>
      </c>
      <c r="BB134" s="6">
        <v>486.1</v>
      </c>
      <c r="BC134" s="6">
        <v>546.1</v>
      </c>
      <c r="BD134" s="6">
        <v>587.6</v>
      </c>
      <c r="BE134">
        <v>656.3</v>
      </c>
      <c r="BF134">
        <v>768.2</v>
      </c>
      <c r="BG134">
        <v>1014</v>
      </c>
      <c r="BI134" s="8"/>
      <c r="BK134" s="8"/>
      <c r="BM134" s="8"/>
      <c r="BO134" s="8"/>
      <c r="BQ134" s="8"/>
      <c r="BS134" s="8"/>
      <c r="BU134" s="8"/>
    </row>
    <row r="135" spans="8:84">
      <c r="H135">
        <v>1.6605109738950117</v>
      </c>
      <c r="AX135" t="s">
        <v>105</v>
      </c>
      <c r="AY135">
        <v>1.5399</v>
      </c>
      <c r="AZ135">
        <v>1.5330999999999999</v>
      </c>
      <c r="BA135">
        <v>1.5290999999999999</v>
      </c>
      <c r="BB135" s="8">
        <v>1.5243</v>
      </c>
      <c r="BC135" s="8">
        <v>1.5203</v>
      </c>
      <c r="BD135" s="8">
        <v>1.5182</v>
      </c>
      <c r="BE135" s="8">
        <v>1.5155000000000001</v>
      </c>
      <c r="BF135">
        <v>1.5125</v>
      </c>
      <c r="BG135">
        <v>1.5083</v>
      </c>
    </row>
    <row r="136" spans="8:84">
      <c r="H136">
        <v>1.6553885926070455</v>
      </c>
      <c r="AY136">
        <v>365</v>
      </c>
      <c r="AZ136">
        <v>404.7</v>
      </c>
      <c r="BA136" s="6">
        <v>435.8</v>
      </c>
      <c r="BB136" s="6">
        <v>486.1</v>
      </c>
      <c r="BC136" s="6">
        <v>546.1</v>
      </c>
      <c r="BD136" s="6">
        <v>587.6</v>
      </c>
      <c r="BE136">
        <v>656.3</v>
      </c>
      <c r="BF136">
        <v>768.2</v>
      </c>
      <c r="BG136">
        <v>1014</v>
      </c>
    </row>
    <row r="137" spans="8:84">
      <c r="H137">
        <v>1.6511545469404774</v>
      </c>
      <c r="AX137" t="s">
        <v>106</v>
      </c>
      <c r="AY137">
        <v>1.5941000000000001</v>
      </c>
      <c r="AZ137">
        <v>1.5861000000000001</v>
      </c>
      <c r="BA137">
        <v>1.5814999999999999</v>
      </c>
      <c r="BB137" s="8">
        <v>1.5759000000000001</v>
      </c>
      <c r="BC137" s="8">
        <v>1.5712999999999999</v>
      </c>
      <c r="BD137" s="8">
        <v>1.5688</v>
      </c>
      <c r="BE137" s="8">
        <v>1.5658000000000001</v>
      </c>
      <c r="BF137">
        <v>1.5623</v>
      </c>
      <c r="BG137">
        <v>1.5576000000000001</v>
      </c>
    </row>
    <row r="138" spans="8:84">
      <c r="H138">
        <v>1.6474387754995099</v>
      </c>
      <c r="AY138">
        <v>365</v>
      </c>
      <c r="AZ138">
        <v>404.7</v>
      </c>
      <c r="BA138" s="6">
        <v>435.8</v>
      </c>
      <c r="BB138" s="6">
        <v>486.1</v>
      </c>
      <c r="BC138" s="6">
        <v>546.1</v>
      </c>
      <c r="BD138" s="6">
        <v>587.6</v>
      </c>
      <c r="BE138">
        <v>656.3</v>
      </c>
      <c r="BF138">
        <v>768.2</v>
      </c>
      <c r="BG138">
        <v>1014</v>
      </c>
    </row>
    <row r="139" spans="8:84">
      <c r="AX139" t="s">
        <v>107</v>
      </c>
      <c r="AY139">
        <v>1.6126</v>
      </c>
      <c r="AZ139">
        <v>1.6052999999999999</v>
      </c>
      <c r="BA139">
        <v>1.601</v>
      </c>
      <c r="BB139" s="8">
        <v>1.5958000000000001</v>
      </c>
      <c r="BC139" s="8">
        <v>1.5913999999999999</v>
      </c>
      <c r="BD139" s="8">
        <v>1.5891</v>
      </c>
      <c r="BE139" s="8">
        <v>1.5862000000000001</v>
      </c>
      <c r="BF139">
        <v>1.5828</v>
      </c>
      <c r="BG139">
        <v>1.5781000000000001</v>
      </c>
    </row>
    <row r="140" spans="8:84">
      <c r="AY140">
        <v>365</v>
      </c>
      <c r="AZ140">
        <v>404.7</v>
      </c>
      <c r="BA140" s="6">
        <v>435.8</v>
      </c>
      <c r="BB140" s="6">
        <v>486.1</v>
      </c>
      <c r="BC140" s="6">
        <v>546.1</v>
      </c>
      <c r="BD140" s="6">
        <v>587.6</v>
      </c>
      <c r="BE140">
        <v>656.3</v>
      </c>
      <c r="BF140">
        <v>768.2</v>
      </c>
      <c r="BG140">
        <v>1014</v>
      </c>
    </row>
    <row r="141" spans="8:84">
      <c r="AX141" t="s">
        <v>108</v>
      </c>
      <c r="AY141">
        <v>1.6458999999999999</v>
      </c>
      <c r="AZ141">
        <v>1.6368</v>
      </c>
      <c r="BA141">
        <v>1.6315</v>
      </c>
      <c r="BB141" s="8">
        <v>1.6252</v>
      </c>
      <c r="BC141" s="8">
        <v>1.6198999999999999</v>
      </c>
      <c r="BD141" s="8">
        <v>1.6172</v>
      </c>
      <c r="BE141" s="8">
        <v>1.6136999999999999</v>
      </c>
      <c r="BF141">
        <v>1.6099000000000001</v>
      </c>
      <c r="BG141">
        <v>1.6048</v>
      </c>
    </row>
    <row r="142" spans="8:84">
      <c r="AY142">
        <v>365</v>
      </c>
      <c r="AZ142">
        <v>404.7</v>
      </c>
      <c r="BA142" s="6">
        <v>435.8</v>
      </c>
      <c r="BB142" s="6">
        <v>486.1</v>
      </c>
      <c r="BC142" s="6">
        <v>546.1</v>
      </c>
      <c r="BD142" s="6">
        <v>587.6</v>
      </c>
      <c r="BE142">
        <v>656.3</v>
      </c>
      <c r="BF142">
        <v>768.2</v>
      </c>
      <c r="BG142">
        <v>1014</v>
      </c>
    </row>
    <row r="143" spans="8:84">
      <c r="AX143" t="s">
        <v>109</v>
      </c>
      <c r="AY143">
        <v>1.7259</v>
      </c>
      <c r="AZ143">
        <v>1.7156</v>
      </c>
      <c r="BA143">
        <v>1.7097</v>
      </c>
      <c r="BB143" s="8">
        <v>1.7024999999999999</v>
      </c>
      <c r="BC143" s="8">
        <v>1.6966000000000001</v>
      </c>
      <c r="BD143" s="8">
        <v>1.6935</v>
      </c>
      <c r="BE143" s="8">
        <v>1.6896</v>
      </c>
      <c r="BF143">
        <v>1.6852</v>
      </c>
      <c r="BG143">
        <v>1.6794</v>
      </c>
    </row>
    <row r="144" spans="8:84">
      <c r="J144" t="s">
        <v>76</v>
      </c>
      <c r="K144" t="s">
        <v>119</v>
      </c>
      <c r="L144" t="s">
        <v>120</v>
      </c>
      <c r="N144" t="s">
        <v>103</v>
      </c>
      <c r="P144" t="s">
        <v>121</v>
      </c>
      <c r="R144" t="s">
        <v>105</v>
      </c>
      <c r="T144" t="s">
        <v>106</v>
      </c>
      <c r="V144" t="s">
        <v>107</v>
      </c>
      <c r="X144" t="s">
        <v>108</v>
      </c>
      <c r="Z144" t="s">
        <v>109</v>
      </c>
      <c r="AB144" t="s">
        <v>110</v>
      </c>
      <c r="AD144" t="s">
        <v>111</v>
      </c>
      <c r="AF144" t="s">
        <v>112</v>
      </c>
      <c r="AH144" t="s">
        <v>113</v>
      </c>
      <c r="AJ144" t="s">
        <v>114</v>
      </c>
      <c r="AL144" t="s">
        <v>115</v>
      </c>
      <c r="AN144" t="s">
        <v>116</v>
      </c>
      <c r="AP144" t="s">
        <v>118</v>
      </c>
      <c r="AY144">
        <v>365</v>
      </c>
      <c r="AZ144">
        <v>404.7</v>
      </c>
      <c r="BA144" s="6">
        <v>435.8</v>
      </c>
      <c r="BB144" s="6">
        <v>486.1</v>
      </c>
      <c r="BC144" s="6">
        <v>546.1</v>
      </c>
      <c r="BD144" s="6">
        <v>587.6</v>
      </c>
      <c r="BE144">
        <v>656.3</v>
      </c>
      <c r="BF144">
        <v>768.2</v>
      </c>
      <c r="BG144">
        <v>1014</v>
      </c>
    </row>
    <row r="145" spans="10:59">
      <c r="J145">
        <f t="shared" ref="J145:J153" si="14">K145*10^-9</f>
        <v>3.65E-7</v>
      </c>
      <c r="K145">
        <v>365</v>
      </c>
      <c r="L145">
        <f t="shared" ref="L145:L153" si="15">$Q$52+1+$S$49/(J145^2-$S$44)</f>
        <v>1.4533870445163839</v>
      </c>
      <c r="M145">
        <v>365</v>
      </c>
      <c r="N145">
        <v>1.4875</v>
      </c>
      <c r="O145">
        <v>365</v>
      </c>
      <c r="P145">
        <v>1.5363</v>
      </c>
      <c r="Q145">
        <v>365</v>
      </c>
      <c r="R145">
        <v>1.5399</v>
      </c>
      <c r="S145">
        <v>365</v>
      </c>
      <c r="T145">
        <v>1.5941000000000001</v>
      </c>
      <c r="U145">
        <v>365</v>
      </c>
      <c r="V145">
        <v>1.6126</v>
      </c>
      <c r="W145">
        <v>365</v>
      </c>
      <c r="X145">
        <v>1.6458999999999999</v>
      </c>
      <c r="Y145">
        <v>365</v>
      </c>
      <c r="Z145">
        <v>1.7259</v>
      </c>
      <c r="AA145">
        <v>365</v>
      </c>
      <c r="AB145">
        <v>1.5550999999999999</v>
      </c>
      <c r="AC145">
        <v>365</v>
      </c>
      <c r="AD145">
        <v>1.7068000000000001</v>
      </c>
      <c r="AE145">
        <v>365</v>
      </c>
      <c r="AF145">
        <v>1.7867</v>
      </c>
      <c r="AG145">
        <v>365</v>
      </c>
      <c r="AH145">
        <v>1.6192</v>
      </c>
      <c r="AI145">
        <v>365</v>
      </c>
      <c r="AJ145">
        <v>1.6662999999999999</v>
      </c>
      <c r="AK145">
        <v>365</v>
      </c>
      <c r="AL145">
        <v>1.7002999999999999</v>
      </c>
      <c r="AM145">
        <v>404.7</v>
      </c>
      <c r="AN145">
        <v>1.7907</v>
      </c>
      <c r="AO145">
        <v>404.7</v>
      </c>
      <c r="AP145">
        <v>1.9997</v>
      </c>
      <c r="AX145" t="s">
        <v>110</v>
      </c>
      <c r="AY145">
        <v>1.5550999999999999</v>
      </c>
      <c r="AZ145">
        <v>1.5468999999999999</v>
      </c>
      <c r="BA145">
        <v>1.5422</v>
      </c>
      <c r="BB145" s="8">
        <v>1.5366</v>
      </c>
      <c r="BC145" s="8">
        <v>1.5319</v>
      </c>
      <c r="BD145" s="8">
        <v>1.5294000000000001</v>
      </c>
      <c r="BE145" s="8">
        <v>1.5263</v>
      </c>
      <c r="BF145">
        <v>1.5227999999999999</v>
      </c>
      <c r="BG145">
        <v>1.518</v>
      </c>
    </row>
    <row r="146" spans="10:59">
      <c r="J146">
        <f t="shared" si="14"/>
        <v>4.0470000000000002E-7</v>
      </c>
      <c r="K146">
        <v>404.7</v>
      </c>
      <c r="L146">
        <f t="shared" si="15"/>
        <v>1.8888329680990013</v>
      </c>
      <c r="M146">
        <v>404.7</v>
      </c>
      <c r="N146">
        <v>1.4823</v>
      </c>
      <c r="O146">
        <v>404.7</v>
      </c>
      <c r="P146">
        <v>1.5302</v>
      </c>
      <c r="Q146">
        <v>404.7</v>
      </c>
      <c r="R146">
        <v>1.5330999999999999</v>
      </c>
      <c r="S146">
        <v>404.7</v>
      </c>
      <c r="T146">
        <v>1.5861000000000001</v>
      </c>
      <c r="U146">
        <v>404.7</v>
      </c>
      <c r="V146">
        <v>1.6052999999999999</v>
      </c>
      <c r="W146">
        <v>404.7</v>
      </c>
      <c r="X146">
        <v>1.6368</v>
      </c>
      <c r="Y146">
        <v>404.7</v>
      </c>
      <c r="Z146">
        <v>1.7156</v>
      </c>
      <c r="AA146">
        <v>404.7</v>
      </c>
      <c r="AB146">
        <v>1.5468999999999999</v>
      </c>
      <c r="AC146">
        <v>404.7</v>
      </c>
      <c r="AD146">
        <v>1.6948000000000001</v>
      </c>
      <c r="AE146">
        <v>404.7</v>
      </c>
      <c r="AF146">
        <v>1.7727999999999999</v>
      </c>
      <c r="AG146">
        <v>404.7</v>
      </c>
      <c r="AH146">
        <v>1.6067</v>
      </c>
      <c r="AI146">
        <v>404.7</v>
      </c>
      <c r="AJ146">
        <v>1.6507000000000001</v>
      </c>
      <c r="AK146">
        <v>404.7</v>
      </c>
      <c r="AL146">
        <v>1.6822999999999999</v>
      </c>
      <c r="AM146">
        <v>404.7</v>
      </c>
      <c r="AN146">
        <v>1.7907</v>
      </c>
      <c r="AO146">
        <v>404.7</v>
      </c>
      <c r="AP146">
        <v>1.9997</v>
      </c>
      <c r="AY146">
        <v>365</v>
      </c>
      <c r="AZ146">
        <v>404.7</v>
      </c>
      <c r="BA146" s="6">
        <v>435.8</v>
      </c>
      <c r="BB146" s="6">
        <v>486.1</v>
      </c>
      <c r="BC146" s="6">
        <v>546.1</v>
      </c>
      <c r="BD146" s="6">
        <v>587.6</v>
      </c>
      <c r="BE146">
        <v>656.3</v>
      </c>
      <c r="BF146">
        <v>768.2</v>
      </c>
      <c r="BG146">
        <v>1014</v>
      </c>
    </row>
    <row r="147" spans="10:59">
      <c r="J147" s="6">
        <f t="shared" si="14"/>
        <v>4.3580000000000002E-7</v>
      </c>
      <c r="K147" s="6">
        <v>435.8</v>
      </c>
      <c r="L147" s="6">
        <f t="shared" si="15"/>
        <v>1.7266001235396484</v>
      </c>
      <c r="M147" s="6">
        <v>435.8</v>
      </c>
      <c r="N147">
        <v>1.4793000000000001</v>
      </c>
      <c r="O147" s="6">
        <v>435.8</v>
      </c>
      <c r="P147">
        <v>1.5266999999999999</v>
      </c>
      <c r="Q147" s="6">
        <v>435.8</v>
      </c>
      <c r="R147">
        <v>1.5290999999999999</v>
      </c>
      <c r="S147" s="6">
        <v>435.8</v>
      </c>
      <c r="T147">
        <v>1.5814999999999999</v>
      </c>
      <c r="U147" s="6">
        <v>435.8</v>
      </c>
      <c r="V147">
        <v>1.601</v>
      </c>
      <c r="W147" s="6">
        <v>435.8</v>
      </c>
      <c r="X147">
        <v>1.6315</v>
      </c>
      <c r="Y147" s="6">
        <v>435.8</v>
      </c>
      <c r="Z147">
        <v>1.7097</v>
      </c>
      <c r="AA147" s="6">
        <v>435.8</v>
      </c>
      <c r="AB147">
        <v>1.5422</v>
      </c>
      <c r="AC147" s="6">
        <v>435.8</v>
      </c>
      <c r="AD147">
        <v>1.6879999999999999</v>
      </c>
      <c r="AE147" s="6">
        <v>435.8</v>
      </c>
      <c r="AF147">
        <v>1.7648999999999999</v>
      </c>
      <c r="AG147" s="6">
        <v>435.8</v>
      </c>
      <c r="AH147">
        <v>1.5995999999999999</v>
      </c>
      <c r="AI147" s="6">
        <v>435.8</v>
      </c>
      <c r="AJ147">
        <v>1.6420999999999999</v>
      </c>
      <c r="AK147" s="6">
        <v>435.8</v>
      </c>
      <c r="AL147">
        <v>1.6725000000000001</v>
      </c>
      <c r="AM147" s="6">
        <v>435.8</v>
      </c>
      <c r="AN147">
        <v>1.7761</v>
      </c>
      <c r="AO147" s="6">
        <v>435.8</v>
      </c>
      <c r="AP147">
        <v>1.9753000000000001</v>
      </c>
      <c r="AX147" t="s">
        <v>111</v>
      </c>
      <c r="AY147">
        <v>1.7068000000000001</v>
      </c>
      <c r="AZ147">
        <v>1.6948000000000001</v>
      </c>
      <c r="BA147">
        <v>1.6879999999999999</v>
      </c>
      <c r="BB147" s="8">
        <v>1.68</v>
      </c>
      <c r="BC147" s="8">
        <v>1.6734</v>
      </c>
      <c r="BD147" s="8">
        <v>1.67</v>
      </c>
      <c r="BE147" s="8">
        <v>1.6657999999999999</v>
      </c>
      <c r="BF147">
        <v>1.6611</v>
      </c>
      <c r="BG147">
        <v>1.655</v>
      </c>
    </row>
    <row r="148" spans="10:59">
      <c r="J148" s="6">
        <f t="shared" si="14"/>
        <v>4.861000000000001E-7</v>
      </c>
      <c r="K148" s="6">
        <v>486.1</v>
      </c>
      <c r="L148" s="6">
        <f t="shared" si="15"/>
        <v>1.6818356037363291</v>
      </c>
      <c r="M148" s="6">
        <v>486.1</v>
      </c>
      <c r="N148" s="8">
        <v>1.4755</v>
      </c>
      <c r="O148" s="6">
        <v>486.1</v>
      </c>
      <c r="P148" s="8">
        <v>1.5224</v>
      </c>
      <c r="Q148" s="6">
        <v>486.1</v>
      </c>
      <c r="R148" s="8">
        <v>1.5243</v>
      </c>
      <c r="S148" s="6">
        <v>486.1</v>
      </c>
      <c r="T148" s="8">
        <v>1.5759000000000001</v>
      </c>
      <c r="U148" s="6">
        <v>486.1</v>
      </c>
      <c r="V148" s="8">
        <v>1.5958000000000001</v>
      </c>
      <c r="W148" s="6">
        <v>486.1</v>
      </c>
      <c r="X148" s="8">
        <v>1.6252</v>
      </c>
      <c r="Y148" s="6">
        <v>486.1</v>
      </c>
      <c r="Z148" s="8">
        <v>1.7024999999999999</v>
      </c>
      <c r="AA148" s="6">
        <v>486.1</v>
      </c>
      <c r="AB148" s="8">
        <v>1.5366</v>
      </c>
      <c r="AC148" s="6">
        <v>486.1</v>
      </c>
      <c r="AD148" s="8">
        <v>1.68</v>
      </c>
      <c r="AE148" s="6">
        <v>486.1</v>
      </c>
      <c r="AF148">
        <v>1.7556</v>
      </c>
      <c r="AG148" s="6">
        <v>486.1</v>
      </c>
      <c r="AH148">
        <v>1.5914999999999999</v>
      </c>
      <c r="AI148" s="6">
        <v>486.1</v>
      </c>
      <c r="AJ148">
        <v>1.6321000000000001</v>
      </c>
      <c r="AK148" s="6">
        <v>486.1</v>
      </c>
      <c r="AL148">
        <v>1.6612</v>
      </c>
      <c r="AM148" s="6">
        <v>486.1</v>
      </c>
      <c r="AN148">
        <v>1.7598</v>
      </c>
      <c r="AO148" s="6">
        <v>486.1</v>
      </c>
      <c r="AP148">
        <v>1.9483999999999999</v>
      </c>
      <c r="AY148">
        <v>365</v>
      </c>
      <c r="AZ148">
        <v>404.7</v>
      </c>
      <c r="BA148" s="6">
        <v>435.8</v>
      </c>
      <c r="BB148" s="6">
        <v>486.1</v>
      </c>
      <c r="BC148" s="6">
        <v>546.1</v>
      </c>
      <c r="BD148" s="6">
        <v>587.6</v>
      </c>
      <c r="BE148">
        <v>656.3</v>
      </c>
      <c r="BF148">
        <v>768.2</v>
      </c>
      <c r="BG148">
        <v>1014</v>
      </c>
    </row>
    <row r="149" spans="10:59">
      <c r="J149" s="6">
        <f t="shared" si="14"/>
        <v>5.4610000000000005E-7</v>
      </c>
      <c r="K149" s="6">
        <v>546.1</v>
      </c>
      <c r="L149" s="6">
        <f t="shared" si="15"/>
        <v>1.6658594883735751</v>
      </c>
      <c r="M149" s="6">
        <v>546.1</v>
      </c>
      <c r="N149" s="8">
        <v>1.4723999999999999</v>
      </c>
      <c r="O149" s="6">
        <v>546.1</v>
      </c>
      <c r="P149" s="8">
        <v>1.5186999999999999</v>
      </c>
      <c r="Q149" s="6">
        <v>546.1</v>
      </c>
      <c r="R149" s="8">
        <v>1.5203</v>
      </c>
      <c r="S149" s="6">
        <v>546.1</v>
      </c>
      <c r="T149" s="8">
        <v>1.5712999999999999</v>
      </c>
      <c r="U149" s="6">
        <v>546.1</v>
      </c>
      <c r="V149" s="8">
        <v>1.5913999999999999</v>
      </c>
      <c r="W149" s="6">
        <v>546.1</v>
      </c>
      <c r="X149" s="8">
        <v>1.6198999999999999</v>
      </c>
      <c r="Y149" s="6">
        <v>546.1</v>
      </c>
      <c r="Z149" s="8">
        <v>1.6966000000000001</v>
      </c>
      <c r="AA149" s="6">
        <v>546.1</v>
      </c>
      <c r="AB149" s="8">
        <v>1.5319</v>
      </c>
      <c r="AC149" s="6">
        <v>546.1</v>
      </c>
      <c r="AD149" s="8">
        <v>1.6734</v>
      </c>
      <c r="AE149" s="6">
        <v>546.1</v>
      </c>
      <c r="AF149">
        <v>1.7479</v>
      </c>
      <c r="AG149" s="6">
        <v>546.1</v>
      </c>
      <c r="AH149">
        <v>1.5848</v>
      </c>
      <c r="AI149" s="6">
        <v>546.1</v>
      </c>
      <c r="AJ149">
        <v>1.6241000000000001</v>
      </c>
      <c r="AK149" s="6">
        <v>546.1</v>
      </c>
      <c r="AL149">
        <v>1.6521999999999999</v>
      </c>
      <c r="AM149" s="6">
        <v>546.1</v>
      </c>
      <c r="AN149">
        <v>1.7471000000000001</v>
      </c>
      <c r="AO149" s="6">
        <v>546.1</v>
      </c>
      <c r="AP149">
        <v>1.9277</v>
      </c>
      <c r="AX149" t="s">
        <v>112</v>
      </c>
      <c r="AY149">
        <v>1.7867</v>
      </c>
      <c r="AZ149">
        <v>1.7727999999999999</v>
      </c>
      <c r="BA149">
        <v>1.7648999999999999</v>
      </c>
      <c r="BB149">
        <v>1.7556</v>
      </c>
      <c r="BC149">
        <v>1.7479</v>
      </c>
      <c r="BD149">
        <v>1.744</v>
      </c>
      <c r="BE149">
        <v>1.7390000000000001</v>
      </c>
      <c r="BF149">
        <v>1.7335</v>
      </c>
      <c r="BG149">
        <v>1.7262</v>
      </c>
    </row>
    <row r="150" spans="10:59">
      <c r="J150" s="6">
        <f t="shared" si="14"/>
        <v>5.876000000000001E-7</v>
      </c>
      <c r="K150" s="6">
        <v>587.6</v>
      </c>
      <c r="L150" s="6">
        <f t="shared" si="15"/>
        <v>1.6605109738950117</v>
      </c>
      <c r="M150" s="6">
        <v>587.6</v>
      </c>
      <c r="N150" s="8">
        <v>1.4706999999999999</v>
      </c>
      <c r="O150" s="6">
        <v>587.6</v>
      </c>
      <c r="P150" s="8">
        <v>1.5167999999999999</v>
      </c>
      <c r="Q150" s="6">
        <v>587.6</v>
      </c>
      <c r="R150" s="8">
        <v>1.5182</v>
      </c>
      <c r="S150" s="6">
        <v>587.6</v>
      </c>
      <c r="T150" s="8">
        <v>1.5688</v>
      </c>
      <c r="U150" s="6">
        <v>587.6</v>
      </c>
      <c r="V150" s="8">
        <v>1.5891</v>
      </c>
      <c r="W150" s="6">
        <v>587.6</v>
      </c>
      <c r="X150" s="8">
        <v>1.6172</v>
      </c>
      <c r="Y150" s="6">
        <v>587.6</v>
      </c>
      <c r="Z150" s="8">
        <v>1.6935</v>
      </c>
      <c r="AA150" s="6">
        <v>587.6</v>
      </c>
      <c r="AB150" s="8">
        <v>1.5294000000000001</v>
      </c>
      <c r="AC150" s="6">
        <v>587.6</v>
      </c>
      <c r="AD150" s="8">
        <v>1.67</v>
      </c>
      <c r="AE150" s="6">
        <v>587.6</v>
      </c>
      <c r="AF150">
        <v>1.744</v>
      </c>
      <c r="AG150" s="6">
        <v>587.6</v>
      </c>
      <c r="AH150">
        <v>1.5813999999999999</v>
      </c>
      <c r="AI150" s="6">
        <v>587.6</v>
      </c>
      <c r="AJ150">
        <v>1.62</v>
      </c>
      <c r="AK150" s="6">
        <v>587.6</v>
      </c>
      <c r="AL150">
        <v>1.6476999999999999</v>
      </c>
      <c r="AM150" s="6">
        <v>587.6</v>
      </c>
      <c r="AN150">
        <v>1.7407999999999999</v>
      </c>
      <c r="AO150" s="6">
        <v>587.6</v>
      </c>
      <c r="AP150">
        <v>1.9176</v>
      </c>
      <c r="AY150">
        <v>365</v>
      </c>
      <c r="AZ150">
        <v>404.7</v>
      </c>
      <c r="BA150" s="6">
        <v>435.8</v>
      </c>
      <c r="BB150" s="6">
        <v>486.1</v>
      </c>
      <c r="BC150" s="6">
        <v>546.1</v>
      </c>
      <c r="BD150" s="6">
        <v>587.6</v>
      </c>
      <c r="BE150">
        <v>656.3</v>
      </c>
      <c r="BF150">
        <v>768.2</v>
      </c>
      <c r="BG150">
        <v>1014</v>
      </c>
    </row>
    <row r="151" spans="10:59">
      <c r="J151">
        <f t="shared" si="14"/>
        <v>6.5629999999999997E-7</v>
      </c>
      <c r="K151">
        <v>656.3</v>
      </c>
      <c r="L151">
        <f t="shared" si="15"/>
        <v>1.6553885926070455</v>
      </c>
      <c r="M151">
        <v>656.3</v>
      </c>
      <c r="N151" s="8">
        <v>1.4684999999999999</v>
      </c>
      <c r="O151">
        <v>656.3</v>
      </c>
      <c r="P151" s="8">
        <v>1.5143</v>
      </c>
      <c r="Q151">
        <v>656.3</v>
      </c>
      <c r="R151" s="8">
        <v>1.5155000000000001</v>
      </c>
      <c r="S151">
        <v>656.3</v>
      </c>
      <c r="T151" s="8">
        <v>1.5658000000000001</v>
      </c>
      <c r="U151">
        <v>656.3</v>
      </c>
      <c r="V151" s="8">
        <v>1.5862000000000001</v>
      </c>
      <c r="W151">
        <v>656.3</v>
      </c>
      <c r="X151" s="8">
        <v>1.6136999999999999</v>
      </c>
      <c r="Y151">
        <v>656.3</v>
      </c>
      <c r="Z151" s="8">
        <v>1.6896</v>
      </c>
      <c r="AA151">
        <v>656.3</v>
      </c>
      <c r="AB151" s="8">
        <v>1.5263</v>
      </c>
      <c r="AC151">
        <v>656.3</v>
      </c>
      <c r="AD151" s="8">
        <v>1.6657999999999999</v>
      </c>
      <c r="AE151">
        <v>656.3</v>
      </c>
      <c r="AF151">
        <v>1.7390000000000001</v>
      </c>
      <c r="AG151">
        <v>656.3</v>
      </c>
      <c r="AH151">
        <v>1.5771999999999999</v>
      </c>
      <c r="AI151">
        <v>656.3</v>
      </c>
      <c r="AJ151">
        <v>1.615</v>
      </c>
      <c r="AK151">
        <v>656.3</v>
      </c>
      <c r="AL151">
        <v>1.6420999999999999</v>
      </c>
      <c r="AM151">
        <v>656.3</v>
      </c>
      <c r="AN151">
        <v>1.7331000000000001</v>
      </c>
      <c r="AO151">
        <v>656.3</v>
      </c>
      <c r="AP151">
        <v>1.9054</v>
      </c>
      <c r="AX151" t="s">
        <v>113</v>
      </c>
      <c r="AY151">
        <v>1.6192</v>
      </c>
      <c r="AZ151">
        <v>1.6067</v>
      </c>
      <c r="BA151">
        <v>1.5995999999999999</v>
      </c>
      <c r="BB151">
        <v>1.5914999999999999</v>
      </c>
      <c r="BC151">
        <v>1.5848</v>
      </c>
      <c r="BD151">
        <v>1.5813999999999999</v>
      </c>
      <c r="BE151">
        <v>1.5771999999999999</v>
      </c>
      <c r="BF151">
        <v>1.5726</v>
      </c>
      <c r="BG151">
        <v>1.5667</v>
      </c>
    </row>
    <row r="152" spans="10:59">
      <c r="J152">
        <f t="shared" si="14"/>
        <v>7.6820000000000012E-7</v>
      </c>
      <c r="K152">
        <v>768.2</v>
      </c>
      <c r="L152">
        <f t="shared" si="15"/>
        <v>1.6511545469404774</v>
      </c>
      <c r="M152">
        <v>768.2</v>
      </c>
      <c r="N152">
        <v>1.466</v>
      </c>
      <c r="O152">
        <v>768.2</v>
      </c>
      <c r="P152">
        <v>1.5115000000000001</v>
      </c>
      <c r="Q152">
        <v>768.2</v>
      </c>
      <c r="R152">
        <v>1.5125</v>
      </c>
      <c r="S152">
        <v>768.2</v>
      </c>
      <c r="T152">
        <v>1.5623</v>
      </c>
      <c r="U152">
        <v>768.2</v>
      </c>
      <c r="V152">
        <v>1.5828</v>
      </c>
      <c r="W152">
        <v>768.2</v>
      </c>
      <c r="X152">
        <v>1.6099000000000001</v>
      </c>
      <c r="Y152">
        <v>768.2</v>
      </c>
      <c r="Z152">
        <v>1.6852</v>
      </c>
      <c r="AA152">
        <v>768.2</v>
      </c>
      <c r="AB152">
        <v>1.5227999999999999</v>
      </c>
      <c r="AC152">
        <v>768.2</v>
      </c>
      <c r="AD152">
        <v>1.6611</v>
      </c>
      <c r="AE152">
        <v>768.2</v>
      </c>
      <c r="AF152">
        <v>1.7335</v>
      </c>
      <c r="AG152">
        <v>768.2</v>
      </c>
      <c r="AH152">
        <v>1.5726</v>
      </c>
      <c r="AI152">
        <v>768.2</v>
      </c>
      <c r="AJ152">
        <v>1.6095999999999999</v>
      </c>
      <c r="AK152">
        <v>768.2</v>
      </c>
      <c r="AL152">
        <v>1.6361000000000001</v>
      </c>
      <c r="AM152">
        <v>768.2</v>
      </c>
      <c r="AN152">
        <v>1.7248000000000001</v>
      </c>
      <c r="AO152">
        <v>768.2</v>
      </c>
      <c r="AP152">
        <v>1.8927</v>
      </c>
      <c r="AY152">
        <v>365</v>
      </c>
      <c r="AZ152">
        <v>404.7</v>
      </c>
      <c r="BA152" s="6">
        <v>435.8</v>
      </c>
      <c r="BB152" s="6">
        <v>486.1</v>
      </c>
      <c r="BC152" s="6">
        <v>546.1</v>
      </c>
      <c r="BD152" s="6">
        <v>587.6</v>
      </c>
      <c r="BE152">
        <v>656.3</v>
      </c>
      <c r="BF152">
        <v>768.2</v>
      </c>
      <c r="BG152">
        <v>1014</v>
      </c>
    </row>
    <row r="153" spans="10:59">
      <c r="J153">
        <f t="shared" si="14"/>
        <v>1.0140000000000002E-6</v>
      </c>
      <c r="K153">
        <v>1014</v>
      </c>
      <c r="L153">
        <f t="shared" si="15"/>
        <v>1.6474387754995099</v>
      </c>
      <c r="M153">
        <v>1014</v>
      </c>
      <c r="N153">
        <v>1.4622999999999999</v>
      </c>
      <c r="O153">
        <v>1014</v>
      </c>
      <c r="P153">
        <v>1.5073000000000001</v>
      </c>
      <c r="Q153">
        <v>1014</v>
      </c>
      <c r="R153">
        <v>1.5083</v>
      </c>
      <c r="S153">
        <v>1014</v>
      </c>
      <c r="T153">
        <v>1.5576000000000001</v>
      </c>
      <c r="U153">
        <v>1014</v>
      </c>
      <c r="V153">
        <v>1.5781000000000001</v>
      </c>
      <c r="W153">
        <v>1014</v>
      </c>
      <c r="X153">
        <v>1.6048</v>
      </c>
      <c r="Y153">
        <v>1014</v>
      </c>
      <c r="Z153">
        <v>1.6794</v>
      </c>
      <c r="AA153">
        <v>1014</v>
      </c>
      <c r="AB153">
        <v>1.518</v>
      </c>
      <c r="AC153">
        <v>1014</v>
      </c>
      <c r="AD153">
        <v>1.655</v>
      </c>
      <c r="AE153">
        <v>1014</v>
      </c>
      <c r="AF153">
        <v>1.7262</v>
      </c>
      <c r="AG153">
        <v>1014</v>
      </c>
      <c r="AH153">
        <v>1.5667</v>
      </c>
      <c r="AI153">
        <v>1014</v>
      </c>
      <c r="AJ153">
        <v>1.6028</v>
      </c>
      <c r="AK153">
        <v>1014</v>
      </c>
      <c r="AL153">
        <v>1.6286</v>
      </c>
      <c r="AM153">
        <v>1014</v>
      </c>
      <c r="AN153">
        <v>1.7151000000000001</v>
      </c>
      <c r="AO153">
        <v>1014</v>
      </c>
      <c r="AP153">
        <v>1.8781000000000001</v>
      </c>
      <c r="AX153" t="s">
        <v>114</v>
      </c>
      <c r="AY153">
        <v>1.6662999999999999</v>
      </c>
      <c r="AZ153">
        <v>1.6507000000000001</v>
      </c>
      <c r="BA153">
        <v>1.6420999999999999</v>
      </c>
      <c r="BB153">
        <v>1.6321000000000001</v>
      </c>
      <c r="BC153">
        <v>1.6241000000000001</v>
      </c>
      <c r="BD153">
        <v>1.62</v>
      </c>
      <c r="BE153">
        <v>1.615</v>
      </c>
      <c r="BF153">
        <v>1.6095999999999999</v>
      </c>
      <c r="BG153">
        <v>1.6028</v>
      </c>
    </row>
    <row r="154" spans="10:59">
      <c r="AY154">
        <v>365</v>
      </c>
      <c r="AZ154">
        <v>404.7</v>
      </c>
      <c r="BA154" s="6">
        <v>435.8</v>
      </c>
      <c r="BB154" s="6">
        <v>486.1</v>
      </c>
      <c r="BC154" s="6">
        <v>546.1</v>
      </c>
      <c r="BD154" s="6">
        <v>587.6</v>
      </c>
      <c r="BE154">
        <v>656.3</v>
      </c>
      <c r="BF154">
        <v>768.2</v>
      </c>
      <c r="BG154">
        <v>1014</v>
      </c>
    </row>
    <row r="155" spans="10:59">
      <c r="K155">
        <v>365</v>
      </c>
      <c r="AX155" t="s">
        <v>115</v>
      </c>
      <c r="AY155">
        <v>1.7002999999999999</v>
      </c>
      <c r="AZ155">
        <v>1.6822999999999999</v>
      </c>
      <c r="BA155">
        <v>1.6725000000000001</v>
      </c>
      <c r="BB155">
        <v>1.6612</v>
      </c>
      <c r="BC155">
        <v>1.6521999999999999</v>
      </c>
      <c r="BD155">
        <v>1.6476999999999999</v>
      </c>
      <c r="BE155">
        <v>1.6420999999999999</v>
      </c>
      <c r="BF155">
        <v>1.6361000000000001</v>
      </c>
      <c r="BG155">
        <v>1.6286</v>
      </c>
    </row>
    <row r="156" spans="10:59">
      <c r="K156">
        <v>404.7</v>
      </c>
      <c r="AY156">
        <v>404.7</v>
      </c>
      <c r="AZ156">
        <v>404.7</v>
      </c>
      <c r="BA156" s="6">
        <v>435.8</v>
      </c>
      <c r="BB156" s="6">
        <v>486.1</v>
      </c>
      <c r="BC156" s="6">
        <v>546.1</v>
      </c>
      <c r="BD156" s="6">
        <v>587.6</v>
      </c>
      <c r="BE156">
        <v>656.3</v>
      </c>
      <c r="BF156">
        <v>768.2</v>
      </c>
      <c r="BG156">
        <v>1014</v>
      </c>
    </row>
    <row r="157" spans="10:59">
      <c r="K157" s="6">
        <v>435.8</v>
      </c>
      <c r="AX157" t="s">
        <v>116</v>
      </c>
      <c r="AY157">
        <v>1.7907</v>
      </c>
      <c r="AZ157">
        <v>1.7907</v>
      </c>
      <c r="BA157">
        <v>1.7761</v>
      </c>
      <c r="BB157">
        <v>1.7598</v>
      </c>
      <c r="BC157">
        <v>1.7471000000000001</v>
      </c>
      <c r="BD157">
        <v>1.7407999999999999</v>
      </c>
      <c r="BE157">
        <v>1.7331000000000001</v>
      </c>
      <c r="BF157">
        <v>1.7248000000000001</v>
      </c>
      <c r="BG157">
        <v>1.7151000000000001</v>
      </c>
    </row>
    <row r="158" spans="10:59">
      <c r="K158" s="6">
        <v>486.1</v>
      </c>
      <c r="AY158">
        <v>404.7</v>
      </c>
      <c r="AZ158">
        <v>404.7</v>
      </c>
      <c r="BA158" s="6">
        <v>435.8</v>
      </c>
      <c r="BB158" s="6">
        <v>486.1</v>
      </c>
      <c r="BC158" s="6">
        <v>546.1</v>
      </c>
      <c r="BD158" s="6">
        <v>587.6</v>
      </c>
      <c r="BE158">
        <v>656.3</v>
      </c>
      <c r="BF158">
        <v>768.2</v>
      </c>
      <c r="BG158">
        <v>1014</v>
      </c>
    </row>
    <row r="159" spans="10:59">
      <c r="K159" s="6">
        <v>546.1</v>
      </c>
      <c r="AX159" t="s">
        <v>118</v>
      </c>
      <c r="AY159">
        <v>1.9997</v>
      </c>
      <c r="AZ159">
        <v>1.9997</v>
      </c>
      <c r="BA159">
        <v>1.9753000000000001</v>
      </c>
      <c r="BB159">
        <v>1.9483999999999999</v>
      </c>
      <c r="BC159">
        <v>1.9277</v>
      </c>
      <c r="BD159">
        <v>1.9176</v>
      </c>
      <c r="BE159">
        <v>1.9054</v>
      </c>
      <c r="BF159">
        <v>1.8927</v>
      </c>
      <c r="BG159">
        <v>1.8781000000000001</v>
      </c>
    </row>
    <row r="160" spans="10:59">
      <c r="K160" s="6">
        <v>587.6</v>
      </c>
    </row>
    <row r="161" spans="11:11">
      <c r="K161">
        <v>656.3</v>
      </c>
    </row>
    <row r="162" spans="11:11">
      <c r="K162">
        <v>768.2</v>
      </c>
    </row>
    <row r="163" spans="11:11">
      <c r="K163">
        <v>1014</v>
      </c>
    </row>
    <row r="165" spans="11:11">
      <c r="K165">
        <v>365</v>
      </c>
    </row>
    <row r="166" spans="11:11">
      <c r="K166">
        <v>404.7</v>
      </c>
    </row>
    <row r="167" spans="11:11">
      <c r="K167" s="6">
        <v>435.8</v>
      </c>
    </row>
    <row r="168" spans="11:11">
      <c r="K168" s="6">
        <v>486.1</v>
      </c>
    </row>
    <row r="169" spans="11:11">
      <c r="K169" s="6">
        <v>546.1</v>
      </c>
    </row>
    <row r="170" spans="11:11">
      <c r="K170" s="6">
        <v>587.6</v>
      </c>
    </row>
    <row r="171" spans="11:11">
      <c r="K171">
        <v>656.3</v>
      </c>
    </row>
    <row r="172" spans="11:11">
      <c r="K172">
        <v>768.2</v>
      </c>
    </row>
    <row r="173" spans="11:11">
      <c r="K173">
        <v>1014</v>
      </c>
    </row>
    <row r="175" spans="11:11">
      <c r="K175">
        <v>365</v>
      </c>
    </row>
    <row r="176" spans="11:11">
      <c r="K176">
        <v>404.7</v>
      </c>
    </row>
    <row r="177" spans="11:11">
      <c r="K177" s="6">
        <v>435.8</v>
      </c>
    </row>
    <row r="178" spans="11:11">
      <c r="K178" s="6">
        <v>486.1</v>
      </c>
    </row>
    <row r="179" spans="11:11">
      <c r="K179" s="6">
        <v>546.1</v>
      </c>
    </row>
    <row r="180" spans="11:11">
      <c r="K180" s="6">
        <v>587.6</v>
      </c>
    </row>
    <row r="181" spans="11:11">
      <c r="K181">
        <v>656.3</v>
      </c>
    </row>
    <row r="182" spans="11:11">
      <c r="K182">
        <v>768.2</v>
      </c>
    </row>
    <row r="183" spans="11:11">
      <c r="K183">
        <v>1014</v>
      </c>
    </row>
    <row r="185" spans="11:11">
      <c r="K185">
        <v>365</v>
      </c>
    </row>
    <row r="186" spans="11:11">
      <c r="K186">
        <v>404.7</v>
      </c>
    </row>
    <row r="187" spans="11:11">
      <c r="K187" s="6">
        <v>435.8</v>
      </c>
    </row>
    <row r="188" spans="11:11">
      <c r="K188" s="6">
        <v>486.1</v>
      </c>
    </row>
    <row r="189" spans="11:11">
      <c r="K189" s="6">
        <v>546.1</v>
      </c>
    </row>
    <row r="190" spans="11:11">
      <c r="K190" s="6">
        <v>587.6</v>
      </c>
    </row>
    <row r="191" spans="11:11">
      <c r="K191">
        <v>656.3</v>
      </c>
    </row>
    <row r="192" spans="11:11">
      <c r="K192">
        <v>768.2</v>
      </c>
    </row>
    <row r="193" spans="11:11">
      <c r="K193">
        <v>1014</v>
      </c>
    </row>
    <row r="195" spans="11:11">
      <c r="K195">
        <v>365</v>
      </c>
    </row>
    <row r="196" spans="11:11">
      <c r="K196">
        <v>404.7</v>
      </c>
    </row>
    <row r="197" spans="11:11">
      <c r="K197" s="6">
        <v>435.8</v>
      </c>
    </row>
    <row r="198" spans="11:11">
      <c r="K198" s="6">
        <v>486.1</v>
      </c>
    </row>
    <row r="199" spans="11:11">
      <c r="K199" s="6">
        <v>546.1</v>
      </c>
    </row>
    <row r="200" spans="11:11">
      <c r="K200" s="6">
        <v>587.6</v>
      </c>
    </row>
    <row r="201" spans="11:11">
      <c r="K201">
        <v>656.3</v>
      </c>
    </row>
    <row r="202" spans="11:11">
      <c r="K202">
        <v>768.2</v>
      </c>
    </row>
    <row r="203" spans="11:11">
      <c r="K203">
        <v>1014</v>
      </c>
    </row>
  </sheetData>
  <sortState xmlns:xlrd2="http://schemas.microsoft.com/office/spreadsheetml/2017/richdata2" ref="N109:V109">
    <sortCondition descending="1" ref="N109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EC2F-7F2C-0B4B-8376-19ADBC430A1B}">
  <sheetPr codeName="Sheet4"/>
  <dimension ref="B2:P21"/>
  <sheetViews>
    <sheetView topLeftCell="A52" workbookViewId="0">
      <selection activeCell="O15" sqref="O15"/>
    </sheetView>
  </sheetViews>
  <sheetFormatPr baseColWidth="10" defaultRowHeight="20"/>
  <sheetData>
    <row r="2" spans="2:16">
      <c r="B2" t="s">
        <v>37</v>
      </c>
    </row>
    <row r="4" spans="2:16">
      <c r="B4" t="s">
        <v>6</v>
      </c>
      <c r="C4">
        <v>300</v>
      </c>
      <c r="D4">
        <v>35</v>
      </c>
      <c r="F4">
        <f>360-C4+C5</f>
        <v>123</v>
      </c>
      <c r="G4">
        <f>-(D4)+(D5+60)</f>
        <v>40</v>
      </c>
      <c r="H4">
        <f>G4/60</f>
        <v>0.66666666666666663</v>
      </c>
      <c r="I4">
        <f>F4+H4</f>
        <v>123.66666666666667</v>
      </c>
    </row>
    <row r="5" spans="2:16">
      <c r="B5" t="s">
        <v>39</v>
      </c>
      <c r="C5">
        <v>63</v>
      </c>
      <c r="D5">
        <v>15</v>
      </c>
    </row>
    <row r="6" spans="2:16">
      <c r="B6" t="s">
        <v>8</v>
      </c>
      <c r="C6">
        <v>121</v>
      </c>
      <c r="D6">
        <v>0</v>
      </c>
      <c r="F6">
        <f>-(C6)+(C7)</f>
        <v>121</v>
      </c>
      <c r="G6">
        <f>-(D6)+(D7)</f>
        <v>40</v>
      </c>
      <c r="H6">
        <f t="shared" ref="H6:H20" si="0">G6/60</f>
        <v>0.66666666666666663</v>
      </c>
      <c r="I6">
        <f t="shared" ref="I6:I20" si="1">F6+H6</f>
        <v>121.66666666666667</v>
      </c>
      <c r="K6" t="s">
        <v>44</v>
      </c>
      <c r="L6" t="s">
        <v>48</v>
      </c>
      <c r="M6" t="s">
        <v>45</v>
      </c>
      <c r="N6" t="s">
        <v>47</v>
      </c>
      <c r="O6" t="s">
        <v>49</v>
      </c>
      <c r="P6" t="s">
        <v>46</v>
      </c>
    </row>
    <row r="7" spans="2:16">
      <c r="B7" t="s">
        <v>41</v>
      </c>
      <c r="C7">
        <v>242</v>
      </c>
      <c r="D7">
        <v>40</v>
      </c>
      <c r="I7">
        <f>AVERAGE(I4,I6)</f>
        <v>122.66666666666667</v>
      </c>
      <c r="K7">
        <f>I4+I6</f>
        <v>245.33333333333334</v>
      </c>
      <c r="L7">
        <f>K7/2</f>
        <v>122.66666666666667</v>
      </c>
      <c r="M7">
        <f>120.3416667/2</f>
        <v>60.170833350000002</v>
      </c>
      <c r="N7">
        <f>M7/2</f>
        <v>30.085416675000001</v>
      </c>
      <c r="O7">
        <f>(L7+M7)/2</f>
        <v>91.418750008333333</v>
      </c>
      <c r="P7">
        <f>SIN(RADIANS(O7)/SIN(RADIANS(N7)))</f>
        <v>-4.129679773694267E-2</v>
      </c>
    </row>
    <row r="9" spans="2:16">
      <c r="B9" t="s">
        <v>42</v>
      </c>
    </row>
    <row r="11" spans="2:16">
      <c r="B11" t="s">
        <v>6</v>
      </c>
      <c r="C11">
        <v>116</v>
      </c>
      <c r="D11">
        <v>30</v>
      </c>
      <c r="F11">
        <f>(C11)-(C12)</f>
        <v>40</v>
      </c>
      <c r="G11">
        <f>D11-D12</f>
        <v>13</v>
      </c>
      <c r="H11">
        <f t="shared" si="0"/>
        <v>0.21666666666666667</v>
      </c>
      <c r="I11">
        <f t="shared" si="1"/>
        <v>40.216666666666669</v>
      </c>
    </row>
    <row r="12" spans="2:16">
      <c r="B12" t="s">
        <v>39</v>
      </c>
      <c r="C12">
        <v>76</v>
      </c>
      <c r="D12">
        <v>17</v>
      </c>
    </row>
    <row r="13" spans="2:16">
      <c r="B13" t="s">
        <v>8</v>
      </c>
      <c r="C13">
        <v>296</v>
      </c>
      <c r="D13">
        <v>37</v>
      </c>
      <c r="F13">
        <v>39</v>
      </c>
      <c r="G13">
        <v>57</v>
      </c>
      <c r="H13">
        <f t="shared" si="0"/>
        <v>0.95</v>
      </c>
      <c r="I13">
        <f t="shared" si="1"/>
        <v>39.950000000000003</v>
      </c>
    </row>
    <row r="14" spans="2:16">
      <c r="B14" t="s">
        <v>41</v>
      </c>
      <c r="C14">
        <v>256</v>
      </c>
      <c r="D14">
        <v>40</v>
      </c>
      <c r="I14">
        <f>AVERAGE(I11,I13)</f>
        <v>40.083333333333336</v>
      </c>
      <c r="K14">
        <f>I11+I13</f>
        <v>80.166666666666671</v>
      </c>
      <c r="L14">
        <f>K14/2</f>
        <v>40.083333333333336</v>
      </c>
      <c r="M14">
        <f>120.3416667/2</f>
        <v>60.170833350000002</v>
      </c>
      <c r="N14">
        <f>M14/2</f>
        <v>30.085416675000001</v>
      </c>
      <c r="O14">
        <f>(L14+M14)/2</f>
        <v>50.127083341666669</v>
      </c>
      <c r="P14">
        <f>SIN(RADIANS(O14)/SIN(RADIANS(N14)))</f>
        <v>0.98481965081036971</v>
      </c>
    </row>
    <row r="16" spans="2:16">
      <c r="B16" t="s">
        <v>43</v>
      </c>
    </row>
    <row r="18" spans="2:16">
      <c r="B18" s="3" t="s">
        <v>5</v>
      </c>
      <c r="C18">
        <v>300</v>
      </c>
      <c r="D18">
        <v>30</v>
      </c>
      <c r="F18">
        <f>C18-C19</f>
        <v>57</v>
      </c>
      <c r="G18">
        <f>D18-D19</f>
        <v>18</v>
      </c>
      <c r="H18">
        <f t="shared" si="0"/>
        <v>0.3</v>
      </c>
      <c r="I18">
        <f t="shared" si="1"/>
        <v>57.3</v>
      </c>
    </row>
    <row r="19" spans="2:16">
      <c r="B19" s="3" t="s">
        <v>38</v>
      </c>
      <c r="C19">
        <v>243</v>
      </c>
      <c r="D19">
        <v>12</v>
      </c>
    </row>
    <row r="20" spans="2:16">
      <c r="B20" s="3" t="s">
        <v>7</v>
      </c>
      <c r="C20">
        <v>120</v>
      </c>
      <c r="D20">
        <v>25</v>
      </c>
      <c r="F20">
        <f>C20-C21</f>
        <v>57</v>
      </c>
      <c r="G20">
        <f>D20-D21</f>
        <v>7</v>
      </c>
      <c r="H20">
        <f t="shared" si="0"/>
        <v>0.11666666666666667</v>
      </c>
      <c r="I20">
        <f t="shared" si="1"/>
        <v>57.116666666666667</v>
      </c>
    </row>
    <row r="21" spans="2:16">
      <c r="B21" s="3" t="s">
        <v>40</v>
      </c>
      <c r="C21">
        <v>63</v>
      </c>
      <c r="D21">
        <v>18</v>
      </c>
      <c r="I21">
        <f>AVERAGE(I18,I20)</f>
        <v>57.208333333333329</v>
      </c>
      <c r="K21">
        <f>I18+I20</f>
        <v>114.41666666666666</v>
      </c>
      <c r="L21">
        <f>K21/2</f>
        <v>57.208333333333329</v>
      </c>
      <c r="M21">
        <f>120.3416667/2</f>
        <v>60.170833350000002</v>
      </c>
      <c r="N21">
        <f>M21/2</f>
        <v>30.085416675000001</v>
      </c>
      <c r="O21">
        <f>(L21+M21)/2</f>
        <v>58.689583341666662</v>
      </c>
      <c r="P21">
        <f>SIN(RADIANS(O21)/SIN(RADIANS(N21)))</f>
        <v>0.89039570266328205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F6D-19E6-E541-8ED2-79C46A63AFA3}">
  <sheetPr codeName="Sheet5"/>
  <dimension ref="A1:AB23"/>
  <sheetViews>
    <sheetView topLeftCell="Q8" workbookViewId="0">
      <selection activeCell="Y17" sqref="Y17:AB20"/>
    </sheetView>
  </sheetViews>
  <sheetFormatPr baseColWidth="10" defaultRowHeight="20"/>
  <cols>
    <col min="18" max="18" width="5.85546875" customWidth="1"/>
    <col min="19" max="19" width="6.28515625" customWidth="1"/>
    <col min="20" max="20" width="7" customWidth="1"/>
    <col min="21" max="21" width="5.85546875" customWidth="1"/>
    <col min="22" max="22" width="4.5703125" customWidth="1"/>
    <col min="25" max="25" width="4.7109375" customWidth="1"/>
  </cols>
  <sheetData>
    <row r="1" spans="1:28">
      <c r="A1" t="s">
        <v>72</v>
      </c>
      <c r="B1" t="s">
        <v>81</v>
      </c>
    </row>
    <row r="2" spans="1:28">
      <c r="A2">
        <v>4.0470000000000002E-7</v>
      </c>
      <c r="B2">
        <v>1.8888329680990013</v>
      </c>
      <c r="C2">
        <v>4.0470000000000002E-7</v>
      </c>
      <c r="E2">
        <v>4.0470000000000002E-7</v>
      </c>
    </row>
    <row r="3" spans="1:28">
      <c r="A3">
        <v>4.0780000000000004E-7</v>
      </c>
      <c r="B3">
        <v>1.849939934965378</v>
      </c>
    </row>
    <row r="4" spans="1:28">
      <c r="A4">
        <v>4.3389999999999999E-7</v>
      </c>
      <c r="B4">
        <v>1.7302196107548946</v>
      </c>
    </row>
    <row r="5" spans="1:28">
      <c r="A5">
        <v>4.3580000000000002E-7</v>
      </c>
      <c r="B5">
        <v>1.7266001235396484</v>
      </c>
    </row>
    <row r="6" spans="1:28">
      <c r="A6">
        <v>4.9160000000000009E-7</v>
      </c>
      <c r="B6">
        <v>1.6795886702460519</v>
      </c>
      <c r="R6" t="s">
        <v>123</v>
      </c>
    </row>
    <row r="7" spans="1:28">
      <c r="A7">
        <v>5.4610000000000005E-7</v>
      </c>
      <c r="B7">
        <v>1.6658594883735751</v>
      </c>
      <c r="R7" t="s">
        <v>6</v>
      </c>
      <c r="S7">
        <v>300</v>
      </c>
      <c r="T7">
        <v>35</v>
      </c>
      <c r="U7">
        <f>360+S8-S7</f>
        <v>123</v>
      </c>
      <c r="V7">
        <f>-(T7)+(T8+60)</f>
        <v>40</v>
      </c>
      <c r="W7">
        <f>V7/60</f>
        <v>0.66666666666666663</v>
      </c>
      <c r="X7">
        <f>U7+W7</f>
        <v>123.66666666666667</v>
      </c>
    </row>
    <row r="8" spans="1:28">
      <c r="A8">
        <v>5.7700000000000004E-7</v>
      </c>
      <c r="B8">
        <v>1.6616474792178397</v>
      </c>
      <c r="R8" t="s">
        <v>39</v>
      </c>
      <c r="S8">
        <v>63</v>
      </c>
      <c r="T8">
        <v>15</v>
      </c>
    </row>
    <row r="9" spans="1:28">
      <c r="A9">
        <v>5.791000000000001E-7</v>
      </c>
      <c r="B9">
        <v>1.661411979869146</v>
      </c>
      <c r="R9" t="s">
        <v>8</v>
      </c>
      <c r="S9">
        <v>121</v>
      </c>
      <c r="T9">
        <v>0</v>
      </c>
      <c r="U9">
        <f>-(S9)+(S10)</f>
        <v>121</v>
      </c>
      <c r="V9">
        <f>-(T9)+(T10)</f>
        <v>40</v>
      </c>
      <c r="W9">
        <f>V9/60</f>
        <v>0.66666666666666663</v>
      </c>
      <c r="X9">
        <f>U9+W9</f>
        <v>121.66666666666667</v>
      </c>
      <c r="Y9" s="12" t="s">
        <v>127</v>
      </c>
      <c r="Z9" s="12"/>
      <c r="AA9" s="10" t="s">
        <v>126</v>
      </c>
      <c r="AB9" s="10" t="s">
        <v>128</v>
      </c>
    </row>
    <row r="10" spans="1:28">
      <c r="R10" t="s">
        <v>41</v>
      </c>
      <c r="S10">
        <v>242</v>
      </c>
      <c r="T10">
        <v>40</v>
      </c>
      <c r="X10">
        <f>AVERAGE(X7,X9)</f>
        <v>122.66666666666667</v>
      </c>
      <c r="Y10" s="10" t="s">
        <v>150</v>
      </c>
      <c r="Z10" s="10" t="s">
        <v>129</v>
      </c>
      <c r="AA10" s="10" t="s">
        <v>130</v>
      </c>
      <c r="AB10" s="10" t="s">
        <v>131</v>
      </c>
    </row>
    <row r="11" spans="1:28">
      <c r="Y11" s="10" t="s">
        <v>151</v>
      </c>
      <c r="Z11" s="10" t="s">
        <v>132</v>
      </c>
      <c r="AA11" s="10" t="s">
        <v>133</v>
      </c>
      <c r="AB11" s="10" t="s">
        <v>134</v>
      </c>
    </row>
    <row r="12" spans="1:28">
      <c r="R12" t="s">
        <v>125</v>
      </c>
      <c r="Y12" s="10"/>
      <c r="Z12" s="12" t="s">
        <v>135</v>
      </c>
      <c r="AA12" s="12"/>
      <c r="AB12" s="12"/>
    </row>
    <row r="13" spans="1:28">
      <c r="R13" s="3" t="s">
        <v>5</v>
      </c>
      <c r="S13">
        <v>120</v>
      </c>
      <c r="T13">
        <v>25</v>
      </c>
      <c r="U13">
        <f>S14-S13</f>
        <v>123</v>
      </c>
      <c r="V13">
        <f>T15-T14</f>
        <v>18</v>
      </c>
      <c r="W13">
        <f>V13/60</f>
        <v>0.3</v>
      </c>
      <c r="X13">
        <f>U13+W13</f>
        <v>123.3</v>
      </c>
      <c r="Y13" s="12" t="s">
        <v>127</v>
      </c>
      <c r="Z13" s="12"/>
      <c r="AA13" s="10" t="s">
        <v>126</v>
      </c>
      <c r="AB13" s="10" t="s">
        <v>128</v>
      </c>
    </row>
    <row r="14" spans="1:28">
      <c r="C14">
        <f>0.0000004047*10^9</f>
        <v>404.70000000000005</v>
      </c>
      <c r="D14">
        <v>1.8888329680990013</v>
      </c>
      <c r="R14" s="3" t="s">
        <v>38</v>
      </c>
      <c r="S14">
        <v>243</v>
      </c>
      <c r="T14">
        <v>12</v>
      </c>
      <c r="Y14" s="10" t="s">
        <v>152</v>
      </c>
      <c r="Z14" s="10" t="s">
        <v>136</v>
      </c>
      <c r="AA14" s="10" t="s">
        <v>138</v>
      </c>
      <c r="AB14" s="10" t="s">
        <v>140</v>
      </c>
    </row>
    <row r="15" spans="1:28">
      <c r="C15">
        <f>10^9*0.0000004078</f>
        <v>407.8</v>
      </c>
      <c r="D15">
        <v>1.849939934965378</v>
      </c>
      <c r="R15" s="3" t="s">
        <v>7</v>
      </c>
      <c r="S15">
        <v>300</v>
      </c>
      <c r="T15">
        <v>30</v>
      </c>
      <c r="U15">
        <f>S16+360-S15</f>
        <v>123</v>
      </c>
      <c r="V15">
        <f>T13+60-T16</f>
        <v>67</v>
      </c>
      <c r="W15">
        <f>V15/60</f>
        <v>1.1166666666666667</v>
      </c>
      <c r="X15">
        <f>U15+W15</f>
        <v>124.11666666666666</v>
      </c>
      <c r="Y15" s="10" t="s">
        <v>151</v>
      </c>
      <c r="Z15" s="10" t="s">
        <v>137</v>
      </c>
      <c r="AA15" s="10" t="s">
        <v>139</v>
      </c>
      <c r="AB15" s="10" t="s">
        <v>141</v>
      </c>
    </row>
    <row r="16" spans="1:28">
      <c r="C16">
        <f>10^9*0.0000004339</f>
        <v>433.9</v>
      </c>
      <c r="D16">
        <v>1.7302196107548946</v>
      </c>
      <c r="R16" s="3" t="s">
        <v>40</v>
      </c>
      <c r="S16">
        <v>63</v>
      </c>
      <c r="T16">
        <v>18</v>
      </c>
      <c r="X16">
        <f>AVERAGE(X13,X15)</f>
        <v>123.70833333333333</v>
      </c>
      <c r="Y16" s="10"/>
      <c r="Z16" s="12" t="s">
        <v>142</v>
      </c>
      <c r="AA16" s="12"/>
      <c r="AB16" s="12"/>
    </row>
    <row r="17" spans="3:28">
      <c r="C17">
        <f>10^9*0.0000004358</f>
        <v>435.8</v>
      </c>
      <c r="D17">
        <v>1.7266001235396484</v>
      </c>
      <c r="R17" t="s">
        <v>124</v>
      </c>
      <c r="Y17" s="12" t="s">
        <v>127</v>
      </c>
      <c r="Z17" s="12"/>
      <c r="AA17" s="10" t="s">
        <v>126</v>
      </c>
      <c r="AB17" s="10" t="s">
        <v>128</v>
      </c>
    </row>
    <row r="18" spans="3:28">
      <c r="C18">
        <f>10^9*0.0000004916</f>
        <v>491.59999999999997</v>
      </c>
      <c r="D18">
        <v>1.6795886702460519</v>
      </c>
      <c r="Y18" s="10" t="s">
        <v>152</v>
      </c>
      <c r="Z18" s="10" t="s">
        <v>143</v>
      </c>
      <c r="AA18" s="10" t="s">
        <v>146</v>
      </c>
      <c r="AB18" s="10" t="s">
        <v>148</v>
      </c>
    </row>
    <row r="19" spans="3:28">
      <c r="C19">
        <f>10^9*0.0000005461</f>
        <v>546.1</v>
      </c>
      <c r="D19">
        <v>1.6658594883735751</v>
      </c>
      <c r="Y19" s="10" t="s">
        <v>151</v>
      </c>
      <c r="Z19" s="10" t="s">
        <v>144</v>
      </c>
      <c r="AA19" s="10" t="s">
        <v>147</v>
      </c>
      <c r="AB19" s="10" t="s">
        <v>149</v>
      </c>
    </row>
    <row r="20" spans="3:28">
      <c r="C20">
        <f>10^9*0.000000577</f>
        <v>577</v>
      </c>
      <c r="D20">
        <v>1.6616474792178397</v>
      </c>
      <c r="R20" t="s">
        <v>6</v>
      </c>
      <c r="S20">
        <v>296</v>
      </c>
      <c r="T20">
        <v>37</v>
      </c>
      <c r="U20">
        <f>360-S20+S21</f>
        <v>140</v>
      </c>
      <c r="V20">
        <f>60-T20+T21</f>
        <v>40</v>
      </c>
      <c r="W20">
        <f>V20/60</f>
        <v>0.66666666666666663</v>
      </c>
      <c r="X20">
        <f>U20+W20</f>
        <v>140.66666666666666</v>
      </c>
      <c r="Y20" s="10"/>
      <c r="Z20" s="12" t="s">
        <v>145</v>
      </c>
      <c r="AA20" s="12"/>
      <c r="AB20" s="12"/>
    </row>
    <row r="21" spans="3:28">
      <c r="C21">
        <f>10^9*0.0000005791</f>
        <v>579.1</v>
      </c>
      <c r="D21">
        <v>1.661411979869146</v>
      </c>
      <c r="R21" t="s">
        <v>39</v>
      </c>
      <c r="S21">
        <v>76</v>
      </c>
      <c r="T21">
        <v>17</v>
      </c>
    </row>
    <row r="22" spans="3:28">
      <c r="R22" t="s">
        <v>8</v>
      </c>
      <c r="S22">
        <v>116</v>
      </c>
      <c r="T22">
        <v>30</v>
      </c>
      <c r="U22">
        <f>S23-S22</f>
        <v>140</v>
      </c>
      <c r="V22">
        <f>T23-T22</f>
        <v>10</v>
      </c>
      <c r="W22">
        <f>V22/60</f>
        <v>0.16666666666666666</v>
      </c>
      <c r="X22">
        <f>U22+W22</f>
        <v>140.16666666666666</v>
      </c>
    </row>
    <row r="23" spans="3:28">
      <c r="R23" t="s">
        <v>41</v>
      </c>
      <c r="S23">
        <v>256</v>
      </c>
      <c r="T23">
        <v>40</v>
      </c>
      <c r="X23">
        <f>AVERAGE(X20,X22)</f>
        <v>140.41666666666666</v>
      </c>
    </row>
  </sheetData>
  <mergeCells count="6">
    <mergeCell ref="Z12:AB12"/>
    <mergeCell ref="Z16:AB16"/>
    <mergeCell ref="Z20:AB20"/>
    <mergeCell ref="Y9:Z9"/>
    <mergeCell ref="Y13:Z13"/>
    <mergeCell ref="Y17:Z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 (2)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栁　雄大</dc:creator>
  <cp:lastModifiedBy>栁　雄大</cp:lastModifiedBy>
  <dcterms:created xsi:type="dcterms:W3CDTF">2019-04-30T04:25:52Z</dcterms:created>
  <dcterms:modified xsi:type="dcterms:W3CDTF">2019-05-07T13:07:55Z</dcterms:modified>
</cp:coreProperties>
</file>