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 Away\NYU London - Spring 17'\Classes\Finance\Coursework\"/>
    </mc:Choice>
  </mc:AlternateContent>
  <bookViews>
    <workbookView xWindow="0" yWindow="0" windowWidth="20490" windowHeight="7530"/>
  </bookViews>
  <sheets>
    <sheet name="Data" sheetId="1" r:id="rId1"/>
    <sheet name="Model 1 - Regression Results" sheetId="4" r:id="rId2"/>
    <sheet name="Model 2 - Regression Results" sheetId="11" r:id="rId3"/>
    <sheet name="Calculations" sheetId="2" r:id="rId4"/>
  </sheets>
  <definedNames>
    <definedName name="solver_adj" localSheetId="0" hidden="1">Data!$P$82:$P$86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Data!$P$82:$P$86</definedName>
    <definedName name="solver_lhs2" localSheetId="0" hidden="1">Data!$P$88</definedName>
    <definedName name="solver_lhs3" localSheetId="0" hidden="1">Data!$U$38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Data!$P$92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2</definedName>
    <definedName name="solver_rhs1" localSheetId="0" hidden="1">0</definedName>
    <definedName name="solver_rhs2" localSheetId="0" hidden="1">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0" i="1" l="1" a="1"/>
  <c r="P90" i="1" s="1"/>
  <c r="P91" i="1" s="1"/>
  <c r="O90" i="1" a="1"/>
  <c r="O90" i="1" s="1"/>
  <c r="O91" i="1" s="1"/>
  <c r="O92" i="1" s="1"/>
  <c r="P89" i="1" a="1"/>
  <c r="P89" i="1" s="1"/>
  <c r="P88" i="1"/>
  <c r="N90" i="1" a="1"/>
  <c r="N90" i="1" s="1"/>
  <c r="N91" i="1" s="1"/>
  <c r="O89" i="1" a="1"/>
  <c r="O89" i="1" s="1"/>
  <c r="N39" i="1" a="1"/>
  <c r="N39" i="1" s="1"/>
  <c r="N89" i="1" a="1"/>
  <c r="N89" i="1" s="1"/>
  <c r="M95" i="1"/>
  <c r="O88" i="1"/>
  <c r="N88" i="1"/>
  <c r="R74" i="1"/>
  <c r="Q75" i="1" s="1"/>
  <c r="R73" i="1"/>
  <c r="P75" i="1" s="1"/>
  <c r="Q73" i="1"/>
  <c r="P74" i="1" s="1"/>
  <c r="R72" i="1"/>
  <c r="O75" i="1" s="1"/>
  <c r="Q72" i="1"/>
  <c r="O74" i="1" s="1"/>
  <c r="P72" i="1"/>
  <c r="O73" i="1" s="1"/>
  <c r="R71" i="1"/>
  <c r="N75" i="1" s="1"/>
  <c r="Q71" i="1"/>
  <c r="N74" i="1" s="1"/>
  <c r="P71" i="1"/>
  <c r="N73" i="1" s="1"/>
  <c r="O71" i="1"/>
  <c r="N72" i="1" s="1"/>
  <c r="R75" i="1"/>
  <c r="Q74" i="1"/>
  <c r="P73" i="1"/>
  <c r="O72" i="1"/>
  <c r="N71" i="1"/>
  <c r="O67" i="1"/>
  <c r="P67" i="1"/>
  <c r="Q67" i="1"/>
  <c r="R67" i="1"/>
  <c r="N67" i="1"/>
  <c r="R66" i="1"/>
  <c r="Q66" i="1"/>
  <c r="P66" i="1"/>
  <c r="O66" i="1"/>
  <c r="N66" i="1"/>
  <c r="Q65" i="1"/>
  <c r="R65" i="1"/>
  <c r="P65" i="1"/>
  <c r="O65" i="1"/>
  <c r="N65" i="1"/>
  <c r="Z7" i="1"/>
  <c r="X8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9" i="1"/>
  <c r="N41" i="1" a="1"/>
  <c r="N41" i="1" s="1"/>
  <c r="P39" i="1" a="1"/>
  <c r="P39" i="1" s="1"/>
  <c r="U39" i="1" a="1"/>
  <c r="U39" i="1" s="1"/>
  <c r="N49" i="1" s="1"/>
  <c r="U38" i="1"/>
  <c r="S25" i="1"/>
  <c r="Q25" i="1"/>
  <c r="M95" i="11"/>
  <c r="L95" i="11"/>
  <c r="N95" i="11" s="1"/>
  <c r="M74" i="11"/>
  <c r="L74" i="11"/>
  <c r="M53" i="11"/>
  <c r="L53" i="11"/>
  <c r="M32" i="11"/>
  <c r="L32" i="11"/>
  <c r="M13" i="11"/>
  <c r="N13" i="11" s="1"/>
  <c r="L13" i="11"/>
  <c r="L5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88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89" i="1"/>
  <c r="Z83" i="1"/>
  <c r="AH88" i="1" s="1"/>
  <c r="C168" i="1"/>
  <c r="AH85" i="1"/>
  <c r="AK167" i="1"/>
  <c r="N74" i="11" l="1"/>
  <c r="P92" i="1"/>
  <c r="N92" i="1"/>
  <c r="N53" i="11"/>
  <c r="N32" i="11"/>
  <c r="N171" i="1" l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T39" i="1" a="1"/>
  <c r="T39" i="1" s="1"/>
  <c r="S39" i="1" a="1"/>
  <c r="S39" i="1" s="1"/>
  <c r="T38" i="1"/>
  <c r="S38" i="1"/>
  <c r="R39" i="1" a="1"/>
  <c r="R39" i="1" s="1"/>
  <c r="R38" i="1"/>
  <c r="Q39" i="1" a="1"/>
  <c r="Q39" i="1" s="1"/>
  <c r="Q38" i="1"/>
  <c r="O39" i="1" a="1"/>
  <c r="O39" i="1" s="1"/>
  <c r="P38" i="1"/>
  <c r="O38" i="1"/>
  <c r="N23" i="1"/>
  <c r="N38" i="1"/>
  <c r="N47" i="1" l="1"/>
  <c r="N54" i="1"/>
  <c r="N51" i="1"/>
  <c r="N46" i="1"/>
  <c r="N48" i="1"/>
  <c r="N52" i="1"/>
  <c r="N50" i="1"/>
  <c r="R174" i="1"/>
  <c r="S20" i="1"/>
  <c r="C8" i="1"/>
  <c r="E8" i="1"/>
  <c r="G8" i="1"/>
  <c r="I8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11" i="1"/>
  <c r="C10" i="1"/>
  <c r="C9" i="1"/>
  <c r="Q183" i="1" l="1"/>
  <c r="P183" i="1"/>
  <c r="T183" i="1"/>
  <c r="S183" i="1"/>
  <c r="R183" i="1"/>
  <c r="AO170" i="1"/>
  <c r="AN170" i="1"/>
  <c r="AK170" i="1"/>
  <c r="AL170" i="1"/>
  <c r="AM170" i="1"/>
  <c r="R171" i="1"/>
  <c r="R178" i="1" s="1"/>
  <c r="P171" i="1"/>
  <c r="P178" i="1" s="1"/>
  <c r="Q171" i="1"/>
  <c r="Q178" i="1" s="1"/>
  <c r="T171" i="1"/>
  <c r="T178" i="1" s="1"/>
  <c r="S171" i="1"/>
  <c r="S178" i="1" s="1"/>
  <c r="O7" i="1"/>
  <c r="Q9" i="1"/>
  <c r="N7" i="1"/>
  <c r="O13" i="1"/>
  <c r="N14" i="1" s="1"/>
  <c r="Q7" i="1"/>
  <c r="N9" i="1"/>
  <c r="P13" i="1"/>
  <c r="N15" i="1" s="1"/>
  <c r="P9" i="1"/>
  <c r="P14" i="1"/>
  <c r="O15" i="1" s="1"/>
  <c r="R15" i="1"/>
  <c r="P17" i="1" s="1"/>
  <c r="P8" i="1"/>
  <c r="P15" i="1" s="1"/>
  <c r="O9" i="1"/>
  <c r="Q14" i="1"/>
  <c r="O16" i="1" s="1"/>
  <c r="R16" i="1"/>
  <c r="Q17" i="1" s="1"/>
  <c r="R8" i="1"/>
  <c r="R17" i="1" s="1"/>
  <c r="N8" i="1"/>
  <c r="N13" i="1" s="1"/>
  <c r="Q13" i="1"/>
  <c r="N16" i="1" s="1"/>
  <c r="R14" i="1"/>
  <c r="O17" i="1" s="1"/>
  <c r="Q8" i="1"/>
  <c r="Q16" i="1" s="1"/>
  <c r="R13" i="1"/>
  <c r="N17" i="1" s="1"/>
  <c r="Q15" i="1"/>
  <c r="P16" i="1" s="1"/>
  <c r="R7" i="1"/>
  <c r="O8" i="1"/>
  <c r="O14" i="1" s="1"/>
  <c r="R9" i="1"/>
  <c r="P7" i="1"/>
  <c r="U41" i="1" l="1" a="1"/>
  <c r="U41" i="1" s="1"/>
  <c r="U40" i="1" a="1"/>
  <c r="U40" i="1" s="1"/>
  <c r="N24" i="1" a="1"/>
  <c r="N24" i="1" s="1"/>
  <c r="T41" i="1" a="1"/>
  <c r="T41" i="1" s="1"/>
  <c r="T42" i="1" s="1"/>
  <c r="T40" i="1" a="1"/>
  <c r="T40" i="1" s="1"/>
  <c r="S41" i="1" a="1"/>
  <c r="S41" i="1" s="1"/>
  <c r="S42" i="1" s="1"/>
  <c r="S40" i="1" a="1"/>
  <c r="S40" i="1" s="1"/>
  <c r="R41" i="1" a="1"/>
  <c r="R41" i="1" s="1"/>
  <c r="R42" i="1" s="1"/>
  <c r="R40" i="1" a="1"/>
  <c r="R40" i="1" s="1"/>
  <c r="Q41" i="1" a="1"/>
  <c r="Q41" i="1" s="1"/>
  <c r="Q42" i="1" s="1"/>
  <c r="Q40" i="1" a="1"/>
  <c r="Q40" i="1" s="1"/>
  <c r="P41" i="1" a="1"/>
  <c r="P41" i="1" s="1"/>
  <c r="P42" i="1" s="1"/>
  <c r="O40" i="1" a="1"/>
  <c r="O40" i="1" s="1"/>
  <c r="N40" i="1" a="1"/>
  <c r="N40" i="1" s="1"/>
  <c r="O41" i="1" a="1"/>
  <c r="O41" i="1" s="1"/>
  <c r="O42" i="1" s="1"/>
  <c r="N42" i="1"/>
  <c r="P40" i="1" a="1"/>
  <c r="P40" i="1" s="1"/>
  <c r="N25" i="1" a="1"/>
  <c r="N25" i="1" s="1"/>
  <c r="U42" i="1" l="1"/>
  <c r="O49" i="1" s="1"/>
  <c r="M49" i="1"/>
  <c r="M46" i="1"/>
  <c r="O46" i="1" s="1"/>
  <c r="M52" i="1"/>
  <c r="O52" i="1" s="1"/>
  <c r="M51" i="1"/>
  <c r="O51" i="1" s="1"/>
  <c r="M54" i="1"/>
  <c r="O54" i="1" s="1"/>
  <c r="M47" i="1"/>
  <c r="O47" i="1" s="1"/>
  <c r="M50" i="1"/>
  <c r="O50" i="1" s="1"/>
  <c r="M48" i="1"/>
  <c r="O48" i="1" s="1"/>
</calcChain>
</file>

<file path=xl/sharedStrings.xml><?xml version="1.0" encoding="utf-8"?>
<sst xmlns="http://schemas.openxmlformats.org/spreadsheetml/2006/main" count="575" uniqueCount="179">
  <si>
    <t>Asset Name</t>
  </si>
  <si>
    <t>Asset Number</t>
  </si>
  <si>
    <t>Optimum Weights in End March 2014</t>
  </si>
  <si>
    <t>Minimum Variance Weights End March 2014</t>
  </si>
  <si>
    <t>Optimum Weights April 2014 to end March 2017</t>
  </si>
  <si>
    <t>Minimum Variance Weights April 2014 to end March 2017</t>
  </si>
  <si>
    <t>Final Weights from equally weighted portfolio</t>
  </si>
  <si>
    <t>Asset 1</t>
  </si>
  <si>
    <t>Asset 2</t>
  </si>
  <si>
    <t>Asset 3</t>
  </si>
  <si>
    <t>Asset 4</t>
  </si>
  <si>
    <t>Asset 5</t>
  </si>
  <si>
    <t xml:space="preserve">Investment : Terminal Wealth </t>
  </si>
  <si>
    <t>Investment Period 1st April 2014 to 31st March 2017</t>
  </si>
  <si>
    <t>Optimum Portfolio, 2014 weights</t>
  </si>
  <si>
    <t>Min Variance Portfolio, 2014 weights</t>
  </si>
  <si>
    <t>Equally Weighted Portfolio (NO rebalancing)</t>
  </si>
  <si>
    <t>Equally Weighted Portfolio (with rebalancing)</t>
  </si>
  <si>
    <t>Stock Market Index (FTSE 100)</t>
  </si>
  <si>
    <t>Risk Free Investment</t>
  </si>
  <si>
    <t>Optimum Portfolio, 2017 weights</t>
  </si>
  <si>
    <t>Parameters calculated over the Investment Period</t>
  </si>
  <si>
    <t>Min Variance Portfolio, 2017 weights</t>
  </si>
  <si>
    <t xml:space="preserve">Alpha and Beta Estimations </t>
  </si>
  <si>
    <t>Covariance/Variance Ratio</t>
  </si>
  <si>
    <t xml:space="preserve">Asset Number </t>
  </si>
  <si>
    <t>Ratio</t>
  </si>
  <si>
    <t>Total Risk</t>
  </si>
  <si>
    <t>Common Factor Risk</t>
  </si>
  <si>
    <t>Firm Specific Risk</t>
  </si>
  <si>
    <t>R = a+bRm</t>
  </si>
  <si>
    <t>a</t>
  </si>
  <si>
    <t>b</t>
  </si>
  <si>
    <t>R-r = a+b(Rm-r)</t>
  </si>
  <si>
    <t>UK Stock Market Data</t>
  </si>
  <si>
    <t>Number</t>
  </si>
  <si>
    <t>Name</t>
  </si>
  <si>
    <t>Code</t>
  </si>
  <si>
    <t>TESCO</t>
  </si>
  <si>
    <t>TSCO</t>
  </si>
  <si>
    <t>ROLLS-ROYCE HOLDINGS</t>
  </si>
  <si>
    <t>RR.</t>
  </si>
  <si>
    <t>GLAXOSMITHKLINE</t>
  </si>
  <si>
    <t>GSK</t>
  </si>
  <si>
    <t>BT GROUP</t>
  </si>
  <si>
    <t>BT.A</t>
  </si>
  <si>
    <t>UNILEVER (UK)</t>
  </si>
  <si>
    <t>ULVR</t>
  </si>
  <si>
    <t>Index</t>
  </si>
  <si>
    <t>Return</t>
  </si>
  <si>
    <r>
      <t xml:space="preserve">Calculations in the following table are made using indexes from December 2000 up to March 2014 -- </t>
    </r>
    <r>
      <rPr>
        <b/>
        <sz val="10"/>
        <color rgb="FF002060"/>
        <rFont val="Calibri"/>
        <family val="2"/>
        <scheme val="minor"/>
      </rPr>
      <t>162 months</t>
    </r>
    <r>
      <rPr>
        <sz val="10"/>
        <color theme="1"/>
        <rFont val="Calibri"/>
        <family val="2"/>
        <scheme val="minor"/>
      </rPr>
      <t xml:space="preserve"> --</t>
    </r>
  </si>
  <si>
    <t>Tesco</t>
  </si>
  <si>
    <t>Rolls-Royce</t>
  </si>
  <si>
    <t>BT Group</t>
  </si>
  <si>
    <t>Unilever</t>
  </si>
  <si>
    <t>SD</t>
  </si>
  <si>
    <t>Variance</t>
  </si>
  <si>
    <t>Exp. Ret.</t>
  </si>
  <si>
    <t>Variance - Covariance Matrix</t>
  </si>
  <si>
    <t>Rolls - Royce</t>
  </si>
  <si>
    <t>RR</t>
  </si>
  <si>
    <t xml:space="preserve">ER </t>
  </si>
  <si>
    <t>Weights</t>
  </si>
  <si>
    <t>Sum weights</t>
  </si>
  <si>
    <t xml:space="preserve">Portfolio </t>
  </si>
  <si>
    <t>Total</t>
  </si>
  <si>
    <t>Portfolios</t>
  </si>
  <si>
    <t>Equal weights</t>
  </si>
  <si>
    <t>Min St.Dev.</t>
  </si>
  <si>
    <t>Constraining
Variable</t>
  </si>
  <si>
    <t>Value of 
constraint</t>
  </si>
  <si>
    <t>BT</t>
  </si>
  <si>
    <t>-</t>
  </si>
  <si>
    <t>ER (µ)</t>
  </si>
  <si>
    <t xml:space="preserve">Std. Dev.(σ) </t>
  </si>
  <si>
    <t xml:space="preserve">Minimizing 
std. dev. </t>
  </si>
  <si>
    <t>RR = highest ER</t>
  </si>
  <si>
    <t>GSK = lowest SD</t>
  </si>
  <si>
    <t>Maximizing SR</t>
  </si>
  <si>
    <t>FTSE ALL SHARE - PRICE INDEX</t>
  </si>
  <si>
    <t>FTALLSH</t>
  </si>
  <si>
    <t>BOELI1M</t>
  </si>
  <si>
    <t>UK BOE LIBID/
LIBOR 1 MONTH - MIDDLE RATE</t>
  </si>
  <si>
    <t>ER = 1.5%</t>
  </si>
  <si>
    <t>ER = 0.7%</t>
  </si>
  <si>
    <t>Portfolio σ</t>
  </si>
  <si>
    <t>Portfolio µ</t>
  </si>
  <si>
    <t>`</t>
  </si>
  <si>
    <t>Investment period starts from April 1st, 2014 (in yellow)</t>
  </si>
  <si>
    <t>FTSE ALL SHARE</t>
  </si>
  <si>
    <t>Cov  (TSCO, Market)</t>
  </si>
  <si>
    <t>Cov(BT, Market)</t>
  </si>
  <si>
    <t>Cov(RR, Market)</t>
  </si>
  <si>
    <t>Cov(GSK, Market)</t>
  </si>
  <si>
    <t>Cov(ULVR, Market)</t>
  </si>
  <si>
    <t xml:space="preserve">BT </t>
  </si>
  <si>
    <t>The Beta Table</t>
  </si>
  <si>
    <t>Var. Market</t>
  </si>
  <si>
    <t>Returns</t>
  </si>
  <si>
    <t>Ret. Market</t>
  </si>
  <si>
    <t>Ret. BT</t>
  </si>
  <si>
    <t>Ret. TSCO</t>
  </si>
  <si>
    <t>Ret. RR</t>
  </si>
  <si>
    <t>Ret. GSK</t>
  </si>
  <si>
    <t>Ret. ULVR</t>
  </si>
  <si>
    <t>Risk Free rate over investment period</t>
  </si>
  <si>
    <t>Ret. TESCO</t>
  </si>
  <si>
    <r>
      <rPr>
        <b/>
        <sz val="11"/>
        <color theme="1"/>
        <rFont val="Calibri"/>
        <family val="2"/>
        <scheme val="minor"/>
      </rPr>
      <t>Assets - ER's</t>
    </r>
    <r>
      <rPr>
        <sz val="11"/>
        <color theme="1"/>
        <rFont val="Calibri"/>
        <family val="2"/>
        <scheme val="minor"/>
      </rPr>
      <t xml:space="preserve"> over investment period</t>
    </r>
  </si>
  <si>
    <t>Model 1 Summary Table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</si>
  <si>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</si>
  <si>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</si>
  <si>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</si>
  <si>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</si>
  <si>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</si>
  <si>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</si>
  <si>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</si>
  <si>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</si>
  <si>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</si>
  <si>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</si>
  <si>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</si>
  <si>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</si>
  <si>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</si>
  <si>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</si>
  <si>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</si>
  <si>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</si>
  <si>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</si>
  <si>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</si>
  <si>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</si>
  <si>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</si>
  <si>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</si>
  <si>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</si>
  <si>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r>
      <t xml:space="preserve">SUMMARY OUTPUT for </t>
    </r>
    <r>
      <rPr>
        <b/>
        <sz val="11"/>
        <color rgb="FFFF0000"/>
        <rFont val="Calibri"/>
        <family val="2"/>
        <scheme val="minor"/>
      </rPr>
      <t>TSCO</t>
    </r>
  </si>
  <si>
    <r>
      <t xml:space="preserve">SUMMARY OUTPUT FOR </t>
    </r>
    <r>
      <rPr>
        <b/>
        <sz val="11"/>
        <color rgb="FFFF0000"/>
        <rFont val="Calibri"/>
        <family val="2"/>
        <scheme val="minor"/>
      </rPr>
      <t>ROLLS ROYCE</t>
    </r>
  </si>
  <si>
    <r>
      <t xml:space="preserve">SUMMARY OUTPUT FOR </t>
    </r>
    <r>
      <rPr>
        <b/>
        <sz val="11"/>
        <color rgb="FFFF0000"/>
        <rFont val="Calibri"/>
        <family val="2"/>
        <scheme val="minor"/>
      </rPr>
      <t>BT GROUP</t>
    </r>
  </si>
  <si>
    <r>
      <t xml:space="preserve">SUMMARY OUTPUT </t>
    </r>
    <r>
      <rPr>
        <b/>
        <sz val="11"/>
        <color rgb="FFFF0000"/>
        <rFont val="Calibri"/>
        <family val="2"/>
        <scheme val="minor"/>
      </rPr>
      <t>FOR GSK</t>
    </r>
  </si>
  <si>
    <r>
      <t xml:space="preserve">SUMMARY OUTPUT FOR </t>
    </r>
    <r>
      <rPr>
        <b/>
        <sz val="11"/>
        <color rgb="FFFF0000"/>
        <rFont val="Calibri"/>
        <family val="2"/>
        <scheme val="minor"/>
      </rPr>
      <t>UNILEVER</t>
    </r>
  </si>
  <si>
    <r>
      <rPr>
        <b/>
        <sz val="11"/>
        <color theme="1"/>
        <rFont val="Calibri"/>
        <family val="2"/>
        <scheme val="minor"/>
      </rPr>
      <t>Model 2 :</t>
    </r>
    <r>
      <rPr>
        <sz val="11"/>
        <color theme="1"/>
        <rFont val="Calibri"/>
        <family val="2"/>
        <scheme val="minor"/>
      </rPr>
      <t xml:space="preserve"> (Ri – rf)t = α + β(Rm – rf)t + ɛt  -- </t>
    </r>
    <r>
      <rPr>
        <b/>
        <sz val="11"/>
        <color theme="1"/>
        <rFont val="Calibri"/>
        <family val="2"/>
        <scheme val="minor"/>
      </rPr>
      <t xml:space="preserve">CAPM Model </t>
    </r>
    <r>
      <rPr>
        <sz val="11"/>
        <color theme="1"/>
        <rFont val="Calibri"/>
        <family val="2"/>
        <scheme val="minor"/>
      </rPr>
      <t xml:space="preserve">-- </t>
    </r>
  </si>
  <si>
    <t>Ret(TESCO) - Rf</t>
  </si>
  <si>
    <t>Ret(RR) - Rf</t>
  </si>
  <si>
    <t>Ret(BT) - Rf</t>
  </si>
  <si>
    <t>Ret(GSK) - Rf</t>
  </si>
  <si>
    <t>Ret(ULVR) - Rf</t>
  </si>
  <si>
    <t>Ret(FTSE) - Rf</t>
  </si>
  <si>
    <t>FTSE ALLSHARE</t>
  </si>
  <si>
    <t>Risk-free return rate average during investment period (%)</t>
  </si>
  <si>
    <t>LIBOR 1M</t>
  </si>
  <si>
    <r>
      <t xml:space="preserve">SUMMARY OUTPUT FOR </t>
    </r>
    <r>
      <rPr>
        <b/>
        <sz val="11"/>
        <color rgb="FF7030A0"/>
        <rFont val="Calibri"/>
        <family val="2"/>
        <scheme val="minor"/>
      </rPr>
      <t>TESCO</t>
    </r>
  </si>
  <si>
    <r>
      <t xml:space="preserve">SUMMARY OUTPUT FOR </t>
    </r>
    <r>
      <rPr>
        <b/>
        <sz val="11"/>
        <color rgb="FF7030A0"/>
        <rFont val="Calibri"/>
        <family val="2"/>
        <scheme val="minor"/>
      </rPr>
      <t>ROLLS - ROYCE HOLDINGS</t>
    </r>
  </si>
  <si>
    <r>
      <t xml:space="preserve">SUMMARY OUTPUT FOR </t>
    </r>
    <r>
      <rPr>
        <b/>
        <sz val="11"/>
        <color rgb="FF7030A0"/>
        <rFont val="Calibri"/>
        <family val="2"/>
        <scheme val="minor"/>
      </rPr>
      <t>BT GROUP</t>
    </r>
  </si>
  <si>
    <r>
      <t xml:space="preserve">SUMMARY OUTPUT FOR </t>
    </r>
    <r>
      <rPr>
        <b/>
        <sz val="11"/>
        <color rgb="FF7030A0"/>
        <rFont val="Calibri"/>
        <family val="2"/>
        <scheme val="minor"/>
      </rPr>
      <t>GLAXO SMITH-KLINE</t>
    </r>
  </si>
  <si>
    <r>
      <t xml:space="preserve">SUMMARY OUTPUT FOR </t>
    </r>
    <r>
      <rPr>
        <b/>
        <sz val="11"/>
        <color rgb="FF7030A0"/>
        <rFont val="Calibri"/>
        <family val="2"/>
        <scheme val="minor"/>
      </rPr>
      <t>UNILEVER</t>
    </r>
  </si>
  <si>
    <r>
      <t xml:space="preserve">Total Risk </t>
    </r>
    <r>
      <rPr>
        <sz val="11"/>
        <color theme="4" tint="0.39997558519241921"/>
        <rFont val="Calibri"/>
        <family val="2"/>
        <scheme val="minor"/>
      </rPr>
      <t>(</t>
    </r>
    <r>
      <rPr>
        <sz val="11"/>
        <color theme="4" tint="0.39997558519241921"/>
        <rFont val="Calibri"/>
        <family val="2"/>
      </rPr>
      <t>σ²</t>
    </r>
    <r>
      <rPr>
        <sz val="8"/>
        <color theme="4" tint="0.39997558519241921"/>
        <rFont val="Calibri"/>
        <family val="2"/>
      </rPr>
      <t>i</t>
    </r>
    <r>
      <rPr>
        <sz val="11"/>
        <color theme="4" tint="0.39997558519241921"/>
        <rFont val="Calibri"/>
        <family val="2"/>
      </rPr>
      <t xml:space="preserve">) </t>
    </r>
    <r>
      <rPr>
        <sz val="11"/>
        <color theme="1"/>
        <rFont val="Calibri"/>
        <family val="2"/>
      </rPr>
      <t>= Market Risk</t>
    </r>
    <r>
      <rPr>
        <sz val="11"/>
        <color theme="4" tint="0.39997558519241921"/>
        <rFont val="Calibri"/>
        <family val="2"/>
      </rPr>
      <t>(β²</t>
    </r>
    <r>
      <rPr>
        <sz val="8"/>
        <color theme="4" tint="0.39997558519241921"/>
        <rFont val="Calibri"/>
        <family val="2"/>
      </rPr>
      <t>i</t>
    </r>
    <r>
      <rPr>
        <sz val="11"/>
        <color theme="4" tint="0.39997558519241921"/>
        <rFont val="Calibri"/>
        <family val="2"/>
      </rPr>
      <t>.σ²</t>
    </r>
    <r>
      <rPr>
        <sz val="7"/>
        <color theme="4" tint="0.39997558519241921"/>
        <rFont val="Calibri"/>
        <family val="2"/>
      </rPr>
      <t>m</t>
    </r>
    <r>
      <rPr>
        <sz val="11"/>
        <color theme="4" tint="0.39997558519241921"/>
        <rFont val="Calibri"/>
        <family val="2"/>
      </rPr>
      <t>)</t>
    </r>
    <r>
      <rPr>
        <sz val="11"/>
        <color theme="1"/>
        <rFont val="Calibri"/>
        <family val="2"/>
      </rPr>
      <t xml:space="preserve"> + Firm-specific risk </t>
    </r>
    <r>
      <rPr>
        <sz val="11"/>
        <color theme="4" tint="0.39997558519241921"/>
        <rFont val="Calibri"/>
        <family val="2"/>
      </rPr>
      <t>(var(ɛ</t>
    </r>
    <r>
      <rPr>
        <sz val="8"/>
        <color theme="4" tint="0.39997558519241921"/>
        <rFont val="Calibri"/>
        <family val="2"/>
      </rPr>
      <t>i</t>
    </r>
    <r>
      <rPr>
        <sz val="11"/>
        <color theme="4" tint="0.39997558519241921"/>
        <rFont val="Calibri"/>
        <family val="2"/>
      </rPr>
      <t>))</t>
    </r>
  </si>
  <si>
    <t>Investment Period Variance on returns of portfolio assets</t>
  </si>
  <si>
    <t>Market Risk comp.</t>
  </si>
  <si>
    <t>Firm - specific risk</t>
  </si>
  <si>
    <r>
      <t>Var. Market (</t>
    </r>
    <r>
      <rPr>
        <b/>
        <sz val="10"/>
        <color theme="4" tint="0.39997558519241921"/>
        <rFont val="Calibri"/>
        <family val="2"/>
        <scheme val="minor"/>
      </rPr>
      <t>σ²m</t>
    </r>
    <r>
      <rPr>
        <b/>
        <sz val="10"/>
        <color theme="1"/>
        <rFont val="Calibri"/>
        <family val="2"/>
        <scheme val="minor"/>
      </rPr>
      <t>)</t>
    </r>
  </si>
  <si>
    <r>
      <t>Total Risk RR (</t>
    </r>
    <r>
      <rPr>
        <b/>
        <sz val="10"/>
        <color theme="4" tint="0.39997558519241921"/>
        <rFont val="Calibri"/>
        <family val="2"/>
        <scheme val="minor"/>
      </rPr>
      <t>σ²RR</t>
    </r>
    <r>
      <rPr>
        <b/>
        <sz val="10"/>
        <color theme="1"/>
        <rFont val="Calibri"/>
        <family val="2"/>
        <scheme val="minor"/>
      </rPr>
      <t>)</t>
    </r>
  </si>
  <si>
    <r>
      <t>Total Risk TESCO (</t>
    </r>
    <r>
      <rPr>
        <b/>
        <sz val="10"/>
        <color theme="4" tint="0.39997558519241921"/>
        <rFont val="Calibri"/>
        <family val="2"/>
        <scheme val="minor"/>
      </rPr>
      <t>σ²TSCO</t>
    </r>
    <r>
      <rPr>
        <b/>
        <sz val="10"/>
        <color theme="1"/>
        <rFont val="Calibri"/>
        <family val="2"/>
        <scheme val="minor"/>
      </rPr>
      <t>)</t>
    </r>
  </si>
  <si>
    <r>
      <t>Total Risk GSK (</t>
    </r>
    <r>
      <rPr>
        <b/>
        <sz val="10"/>
        <color theme="4" tint="0.39997558519241921"/>
        <rFont val="Calibri"/>
        <family val="2"/>
        <scheme val="minor"/>
      </rPr>
      <t>σ²GSK</t>
    </r>
    <r>
      <rPr>
        <b/>
        <sz val="10"/>
        <color theme="1"/>
        <rFont val="Calibri"/>
        <family val="2"/>
        <scheme val="minor"/>
      </rPr>
      <t>)</t>
    </r>
  </si>
  <si>
    <r>
      <t>Total Risk BT (</t>
    </r>
    <r>
      <rPr>
        <b/>
        <sz val="10"/>
        <color theme="4" tint="0.39997558519241921"/>
        <rFont val="Calibri"/>
        <family val="2"/>
        <scheme val="minor"/>
      </rPr>
      <t>σ²BT</t>
    </r>
    <r>
      <rPr>
        <b/>
        <sz val="10"/>
        <color theme="1"/>
        <rFont val="Calibri"/>
        <family val="2"/>
        <scheme val="minor"/>
      </rPr>
      <t>)</t>
    </r>
  </si>
  <si>
    <r>
      <t>Total Risk ULVR (</t>
    </r>
    <r>
      <rPr>
        <b/>
        <sz val="10"/>
        <color theme="4" tint="0.39997558519241921"/>
        <rFont val="Calibri"/>
        <family val="2"/>
        <scheme val="minor"/>
      </rPr>
      <t>σ²</t>
    </r>
    <r>
      <rPr>
        <b/>
        <sz val="8"/>
        <color theme="4" tint="0.39997558519241921"/>
        <rFont val="Calibri"/>
        <family val="2"/>
        <scheme val="minor"/>
      </rPr>
      <t>ULVR</t>
    </r>
    <r>
      <rPr>
        <b/>
        <sz val="10"/>
        <color theme="1"/>
        <rFont val="Calibri"/>
        <family val="2"/>
        <scheme val="minor"/>
      </rPr>
      <t>)</t>
    </r>
  </si>
  <si>
    <t>Student Name :  Yéro Niamadio</t>
  </si>
  <si>
    <t>based on LIBOR 1 month between</t>
  </si>
  <si>
    <t>April 2009 and March 2014</t>
  </si>
  <si>
    <t>Risk free rate (%)</t>
  </si>
  <si>
    <t>CML</t>
  </si>
  <si>
    <t>Sharpe Rat.</t>
  </si>
  <si>
    <r>
      <t>Sharpe (</t>
    </r>
    <r>
      <rPr>
        <b/>
        <sz val="10"/>
        <color theme="4" tint="-0.499984740745262"/>
        <rFont val="Calibri"/>
        <family val="2"/>
      </rPr>
      <t>µ-rf/σ)</t>
    </r>
  </si>
  <si>
    <t xml:space="preserve">Minimizing 
std. dev. while µ &gt;= </t>
  </si>
  <si>
    <t>Portfolio efficient frontier</t>
  </si>
  <si>
    <t>ER = 1.2%</t>
  </si>
  <si>
    <t>Min Variance</t>
  </si>
  <si>
    <t>Without constraints on ER</t>
  </si>
  <si>
    <t>Future Values</t>
  </si>
  <si>
    <t>FTSE All Share 
Returns Pre-investment</t>
  </si>
  <si>
    <t>FTSE Average over pre-investment period</t>
  </si>
  <si>
    <t>Investment Period</t>
  </si>
  <si>
    <t>Pre Investment Period</t>
  </si>
  <si>
    <t>Risk 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</si>
</sst>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(* #,##0.00_);_(* \(#,##0.00\);_(* &quot;-&quot;??_);_(@_)"/>
    <numFmt numFmtId="164" formatCode="0.0000%"/>
    <numFmt numFmtId="165" formatCode="0.00000%"/>
    <numFmt numFmtId="166" formatCode="0.000000%"/>
    <numFmt numFmtId="167" formatCode="_(* #,##0.00000000_);_(* \(#,##0.00000000\);_(* &quot;-&quot;??_);_(@_)"/>
    <numFmt numFmtId="168" formatCode="0.0000000%"/>
    <numFmt numFmtId="169" formatCode="0.000000"/>
    <numFmt numFmtId="170" formatCode="0.00000"/>
    <numFmt numFmtId="171" formatCode="0.000%"/>
    <numFmt numFmtId="172" formatCode="0.00000000%"/>
    <numFmt numFmtId="173" formatCode="_-[$£-809]* #,##0.00_-;\-[$£-809]* #,##0.00_-;_-[$£-809]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</font>
    <font>
      <b/>
      <sz val="9"/>
      <color theme="4" tint="-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</font>
    <font>
      <sz val="8"/>
      <color theme="4" tint="0.39997558519241921"/>
      <name val="Calibri"/>
      <family val="2"/>
    </font>
    <font>
      <sz val="7"/>
      <color theme="4" tint="0.39997558519241921"/>
      <name val="Calibri"/>
      <family val="2"/>
    </font>
    <font>
      <b/>
      <sz val="8"/>
      <color theme="4" tint="0.39997558519241921"/>
      <name val="Calibri"/>
      <family val="2"/>
      <scheme val="minor"/>
    </font>
    <font>
      <b/>
      <sz val="10"/>
      <color theme="4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BE4D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3" fillId="0" borderId="0" xfId="0" applyFont="1"/>
    <xf numFmtId="0" fontId="0" fillId="0" borderId="0" xfId="0" applyAlignment="1">
      <alignment textRotation="90"/>
    </xf>
    <xf numFmtId="0" fontId="0" fillId="0" borderId="1" xfId="0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5" fillId="0" borderId="0" xfId="0" applyFont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4" borderId="4" xfId="0" applyFill="1" applyBorder="1" applyAlignment="1"/>
    <xf numFmtId="0" fontId="0" fillId="4" borderId="6" xfId="0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3" xfId="0" applyBorder="1" applyAlignment="1"/>
    <xf numFmtId="0" fontId="0" fillId="0" borderId="1" xfId="0" applyBorder="1" applyAlignment="1"/>
    <xf numFmtId="0" fontId="0" fillId="0" borderId="0" xfId="0" applyAlignment="1"/>
    <xf numFmtId="0" fontId="2" fillId="0" borderId="0" xfId="0" applyFont="1" applyFill="1" applyBorder="1" applyAlignment="1"/>
    <xf numFmtId="0" fontId="11" fillId="0" borderId="1" xfId="0" applyFont="1" applyBorder="1" applyAlignment="1">
      <alignment horizontal="center"/>
    </xf>
    <xf numFmtId="164" fontId="0" fillId="0" borderId="0" xfId="2" applyNumberFormat="1" applyFont="1" applyAlignment="1"/>
    <xf numFmtId="9" fontId="9" fillId="0" borderId="0" xfId="2" applyFont="1"/>
    <xf numFmtId="166" fontId="0" fillId="0" borderId="2" xfId="2" applyNumberFormat="1" applyFont="1" applyBorder="1" applyAlignment="1">
      <alignment horizontal="center"/>
    </xf>
    <xf numFmtId="43" fontId="0" fillId="0" borderId="2" xfId="1" applyFont="1" applyBorder="1" applyAlignment="1"/>
    <xf numFmtId="167" fontId="0" fillId="0" borderId="2" xfId="1" applyNumberFormat="1" applyFont="1" applyBorder="1" applyAlignment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8" xfId="0" applyFill="1" applyBorder="1"/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6" xfId="0" applyFont="1" applyFill="1" applyBorder="1"/>
    <xf numFmtId="0" fontId="14" fillId="0" borderId="8" xfId="0" applyFont="1" applyBorder="1"/>
    <xf numFmtId="10" fontId="0" fillId="0" borderId="0" xfId="2" applyNumberFormat="1" applyFont="1" applyBorder="1"/>
    <xf numFmtId="165" fontId="0" fillId="0" borderId="0" xfId="2" applyNumberFormat="1" applyFont="1" applyBorder="1"/>
    <xf numFmtId="0" fontId="6" fillId="0" borderId="0" xfId="0" applyFont="1" applyBorder="1" applyAlignment="1">
      <alignment horizontal="center" wrapText="1"/>
    </xf>
    <xf numFmtId="166" fontId="0" fillId="6" borderId="2" xfId="2" applyNumberFormat="1" applyFont="1" applyFill="1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166" fontId="0" fillId="0" borderId="0" xfId="2" applyNumberFormat="1" applyFont="1" applyBorder="1"/>
    <xf numFmtId="168" fontId="0" fillId="0" borderId="0" xfId="2" applyNumberFormat="1" applyFont="1" applyBorder="1"/>
    <xf numFmtId="10" fontId="0" fillId="0" borderId="0" xfId="2" applyNumberFormat="1" applyFont="1" applyFill="1" applyBorder="1"/>
    <xf numFmtId="169" fontId="0" fillId="0" borderId="0" xfId="0" applyNumberFormat="1" applyBorder="1"/>
    <xf numFmtId="165" fontId="0" fillId="0" borderId="9" xfId="2" applyNumberFormat="1" applyFont="1" applyBorder="1"/>
    <xf numFmtId="0" fontId="0" fillId="0" borderId="0" xfId="0" applyAlignment="1">
      <alignment wrapText="1"/>
    </xf>
    <xf numFmtId="1" fontId="0" fillId="0" borderId="9" xfId="0" applyNumberFormat="1" applyBorder="1"/>
    <xf numFmtId="10" fontId="0" fillId="0" borderId="9" xfId="2" applyNumberFormat="1" applyFont="1" applyBorder="1"/>
    <xf numFmtId="10" fontId="0" fillId="0" borderId="9" xfId="2" applyNumberFormat="1" applyFont="1" applyFill="1" applyBorder="1"/>
    <xf numFmtId="0" fontId="15" fillId="8" borderId="0" xfId="0" applyFont="1" applyFill="1"/>
    <xf numFmtId="165" fontId="0" fillId="0" borderId="0" xfId="0" applyNumberFormat="1"/>
    <xf numFmtId="168" fontId="0" fillId="0" borderId="0" xfId="0" applyNumberFormat="1"/>
    <xf numFmtId="166" fontId="0" fillId="0" borderId="0" xfId="0" applyNumberFormat="1"/>
    <xf numFmtId="14" fontId="0" fillId="9" borderId="0" xfId="0" applyNumberFormat="1" applyFill="1"/>
    <xf numFmtId="0" fontId="0" fillId="9" borderId="0" xfId="0" applyFill="1"/>
    <xf numFmtId="0" fontId="0" fillId="5" borderId="0" xfId="0" applyFill="1"/>
    <xf numFmtId="0" fontId="0" fillId="0" borderId="0" xfId="0" applyFill="1"/>
    <xf numFmtId="170" fontId="0" fillId="0" borderId="0" xfId="1" applyNumberFormat="1" applyFont="1"/>
    <xf numFmtId="0" fontId="10" fillId="0" borderId="0" xfId="0" applyFont="1" applyBorder="1" applyAlignment="1">
      <alignment horizontal="center"/>
    </xf>
    <xf numFmtId="0" fontId="0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71" fontId="0" fillId="0" borderId="15" xfId="2" applyNumberFormat="1" applyFont="1" applyBorder="1"/>
    <xf numFmtId="171" fontId="0" fillId="0" borderId="16" xfId="2" applyNumberFormat="1" applyFont="1" applyFill="1" applyBorder="1"/>
    <xf numFmtId="171" fontId="0" fillId="0" borderId="16" xfId="2" applyNumberFormat="1" applyFont="1" applyBorder="1"/>
    <xf numFmtId="171" fontId="0" fillId="0" borderId="19" xfId="2" applyNumberFormat="1" applyFont="1" applyBorder="1"/>
    <xf numFmtId="171" fontId="0" fillId="0" borderId="21" xfId="2" applyNumberFormat="1" applyFont="1" applyBorder="1"/>
    <xf numFmtId="165" fontId="0" fillId="0" borderId="15" xfId="2" applyNumberFormat="1" applyFont="1" applyBorder="1"/>
    <xf numFmtId="165" fontId="0" fillId="0" borderId="16" xfId="2" applyNumberFormat="1" applyFont="1" applyBorder="1"/>
    <xf numFmtId="165" fontId="0" fillId="0" borderId="19" xfId="2" applyNumberFormat="1" applyFont="1" applyBorder="1"/>
    <xf numFmtId="165" fontId="0" fillId="0" borderId="21" xfId="2" applyNumberFormat="1" applyFont="1" applyBorder="1"/>
    <xf numFmtId="171" fontId="0" fillId="0" borderId="12" xfId="2" applyNumberFormat="1" applyFont="1" applyBorder="1"/>
    <xf numFmtId="171" fontId="0" fillId="0" borderId="14" xfId="2" applyNumberFormat="1" applyFont="1" applyBorder="1"/>
    <xf numFmtId="0" fontId="0" fillId="0" borderId="0" xfId="0" applyFill="1" applyBorder="1" applyAlignment="1"/>
    <xf numFmtId="0" fontId="0" fillId="0" borderId="20" xfId="0" applyFill="1" applyBorder="1" applyAlignment="1"/>
    <xf numFmtId="0" fontId="16" fillId="0" borderId="24" xfId="0" applyFont="1" applyFill="1" applyBorder="1" applyAlignment="1">
      <alignment horizontal="center"/>
    </xf>
    <xf numFmtId="0" fontId="16" fillId="0" borderId="24" xfId="0" applyFont="1" applyFill="1" applyBorder="1" applyAlignment="1">
      <alignment horizontal="centerContinuous"/>
    </xf>
    <xf numFmtId="0" fontId="15" fillId="0" borderId="24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71" fontId="0" fillId="0" borderId="0" xfId="2" applyNumberFormat="1" applyFont="1"/>
    <xf numFmtId="171" fontId="0" fillId="0" borderId="0" xfId="2" applyNumberFormat="1" applyFont="1" applyFill="1"/>
    <xf numFmtId="0" fontId="19" fillId="0" borderId="0" xfId="0" applyFont="1" applyAlignment="1">
      <alignment horizontal="center"/>
    </xf>
    <xf numFmtId="171" fontId="0" fillId="0" borderId="0" xfId="0" applyNumberFormat="1"/>
    <xf numFmtId="171" fontId="0" fillId="0" borderId="1" xfId="0" applyNumberFormat="1" applyBorder="1"/>
    <xf numFmtId="0" fontId="0" fillId="0" borderId="25" xfId="0" applyBorder="1" applyAlignment="1">
      <alignment horizontal="center"/>
    </xf>
    <xf numFmtId="0" fontId="0" fillId="2" borderId="20" xfId="0" applyFill="1" applyBorder="1" applyAlignment="1"/>
    <xf numFmtId="0" fontId="0" fillId="16" borderId="0" xfId="0" applyFill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/>
    <xf numFmtId="165" fontId="0" fillId="0" borderId="0" xfId="2" applyNumberFormat="1" applyFont="1"/>
    <xf numFmtId="0" fontId="0" fillId="2" borderId="11" xfId="0" applyFill="1" applyBorder="1"/>
    <xf numFmtId="0" fontId="9" fillId="14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166" fontId="0" fillId="0" borderId="9" xfId="2" applyNumberFormat="1" applyFont="1" applyBorder="1"/>
    <xf numFmtId="0" fontId="6" fillId="0" borderId="0" xfId="0" applyFont="1" applyFill="1" applyBorder="1" applyAlignment="1">
      <alignment horizontal="center" wrapText="1"/>
    </xf>
    <xf numFmtId="172" fontId="0" fillId="0" borderId="0" xfId="2" applyNumberFormat="1" applyFont="1" applyBorder="1"/>
    <xf numFmtId="165" fontId="0" fillId="0" borderId="0" xfId="2" applyNumberFormat="1" applyFont="1" applyFill="1" applyBorder="1"/>
    <xf numFmtId="166" fontId="0" fillId="0" borderId="2" xfId="2" applyNumberFormat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1" xfId="2" applyNumberFormat="1" applyFont="1" applyBorder="1" applyAlignment="1"/>
    <xf numFmtId="166" fontId="0" fillId="0" borderId="0" xfId="2" applyNumberFormat="1" applyFont="1"/>
    <xf numFmtId="0" fontId="14" fillId="15" borderId="0" xfId="0" applyFont="1" applyFill="1" applyBorder="1"/>
    <xf numFmtId="0" fontId="12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/>
    <xf numFmtId="166" fontId="0" fillId="0" borderId="0" xfId="2" applyNumberFormat="1" applyFont="1" applyFill="1" applyBorder="1"/>
    <xf numFmtId="169" fontId="0" fillId="0" borderId="0" xfId="0" applyNumberFormat="1" applyFill="1" applyBorder="1"/>
    <xf numFmtId="0" fontId="0" fillId="5" borderId="15" xfId="0" applyFill="1" applyBorder="1"/>
    <xf numFmtId="0" fontId="6" fillId="0" borderId="16" xfId="0" applyFont="1" applyBorder="1" applyAlignment="1">
      <alignment horizontal="center"/>
    </xf>
    <xf numFmtId="0" fontId="6" fillId="0" borderId="15" xfId="0" applyFont="1" applyBorder="1" applyAlignment="1">
      <alignment wrapText="1"/>
    </xf>
    <xf numFmtId="0" fontId="6" fillId="0" borderId="16" xfId="0" applyFont="1" applyFill="1" applyBorder="1" applyAlignment="1">
      <alignment horizontal="center" wrapText="1"/>
    </xf>
    <xf numFmtId="10" fontId="0" fillId="0" borderId="16" xfId="2" applyNumberFormat="1" applyFont="1" applyBorder="1"/>
    <xf numFmtId="10" fontId="0" fillId="0" borderId="16" xfId="2" applyNumberFormat="1" applyFont="1" applyFill="1" applyBorder="1"/>
    <xf numFmtId="0" fontId="6" fillId="0" borderId="15" xfId="0" applyFont="1" applyBorder="1"/>
    <xf numFmtId="43" fontId="0" fillId="0" borderId="16" xfId="1" applyFont="1" applyBorder="1"/>
    <xf numFmtId="0" fontId="14" fillId="0" borderId="15" xfId="0" applyFont="1" applyBorder="1"/>
    <xf numFmtId="168" fontId="0" fillId="0" borderId="16" xfId="2" applyNumberFormat="1" applyFont="1" applyBorder="1"/>
    <xf numFmtId="0" fontId="11" fillId="0" borderId="19" xfId="0" applyFont="1" applyFill="1" applyBorder="1"/>
    <xf numFmtId="166" fontId="0" fillId="6" borderId="1" xfId="2" applyNumberFormat="1" applyFont="1" applyFill="1" applyBorder="1" applyAlignment="1">
      <alignment horizontal="center"/>
    </xf>
    <xf numFmtId="166" fontId="22" fillId="0" borderId="2" xfId="2" applyNumberFormat="1" applyFont="1" applyFill="1" applyBorder="1" applyAlignment="1">
      <alignment horizontal="center"/>
    </xf>
    <xf numFmtId="9" fontId="0" fillId="0" borderId="1" xfId="0" applyNumberFormat="1" applyBorder="1"/>
    <xf numFmtId="10" fontId="0" fillId="0" borderId="1" xfId="0" applyNumberFormat="1" applyBorder="1"/>
    <xf numFmtId="173" fontId="0" fillId="0" borderId="1" xfId="0" applyNumberFormat="1" applyBorder="1"/>
    <xf numFmtId="0" fontId="30" fillId="0" borderId="26" xfId="0" applyFont="1" applyBorder="1" applyAlignment="1">
      <alignment horizontal="right" vertical="center"/>
    </xf>
    <xf numFmtId="0" fontId="30" fillId="0" borderId="27" xfId="0" applyFont="1" applyBorder="1" applyAlignment="1">
      <alignment horizontal="right" vertical="center"/>
    </xf>
    <xf numFmtId="0" fontId="0" fillId="0" borderId="1" xfId="0" applyFill="1" applyBorder="1" applyAlignment="1"/>
    <xf numFmtId="164" fontId="30" fillId="0" borderId="1" xfId="0" applyNumberFormat="1" applyFont="1" applyBorder="1" applyAlignment="1">
      <alignment horizontal="center" vertical="center" wrapText="1"/>
    </xf>
    <xf numFmtId="164" fontId="30" fillId="18" borderId="1" xfId="0" applyNumberFormat="1" applyFont="1" applyFill="1" applyBorder="1" applyAlignment="1">
      <alignment horizontal="center" vertical="center" wrapText="1"/>
    </xf>
    <xf numFmtId="164" fontId="0" fillId="18" borderId="1" xfId="0" applyNumberForma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65" fontId="0" fillId="0" borderId="20" xfId="2" applyNumberFormat="1" applyFont="1" applyBorder="1" applyAlignment="1">
      <alignment horizontal="center"/>
    </xf>
    <xf numFmtId="0" fontId="29" fillId="17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10" borderId="12" xfId="0" applyFont="1" applyFill="1" applyBorder="1" applyAlignment="1">
      <alignment horizontal="center"/>
    </xf>
    <xf numFmtId="0" fontId="12" fillId="10" borderId="14" xfId="0" applyFont="1" applyFill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11" fillId="10" borderId="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9" fillId="11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9" fillId="12" borderId="15" xfId="0" applyFont="1" applyFill="1" applyBorder="1" applyAlignment="1">
      <alignment horizontal="center"/>
    </xf>
    <xf numFmtId="0" fontId="9" fillId="12" borderId="0" xfId="0" applyFont="1" applyFill="1" applyBorder="1" applyAlignment="1">
      <alignment horizontal="center"/>
    </xf>
    <xf numFmtId="0" fontId="9" fillId="12" borderId="16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99CC"/>
      <color rgb="FFFF99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Portfolio Efficient Frontier and CML</a:t>
            </a:r>
            <a:br>
              <a:rPr lang="en-US" b="1"/>
            </a:br>
            <a:r>
              <a:rPr lang="en-US" sz="1050" b="0"/>
              <a:t>5 assets</a:t>
            </a:r>
            <a:endParaRPr lang="en-US" b="0"/>
          </a:p>
        </c:rich>
      </c:tx>
      <c:layout>
        <c:manualLayout>
          <c:xMode val="edge"/>
          <c:yMode val="edge"/>
          <c:x val="0.17703706979729722"/>
          <c:y val="2.5889958841081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Eff.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Data!$M$46:$M$52</c:f>
              <c:numCache>
                <c:formatCode>0.00000%</c:formatCode>
                <c:ptCount val="7"/>
                <c:pt idx="0" formatCode="0.0000000%">
                  <c:v>4.3482683439973573E-2</c:v>
                </c:pt>
                <c:pt idx="1">
                  <c:v>3.7964249458850817E-2</c:v>
                </c:pt>
                <c:pt idx="2">
                  <c:v>4.4815503377884293E-2</c:v>
                </c:pt>
                <c:pt idx="3">
                  <c:v>6.8242221159064573E-2</c:v>
                </c:pt>
                <c:pt idx="4">
                  <c:v>9.3722228622703546E-2</c:v>
                </c:pt>
                <c:pt idx="5">
                  <c:v>8.4770698859482893E-2</c:v>
                </c:pt>
                <c:pt idx="6" formatCode="0.000000%">
                  <c:v>9.3722225662376799E-2</c:v>
                </c:pt>
              </c:numCache>
            </c:numRef>
          </c:xVal>
          <c:yVal>
            <c:numRef>
              <c:f>Data!$N$46:$N$52</c:f>
              <c:numCache>
                <c:formatCode>0.00000%</c:formatCode>
                <c:ptCount val="7"/>
                <c:pt idx="0" formatCode="0.0000000%">
                  <c:v>1.0000000000000247E-3</c:v>
                </c:pt>
                <c:pt idx="1">
                  <c:v>2.714510274697577E-3</c:v>
                </c:pt>
                <c:pt idx="2">
                  <c:v>6.9999880976111964E-3</c:v>
                </c:pt>
                <c:pt idx="3">
                  <c:v>1.2000006999988096E-2</c:v>
                </c:pt>
                <c:pt idx="4">
                  <c:v>1.6710563946423056E-2</c:v>
                </c:pt>
                <c:pt idx="5">
                  <c:v>1.4999983289428595E-2</c:v>
                </c:pt>
                <c:pt idx="6" formatCode="0.000000%">
                  <c:v>1.6710563923281761E-2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2-480A-8480-705595F12D67}"/>
            </c:ext>
          </c:extLst>
        </c:ser>
        <c:ser>
          <c:idx val="1"/>
          <c:order val="1"/>
          <c:tx>
            <c:v>Risk Free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Data!$S$25</c:f>
              <c:numCache>
                <c:formatCode>0.00000%</c:formatCode>
                <c:ptCount val="1"/>
                <c:pt idx="0">
                  <c:v>5.7524999999999998E-3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1A-439C-949B-A62769946545}"/>
            </c:ext>
          </c:extLst>
        </c:ser>
        <c:ser>
          <c:idx val="2"/>
          <c:order val="2"/>
          <c:tx>
            <c:v>CML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1C7D1A2-CB36-46FE-A25D-37004BDF890F}" type="YVALUE">
                      <a:rPr lang="en-US" b="1">
                        <a:solidFill>
                          <a:srgbClr val="FF0000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1E1A-439C-949B-A62769946545}"/>
                </c:ext>
              </c:extLst>
            </c:dLbl>
            <c:dLbl>
              <c:idx val="1"/>
              <c:layout>
                <c:manualLayout>
                  <c:x val="-7.5117646151861214E-2"/>
                  <c:y val="-3.23301710436099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E1A-439C-949B-A627699465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Data!$M$55:$M$56</c:f>
              <c:numCache>
                <c:formatCode>General</c:formatCode>
                <c:ptCount val="2"/>
                <c:pt idx="0">
                  <c:v>0</c:v>
                </c:pt>
                <c:pt idx="1">
                  <c:v>9.3722222999999993E-2</c:v>
                </c:pt>
              </c:numCache>
            </c:numRef>
          </c:xVal>
          <c:yVal>
            <c:numRef>
              <c:f>Data!$N$55:$N$56</c:f>
              <c:numCache>
                <c:formatCode>General</c:formatCode>
                <c:ptCount val="2"/>
                <c:pt idx="0">
                  <c:v>5.7524999999999998E-3</c:v>
                </c:pt>
                <c:pt idx="1">
                  <c:v>1.6710559999999999E-2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E1A-439C-949B-A627699465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02375416"/>
        <c:axId val="502378040"/>
      </c:scatterChart>
      <c:valAx>
        <c:axId val="50237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002060"/>
                    </a:solidFill>
                  </a:rPr>
                  <a:t>Portfolio SD (</a:t>
                </a:r>
                <a:r>
                  <a:rPr lang="el-GR" b="1">
                    <a:solidFill>
                      <a:srgbClr val="002060"/>
                    </a:solidFill>
                  </a:rPr>
                  <a:t>σ</a:t>
                </a:r>
                <a:r>
                  <a:rPr lang="en-US" b="1">
                    <a:solidFill>
                      <a:srgbClr val="002060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78040"/>
        <c:crossesAt val="0"/>
        <c:crossBetween val="midCat"/>
      </c:valAx>
      <c:valAx>
        <c:axId val="50237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rgbClr val="002060"/>
                    </a:solidFill>
                  </a:rPr>
                  <a:t>Portfolio ER (µ)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7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91084697925894"/>
          <c:y val="0.44706488730393112"/>
          <c:w val="0.22108915302074095"/>
          <c:h val="0.26159798805800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Regression Model for Beta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2225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461942257217849E-2"/>
                  <c:y val="0.442524059492563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</a:t>
                    </a:r>
                    <a:r>
                      <a:rPr lang="en-US" baseline="0"/>
                      <a:t>= 0.7831x - 0.012</a:t>
                    </a:r>
                    <a:br>
                      <a:rPr lang="en-US" baseline="0"/>
                    </a:br>
                    <a:r>
                      <a:rPr lang="en-US" b="1" baseline="0"/>
                      <a:t>R²</a:t>
                    </a:r>
                    <a:r>
                      <a:rPr lang="en-US" baseline="0"/>
                      <a:t> = 0.0557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Data!$AA$168:$AA$203</c:f>
              <c:numCache>
                <c:formatCode>0.000%</c:formatCode>
                <c:ptCount val="36"/>
                <c:pt idx="0">
                  <c:v>1.8067324972789265E-2</c:v>
                </c:pt>
                <c:pt idx="1">
                  <c:v>9.7186884466950903E-3</c:v>
                </c:pt>
                <c:pt idx="2">
                  <c:v>-1.4998590975127336E-2</c:v>
                </c:pt>
                <c:pt idx="3">
                  <c:v>-4.0470086301001235E-3</c:v>
                </c:pt>
                <c:pt idx="4">
                  <c:v>1.503784561665767E-2</c:v>
                </c:pt>
                <c:pt idx="5">
                  <c:v>-2.9017403298218915E-2</c:v>
                </c:pt>
                <c:pt idx="6">
                  <c:v>-8.6221289046473047E-3</c:v>
                </c:pt>
                <c:pt idx="7">
                  <c:v>2.5648929914998352E-2</c:v>
                </c:pt>
                <c:pt idx="8">
                  <c:v>-1.6859060701523917E-2</c:v>
                </c:pt>
                <c:pt idx="9">
                  <c:v>2.5212724400889876E-2</c:v>
                </c:pt>
                <c:pt idx="10">
                  <c:v>3.3809062319668973E-2</c:v>
                </c:pt>
                <c:pt idx="11">
                  <c:v>-2.1547648934636027E-2</c:v>
                </c:pt>
                <c:pt idx="12">
                  <c:v>2.6334896467389825E-2</c:v>
                </c:pt>
                <c:pt idx="13">
                  <c:v>9.8562256985260735E-3</c:v>
                </c:pt>
                <c:pt idx="14">
                  <c:v>-5.9661006236305401E-2</c:v>
                </c:pt>
                <c:pt idx="15">
                  <c:v>2.3024270566686655E-2</c:v>
                </c:pt>
                <c:pt idx="16">
                  <c:v>-5.9715997908448094E-2</c:v>
                </c:pt>
                <c:pt idx="17">
                  <c:v>-2.8748114806123395E-2</c:v>
                </c:pt>
                <c:pt idx="18">
                  <c:v>4.4569414134631474E-2</c:v>
                </c:pt>
                <c:pt idx="19">
                  <c:v>2.1609366928772886E-3</c:v>
                </c:pt>
                <c:pt idx="20">
                  <c:v>-1.3707966198280101E-2</c:v>
                </c:pt>
                <c:pt idx="21">
                  <c:v>-3.1461039526632754E-2</c:v>
                </c:pt>
                <c:pt idx="22">
                  <c:v>2.9797056266674823E-3</c:v>
                </c:pt>
                <c:pt idx="23">
                  <c:v>1.4749659278387462E-2</c:v>
                </c:pt>
                <c:pt idx="24">
                  <c:v>7.8081049955967758E-3</c:v>
                </c:pt>
                <c:pt idx="25">
                  <c:v>2.3584767805475957E-3</c:v>
                </c:pt>
                <c:pt idx="26">
                  <c:v>2.4981266965423424E-2</c:v>
                </c:pt>
                <c:pt idx="27">
                  <c:v>3.9363381643886169E-2</c:v>
                </c:pt>
                <c:pt idx="28">
                  <c:v>1.1866999833051929E-2</c:v>
                </c:pt>
                <c:pt idx="29">
                  <c:v>1.5728161116956414E-2</c:v>
                </c:pt>
                <c:pt idx="30">
                  <c:v>3.4084796582998416E-3</c:v>
                </c:pt>
                <c:pt idx="31">
                  <c:v>-2.0100102437807455E-2</c:v>
                </c:pt>
                <c:pt idx="32">
                  <c:v>4.8970859061856831E-2</c:v>
                </c:pt>
                <c:pt idx="33">
                  <c:v>-3.8624193823227279E-3</c:v>
                </c:pt>
                <c:pt idx="34">
                  <c:v>2.4663967695282289E-2</c:v>
                </c:pt>
                <c:pt idx="35">
                  <c:v>9.2527482534109518E-3</c:v>
                </c:pt>
              </c:numCache>
            </c:numRef>
          </c:xVal>
          <c:yVal>
            <c:numRef>
              <c:f>Data!$Z$168:$Z$203</c:f>
              <c:numCache>
                <c:formatCode>0.000%</c:formatCode>
                <c:ptCount val="36"/>
                <c:pt idx="0">
                  <c:v>-8.293838862559395E-3</c:v>
                </c:pt>
                <c:pt idx="1">
                  <c:v>3.6183649086874971E-2</c:v>
                </c:pt>
                <c:pt idx="2">
                  <c:v>-6.374567616537645E-2</c:v>
                </c:pt>
                <c:pt idx="3">
                  <c:v>-9.2188599577762098E-2</c:v>
                </c:pt>
                <c:pt idx="4">
                  <c:v>-0.10872093023255808</c:v>
                </c:pt>
                <c:pt idx="5">
                  <c:v>-0.19025875190258751</c:v>
                </c:pt>
                <c:pt idx="6">
                  <c:v>-6.7669172932330948E-2</c:v>
                </c:pt>
                <c:pt idx="7">
                  <c:v>7.4020737327189071E-2</c:v>
                </c:pt>
                <c:pt idx="8">
                  <c:v>1.3676588897827743E-2</c:v>
                </c:pt>
                <c:pt idx="9">
                  <c:v>0.18915343915343916</c:v>
                </c:pt>
                <c:pt idx="10">
                  <c:v>9.1879866518353753E-2</c:v>
                </c:pt>
                <c:pt idx="11">
                  <c:v>-1.44661776691117E-2</c:v>
                </c:pt>
                <c:pt idx="12">
                  <c:v>-8.6210461029563756E-2</c:v>
                </c:pt>
                <c:pt idx="13">
                  <c:v>-3.8009049773755681E-2</c:v>
                </c:pt>
                <c:pt idx="14">
                  <c:v>-2.3518344308552658E-4</c:v>
                </c:pt>
                <c:pt idx="15">
                  <c:v>1.4820042342978148E-2</c:v>
                </c:pt>
                <c:pt idx="16">
                  <c:v>-0.11288827074640714</c:v>
                </c:pt>
                <c:pt idx="17">
                  <c:v>-4.2592108701332516E-2</c:v>
                </c:pt>
                <c:pt idx="18">
                  <c:v>5.4585152838424844E-4</c:v>
                </c:pt>
                <c:pt idx="19">
                  <c:v>-8.7834151663938861E-2</c:v>
                </c:pt>
                <c:pt idx="20">
                  <c:v>-0.10586124401913885</c:v>
                </c:pt>
                <c:pt idx="21">
                  <c:v>0.15986622073578599</c:v>
                </c:pt>
                <c:pt idx="22">
                  <c:v>4.0369088811995385E-2</c:v>
                </c:pt>
                <c:pt idx="23">
                  <c:v>6.3192904656319326E-2</c:v>
                </c:pt>
                <c:pt idx="24">
                  <c:v>-0.10271115745568309</c:v>
                </c:pt>
                <c:pt idx="25">
                  <c:v>-4.0674026728646138E-2</c:v>
                </c:pt>
                <c:pt idx="26">
                  <c:v>5.9357964869775966E-2</c:v>
                </c:pt>
                <c:pt idx="27">
                  <c:v>-0.10806174957118356</c:v>
                </c:pt>
                <c:pt idx="28">
                  <c:v>6.6346153846153805E-2</c:v>
                </c:pt>
                <c:pt idx="29">
                  <c:v>9.9789600240457008E-2</c:v>
                </c:pt>
                <c:pt idx="30">
                  <c:v>0.15195408581579656</c:v>
                </c:pt>
                <c:pt idx="31">
                  <c:v>-9.7271648873071548E-3</c:v>
                </c:pt>
                <c:pt idx="32">
                  <c:v>-8.8643986583613922E-3</c:v>
                </c:pt>
                <c:pt idx="33">
                  <c:v>-5.9221658206429779E-2</c:v>
                </c:pt>
                <c:pt idx="34">
                  <c:v>-3.1860226104830365E-2</c:v>
                </c:pt>
                <c:pt idx="35">
                  <c:v>-1.4861995753715558E-2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7-46F0-81CB-586BDA10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610352"/>
        <c:axId val="364611992"/>
      </c:scatterChart>
      <c:valAx>
        <c:axId val="364610352"/>
        <c:scaling>
          <c:orientation val="minMax"/>
          <c:min val="-6.0000000000000012E-2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 </a:t>
                </a:r>
                <a:r>
                  <a:rPr lang="en-US" b="1"/>
                  <a:t>FTSE</a:t>
                </a:r>
                <a:r>
                  <a:rPr lang="en-US" b="1" baseline="0"/>
                  <a:t> ALL SHARE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37820077164246801"/>
              <c:y val="0.90884969377886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11992"/>
        <c:crosses val="autoZero"/>
        <c:crossBetween val="midCat"/>
      </c:valAx>
      <c:valAx>
        <c:axId val="36461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</a:t>
                </a:r>
                <a:br>
                  <a:rPr lang="en-US"/>
                </a:br>
                <a:r>
                  <a:rPr lang="en-US" b="1"/>
                  <a:t>TSCO</a:t>
                </a:r>
              </a:p>
            </c:rich>
          </c:tx>
          <c:overlay val="0"/>
          <c:spPr>
            <a:noFill/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1035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Regression</a:t>
            </a:r>
            <a:r>
              <a:rPr lang="en-US" b="1" baseline="0">
                <a:solidFill>
                  <a:sysClr val="windowText" lastClr="000000"/>
                </a:solidFill>
              </a:rPr>
              <a:t> Model for beta e</a:t>
            </a:r>
            <a:r>
              <a:rPr lang="en-US" b="1">
                <a:solidFill>
                  <a:sysClr val="windowText" lastClr="000000"/>
                </a:solidFill>
              </a:rPr>
              <a:t>stimation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943765435812474E-2"/>
                  <c:y val="0.4357506992675168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</a:t>
                    </a:r>
                    <a:r>
                      <a:rPr lang="en-US" baseline="0"/>
                      <a:t>= 1.4575x - 0.01</a:t>
                    </a:r>
                    <a:br>
                      <a:rPr lang="en-US" baseline="0"/>
                    </a:br>
                    <a:r>
                      <a:rPr lang="en-US" b="1" baseline="0"/>
                      <a:t>R² =</a:t>
                    </a:r>
                    <a:r>
                      <a:rPr lang="en-US" baseline="0"/>
                      <a:t> 0.2181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Data!$AC$168:$AC$203</c:f>
              <c:numCache>
                <c:formatCode>0.000%</c:formatCode>
                <c:ptCount val="36"/>
                <c:pt idx="0">
                  <c:v>1.8067324972789265E-2</c:v>
                </c:pt>
                <c:pt idx="1">
                  <c:v>9.7186884466950903E-3</c:v>
                </c:pt>
                <c:pt idx="2">
                  <c:v>-1.4998590975127336E-2</c:v>
                </c:pt>
                <c:pt idx="3">
                  <c:v>-4.0470086301001235E-3</c:v>
                </c:pt>
                <c:pt idx="4">
                  <c:v>1.503784561665767E-2</c:v>
                </c:pt>
                <c:pt idx="5">
                  <c:v>-2.9017403298218915E-2</c:v>
                </c:pt>
                <c:pt idx="6">
                  <c:v>-8.6221289046473047E-3</c:v>
                </c:pt>
                <c:pt idx="7">
                  <c:v>2.5648929914998352E-2</c:v>
                </c:pt>
                <c:pt idx="8">
                  <c:v>-1.6859060701523917E-2</c:v>
                </c:pt>
                <c:pt idx="9">
                  <c:v>2.5212724400889876E-2</c:v>
                </c:pt>
                <c:pt idx="10">
                  <c:v>3.3809062319668973E-2</c:v>
                </c:pt>
                <c:pt idx="11">
                  <c:v>-2.1547648934636027E-2</c:v>
                </c:pt>
                <c:pt idx="12">
                  <c:v>2.6334896467389825E-2</c:v>
                </c:pt>
                <c:pt idx="13">
                  <c:v>9.8562256985260735E-3</c:v>
                </c:pt>
                <c:pt idx="14">
                  <c:v>-5.9661006236305401E-2</c:v>
                </c:pt>
                <c:pt idx="15">
                  <c:v>2.3024270566686655E-2</c:v>
                </c:pt>
                <c:pt idx="16">
                  <c:v>-5.9715997908448094E-2</c:v>
                </c:pt>
                <c:pt idx="17">
                  <c:v>-2.8748114806123395E-2</c:v>
                </c:pt>
                <c:pt idx="18">
                  <c:v>4.4569414134631474E-2</c:v>
                </c:pt>
                <c:pt idx="19">
                  <c:v>2.1609366928772886E-3</c:v>
                </c:pt>
                <c:pt idx="20">
                  <c:v>-1.3707966198280101E-2</c:v>
                </c:pt>
                <c:pt idx="21">
                  <c:v>-3.1461039526632754E-2</c:v>
                </c:pt>
                <c:pt idx="22">
                  <c:v>2.9797056266674823E-3</c:v>
                </c:pt>
                <c:pt idx="23">
                  <c:v>1.4749659278387462E-2</c:v>
                </c:pt>
                <c:pt idx="24">
                  <c:v>7.8081049955967758E-3</c:v>
                </c:pt>
                <c:pt idx="25">
                  <c:v>2.3584767805475957E-3</c:v>
                </c:pt>
                <c:pt idx="26">
                  <c:v>2.4981266965423424E-2</c:v>
                </c:pt>
                <c:pt idx="27">
                  <c:v>3.9363381643886169E-2</c:v>
                </c:pt>
                <c:pt idx="28">
                  <c:v>1.1866999833051929E-2</c:v>
                </c:pt>
                <c:pt idx="29">
                  <c:v>1.5728161116956414E-2</c:v>
                </c:pt>
                <c:pt idx="30">
                  <c:v>3.4084796582998416E-3</c:v>
                </c:pt>
                <c:pt idx="31">
                  <c:v>-2.0100102437807455E-2</c:v>
                </c:pt>
                <c:pt idx="32">
                  <c:v>4.8970859061856831E-2</c:v>
                </c:pt>
                <c:pt idx="33">
                  <c:v>-3.8624193823227279E-3</c:v>
                </c:pt>
                <c:pt idx="34">
                  <c:v>2.4663967695282289E-2</c:v>
                </c:pt>
                <c:pt idx="35">
                  <c:v>9.2527482534109518E-3</c:v>
                </c:pt>
              </c:numCache>
            </c:numRef>
          </c:xVal>
          <c:yVal>
            <c:numRef>
              <c:f>Data!$AB$168:$AB$203</c:f>
              <c:numCache>
                <c:formatCode>0.000%</c:formatCode>
                <c:ptCount val="36"/>
                <c:pt idx="0">
                  <c:v>-9.8257082781094112E-3</c:v>
                </c:pt>
                <c:pt idx="1">
                  <c:v>-9.5206465183216311E-3</c:v>
                </c:pt>
                <c:pt idx="2">
                  <c:v>2.7881361959823953E-2</c:v>
                </c:pt>
                <c:pt idx="3">
                  <c:v>-2.7125077846205495E-2</c:v>
                </c:pt>
                <c:pt idx="4">
                  <c:v>-1.826920145909753E-2</c:v>
                </c:pt>
                <c:pt idx="5">
                  <c:v>-5.5341081981804846E-2</c:v>
                </c:pt>
                <c:pt idx="6">
                  <c:v>-0.11603777719344373</c:v>
                </c:pt>
                <c:pt idx="7">
                  <c:v>-5.8254111872687155E-4</c:v>
                </c:pt>
                <c:pt idx="8">
                  <c:v>3.2641317558349994E-2</c:v>
                </c:pt>
                <c:pt idx="9">
                  <c:v>2.4703960800326726E-2</c:v>
                </c:pt>
                <c:pt idx="10">
                  <c:v>6.4496091323558685E-2</c:v>
                </c:pt>
                <c:pt idx="11">
                  <c:v>4.2168542047431807E-3</c:v>
                </c:pt>
                <c:pt idx="12">
                  <c:v>0.11255468210373973</c:v>
                </c:pt>
                <c:pt idx="13">
                  <c:v>-4.5883222468588267E-2</c:v>
                </c:pt>
                <c:pt idx="14">
                  <c:v>-0.12825994897695706</c:v>
                </c:pt>
                <c:pt idx="15">
                  <c:v>-8.735678487221718E-2</c:v>
                </c:pt>
                <c:pt idx="16">
                  <c:v>-6.3600249260009359E-2</c:v>
                </c:pt>
                <c:pt idx="17">
                  <c:v>-8.9436980964660531E-2</c:v>
                </c:pt>
                <c:pt idx="18">
                  <c:v>2.9507597673497969E-2</c:v>
                </c:pt>
                <c:pt idx="19">
                  <c:v>-0.11781235210601038</c:v>
                </c:pt>
                <c:pt idx="20">
                  <c:v>-5.1936295054484521E-2</c:v>
                </c:pt>
                <c:pt idx="21">
                  <c:v>-3.4782147404158935E-2</c:v>
                </c:pt>
                <c:pt idx="22">
                  <c:v>0.22341302555647163</c:v>
                </c:pt>
                <c:pt idx="23">
                  <c:v>4.4174902665467678E-3</c:v>
                </c:pt>
                <c:pt idx="24">
                  <c:v>-7.8568766306373189E-3</c:v>
                </c:pt>
                <c:pt idx="25">
                  <c:v>-7.5434273005950653E-2</c:v>
                </c:pt>
                <c:pt idx="26">
                  <c:v>0.14942790274346648</c:v>
                </c:pt>
                <c:pt idx="27">
                  <c:v>0.11174740533355954</c:v>
                </c:pt>
                <c:pt idx="28">
                  <c:v>-2.6556438791732903E-2</c:v>
                </c:pt>
                <c:pt idx="29">
                  <c:v>-6.4935913349099192E-2</c:v>
                </c:pt>
                <c:pt idx="30">
                  <c:v>1.5132672879958698E-2</c:v>
                </c:pt>
                <c:pt idx="31">
                  <c:v>-6.8823124569855468E-2</c:v>
                </c:pt>
                <c:pt idx="32">
                  <c:v>-1.2564671101256468E-2</c:v>
                </c:pt>
                <c:pt idx="33">
                  <c:v>-7.4850299401197609E-4</c:v>
                </c:pt>
                <c:pt idx="34">
                  <c:v>0.17902621722846443</c:v>
                </c:pt>
                <c:pt idx="35">
                  <c:v>-4.1931385006353239E-2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60-4840-AA8F-42A50BCAB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097896"/>
        <c:axId val="472100192"/>
      </c:scatterChart>
      <c:valAx>
        <c:axId val="472097896"/>
        <c:scaling>
          <c:orientation val="minMax"/>
          <c:min val="-6.0000000000000012E-2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 </a:t>
                </a:r>
                <a:r>
                  <a:rPr lang="en-US" b="1"/>
                  <a:t>FTSE ALL SHARE</a:t>
                </a:r>
              </a:p>
            </c:rich>
          </c:tx>
          <c:layout>
            <c:manualLayout>
              <c:xMode val="edge"/>
              <c:yMode val="edge"/>
              <c:x val="0.40026557707914823"/>
              <c:y val="0.90113427733460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00192"/>
        <c:crosses val="autoZero"/>
        <c:crossBetween val="midCat"/>
      </c:valAx>
      <c:valAx>
        <c:axId val="4721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</a:t>
                </a:r>
                <a:br>
                  <a:rPr lang="en-US"/>
                </a:br>
                <a:r>
                  <a:rPr lang="en-US" b="1"/>
                  <a:t>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97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Regression Model for Beta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447031146866101E-2"/>
                  <c:y val="0.54530232638221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Data!$AE$168:$AE$203</c:f>
              <c:numCache>
                <c:formatCode>0.000%</c:formatCode>
                <c:ptCount val="36"/>
                <c:pt idx="0">
                  <c:v>1.8067324972789265E-2</c:v>
                </c:pt>
                <c:pt idx="1">
                  <c:v>9.7186884466950903E-3</c:v>
                </c:pt>
                <c:pt idx="2">
                  <c:v>-1.4998590975127336E-2</c:v>
                </c:pt>
                <c:pt idx="3">
                  <c:v>-4.0470086301001235E-3</c:v>
                </c:pt>
                <c:pt idx="4">
                  <c:v>1.503784561665767E-2</c:v>
                </c:pt>
                <c:pt idx="5">
                  <c:v>-2.9017403298218915E-2</c:v>
                </c:pt>
                <c:pt idx="6">
                  <c:v>-8.6221289046473047E-3</c:v>
                </c:pt>
                <c:pt idx="7">
                  <c:v>2.5648929914998352E-2</c:v>
                </c:pt>
                <c:pt idx="8">
                  <c:v>-1.6859060701523917E-2</c:v>
                </c:pt>
                <c:pt idx="9">
                  <c:v>2.5212724400889876E-2</c:v>
                </c:pt>
                <c:pt idx="10">
                  <c:v>3.3809062319668973E-2</c:v>
                </c:pt>
                <c:pt idx="11">
                  <c:v>-2.1547648934636027E-2</c:v>
                </c:pt>
                <c:pt idx="12">
                  <c:v>2.6334896467389825E-2</c:v>
                </c:pt>
                <c:pt idx="13">
                  <c:v>9.8562256985260735E-3</c:v>
                </c:pt>
                <c:pt idx="14">
                  <c:v>-5.9661006236305401E-2</c:v>
                </c:pt>
                <c:pt idx="15">
                  <c:v>2.3024270566686655E-2</c:v>
                </c:pt>
                <c:pt idx="16">
                  <c:v>-5.9715997908448094E-2</c:v>
                </c:pt>
                <c:pt idx="17">
                  <c:v>-2.8748114806123395E-2</c:v>
                </c:pt>
                <c:pt idx="18">
                  <c:v>4.4569414134631474E-2</c:v>
                </c:pt>
                <c:pt idx="19">
                  <c:v>2.1609366928772886E-3</c:v>
                </c:pt>
                <c:pt idx="20">
                  <c:v>-1.3707966198280101E-2</c:v>
                </c:pt>
                <c:pt idx="21">
                  <c:v>-3.1461039526632754E-2</c:v>
                </c:pt>
                <c:pt idx="22">
                  <c:v>2.9797056266674823E-3</c:v>
                </c:pt>
                <c:pt idx="23">
                  <c:v>1.4749659278387462E-2</c:v>
                </c:pt>
                <c:pt idx="24">
                  <c:v>7.8081049955967758E-3</c:v>
                </c:pt>
                <c:pt idx="25">
                  <c:v>2.3584767805475957E-3</c:v>
                </c:pt>
                <c:pt idx="26">
                  <c:v>2.4981266965423424E-2</c:v>
                </c:pt>
                <c:pt idx="27">
                  <c:v>3.9363381643886169E-2</c:v>
                </c:pt>
                <c:pt idx="28">
                  <c:v>1.1866999833051929E-2</c:v>
                </c:pt>
                <c:pt idx="29">
                  <c:v>1.5728161116956414E-2</c:v>
                </c:pt>
                <c:pt idx="30">
                  <c:v>3.4084796582998416E-3</c:v>
                </c:pt>
                <c:pt idx="31">
                  <c:v>-2.0100102437807455E-2</c:v>
                </c:pt>
                <c:pt idx="32">
                  <c:v>4.8970859061856831E-2</c:v>
                </c:pt>
                <c:pt idx="33">
                  <c:v>-3.8624193823227279E-3</c:v>
                </c:pt>
                <c:pt idx="34">
                  <c:v>2.4663967695282289E-2</c:v>
                </c:pt>
                <c:pt idx="35">
                  <c:v>1.10637695037801E-2</c:v>
                </c:pt>
              </c:numCache>
            </c:numRef>
          </c:xVal>
          <c:yVal>
            <c:numRef>
              <c:f>Data!$AD$168:$AD$203</c:f>
              <c:numCache>
                <c:formatCode>0.000%</c:formatCode>
                <c:ptCount val="36"/>
                <c:pt idx="0">
                  <c:v>-2.8985507246376812E-2</c:v>
                </c:pt>
                <c:pt idx="1">
                  <c:v>7.7340569877883306E-2</c:v>
                </c:pt>
                <c:pt idx="2">
                  <c:v>-3.0478589420654827E-2</c:v>
                </c:pt>
                <c:pt idx="3">
                  <c:v>9.3530787217458184E-3</c:v>
                </c:pt>
                <c:pt idx="4">
                  <c:v>-3.8610038610038611E-3</c:v>
                </c:pt>
                <c:pt idx="5">
                  <c:v>-1.9121447028423715E-2</c:v>
                </c:pt>
                <c:pt idx="6">
                  <c:v>-3.187565858798741E-2</c:v>
                </c:pt>
                <c:pt idx="7">
                  <c:v>0.11619047619047616</c:v>
                </c:pt>
                <c:pt idx="8">
                  <c:v>-2.1209166260360773E-2</c:v>
                </c:pt>
                <c:pt idx="9">
                  <c:v>4.0846824408468332E-2</c:v>
                </c:pt>
                <c:pt idx="10">
                  <c:v>9.0452261306532541E-2</c:v>
                </c:pt>
                <c:pt idx="11">
                  <c:v>-3.8841342988808404E-2</c:v>
                </c:pt>
                <c:pt idx="12">
                  <c:v>4.0525114155251139E-2</c:v>
                </c:pt>
                <c:pt idx="13">
                  <c:v>-1.9857377948436668E-2</c:v>
                </c:pt>
                <c:pt idx="14">
                  <c:v>7.8352361764047456E-3</c:v>
                </c:pt>
                <c:pt idx="15">
                  <c:v>3.1652598844957795E-2</c:v>
                </c:pt>
                <c:pt idx="16">
                  <c:v>-5.8348584347077119E-2</c:v>
                </c:pt>
                <c:pt idx="17">
                  <c:v>-4.0585343546358753E-2</c:v>
                </c:pt>
                <c:pt idx="18">
                  <c:v>0.1081982840800762</c:v>
                </c:pt>
                <c:pt idx="19">
                  <c:v>6.7634408602150517E-2</c:v>
                </c:pt>
                <c:pt idx="20">
                  <c:v>-4.9853963138281804E-2</c:v>
                </c:pt>
                <c:pt idx="21">
                  <c:v>2.787788848844612E-2</c:v>
                </c:pt>
                <c:pt idx="22">
                  <c:v>3.4031143652675615E-3</c:v>
                </c:pt>
                <c:pt idx="23">
                  <c:v>-9.4552929085303189E-2</c:v>
                </c:pt>
                <c:pt idx="24">
                  <c:v>6.1293984108966824E-3</c:v>
                </c:pt>
                <c:pt idx="25">
                  <c:v>-9.0252707581222312E-4</c:v>
                </c:pt>
                <c:pt idx="26">
                  <c:v>-7.4074074074074098E-2</c:v>
                </c:pt>
                <c:pt idx="27">
                  <c:v>8.170731707317129E-3</c:v>
                </c:pt>
                <c:pt idx="28">
                  <c:v>-6.5319946776339663E-2</c:v>
                </c:pt>
                <c:pt idx="29">
                  <c:v>6.988481946421609E-3</c:v>
                </c:pt>
                <c:pt idx="30">
                  <c:v>-3.3671764554684548E-2</c:v>
                </c:pt>
                <c:pt idx="31">
                  <c:v>-5.0139646229551714E-2</c:v>
                </c:pt>
                <c:pt idx="32">
                  <c:v>2.7443293195183453E-2</c:v>
                </c:pt>
                <c:pt idx="33">
                  <c:v>-0.17184518942491145</c:v>
                </c:pt>
                <c:pt idx="34">
                  <c:v>7.6518018759256207E-2</c:v>
                </c:pt>
                <c:pt idx="35">
                  <c:v>-2.94258133882223E-2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76-4EFA-B268-D9B8CFD71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170552"/>
        <c:axId val="468457176"/>
      </c:scatterChart>
      <c:valAx>
        <c:axId val="467170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 </a:t>
                </a:r>
                <a:r>
                  <a:rPr lang="en-US" b="1"/>
                  <a:t>FTSE ALL SHARE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57176"/>
        <c:crosses val="autoZero"/>
        <c:crossBetween val="midCat"/>
      </c:valAx>
      <c:valAx>
        <c:axId val="46845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Returns</a:t>
                </a:r>
                <a:br>
                  <a:rPr lang="en-US" b="1"/>
                </a:br>
                <a:r>
                  <a:rPr lang="en-US" b="1"/>
                  <a:t>BT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70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Regression Model for Beta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232961504811899"/>
                  <c:y val="0.5662919218431029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</a:t>
                    </a:r>
                    <a:r>
                      <a:rPr lang="en-US" baseline="0"/>
                      <a:t> = 1.3423x - 0.0023</a:t>
                    </a:r>
                    <a:br>
                      <a:rPr lang="en-US" baseline="0"/>
                    </a:br>
                    <a:r>
                      <a:rPr lang="en-US" b="1" baseline="0"/>
                      <a:t>R</a:t>
                    </a:r>
                    <a:r>
                      <a:rPr lang="en-US" baseline="0"/>
                      <a:t>² = 0.4616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Data!$AG$168:$AG$203</c:f>
              <c:numCache>
                <c:formatCode>0.00000%</c:formatCode>
                <c:ptCount val="36"/>
                <c:pt idx="0">
                  <c:v>1.8067324972789265E-2</c:v>
                </c:pt>
                <c:pt idx="1">
                  <c:v>9.7186884466950903E-3</c:v>
                </c:pt>
                <c:pt idx="2">
                  <c:v>-1.4998590975127336E-2</c:v>
                </c:pt>
                <c:pt idx="3">
                  <c:v>-4.0470086301001235E-3</c:v>
                </c:pt>
                <c:pt idx="4">
                  <c:v>1.503784561665767E-2</c:v>
                </c:pt>
                <c:pt idx="5">
                  <c:v>-2.9017403298218915E-2</c:v>
                </c:pt>
                <c:pt idx="6">
                  <c:v>-8.6221289046473047E-3</c:v>
                </c:pt>
                <c:pt idx="7">
                  <c:v>2.5648929914998352E-2</c:v>
                </c:pt>
                <c:pt idx="8">
                  <c:v>-1.6859060701523917E-2</c:v>
                </c:pt>
                <c:pt idx="9">
                  <c:v>2.5212724400889876E-2</c:v>
                </c:pt>
                <c:pt idx="10">
                  <c:v>3.3809062319668973E-2</c:v>
                </c:pt>
                <c:pt idx="11">
                  <c:v>-2.1547648934636027E-2</c:v>
                </c:pt>
                <c:pt idx="12">
                  <c:v>2.6334896467389825E-2</c:v>
                </c:pt>
                <c:pt idx="13">
                  <c:v>9.8562256985260735E-3</c:v>
                </c:pt>
                <c:pt idx="14">
                  <c:v>-5.9661006236305401E-2</c:v>
                </c:pt>
                <c:pt idx="15">
                  <c:v>2.3024270566686655E-2</c:v>
                </c:pt>
                <c:pt idx="16">
                  <c:v>-5.9715997908448094E-2</c:v>
                </c:pt>
                <c:pt idx="17">
                  <c:v>-2.8748114806123395E-2</c:v>
                </c:pt>
                <c:pt idx="18">
                  <c:v>4.4569414134631474E-2</c:v>
                </c:pt>
                <c:pt idx="19">
                  <c:v>2.1609366928772886E-3</c:v>
                </c:pt>
                <c:pt idx="20">
                  <c:v>-1.3707966198280101E-2</c:v>
                </c:pt>
                <c:pt idx="21">
                  <c:v>-3.1461039526632754E-2</c:v>
                </c:pt>
                <c:pt idx="22">
                  <c:v>2.9797056266674823E-3</c:v>
                </c:pt>
                <c:pt idx="23">
                  <c:v>1.4749659278387462E-2</c:v>
                </c:pt>
                <c:pt idx="24">
                  <c:v>7.8081049955967758E-3</c:v>
                </c:pt>
                <c:pt idx="25">
                  <c:v>2.3584767805475957E-3</c:v>
                </c:pt>
                <c:pt idx="26">
                  <c:v>2.4981266965423424E-2</c:v>
                </c:pt>
                <c:pt idx="27">
                  <c:v>3.9363381643886169E-2</c:v>
                </c:pt>
                <c:pt idx="28">
                  <c:v>1.1866999833051929E-2</c:v>
                </c:pt>
                <c:pt idx="29">
                  <c:v>1.5728161116956414E-2</c:v>
                </c:pt>
                <c:pt idx="30">
                  <c:v>3.4084796582998416E-3</c:v>
                </c:pt>
                <c:pt idx="31">
                  <c:v>-2.0100102437807455E-2</c:v>
                </c:pt>
                <c:pt idx="32">
                  <c:v>4.8970859061856831E-2</c:v>
                </c:pt>
                <c:pt idx="33">
                  <c:v>-3.8624193823227279E-3</c:v>
                </c:pt>
                <c:pt idx="34">
                  <c:v>2.4663967695282289E-2</c:v>
                </c:pt>
                <c:pt idx="35">
                  <c:v>9.2527482534109518E-3</c:v>
                </c:pt>
              </c:numCache>
            </c:numRef>
          </c:xVal>
          <c:yVal>
            <c:numRef>
              <c:f>Data!$AF$168:$AF$203</c:f>
              <c:numCache>
                <c:formatCode>0.00000%</c:formatCode>
                <c:ptCount val="36"/>
                <c:pt idx="0">
                  <c:v>2.5447690857681431E-2</c:v>
                </c:pt>
                <c:pt idx="1">
                  <c:v>-1.8995098039215685E-2</c:v>
                </c:pt>
                <c:pt idx="2">
                  <c:v>-2.3110555902560899E-2</c:v>
                </c:pt>
                <c:pt idx="3">
                  <c:v>-8.1521739130434784E-2</c:v>
                </c:pt>
                <c:pt idx="4">
                  <c:v>2.6453184824225547E-2</c:v>
                </c:pt>
                <c:pt idx="5">
                  <c:v>-4.170905391658189E-2</c:v>
                </c:pt>
                <c:pt idx="6">
                  <c:v>3.1847133757961785E-3</c:v>
                </c:pt>
                <c:pt idx="7">
                  <c:v>4.7619047619047616E-2</c:v>
                </c:pt>
                <c:pt idx="8">
                  <c:v>-7.3400673400673397E-2</c:v>
                </c:pt>
                <c:pt idx="9">
                  <c:v>6.6133720930232565E-2</c:v>
                </c:pt>
                <c:pt idx="10">
                  <c:v>5.0783912747102929E-2</c:v>
                </c:pt>
                <c:pt idx="11">
                  <c:v>2.9192345118391177E-3</c:v>
                </c:pt>
                <c:pt idx="12">
                  <c:v>-2.0375161707632601E-2</c:v>
                </c:pt>
                <c:pt idx="13">
                  <c:v>-4.027731924727633E-2</c:v>
                </c:pt>
                <c:pt idx="14">
                  <c:v>-9.0127278981768144E-2</c:v>
                </c:pt>
                <c:pt idx="15">
                  <c:v>5.5576559546313797E-2</c:v>
                </c:pt>
                <c:pt idx="16">
                  <c:v>-3.9756446991404008E-2</c:v>
                </c:pt>
                <c:pt idx="17">
                  <c:v>-5.5576277508392391E-2</c:v>
                </c:pt>
                <c:pt idx="18">
                  <c:v>0.10979462875197472</c:v>
                </c:pt>
                <c:pt idx="19">
                  <c:v>-3.5231316725978651E-2</c:v>
                </c:pt>
                <c:pt idx="20">
                  <c:v>1.2910365178900774E-2</c:v>
                </c:pt>
                <c:pt idx="21">
                  <c:v>4.8069919883466858E-2</c:v>
                </c:pt>
                <c:pt idx="22">
                  <c:v>-2.7449617790132035E-2</c:v>
                </c:pt>
                <c:pt idx="23">
                  <c:v>8.9317613433369056E-3</c:v>
                </c:pt>
                <c:pt idx="24">
                  <c:v>3.3286118980169969E-2</c:v>
                </c:pt>
                <c:pt idx="25">
                  <c:v>-9.5956134338588076E-3</c:v>
                </c:pt>
                <c:pt idx="26">
                  <c:v>0.11038062283737024</c:v>
                </c:pt>
                <c:pt idx="27">
                  <c:v>5.2041134309753816E-2</c:v>
                </c:pt>
                <c:pt idx="28">
                  <c:v>-2.9028436018957347E-2</c:v>
                </c:pt>
                <c:pt idx="29">
                  <c:v>2.4405125076266015E-3</c:v>
                </c:pt>
                <c:pt idx="30">
                  <c:v>-1.4911746804625686E-2</c:v>
                </c:pt>
                <c:pt idx="31">
                  <c:v>-7.5996292863762749E-2</c:v>
                </c:pt>
                <c:pt idx="32">
                  <c:v>4.446673353393514E-2</c:v>
                </c:pt>
                <c:pt idx="33">
                  <c:v>-2.176696542893726E-2</c:v>
                </c:pt>
                <c:pt idx="34">
                  <c:v>7.8534031413612565E-2</c:v>
                </c:pt>
                <c:pt idx="35">
                  <c:v>6.9781553398058256E-3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3B-4C52-AC41-8F6F8503E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75168"/>
        <c:axId val="478779680"/>
      </c:scatterChart>
      <c:valAx>
        <c:axId val="36767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Returns FTSE ALL SHARE</a:t>
                </a:r>
              </a:p>
            </c:rich>
          </c:tx>
          <c:layout>
            <c:manualLayout>
              <c:xMode val="edge"/>
              <c:yMode val="edge"/>
              <c:x val="0.46849300087489065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779680"/>
        <c:crosses val="autoZero"/>
        <c:crossBetween val="midCat"/>
      </c:valAx>
      <c:valAx>
        <c:axId val="4787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Returns</a:t>
                </a:r>
                <a:br>
                  <a:rPr lang="en-US" b="1"/>
                </a:br>
                <a:r>
                  <a:rPr lang="en-US" b="1"/>
                  <a:t>GSK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Regression </a:t>
            </a:r>
            <a:r>
              <a:rPr lang="en-US" b="1" baseline="0">
                <a:solidFill>
                  <a:sysClr val="windowText" lastClr="000000"/>
                </a:solidFill>
              </a:rPr>
              <a:t> Model for Beta Estimation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277777777777771E-2"/>
                  <c:y val="0.5059536307961505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</a:t>
                    </a:r>
                    <a:r>
                      <a:rPr lang="en-US" baseline="0"/>
                      <a:t>1.2226x + 0.0092</a:t>
                    </a:r>
                    <a:br>
                      <a:rPr lang="en-US" baseline="0"/>
                    </a:br>
                    <a:r>
                      <a:rPr lang="en-US" b="1" baseline="0"/>
                      <a:t>R² </a:t>
                    </a:r>
                    <a:r>
                      <a:rPr lang="en-US" baseline="0"/>
                      <a:t>= 0.3063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Data!$AI$168:$AI$203</c:f>
              <c:numCache>
                <c:formatCode>0.00000%</c:formatCode>
                <c:ptCount val="36"/>
                <c:pt idx="0">
                  <c:v>1.8067324972789265E-2</c:v>
                </c:pt>
                <c:pt idx="1">
                  <c:v>9.7186884466950903E-3</c:v>
                </c:pt>
                <c:pt idx="2">
                  <c:v>-1.4998590975127336E-2</c:v>
                </c:pt>
                <c:pt idx="3">
                  <c:v>-4.0470086301001235E-3</c:v>
                </c:pt>
                <c:pt idx="4">
                  <c:v>1.503784561665767E-2</c:v>
                </c:pt>
                <c:pt idx="5">
                  <c:v>-2.9017403298218915E-2</c:v>
                </c:pt>
                <c:pt idx="6">
                  <c:v>-8.6221289046473047E-3</c:v>
                </c:pt>
                <c:pt idx="7">
                  <c:v>2.5648929914998352E-2</c:v>
                </c:pt>
                <c:pt idx="8">
                  <c:v>-1.6859060701523917E-2</c:v>
                </c:pt>
                <c:pt idx="9">
                  <c:v>2.5212724400889876E-2</c:v>
                </c:pt>
                <c:pt idx="10">
                  <c:v>3.3809062319668973E-2</c:v>
                </c:pt>
                <c:pt idx="11">
                  <c:v>-2.1547648934636027E-2</c:v>
                </c:pt>
                <c:pt idx="12">
                  <c:v>2.6334896467389825E-2</c:v>
                </c:pt>
                <c:pt idx="13">
                  <c:v>9.8562256985260735E-3</c:v>
                </c:pt>
                <c:pt idx="14">
                  <c:v>-5.9661006236305401E-2</c:v>
                </c:pt>
                <c:pt idx="15">
                  <c:v>2.3024270566686655E-2</c:v>
                </c:pt>
                <c:pt idx="16">
                  <c:v>-5.9715997908448094E-2</c:v>
                </c:pt>
                <c:pt idx="17">
                  <c:v>-2.8748114806123395E-2</c:v>
                </c:pt>
                <c:pt idx="18">
                  <c:v>4.4569414134631474E-2</c:v>
                </c:pt>
                <c:pt idx="19">
                  <c:v>2.1609366928772886E-3</c:v>
                </c:pt>
                <c:pt idx="20">
                  <c:v>-1.3707966198280101E-2</c:v>
                </c:pt>
                <c:pt idx="21">
                  <c:v>-3.1461039526632754E-2</c:v>
                </c:pt>
                <c:pt idx="22">
                  <c:v>2.9797056266674823E-3</c:v>
                </c:pt>
                <c:pt idx="23">
                  <c:v>1.4749659278387462E-2</c:v>
                </c:pt>
                <c:pt idx="24">
                  <c:v>7.8081049955967758E-3</c:v>
                </c:pt>
                <c:pt idx="25">
                  <c:v>2.3584767805475957E-3</c:v>
                </c:pt>
                <c:pt idx="26">
                  <c:v>2.4981266965423424E-2</c:v>
                </c:pt>
                <c:pt idx="27">
                  <c:v>3.9363381643886169E-2</c:v>
                </c:pt>
                <c:pt idx="28">
                  <c:v>1.1866999833051929E-2</c:v>
                </c:pt>
                <c:pt idx="29">
                  <c:v>1.5728161116956414E-2</c:v>
                </c:pt>
                <c:pt idx="30">
                  <c:v>3.4084796582998416E-3</c:v>
                </c:pt>
                <c:pt idx="31">
                  <c:v>-2.0100102437807455E-2</c:v>
                </c:pt>
                <c:pt idx="32">
                  <c:v>4.8970859061856831E-2</c:v>
                </c:pt>
                <c:pt idx="33">
                  <c:v>-3.8624193823227279E-3</c:v>
                </c:pt>
                <c:pt idx="34">
                  <c:v>2.4663967695282289E-2</c:v>
                </c:pt>
                <c:pt idx="35">
                  <c:v>9.2527482534109518E-3</c:v>
                </c:pt>
              </c:numCache>
            </c:numRef>
          </c:xVal>
          <c:yVal>
            <c:numRef>
              <c:f>Data!$AH$168:$AH$203</c:f>
              <c:numCache>
                <c:formatCode>0.00000%</c:formatCode>
                <c:ptCount val="36"/>
                <c:pt idx="0">
                  <c:v>3.2409215150331905E-2</c:v>
                </c:pt>
                <c:pt idx="1">
                  <c:v>1.3615733736762481E-2</c:v>
                </c:pt>
                <c:pt idx="2">
                  <c:v>-1.082089552238806E-2</c:v>
                </c:pt>
                <c:pt idx="3">
                  <c:v>-3.0554507732930971E-2</c:v>
                </c:pt>
                <c:pt idx="4">
                  <c:v>3.4630350194552531E-2</c:v>
                </c:pt>
                <c:pt idx="5">
                  <c:v>-2.7830011282437006E-2</c:v>
                </c:pt>
                <c:pt idx="6">
                  <c:v>-2.746615087040619E-2</c:v>
                </c:pt>
                <c:pt idx="7">
                  <c:v>7.6372315035799526E-2</c:v>
                </c:pt>
                <c:pt idx="8">
                  <c:v>-2.8824833702882482E-2</c:v>
                </c:pt>
                <c:pt idx="9">
                  <c:v>0.11491628614916286</c:v>
                </c:pt>
                <c:pt idx="10">
                  <c:v>-2.1843003412969283E-2</c:v>
                </c:pt>
                <c:pt idx="11">
                  <c:v>-1.7794836008374039E-2</c:v>
                </c:pt>
                <c:pt idx="12">
                  <c:v>1.8117229129662522E-2</c:v>
                </c:pt>
                <c:pt idx="13">
                  <c:v>7.32728541521284E-3</c:v>
                </c:pt>
                <c:pt idx="14">
                  <c:v>-5.4381711118808448E-2</c:v>
                </c:pt>
                <c:pt idx="15">
                  <c:v>6.4835164835164841E-2</c:v>
                </c:pt>
                <c:pt idx="16">
                  <c:v>-9.769521843825249E-2</c:v>
                </c:pt>
                <c:pt idx="17">
                  <c:v>2.4018299656881435E-2</c:v>
                </c:pt>
                <c:pt idx="18">
                  <c:v>7.7066269545793001E-2</c:v>
                </c:pt>
                <c:pt idx="19">
                  <c:v>-2.0394054614586935E-2</c:v>
                </c:pt>
                <c:pt idx="20">
                  <c:v>3.2639378969654201E-2</c:v>
                </c:pt>
                <c:pt idx="21">
                  <c:v>5.4160259695882451E-2</c:v>
                </c:pt>
                <c:pt idx="22">
                  <c:v>2.2690437601296598E-3</c:v>
                </c:pt>
                <c:pt idx="23">
                  <c:v>1.9566623544631307E-2</c:v>
                </c:pt>
                <c:pt idx="24">
                  <c:v>-3.1086439333862015E-2</c:v>
                </c:pt>
                <c:pt idx="25">
                  <c:v>2.9955802913733835E-2</c:v>
                </c:pt>
                <c:pt idx="26">
                  <c:v>0.13763509218054673</c:v>
                </c:pt>
                <c:pt idx="27">
                  <c:v>-1.2713048337524449E-2</c:v>
                </c:pt>
                <c:pt idx="28">
                  <c:v>-1.2735248337342579E-3</c:v>
                </c:pt>
                <c:pt idx="29">
                  <c:v>3.5562482289600454E-2</c:v>
                </c:pt>
                <c:pt idx="30">
                  <c:v>-6.4714735257901224E-2</c:v>
                </c:pt>
                <c:pt idx="31">
                  <c:v>-6.4950263311878295E-2</c:v>
                </c:pt>
                <c:pt idx="32">
                  <c:v>3.0193992490613268E-2</c:v>
                </c:pt>
                <c:pt idx="33">
                  <c:v>-1.9741837509491267E-2</c:v>
                </c:pt>
                <c:pt idx="34">
                  <c:v>0.18326878388845855</c:v>
                </c:pt>
                <c:pt idx="35">
                  <c:v>3.1552762503273109E-2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47-400A-B534-8910E5458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33936"/>
        <c:axId val="493734920"/>
      </c:scatterChart>
      <c:valAx>
        <c:axId val="49373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 </a:t>
                </a:r>
                <a:r>
                  <a:rPr lang="en-US" b="1">
                    <a:solidFill>
                      <a:sysClr val="windowText" lastClr="000000"/>
                    </a:solidFill>
                  </a:rPr>
                  <a:t>FTSE ALL SHARE</a:t>
                </a:r>
              </a:p>
            </c:rich>
          </c:tx>
          <c:layout>
            <c:manualLayout>
              <c:xMode val="edge"/>
              <c:yMode val="edge"/>
              <c:x val="0.3978506124234471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34920"/>
        <c:crosses val="autoZero"/>
        <c:crossBetween val="midCat"/>
      </c:valAx>
      <c:valAx>
        <c:axId val="49373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</a:t>
                </a:r>
                <a:br>
                  <a:rPr lang="en-US"/>
                </a:br>
                <a:r>
                  <a:rPr lang="en-US" b="1">
                    <a:solidFill>
                      <a:sysClr val="windowText" lastClr="000000"/>
                    </a:solidFill>
                  </a:rPr>
                  <a:t>ULVR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3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Regression Model for Beta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2225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461942257217849E-2"/>
                  <c:y val="0.442524059492563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</a:t>
                    </a:r>
                    <a:r>
                      <a:rPr lang="en-US" baseline="0"/>
                      <a:t>= 0.7831x - 0.012</a:t>
                    </a:r>
                    <a:br>
                      <a:rPr lang="en-US" baseline="0"/>
                    </a:br>
                    <a:r>
                      <a:rPr lang="en-US" b="1" baseline="0"/>
                      <a:t>R²</a:t>
                    </a:r>
                    <a:r>
                      <a:rPr lang="en-US" baseline="0"/>
                      <a:t> = 0.0557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Data!$AA$168:$AA$203</c:f>
              <c:numCache>
                <c:formatCode>0.000%</c:formatCode>
                <c:ptCount val="36"/>
                <c:pt idx="0">
                  <c:v>1.8067324972789265E-2</c:v>
                </c:pt>
                <c:pt idx="1">
                  <c:v>9.7186884466950903E-3</c:v>
                </c:pt>
                <c:pt idx="2">
                  <c:v>-1.4998590975127336E-2</c:v>
                </c:pt>
                <c:pt idx="3">
                  <c:v>-4.0470086301001235E-3</c:v>
                </c:pt>
                <c:pt idx="4">
                  <c:v>1.503784561665767E-2</c:v>
                </c:pt>
                <c:pt idx="5">
                  <c:v>-2.9017403298218915E-2</c:v>
                </c:pt>
                <c:pt idx="6">
                  <c:v>-8.6221289046473047E-3</c:v>
                </c:pt>
                <c:pt idx="7">
                  <c:v>2.5648929914998352E-2</c:v>
                </c:pt>
                <c:pt idx="8">
                  <c:v>-1.6859060701523917E-2</c:v>
                </c:pt>
                <c:pt idx="9">
                  <c:v>2.5212724400889876E-2</c:v>
                </c:pt>
                <c:pt idx="10">
                  <c:v>3.3809062319668973E-2</c:v>
                </c:pt>
                <c:pt idx="11">
                  <c:v>-2.1547648934636027E-2</c:v>
                </c:pt>
                <c:pt idx="12">
                  <c:v>2.6334896467389825E-2</c:v>
                </c:pt>
                <c:pt idx="13">
                  <c:v>9.8562256985260735E-3</c:v>
                </c:pt>
                <c:pt idx="14">
                  <c:v>-5.9661006236305401E-2</c:v>
                </c:pt>
                <c:pt idx="15">
                  <c:v>2.3024270566686655E-2</c:v>
                </c:pt>
                <c:pt idx="16">
                  <c:v>-5.9715997908448094E-2</c:v>
                </c:pt>
                <c:pt idx="17">
                  <c:v>-2.8748114806123395E-2</c:v>
                </c:pt>
                <c:pt idx="18">
                  <c:v>4.4569414134631474E-2</c:v>
                </c:pt>
                <c:pt idx="19">
                  <c:v>2.1609366928772886E-3</c:v>
                </c:pt>
                <c:pt idx="20">
                  <c:v>-1.3707966198280101E-2</c:v>
                </c:pt>
                <c:pt idx="21">
                  <c:v>-3.1461039526632754E-2</c:v>
                </c:pt>
                <c:pt idx="22">
                  <c:v>2.9797056266674823E-3</c:v>
                </c:pt>
                <c:pt idx="23">
                  <c:v>1.4749659278387462E-2</c:v>
                </c:pt>
                <c:pt idx="24">
                  <c:v>7.8081049955967758E-3</c:v>
                </c:pt>
                <c:pt idx="25">
                  <c:v>2.3584767805475957E-3</c:v>
                </c:pt>
                <c:pt idx="26">
                  <c:v>2.4981266965423424E-2</c:v>
                </c:pt>
                <c:pt idx="27">
                  <c:v>3.9363381643886169E-2</c:v>
                </c:pt>
                <c:pt idx="28">
                  <c:v>1.1866999833051929E-2</c:v>
                </c:pt>
                <c:pt idx="29">
                  <c:v>1.5728161116956414E-2</c:v>
                </c:pt>
                <c:pt idx="30">
                  <c:v>3.4084796582998416E-3</c:v>
                </c:pt>
                <c:pt idx="31">
                  <c:v>-2.0100102437807455E-2</c:v>
                </c:pt>
                <c:pt idx="32">
                  <c:v>4.8970859061856831E-2</c:v>
                </c:pt>
                <c:pt idx="33">
                  <c:v>-3.8624193823227279E-3</c:v>
                </c:pt>
                <c:pt idx="34">
                  <c:v>2.4663967695282289E-2</c:v>
                </c:pt>
                <c:pt idx="35">
                  <c:v>9.2527482534109518E-3</c:v>
                </c:pt>
              </c:numCache>
            </c:numRef>
          </c:xVal>
          <c:yVal>
            <c:numRef>
              <c:f>Data!$Z$168:$Z$203</c:f>
              <c:numCache>
                <c:formatCode>0.000%</c:formatCode>
                <c:ptCount val="36"/>
                <c:pt idx="0">
                  <c:v>-8.293838862559395E-3</c:v>
                </c:pt>
                <c:pt idx="1">
                  <c:v>3.6183649086874971E-2</c:v>
                </c:pt>
                <c:pt idx="2">
                  <c:v>-6.374567616537645E-2</c:v>
                </c:pt>
                <c:pt idx="3">
                  <c:v>-9.2188599577762098E-2</c:v>
                </c:pt>
                <c:pt idx="4">
                  <c:v>-0.10872093023255808</c:v>
                </c:pt>
                <c:pt idx="5">
                  <c:v>-0.19025875190258751</c:v>
                </c:pt>
                <c:pt idx="6">
                  <c:v>-6.7669172932330948E-2</c:v>
                </c:pt>
                <c:pt idx="7">
                  <c:v>7.4020737327189071E-2</c:v>
                </c:pt>
                <c:pt idx="8">
                  <c:v>1.3676588897827743E-2</c:v>
                </c:pt>
                <c:pt idx="9">
                  <c:v>0.18915343915343916</c:v>
                </c:pt>
                <c:pt idx="10">
                  <c:v>9.1879866518353753E-2</c:v>
                </c:pt>
                <c:pt idx="11">
                  <c:v>-1.44661776691117E-2</c:v>
                </c:pt>
                <c:pt idx="12">
                  <c:v>-8.6210461029563756E-2</c:v>
                </c:pt>
                <c:pt idx="13">
                  <c:v>-3.8009049773755681E-2</c:v>
                </c:pt>
                <c:pt idx="14">
                  <c:v>-2.3518344308552658E-4</c:v>
                </c:pt>
                <c:pt idx="15">
                  <c:v>1.4820042342978148E-2</c:v>
                </c:pt>
                <c:pt idx="16">
                  <c:v>-0.11288827074640714</c:v>
                </c:pt>
                <c:pt idx="17">
                  <c:v>-4.2592108701332516E-2</c:v>
                </c:pt>
                <c:pt idx="18">
                  <c:v>5.4585152838424844E-4</c:v>
                </c:pt>
                <c:pt idx="19">
                  <c:v>-8.7834151663938861E-2</c:v>
                </c:pt>
                <c:pt idx="20">
                  <c:v>-0.10586124401913885</c:v>
                </c:pt>
                <c:pt idx="21">
                  <c:v>0.15986622073578599</c:v>
                </c:pt>
                <c:pt idx="22">
                  <c:v>4.0369088811995385E-2</c:v>
                </c:pt>
                <c:pt idx="23">
                  <c:v>6.3192904656319326E-2</c:v>
                </c:pt>
                <c:pt idx="24">
                  <c:v>-0.10271115745568309</c:v>
                </c:pt>
                <c:pt idx="25">
                  <c:v>-4.0674026728646138E-2</c:v>
                </c:pt>
                <c:pt idx="26">
                  <c:v>5.9357964869775966E-2</c:v>
                </c:pt>
                <c:pt idx="27">
                  <c:v>-0.10806174957118356</c:v>
                </c:pt>
                <c:pt idx="28">
                  <c:v>6.6346153846153805E-2</c:v>
                </c:pt>
                <c:pt idx="29">
                  <c:v>9.9789600240457008E-2</c:v>
                </c:pt>
                <c:pt idx="30">
                  <c:v>0.15195408581579656</c:v>
                </c:pt>
                <c:pt idx="31">
                  <c:v>-9.7271648873071548E-3</c:v>
                </c:pt>
                <c:pt idx="32">
                  <c:v>-8.8643986583613922E-3</c:v>
                </c:pt>
                <c:pt idx="33">
                  <c:v>-5.9221658206429779E-2</c:v>
                </c:pt>
                <c:pt idx="34">
                  <c:v>-3.1860226104830365E-2</c:v>
                </c:pt>
                <c:pt idx="35">
                  <c:v>-1.4861995753715558E-2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6A-430D-A544-F3E6D2B2A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610352"/>
        <c:axId val="364611992"/>
      </c:scatterChart>
      <c:valAx>
        <c:axId val="364610352"/>
        <c:scaling>
          <c:orientation val="minMax"/>
          <c:min val="-6.0000000000000012E-2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 </a:t>
                </a:r>
                <a:r>
                  <a:rPr lang="en-US" b="1"/>
                  <a:t>FTSE</a:t>
                </a:r>
                <a:r>
                  <a:rPr lang="en-US" b="1" baseline="0"/>
                  <a:t> ALL SHARE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37820077164246801"/>
              <c:y val="0.90884969377886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11992"/>
        <c:crosses val="autoZero"/>
        <c:crossBetween val="midCat"/>
      </c:valAx>
      <c:valAx>
        <c:axId val="36461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</a:t>
                </a:r>
                <a:br>
                  <a:rPr lang="en-US"/>
                </a:br>
                <a:r>
                  <a:rPr lang="en-US" b="1"/>
                  <a:t>TSCO</a:t>
                </a:r>
              </a:p>
            </c:rich>
          </c:tx>
          <c:overlay val="0"/>
          <c:spPr>
            <a:noFill/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1035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Regression</a:t>
            </a:r>
            <a:r>
              <a:rPr lang="en-US" b="1" baseline="0">
                <a:solidFill>
                  <a:sysClr val="windowText" lastClr="000000"/>
                </a:solidFill>
              </a:rPr>
              <a:t> Model for beta e</a:t>
            </a:r>
            <a:r>
              <a:rPr lang="en-US" b="1">
                <a:solidFill>
                  <a:sysClr val="windowText" lastClr="000000"/>
                </a:solidFill>
              </a:rPr>
              <a:t>stimation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943765435812474E-2"/>
                  <c:y val="0.4357506992675168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</a:t>
                    </a:r>
                    <a:r>
                      <a:rPr lang="en-US" baseline="0"/>
                      <a:t>= 1.4575x - 0.01</a:t>
                    </a:r>
                    <a:br>
                      <a:rPr lang="en-US" baseline="0"/>
                    </a:br>
                    <a:r>
                      <a:rPr lang="en-US" b="1" baseline="0"/>
                      <a:t>R² =</a:t>
                    </a:r>
                    <a:r>
                      <a:rPr lang="en-US" baseline="0"/>
                      <a:t> 0.2181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Data!$AC$168:$AC$203</c:f>
              <c:numCache>
                <c:formatCode>0.000%</c:formatCode>
                <c:ptCount val="36"/>
                <c:pt idx="0">
                  <c:v>1.8067324972789265E-2</c:v>
                </c:pt>
                <c:pt idx="1">
                  <c:v>9.7186884466950903E-3</c:v>
                </c:pt>
                <c:pt idx="2">
                  <c:v>-1.4998590975127336E-2</c:v>
                </c:pt>
                <c:pt idx="3">
                  <c:v>-4.0470086301001235E-3</c:v>
                </c:pt>
                <c:pt idx="4">
                  <c:v>1.503784561665767E-2</c:v>
                </c:pt>
                <c:pt idx="5">
                  <c:v>-2.9017403298218915E-2</c:v>
                </c:pt>
                <c:pt idx="6">
                  <c:v>-8.6221289046473047E-3</c:v>
                </c:pt>
                <c:pt idx="7">
                  <c:v>2.5648929914998352E-2</c:v>
                </c:pt>
                <c:pt idx="8">
                  <c:v>-1.6859060701523917E-2</c:v>
                </c:pt>
                <c:pt idx="9">
                  <c:v>2.5212724400889876E-2</c:v>
                </c:pt>
                <c:pt idx="10">
                  <c:v>3.3809062319668973E-2</c:v>
                </c:pt>
                <c:pt idx="11">
                  <c:v>-2.1547648934636027E-2</c:v>
                </c:pt>
                <c:pt idx="12">
                  <c:v>2.6334896467389825E-2</c:v>
                </c:pt>
                <c:pt idx="13">
                  <c:v>9.8562256985260735E-3</c:v>
                </c:pt>
                <c:pt idx="14">
                  <c:v>-5.9661006236305401E-2</c:v>
                </c:pt>
                <c:pt idx="15">
                  <c:v>2.3024270566686655E-2</c:v>
                </c:pt>
                <c:pt idx="16">
                  <c:v>-5.9715997908448094E-2</c:v>
                </c:pt>
                <c:pt idx="17">
                  <c:v>-2.8748114806123395E-2</c:v>
                </c:pt>
                <c:pt idx="18">
                  <c:v>4.4569414134631474E-2</c:v>
                </c:pt>
                <c:pt idx="19">
                  <c:v>2.1609366928772886E-3</c:v>
                </c:pt>
                <c:pt idx="20">
                  <c:v>-1.3707966198280101E-2</c:v>
                </c:pt>
                <c:pt idx="21">
                  <c:v>-3.1461039526632754E-2</c:v>
                </c:pt>
                <c:pt idx="22">
                  <c:v>2.9797056266674823E-3</c:v>
                </c:pt>
                <c:pt idx="23">
                  <c:v>1.4749659278387462E-2</c:v>
                </c:pt>
                <c:pt idx="24">
                  <c:v>7.8081049955967758E-3</c:v>
                </c:pt>
                <c:pt idx="25">
                  <c:v>2.3584767805475957E-3</c:v>
                </c:pt>
                <c:pt idx="26">
                  <c:v>2.4981266965423424E-2</c:v>
                </c:pt>
                <c:pt idx="27">
                  <c:v>3.9363381643886169E-2</c:v>
                </c:pt>
                <c:pt idx="28">
                  <c:v>1.1866999833051929E-2</c:v>
                </c:pt>
                <c:pt idx="29">
                  <c:v>1.5728161116956414E-2</c:v>
                </c:pt>
                <c:pt idx="30">
                  <c:v>3.4084796582998416E-3</c:v>
                </c:pt>
                <c:pt idx="31">
                  <c:v>-2.0100102437807455E-2</c:v>
                </c:pt>
                <c:pt idx="32">
                  <c:v>4.8970859061856831E-2</c:v>
                </c:pt>
                <c:pt idx="33">
                  <c:v>-3.8624193823227279E-3</c:v>
                </c:pt>
                <c:pt idx="34">
                  <c:v>2.4663967695282289E-2</c:v>
                </c:pt>
                <c:pt idx="35">
                  <c:v>9.2527482534109518E-3</c:v>
                </c:pt>
              </c:numCache>
            </c:numRef>
          </c:xVal>
          <c:yVal>
            <c:numRef>
              <c:f>Data!$AB$168:$AB$203</c:f>
              <c:numCache>
                <c:formatCode>0.000%</c:formatCode>
                <c:ptCount val="36"/>
                <c:pt idx="0">
                  <c:v>-9.8257082781094112E-3</c:v>
                </c:pt>
                <c:pt idx="1">
                  <c:v>-9.5206465183216311E-3</c:v>
                </c:pt>
                <c:pt idx="2">
                  <c:v>2.7881361959823953E-2</c:v>
                </c:pt>
                <c:pt idx="3">
                  <c:v>-2.7125077846205495E-2</c:v>
                </c:pt>
                <c:pt idx="4">
                  <c:v>-1.826920145909753E-2</c:v>
                </c:pt>
                <c:pt idx="5">
                  <c:v>-5.5341081981804846E-2</c:v>
                </c:pt>
                <c:pt idx="6">
                  <c:v>-0.11603777719344373</c:v>
                </c:pt>
                <c:pt idx="7">
                  <c:v>-5.8254111872687155E-4</c:v>
                </c:pt>
                <c:pt idx="8">
                  <c:v>3.2641317558349994E-2</c:v>
                </c:pt>
                <c:pt idx="9">
                  <c:v>2.4703960800326726E-2</c:v>
                </c:pt>
                <c:pt idx="10">
                  <c:v>6.4496091323558685E-2</c:v>
                </c:pt>
                <c:pt idx="11">
                  <c:v>4.2168542047431807E-3</c:v>
                </c:pt>
                <c:pt idx="12">
                  <c:v>0.11255468210373973</c:v>
                </c:pt>
                <c:pt idx="13">
                  <c:v>-4.5883222468588267E-2</c:v>
                </c:pt>
                <c:pt idx="14">
                  <c:v>-0.12825994897695706</c:v>
                </c:pt>
                <c:pt idx="15">
                  <c:v>-8.735678487221718E-2</c:v>
                </c:pt>
                <c:pt idx="16">
                  <c:v>-6.3600249260009359E-2</c:v>
                </c:pt>
                <c:pt idx="17">
                  <c:v>-8.9436980964660531E-2</c:v>
                </c:pt>
                <c:pt idx="18">
                  <c:v>2.9507597673497969E-2</c:v>
                </c:pt>
                <c:pt idx="19">
                  <c:v>-0.11781235210601038</c:v>
                </c:pt>
                <c:pt idx="20">
                  <c:v>-5.1936295054484521E-2</c:v>
                </c:pt>
                <c:pt idx="21">
                  <c:v>-3.4782147404158935E-2</c:v>
                </c:pt>
                <c:pt idx="22">
                  <c:v>0.22341302555647163</c:v>
                </c:pt>
                <c:pt idx="23">
                  <c:v>4.4174902665467678E-3</c:v>
                </c:pt>
                <c:pt idx="24">
                  <c:v>-7.8568766306373189E-3</c:v>
                </c:pt>
                <c:pt idx="25">
                  <c:v>-7.5434273005950653E-2</c:v>
                </c:pt>
                <c:pt idx="26">
                  <c:v>0.14942790274346648</c:v>
                </c:pt>
                <c:pt idx="27">
                  <c:v>0.11174740533355954</c:v>
                </c:pt>
                <c:pt idx="28">
                  <c:v>-2.6556438791732903E-2</c:v>
                </c:pt>
                <c:pt idx="29">
                  <c:v>-6.4935913349099192E-2</c:v>
                </c:pt>
                <c:pt idx="30">
                  <c:v>1.5132672879958698E-2</c:v>
                </c:pt>
                <c:pt idx="31">
                  <c:v>-6.8823124569855468E-2</c:v>
                </c:pt>
                <c:pt idx="32">
                  <c:v>-1.2564671101256468E-2</c:v>
                </c:pt>
                <c:pt idx="33">
                  <c:v>-7.4850299401197609E-4</c:v>
                </c:pt>
                <c:pt idx="34">
                  <c:v>0.17902621722846443</c:v>
                </c:pt>
                <c:pt idx="35">
                  <c:v>-4.1931385006353239E-2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20-449C-9299-B935E7F95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097896"/>
        <c:axId val="472100192"/>
      </c:scatterChart>
      <c:valAx>
        <c:axId val="472097896"/>
        <c:scaling>
          <c:orientation val="minMax"/>
          <c:min val="-6.0000000000000012E-2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 </a:t>
                </a:r>
                <a:r>
                  <a:rPr lang="en-US" b="1"/>
                  <a:t>FTSE ALL SHARE</a:t>
                </a:r>
              </a:p>
            </c:rich>
          </c:tx>
          <c:layout>
            <c:manualLayout>
              <c:xMode val="edge"/>
              <c:yMode val="edge"/>
              <c:x val="0.40026557707914823"/>
              <c:y val="0.90113427733460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00192"/>
        <c:crosses val="autoZero"/>
        <c:crossBetween val="midCat"/>
      </c:valAx>
      <c:valAx>
        <c:axId val="4721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</a:t>
                </a:r>
                <a:br>
                  <a:rPr lang="en-US"/>
                </a:br>
                <a:r>
                  <a:rPr lang="en-US" b="1"/>
                  <a:t>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97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Regression Model for Beta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447031146866101E-2"/>
                  <c:y val="0.545302326382213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</a:t>
                    </a:r>
                    <a:r>
                      <a:rPr lang="en-US" baseline="0"/>
                      <a:t>= 0.9232x - 0.0065</a:t>
                    </a:r>
                    <a:br>
                      <a:rPr lang="en-US" baseline="0"/>
                    </a:br>
                    <a:r>
                      <a:rPr lang="en-US" b="1" baseline="0"/>
                      <a:t>R²</a:t>
                    </a:r>
                    <a:r>
                      <a:rPr lang="en-US" baseline="0"/>
                      <a:t> = 0.1642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Data!$AE$168:$AE$203</c:f>
              <c:numCache>
                <c:formatCode>0.000%</c:formatCode>
                <c:ptCount val="36"/>
                <c:pt idx="0">
                  <c:v>1.8067324972789265E-2</c:v>
                </c:pt>
                <c:pt idx="1">
                  <c:v>9.7186884466950903E-3</c:v>
                </c:pt>
                <c:pt idx="2">
                  <c:v>-1.4998590975127336E-2</c:v>
                </c:pt>
                <c:pt idx="3">
                  <c:v>-4.0470086301001235E-3</c:v>
                </c:pt>
                <c:pt idx="4">
                  <c:v>1.503784561665767E-2</c:v>
                </c:pt>
                <c:pt idx="5">
                  <c:v>-2.9017403298218915E-2</c:v>
                </c:pt>
                <c:pt idx="6">
                  <c:v>-8.6221289046473047E-3</c:v>
                </c:pt>
                <c:pt idx="7">
                  <c:v>2.5648929914998352E-2</c:v>
                </c:pt>
                <c:pt idx="8">
                  <c:v>-1.6859060701523917E-2</c:v>
                </c:pt>
                <c:pt idx="9">
                  <c:v>2.5212724400889876E-2</c:v>
                </c:pt>
                <c:pt idx="10">
                  <c:v>3.3809062319668973E-2</c:v>
                </c:pt>
                <c:pt idx="11">
                  <c:v>-2.1547648934636027E-2</c:v>
                </c:pt>
                <c:pt idx="12">
                  <c:v>2.6334896467389825E-2</c:v>
                </c:pt>
                <c:pt idx="13">
                  <c:v>9.8562256985260735E-3</c:v>
                </c:pt>
                <c:pt idx="14">
                  <c:v>-5.9661006236305401E-2</c:v>
                </c:pt>
                <c:pt idx="15">
                  <c:v>2.3024270566686655E-2</c:v>
                </c:pt>
                <c:pt idx="16">
                  <c:v>-5.9715997908448094E-2</c:v>
                </c:pt>
                <c:pt idx="17">
                  <c:v>-2.8748114806123395E-2</c:v>
                </c:pt>
                <c:pt idx="18">
                  <c:v>4.4569414134631474E-2</c:v>
                </c:pt>
                <c:pt idx="19">
                  <c:v>2.1609366928772886E-3</c:v>
                </c:pt>
                <c:pt idx="20">
                  <c:v>-1.3707966198280101E-2</c:v>
                </c:pt>
                <c:pt idx="21">
                  <c:v>-3.1461039526632754E-2</c:v>
                </c:pt>
                <c:pt idx="22">
                  <c:v>2.9797056266674823E-3</c:v>
                </c:pt>
                <c:pt idx="23">
                  <c:v>1.4749659278387462E-2</c:v>
                </c:pt>
                <c:pt idx="24">
                  <c:v>7.8081049955967758E-3</c:v>
                </c:pt>
                <c:pt idx="25">
                  <c:v>2.3584767805475957E-3</c:v>
                </c:pt>
                <c:pt idx="26">
                  <c:v>2.4981266965423424E-2</c:v>
                </c:pt>
                <c:pt idx="27">
                  <c:v>3.9363381643886169E-2</c:v>
                </c:pt>
                <c:pt idx="28">
                  <c:v>1.1866999833051929E-2</c:v>
                </c:pt>
                <c:pt idx="29">
                  <c:v>1.5728161116956414E-2</c:v>
                </c:pt>
                <c:pt idx="30">
                  <c:v>3.4084796582998416E-3</c:v>
                </c:pt>
                <c:pt idx="31">
                  <c:v>-2.0100102437807455E-2</c:v>
                </c:pt>
                <c:pt idx="32">
                  <c:v>4.8970859061856831E-2</c:v>
                </c:pt>
                <c:pt idx="33">
                  <c:v>-3.8624193823227279E-3</c:v>
                </c:pt>
                <c:pt idx="34">
                  <c:v>2.4663967695282289E-2</c:v>
                </c:pt>
                <c:pt idx="35">
                  <c:v>1.10637695037801E-2</c:v>
                </c:pt>
              </c:numCache>
            </c:numRef>
          </c:xVal>
          <c:yVal>
            <c:numRef>
              <c:f>Data!$AD$168:$AD$203</c:f>
              <c:numCache>
                <c:formatCode>0.000%</c:formatCode>
                <c:ptCount val="36"/>
                <c:pt idx="0">
                  <c:v>-2.8985507246376812E-2</c:v>
                </c:pt>
                <c:pt idx="1">
                  <c:v>7.7340569877883306E-2</c:v>
                </c:pt>
                <c:pt idx="2">
                  <c:v>-3.0478589420654827E-2</c:v>
                </c:pt>
                <c:pt idx="3">
                  <c:v>9.3530787217458184E-3</c:v>
                </c:pt>
                <c:pt idx="4">
                  <c:v>-3.8610038610038611E-3</c:v>
                </c:pt>
                <c:pt idx="5">
                  <c:v>-1.9121447028423715E-2</c:v>
                </c:pt>
                <c:pt idx="6">
                  <c:v>-3.187565858798741E-2</c:v>
                </c:pt>
                <c:pt idx="7">
                  <c:v>0.11619047619047616</c:v>
                </c:pt>
                <c:pt idx="8">
                  <c:v>-2.1209166260360773E-2</c:v>
                </c:pt>
                <c:pt idx="9">
                  <c:v>4.0846824408468332E-2</c:v>
                </c:pt>
                <c:pt idx="10">
                  <c:v>9.0452261306532541E-2</c:v>
                </c:pt>
                <c:pt idx="11">
                  <c:v>-3.8841342988808404E-2</c:v>
                </c:pt>
                <c:pt idx="12">
                  <c:v>4.0525114155251139E-2</c:v>
                </c:pt>
                <c:pt idx="13">
                  <c:v>-1.9857377948436668E-2</c:v>
                </c:pt>
                <c:pt idx="14">
                  <c:v>7.8352361764047456E-3</c:v>
                </c:pt>
                <c:pt idx="15">
                  <c:v>3.1652598844957795E-2</c:v>
                </c:pt>
                <c:pt idx="16">
                  <c:v>-5.8348584347077119E-2</c:v>
                </c:pt>
                <c:pt idx="17">
                  <c:v>-4.0585343546358753E-2</c:v>
                </c:pt>
                <c:pt idx="18">
                  <c:v>0.1081982840800762</c:v>
                </c:pt>
                <c:pt idx="19">
                  <c:v>6.7634408602150517E-2</c:v>
                </c:pt>
                <c:pt idx="20">
                  <c:v>-4.9853963138281804E-2</c:v>
                </c:pt>
                <c:pt idx="21">
                  <c:v>2.787788848844612E-2</c:v>
                </c:pt>
                <c:pt idx="22">
                  <c:v>3.4031143652675615E-3</c:v>
                </c:pt>
                <c:pt idx="23">
                  <c:v>-9.4552929085303189E-2</c:v>
                </c:pt>
                <c:pt idx="24">
                  <c:v>6.1293984108966824E-3</c:v>
                </c:pt>
                <c:pt idx="25">
                  <c:v>-9.0252707581222312E-4</c:v>
                </c:pt>
                <c:pt idx="26">
                  <c:v>-7.4074074074074098E-2</c:v>
                </c:pt>
                <c:pt idx="27">
                  <c:v>8.170731707317129E-3</c:v>
                </c:pt>
                <c:pt idx="28">
                  <c:v>-6.5319946776339663E-2</c:v>
                </c:pt>
                <c:pt idx="29">
                  <c:v>6.988481946421609E-3</c:v>
                </c:pt>
                <c:pt idx="30">
                  <c:v>-3.3671764554684548E-2</c:v>
                </c:pt>
                <c:pt idx="31">
                  <c:v>-5.0139646229551714E-2</c:v>
                </c:pt>
                <c:pt idx="32">
                  <c:v>2.7443293195183453E-2</c:v>
                </c:pt>
                <c:pt idx="33">
                  <c:v>-0.17184518942491145</c:v>
                </c:pt>
                <c:pt idx="34">
                  <c:v>7.6518018759256207E-2</c:v>
                </c:pt>
                <c:pt idx="35">
                  <c:v>-2.94258133882223E-2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30-4562-801E-89ADF65C6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170552"/>
        <c:axId val="468457176"/>
      </c:scatterChart>
      <c:valAx>
        <c:axId val="467170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 </a:t>
                </a:r>
                <a:r>
                  <a:rPr lang="en-US" b="1"/>
                  <a:t>FTSE ALL SHARE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57176"/>
        <c:crosses val="autoZero"/>
        <c:crossBetween val="midCat"/>
      </c:valAx>
      <c:valAx>
        <c:axId val="46845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Returns</a:t>
                </a:r>
                <a:br>
                  <a:rPr lang="en-US" b="1"/>
                </a:br>
                <a:r>
                  <a:rPr lang="en-US" b="1"/>
                  <a:t>BT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70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Regression Model for Beta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232961504811899"/>
                  <c:y val="0.5662919218431029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</a:t>
                    </a:r>
                    <a:r>
                      <a:rPr lang="en-US" baseline="0"/>
                      <a:t> = 1.3423x - 0.0023</a:t>
                    </a:r>
                    <a:br>
                      <a:rPr lang="en-US" baseline="0"/>
                    </a:br>
                    <a:r>
                      <a:rPr lang="en-US" b="1" baseline="0"/>
                      <a:t>R</a:t>
                    </a:r>
                    <a:r>
                      <a:rPr lang="en-US" baseline="0"/>
                      <a:t>² = 0.4616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Data!$AG$168:$AG$203</c:f>
              <c:numCache>
                <c:formatCode>0.00000%</c:formatCode>
                <c:ptCount val="36"/>
                <c:pt idx="0">
                  <c:v>1.8067324972789265E-2</c:v>
                </c:pt>
                <c:pt idx="1">
                  <c:v>9.7186884466950903E-3</c:v>
                </c:pt>
                <c:pt idx="2">
                  <c:v>-1.4998590975127336E-2</c:v>
                </c:pt>
                <c:pt idx="3">
                  <c:v>-4.0470086301001235E-3</c:v>
                </c:pt>
                <c:pt idx="4">
                  <c:v>1.503784561665767E-2</c:v>
                </c:pt>
                <c:pt idx="5">
                  <c:v>-2.9017403298218915E-2</c:v>
                </c:pt>
                <c:pt idx="6">
                  <c:v>-8.6221289046473047E-3</c:v>
                </c:pt>
                <c:pt idx="7">
                  <c:v>2.5648929914998352E-2</c:v>
                </c:pt>
                <c:pt idx="8">
                  <c:v>-1.6859060701523917E-2</c:v>
                </c:pt>
                <c:pt idx="9">
                  <c:v>2.5212724400889876E-2</c:v>
                </c:pt>
                <c:pt idx="10">
                  <c:v>3.3809062319668973E-2</c:v>
                </c:pt>
                <c:pt idx="11">
                  <c:v>-2.1547648934636027E-2</c:v>
                </c:pt>
                <c:pt idx="12">
                  <c:v>2.6334896467389825E-2</c:v>
                </c:pt>
                <c:pt idx="13">
                  <c:v>9.8562256985260735E-3</c:v>
                </c:pt>
                <c:pt idx="14">
                  <c:v>-5.9661006236305401E-2</c:v>
                </c:pt>
                <c:pt idx="15">
                  <c:v>2.3024270566686655E-2</c:v>
                </c:pt>
                <c:pt idx="16">
                  <c:v>-5.9715997908448094E-2</c:v>
                </c:pt>
                <c:pt idx="17">
                  <c:v>-2.8748114806123395E-2</c:v>
                </c:pt>
                <c:pt idx="18">
                  <c:v>4.4569414134631474E-2</c:v>
                </c:pt>
                <c:pt idx="19">
                  <c:v>2.1609366928772886E-3</c:v>
                </c:pt>
                <c:pt idx="20">
                  <c:v>-1.3707966198280101E-2</c:v>
                </c:pt>
                <c:pt idx="21">
                  <c:v>-3.1461039526632754E-2</c:v>
                </c:pt>
                <c:pt idx="22">
                  <c:v>2.9797056266674823E-3</c:v>
                </c:pt>
                <c:pt idx="23">
                  <c:v>1.4749659278387462E-2</c:v>
                </c:pt>
                <c:pt idx="24">
                  <c:v>7.8081049955967758E-3</c:v>
                </c:pt>
                <c:pt idx="25">
                  <c:v>2.3584767805475957E-3</c:v>
                </c:pt>
                <c:pt idx="26">
                  <c:v>2.4981266965423424E-2</c:v>
                </c:pt>
                <c:pt idx="27">
                  <c:v>3.9363381643886169E-2</c:v>
                </c:pt>
                <c:pt idx="28">
                  <c:v>1.1866999833051929E-2</c:v>
                </c:pt>
                <c:pt idx="29">
                  <c:v>1.5728161116956414E-2</c:v>
                </c:pt>
                <c:pt idx="30">
                  <c:v>3.4084796582998416E-3</c:v>
                </c:pt>
                <c:pt idx="31">
                  <c:v>-2.0100102437807455E-2</c:v>
                </c:pt>
                <c:pt idx="32">
                  <c:v>4.8970859061856831E-2</c:v>
                </c:pt>
                <c:pt idx="33">
                  <c:v>-3.8624193823227279E-3</c:v>
                </c:pt>
                <c:pt idx="34">
                  <c:v>2.4663967695282289E-2</c:v>
                </c:pt>
                <c:pt idx="35">
                  <c:v>9.2527482534109518E-3</c:v>
                </c:pt>
              </c:numCache>
            </c:numRef>
          </c:xVal>
          <c:yVal>
            <c:numRef>
              <c:f>Data!$AF$168:$AF$203</c:f>
              <c:numCache>
                <c:formatCode>0.00000%</c:formatCode>
                <c:ptCount val="36"/>
                <c:pt idx="0">
                  <c:v>2.5447690857681431E-2</c:v>
                </c:pt>
                <c:pt idx="1">
                  <c:v>-1.8995098039215685E-2</c:v>
                </c:pt>
                <c:pt idx="2">
                  <c:v>-2.3110555902560899E-2</c:v>
                </c:pt>
                <c:pt idx="3">
                  <c:v>-8.1521739130434784E-2</c:v>
                </c:pt>
                <c:pt idx="4">
                  <c:v>2.6453184824225547E-2</c:v>
                </c:pt>
                <c:pt idx="5">
                  <c:v>-4.170905391658189E-2</c:v>
                </c:pt>
                <c:pt idx="6">
                  <c:v>3.1847133757961785E-3</c:v>
                </c:pt>
                <c:pt idx="7">
                  <c:v>4.7619047619047616E-2</c:v>
                </c:pt>
                <c:pt idx="8">
                  <c:v>-7.3400673400673397E-2</c:v>
                </c:pt>
                <c:pt idx="9">
                  <c:v>6.6133720930232565E-2</c:v>
                </c:pt>
                <c:pt idx="10">
                  <c:v>5.0783912747102929E-2</c:v>
                </c:pt>
                <c:pt idx="11">
                  <c:v>2.9192345118391177E-3</c:v>
                </c:pt>
                <c:pt idx="12">
                  <c:v>-2.0375161707632601E-2</c:v>
                </c:pt>
                <c:pt idx="13">
                  <c:v>-4.027731924727633E-2</c:v>
                </c:pt>
                <c:pt idx="14">
                  <c:v>-9.0127278981768144E-2</c:v>
                </c:pt>
                <c:pt idx="15">
                  <c:v>5.5576559546313797E-2</c:v>
                </c:pt>
                <c:pt idx="16">
                  <c:v>-3.9756446991404008E-2</c:v>
                </c:pt>
                <c:pt idx="17">
                  <c:v>-5.5576277508392391E-2</c:v>
                </c:pt>
                <c:pt idx="18">
                  <c:v>0.10979462875197472</c:v>
                </c:pt>
                <c:pt idx="19">
                  <c:v>-3.5231316725978651E-2</c:v>
                </c:pt>
                <c:pt idx="20">
                  <c:v>1.2910365178900774E-2</c:v>
                </c:pt>
                <c:pt idx="21">
                  <c:v>4.8069919883466858E-2</c:v>
                </c:pt>
                <c:pt idx="22">
                  <c:v>-2.7449617790132035E-2</c:v>
                </c:pt>
                <c:pt idx="23">
                  <c:v>8.9317613433369056E-3</c:v>
                </c:pt>
                <c:pt idx="24">
                  <c:v>3.3286118980169969E-2</c:v>
                </c:pt>
                <c:pt idx="25">
                  <c:v>-9.5956134338588076E-3</c:v>
                </c:pt>
                <c:pt idx="26">
                  <c:v>0.11038062283737024</c:v>
                </c:pt>
                <c:pt idx="27">
                  <c:v>5.2041134309753816E-2</c:v>
                </c:pt>
                <c:pt idx="28">
                  <c:v>-2.9028436018957347E-2</c:v>
                </c:pt>
                <c:pt idx="29">
                  <c:v>2.4405125076266015E-3</c:v>
                </c:pt>
                <c:pt idx="30">
                  <c:v>-1.4911746804625686E-2</c:v>
                </c:pt>
                <c:pt idx="31">
                  <c:v>-7.5996292863762749E-2</c:v>
                </c:pt>
                <c:pt idx="32">
                  <c:v>4.446673353393514E-2</c:v>
                </c:pt>
                <c:pt idx="33">
                  <c:v>-2.176696542893726E-2</c:v>
                </c:pt>
                <c:pt idx="34">
                  <c:v>7.8534031413612565E-2</c:v>
                </c:pt>
                <c:pt idx="35">
                  <c:v>6.9781553398058256E-3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DF-4E8D-BBC4-D3BEA07F8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75168"/>
        <c:axId val="478779680"/>
      </c:scatterChart>
      <c:valAx>
        <c:axId val="36767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Returns FTSE ALL SHARE</a:t>
                </a:r>
              </a:p>
            </c:rich>
          </c:tx>
          <c:layout>
            <c:manualLayout>
              <c:xMode val="edge"/>
              <c:yMode val="edge"/>
              <c:x val="0.46849300087489065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779680"/>
        <c:crosses val="autoZero"/>
        <c:crossBetween val="midCat"/>
      </c:valAx>
      <c:valAx>
        <c:axId val="4787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Returns</a:t>
                </a:r>
                <a:br>
                  <a:rPr lang="en-US" b="1"/>
                </a:br>
                <a:r>
                  <a:rPr lang="en-US" b="1"/>
                  <a:t>GSK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Regression </a:t>
            </a:r>
            <a:r>
              <a:rPr lang="en-US" b="1" baseline="0">
                <a:solidFill>
                  <a:sysClr val="windowText" lastClr="000000"/>
                </a:solidFill>
              </a:rPr>
              <a:t> Model for Beta Estimation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277777777777771E-2"/>
                  <c:y val="0.5059536307961505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</a:t>
                    </a:r>
                    <a:r>
                      <a:rPr lang="en-US" baseline="0"/>
                      <a:t>1.2226x + 0.0092</a:t>
                    </a:r>
                    <a:br>
                      <a:rPr lang="en-US" baseline="0"/>
                    </a:br>
                    <a:r>
                      <a:rPr lang="en-US" b="1" baseline="0"/>
                      <a:t>R² </a:t>
                    </a:r>
                    <a:r>
                      <a:rPr lang="en-US" baseline="0"/>
                      <a:t>= 0.3063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Data!$AI$168:$AI$203</c:f>
              <c:numCache>
                <c:formatCode>0.00000%</c:formatCode>
                <c:ptCount val="36"/>
                <c:pt idx="0">
                  <c:v>1.8067324972789265E-2</c:v>
                </c:pt>
                <c:pt idx="1">
                  <c:v>9.7186884466950903E-3</c:v>
                </c:pt>
                <c:pt idx="2">
                  <c:v>-1.4998590975127336E-2</c:v>
                </c:pt>
                <c:pt idx="3">
                  <c:v>-4.0470086301001235E-3</c:v>
                </c:pt>
                <c:pt idx="4">
                  <c:v>1.503784561665767E-2</c:v>
                </c:pt>
                <c:pt idx="5">
                  <c:v>-2.9017403298218915E-2</c:v>
                </c:pt>
                <c:pt idx="6">
                  <c:v>-8.6221289046473047E-3</c:v>
                </c:pt>
                <c:pt idx="7">
                  <c:v>2.5648929914998352E-2</c:v>
                </c:pt>
                <c:pt idx="8">
                  <c:v>-1.6859060701523917E-2</c:v>
                </c:pt>
                <c:pt idx="9">
                  <c:v>2.5212724400889876E-2</c:v>
                </c:pt>
                <c:pt idx="10">
                  <c:v>3.3809062319668973E-2</c:v>
                </c:pt>
                <c:pt idx="11">
                  <c:v>-2.1547648934636027E-2</c:v>
                </c:pt>
                <c:pt idx="12">
                  <c:v>2.6334896467389825E-2</c:v>
                </c:pt>
                <c:pt idx="13">
                  <c:v>9.8562256985260735E-3</c:v>
                </c:pt>
                <c:pt idx="14">
                  <c:v>-5.9661006236305401E-2</c:v>
                </c:pt>
                <c:pt idx="15">
                  <c:v>2.3024270566686655E-2</c:v>
                </c:pt>
                <c:pt idx="16">
                  <c:v>-5.9715997908448094E-2</c:v>
                </c:pt>
                <c:pt idx="17">
                  <c:v>-2.8748114806123395E-2</c:v>
                </c:pt>
                <c:pt idx="18">
                  <c:v>4.4569414134631474E-2</c:v>
                </c:pt>
                <c:pt idx="19">
                  <c:v>2.1609366928772886E-3</c:v>
                </c:pt>
                <c:pt idx="20">
                  <c:v>-1.3707966198280101E-2</c:v>
                </c:pt>
                <c:pt idx="21">
                  <c:v>-3.1461039526632754E-2</c:v>
                </c:pt>
                <c:pt idx="22">
                  <c:v>2.9797056266674823E-3</c:v>
                </c:pt>
                <c:pt idx="23">
                  <c:v>1.4749659278387462E-2</c:v>
                </c:pt>
                <c:pt idx="24">
                  <c:v>7.8081049955967758E-3</c:v>
                </c:pt>
                <c:pt idx="25">
                  <c:v>2.3584767805475957E-3</c:v>
                </c:pt>
                <c:pt idx="26">
                  <c:v>2.4981266965423424E-2</c:v>
                </c:pt>
                <c:pt idx="27">
                  <c:v>3.9363381643886169E-2</c:v>
                </c:pt>
                <c:pt idx="28">
                  <c:v>1.1866999833051929E-2</c:v>
                </c:pt>
                <c:pt idx="29">
                  <c:v>1.5728161116956414E-2</c:v>
                </c:pt>
                <c:pt idx="30">
                  <c:v>3.4084796582998416E-3</c:v>
                </c:pt>
                <c:pt idx="31">
                  <c:v>-2.0100102437807455E-2</c:v>
                </c:pt>
                <c:pt idx="32">
                  <c:v>4.8970859061856831E-2</c:v>
                </c:pt>
                <c:pt idx="33">
                  <c:v>-3.8624193823227279E-3</c:v>
                </c:pt>
                <c:pt idx="34">
                  <c:v>2.4663967695282289E-2</c:v>
                </c:pt>
                <c:pt idx="35">
                  <c:v>9.2527482534109518E-3</c:v>
                </c:pt>
              </c:numCache>
            </c:numRef>
          </c:xVal>
          <c:yVal>
            <c:numRef>
              <c:f>Data!$AH$168:$AH$203</c:f>
              <c:numCache>
                <c:formatCode>0.00000%</c:formatCode>
                <c:ptCount val="36"/>
                <c:pt idx="0">
                  <c:v>3.2409215150331905E-2</c:v>
                </c:pt>
                <c:pt idx="1">
                  <c:v>1.3615733736762481E-2</c:v>
                </c:pt>
                <c:pt idx="2">
                  <c:v>-1.082089552238806E-2</c:v>
                </c:pt>
                <c:pt idx="3">
                  <c:v>-3.0554507732930971E-2</c:v>
                </c:pt>
                <c:pt idx="4">
                  <c:v>3.4630350194552531E-2</c:v>
                </c:pt>
                <c:pt idx="5">
                  <c:v>-2.7830011282437006E-2</c:v>
                </c:pt>
                <c:pt idx="6">
                  <c:v>-2.746615087040619E-2</c:v>
                </c:pt>
                <c:pt idx="7">
                  <c:v>7.6372315035799526E-2</c:v>
                </c:pt>
                <c:pt idx="8">
                  <c:v>-2.8824833702882482E-2</c:v>
                </c:pt>
                <c:pt idx="9">
                  <c:v>0.11491628614916286</c:v>
                </c:pt>
                <c:pt idx="10">
                  <c:v>-2.1843003412969283E-2</c:v>
                </c:pt>
                <c:pt idx="11">
                  <c:v>-1.7794836008374039E-2</c:v>
                </c:pt>
                <c:pt idx="12">
                  <c:v>1.8117229129662522E-2</c:v>
                </c:pt>
                <c:pt idx="13">
                  <c:v>7.32728541521284E-3</c:v>
                </c:pt>
                <c:pt idx="14">
                  <c:v>-5.4381711118808448E-2</c:v>
                </c:pt>
                <c:pt idx="15">
                  <c:v>6.4835164835164841E-2</c:v>
                </c:pt>
                <c:pt idx="16">
                  <c:v>-9.769521843825249E-2</c:v>
                </c:pt>
                <c:pt idx="17">
                  <c:v>2.4018299656881435E-2</c:v>
                </c:pt>
                <c:pt idx="18">
                  <c:v>7.7066269545793001E-2</c:v>
                </c:pt>
                <c:pt idx="19">
                  <c:v>-2.0394054614586935E-2</c:v>
                </c:pt>
                <c:pt idx="20">
                  <c:v>3.2639378969654201E-2</c:v>
                </c:pt>
                <c:pt idx="21">
                  <c:v>5.4160259695882451E-2</c:v>
                </c:pt>
                <c:pt idx="22">
                  <c:v>2.2690437601296598E-3</c:v>
                </c:pt>
                <c:pt idx="23">
                  <c:v>1.9566623544631307E-2</c:v>
                </c:pt>
                <c:pt idx="24">
                  <c:v>-3.1086439333862015E-2</c:v>
                </c:pt>
                <c:pt idx="25">
                  <c:v>2.9955802913733835E-2</c:v>
                </c:pt>
                <c:pt idx="26">
                  <c:v>0.13763509218054673</c:v>
                </c:pt>
                <c:pt idx="27">
                  <c:v>-1.2713048337524449E-2</c:v>
                </c:pt>
                <c:pt idx="28">
                  <c:v>-1.2735248337342579E-3</c:v>
                </c:pt>
                <c:pt idx="29">
                  <c:v>3.5562482289600454E-2</c:v>
                </c:pt>
                <c:pt idx="30">
                  <c:v>-6.4714735257901224E-2</c:v>
                </c:pt>
                <c:pt idx="31">
                  <c:v>-6.4950263311878295E-2</c:v>
                </c:pt>
                <c:pt idx="32">
                  <c:v>3.0193992490613268E-2</c:v>
                </c:pt>
                <c:pt idx="33">
                  <c:v>-1.9741837509491267E-2</c:v>
                </c:pt>
                <c:pt idx="34">
                  <c:v>0.18326878388845855</c:v>
                </c:pt>
                <c:pt idx="35">
                  <c:v>3.1552762503273109E-2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7C-44E8-9DA3-4270D9125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33936"/>
        <c:axId val="493734920"/>
      </c:scatterChart>
      <c:valAx>
        <c:axId val="49373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 </a:t>
                </a:r>
                <a:r>
                  <a:rPr lang="en-US" b="1">
                    <a:solidFill>
                      <a:sysClr val="windowText" lastClr="000000"/>
                    </a:solidFill>
                  </a:rPr>
                  <a:t>FTSE ALL SHARE</a:t>
                </a:r>
              </a:p>
            </c:rich>
          </c:tx>
          <c:layout>
            <c:manualLayout>
              <c:xMode val="edge"/>
              <c:yMode val="edge"/>
              <c:x val="0.3978506124234471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34920"/>
        <c:crosses val="autoZero"/>
        <c:crossBetween val="midCat"/>
      </c:valAx>
      <c:valAx>
        <c:axId val="49373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</a:t>
                </a:r>
                <a:br>
                  <a:rPr lang="en-US"/>
                </a:br>
                <a:r>
                  <a:rPr lang="en-US" b="1">
                    <a:solidFill>
                      <a:sysClr val="windowText" lastClr="000000"/>
                    </a:solidFill>
                  </a:rPr>
                  <a:t>ULVR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3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</xdr:colOff>
      <xdr:row>42</xdr:row>
      <xdr:rowOff>19049</xdr:rowOff>
    </xdr:from>
    <xdr:to>
      <xdr:col>21</xdr:col>
      <xdr:colOff>9525</xdr:colOff>
      <xdr:row>57</xdr:row>
      <xdr:rowOff>104775</xdr:rowOff>
    </xdr:to>
    <xdr:graphicFrame macro="">
      <xdr:nvGraphicFramePr>
        <xdr:cNvPr id="5" name="Chart 4" title="5-asset Portfolio Efficient Frontier">
          <a:extLst>
            <a:ext uri="{FF2B5EF4-FFF2-40B4-BE49-F238E27FC236}">
              <a16:creationId xmlns:a16="http://schemas.microsoft.com/office/drawing/2014/main" id="{06A0BC0F-334C-4860-85F9-75E5DD663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577850</xdr:colOff>
      <xdr:row>130</xdr:row>
      <xdr:rowOff>163740</xdr:rowOff>
    </xdr:from>
    <xdr:to>
      <xdr:col>30</xdr:col>
      <xdr:colOff>515711</xdr:colOff>
      <xdr:row>145</xdr:row>
      <xdr:rowOff>33111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BF80B6-3FB6-4D8C-8C1E-4D4795077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584034</xdr:colOff>
      <xdr:row>146</xdr:row>
      <xdr:rowOff>161591</xdr:rowOff>
    </xdr:from>
    <xdr:to>
      <xdr:col>30</xdr:col>
      <xdr:colOff>510089</xdr:colOff>
      <xdr:row>161</xdr:row>
      <xdr:rowOff>48962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26A644-EF82-4C45-A9EA-BD8103E92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837406</xdr:colOff>
      <xdr:row>130</xdr:row>
      <xdr:rowOff>184151</xdr:rowOff>
    </xdr:from>
    <xdr:to>
      <xdr:col>36</xdr:col>
      <xdr:colOff>496093</xdr:colOff>
      <xdr:row>145</xdr:row>
      <xdr:rowOff>69851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BB5396-5E94-42A7-A704-9CE470EEB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833437</xdr:colOff>
      <xdr:row>146</xdr:row>
      <xdr:rowOff>152400</xdr:rowOff>
    </xdr:from>
    <xdr:to>
      <xdr:col>36</xdr:col>
      <xdr:colOff>547687</xdr:colOff>
      <xdr:row>161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4B008A-B332-4AE1-AE10-83A6AE6F6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373062</xdr:colOff>
      <xdr:row>131</xdr:row>
      <xdr:rowOff>3572</xdr:rowOff>
    </xdr:from>
    <xdr:to>
      <xdr:col>45</xdr:col>
      <xdr:colOff>23812</xdr:colOff>
      <xdr:row>145</xdr:row>
      <xdr:rowOff>32147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3643C-B5DD-4592-9F1E-D969AD05C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76200</xdr:rowOff>
    </xdr:from>
    <xdr:to>
      <xdr:col>12</xdr:col>
      <xdr:colOff>490311</xdr:colOff>
      <xdr:row>14</xdr:row>
      <xdr:rowOff>97971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4EC68-6EEF-4F99-A81C-9AB499FC8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20</xdr:row>
      <xdr:rowOff>152400</xdr:rowOff>
    </xdr:from>
    <xdr:to>
      <xdr:col>12</xdr:col>
      <xdr:colOff>497555</xdr:colOff>
      <xdr:row>35</xdr:row>
      <xdr:rowOff>1671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3337C9-98F2-4EB0-9362-027D69B77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</xdr:colOff>
      <xdr:row>42</xdr:row>
      <xdr:rowOff>19050</xdr:rowOff>
    </xdr:from>
    <xdr:to>
      <xdr:col>12</xdr:col>
      <xdr:colOff>415925</xdr:colOff>
      <xdr:row>56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901412-57EA-49DB-A7AE-DBCD8061E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57150</xdr:colOff>
      <xdr:row>63</xdr:row>
      <xdr:rowOff>0</xdr:rowOff>
    </xdr:from>
    <xdr:to>
      <xdr:col>12</xdr:col>
      <xdr:colOff>481013</xdr:colOff>
      <xdr:row>77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9775F4-16A8-47FB-94D5-864167239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57150</xdr:colOff>
      <xdr:row>84</xdr:row>
      <xdr:rowOff>0</xdr:rowOff>
    </xdr:from>
    <xdr:to>
      <xdr:col>12</xdr:col>
      <xdr:colOff>488950</xdr:colOff>
      <xdr:row>97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B3558F-C1EE-4C9C-AA0B-18FD8AF37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6"/>
  <sheetViews>
    <sheetView tabSelected="1" topLeftCell="A14" zoomScaleNormal="100" workbookViewId="0">
      <selection activeCell="Z7" sqref="Z7:AA7"/>
    </sheetView>
  </sheetViews>
  <sheetFormatPr defaultRowHeight="15" x14ac:dyDescent="0.25"/>
  <cols>
    <col min="1" max="1" width="12.85546875" customWidth="1"/>
    <col min="13" max="13" width="13" customWidth="1"/>
    <col min="14" max="14" width="12.5703125" customWidth="1"/>
    <col min="15" max="15" width="12.85546875" customWidth="1"/>
    <col min="16" max="16" width="14.85546875" customWidth="1"/>
    <col min="17" max="17" width="13.140625" customWidth="1"/>
    <col min="18" max="18" width="13.5703125" customWidth="1"/>
    <col min="19" max="19" width="11.7109375" customWidth="1"/>
    <col min="20" max="20" width="12.42578125" customWidth="1"/>
    <col min="23" max="23" width="17.5703125" customWidth="1"/>
    <col min="24" max="24" width="16.5703125" customWidth="1"/>
    <col min="25" max="25" width="9.7109375" customWidth="1"/>
    <col min="26" max="26" width="12.140625" customWidth="1"/>
    <col min="27" max="27" width="14.140625" customWidth="1"/>
    <col min="28" max="28" width="13.140625" customWidth="1"/>
    <col min="29" max="30" width="12" customWidth="1"/>
    <col min="31" max="31" width="12.140625" customWidth="1"/>
    <col min="32" max="32" width="16.5703125" customWidth="1"/>
    <col min="33" max="33" width="11.42578125" customWidth="1"/>
    <col min="34" max="34" width="15" customWidth="1"/>
    <col min="35" max="35" width="14.7109375" customWidth="1"/>
    <col min="36" max="36" width="16.140625" customWidth="1"/>
    <col min="37" max="37" width="14.140625" customWidth="1"/>
    <col min="38" max="38" width="14.85546875" customWidth="1"/>
    <col min="39" max="39" width="13.28515625" customWidth="1"/>
  </cols>
  <sheetData>
    <row r="1" spans="1:28" ht="21" x14ac:dyDescent="0.35">
      <c r="A1" s="168" t="s">
        <v>34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</row>
    <row r="3" spans="1:28" ht="15.75" x14ac:dyDescent="0.25">
      <c r="A3" t="s">
        <v>35</v>
      </c>
      <c r="B3" s="169">
        <v>3</v>
      </c>
      <c r="C3" s="169"/>
      <c r="D3" s="169">
        <v>5</v>
      </c>
      <c r="E3" s="169"/>
      <c r="F3" s="169">
        <v>16</v>
      </c>
      <c r="G3" s="169"/>
      <c r="H3" s="169">
        <v>12</v>
      </c>
      <c r="I3" s="169"/>
      <c r="J3" s="169">
        <v>17</v>
      </c>
      <c r="K3" s="169"/>
      <c r="M3" s="161" t="s">
        <v>177</v>
      </c>
      <c r="N3" s="161"/>
      <c r="O3" s="161"/>
      <c r="P3" s="161"/>
      <c r="Q3" s="161"/>
      <c r="R3" s="161"/>
    </row>
    <row r="4" spans="1:28" ht="57.75" customHeight="1" x14ac:dyDescent="0.25">
      <c r="A4" t="s">
        <v>36</v>
      </c>
      <c r="B4" s="184" t="s">
        <v>38</v>
      </c>
      <c r="C4" s="184"/>
      <c r="D4" s="184" t="s">
        <v>40</v>
      </c>
      <c r="E4" s="184"/>
      <c r="F4" s="184" t="s">
        <v>44</v>
      </c>
      <c r="G4" s="184"/>
      <c r="H4" s="184" t="s">
        <v>42</v>
      </c>
      <c r="I4" s="184"/>
      <c r="J4" s="184" t="s">
        <v>46</v>
      </c>
      <c r="K4" s="184"/>
      <c r="M4" s="185" t="s">
        <v>50</v>
      </c>
      <c r="N4" s="185"/>
      <c r="O4" s="185"/>
      <c r="P4" s="185"/>
      <c r="V4" t="s">
        <v>79</v>
      </c>
      <c r="W4" s="54" t="s">
        <v>82</v>
      </c>
      <c r="X4" s="54" t="s">
        <v>174</v>
      </c>
    </row>
    <row r="5" spans="1:28" ht="29.25" customHeight="1" thickBot="1" x14ac:dyDescent="0.3">
      <c r="A5" t="s">
        <v>37</v>
      </c>
      <c r="B5" s="169" t="s">
        <v>39</v>
      </c>
      <c r="C5" s="169"/>
      <c r="D5" s="169" t="s">
        <v>41</v>
      </c>
      <c r="E5" s="169"/>
      <c r="F5" s="169" t="s">
        <v>45</v>
      </c>
      <c r="G5" s="169"/>
      <c r="H5" s="169" t="s">
        <v>43</v>
      </c>
      <c r="I5" s="169"/>
      <c r="J5" s="169" t="s">
        <v>47</v>
      </c>
      <c r="K5" s="169"/>
      <c r="L5" t="e">
        <f xml:space="preserve"> Data!P181:T181In</f>
        <v>#NAME?</v>
      </c>
      <c r="V5" t="s">
        <v>80</v>
      </c>
      <c r="W5" t="s">
        <v>81</v>
      </c>
    </row>
    <row r="6" spans="1:28" x14ac:dyDescent="0.25">
      <c r="B6" s="11" t="s">
        <v>48</v>
      </c>
      <c r="C6" s="11" t="s">
        <v>49</v>
      </c>
      <c r="D6" s="11" t="s">
        <v>48</v>
      </c>
      <c r="E6" s="11" t="s">
        <v>49</v>
      </c>
      <c r="F6" s="11" t="s">
        <v>48</v>
      </c>
      <c r="G6" s="11" t="s">
        <v>49</v>
      </c>
      <c r="H6" s="11" t="s">
        <v>48</v>
      </c>
      <c r="I6" s="11" t="s">
        <v>49</v>
      </c>
      <c r="J6" s="11" t="s">
        <v>48</v>
      </c>
      <c r="K6" s="11" t="s">
        <v>49</v>
      </c>
      <c r="M6" s="13"/>
      <c r="N6" s="24" t="s">
        <v>51</v>
      </c>
      <c r="O6" s="24" t="s">
        <v>52</v>
      </c>
      <c r="P6" s="24" t="s">
        <v>53</v>
      </c>
      <c r="Q6" s="24" t="s">
        <v>43</v>
      </c>
      <c r="R6" s="24" t="s">
        <v>54</v>
      </c>
      <c r="Y6" s="157" t="s">
        <v>175</v>
      </c>
      <c r="Z6" s="158"/>
      <c r="AA6" s="158"/>
      <c r="AB6" s="159"/>
    </row>
    <row r="7" spans="1:28" ht="15.75" thickBot="1" x14ac:dyDescent="0.3">
      <c r="A7" s="8">
        <v>36860</v>
      </c>
      <c r="B7">
        <v>283</v>
      </c>
      <c r="C7" s="12"/>
      <c r="D7">
        <v>144.66</v>
      </c>
      <c r="E7" s="12"/>
      <c r="F7">
        <v>427.02</v>
      </c>
      <c r="G7" s="12"/>
      <c r="H7">
        <v>2057</v>
      </c>
      <c r="I7" s="12"/>
      <c r="J7">
        <v>1297.77</v>
      </c>
      <c r="K7" s="12"/>
      <c r="M7" s="3" t="s">
        <v>57</v>
      </c>
      <c r="N7" s="27">
        <f xml:space="preserve"> AVERAGE(C8:C167)</f>
        <v>1.9744587208394568E-3</v>
      </c>
      <c r="O7" s="47">
        <f xml:space="preserve"> AVERAGE(E8:E167)</f>
        <v>1.6710563978123767E-2</v>
      </c>
      <c r="P7" s="27">
        <f xml:space="preserve"> AVERAGE(G8:G167)</f>
        <v>3.0048799521445713E-3</v>
      </c>
      <c r="Q7" s="27">
        <f xml:space="preserve"> AVERAGE(I8:I167)</f>
        <v>-4.4045302809180893E-4</v>
      </c>
      <c r="R7" s="48">
        <f xml:space="preserve"> AVERAGE(K8:K167)</f>
        <v>5.6810920024241568E-3</v>
      </c>
      <c r="T7" t="s">
        <v>76</v>
      </c>
      <c r="V7">
        <v>2945.06</v>
      </c>
      <c r="W7">
        <v>5.8907000000000007</v>
      </c>
      <c r="X7" s="64"/>
      <c r="Y7" s="75"/>
      <c r="Z7" s="160">
        <f xml:space="preserve"> AVERAGE(X8:X167)</f>
        <v>2.0871385150192301E-3</v>
      </c>
      <c r="AA7" s="160"/>
      <c r="AB7" s="77"/>
    </row>
    <row r="8" spans="1:28" x14ac:dyDescent="0.25">
      <c r="A8" s="8">
        <v>36889</v>
      </c>
      <c r="B8">
        <v>272.75</v>
      </c>
      <c r="C8">
        <f>(B8-B7)/B7</f>
        <v>-3.6219081272084806E-2</v>
      </c>
      <c r="D8">
        <v>140.58000000000001</v>
      </c>
      <c r="E8">
        <f>(D8-D7)/D7</f>
        <v>-2.8204064703442444E-2</v>
      </c>
      <c r="F8">
        <v>401.07</v>
      </c>
      <c r="G8">
        <f>(F8-F7)/F7</f>
        <v>-6.076998735422226E-2</v>
      </c>
      <c r="H8">
        <v>1890</v>
      </c>
      <c r="I8">
        <f>(H8-H7)/H7</f>
        <v>-8.1186193485658725E-2</v>
      </c>
      <c r="J8">
        <v>1273.33</v>
      </c>
      <c r="K8">
        <f xml:space="preserve"> (J8-J7)/J7</f>
        <v>-1.8832304645661446E-2</v>
      </c>
      <c r="M8" s="3" t="s">
        <v>56</v>
      </c>
      <c r="N8" s="27">
        <f>VARP(C8:C167)</f>
        <v>3.3852353465469646E-3</v>
      </c>
      <c r="O8" s="27">
        <f>VARP(E8:E167)</f>
        <v>8.7838561943314204E-3</v>
      </c>
      <c r="P8" s="27">
        <f>VARP(G8:G167)</f>
        <v>7.2781700032193983E-3</v>
      </c>
      <c r="Q8" s="27">
        <f>VARP(I8:I167)</f>
        <v>2.3189636773538282E-3</v>
      </c>
      <c r="R8" s="48">
        <f>VARP(K8:K167)</f>
        <v>2.8306743361929242E-3</v>
      </c>
      <c r="V8">
        <v>2983.81</v>
      </c>
      <c r="W8">
        <v>5.7812999999999999</v>
      </c>
      <c r="X8">
        <f xml:space="preserve"> (V8-V7)/V7</f>
        <v>1.3157626669745268E-2</v>
      </c>
    </row>
    <row r="9" spans="1:28" x14ac:dyDescent="0.25">
      <c r="A9" s="8">
        <v>36922</v>
      </c>
      <c r="B9">
        <v>241</v>
      </c>
      <c r="C9">
        <f>(B9-B8)/B8</f>
        <v>-0.11640696608615948</v>
      </c>
      <c r="D9">
        <v>141.83000000000001</v>
      </c>
      <c r="E9">
        <f>(D9-D8)/D8</f>
        <v>8.8917342438469184E-3</v>
      </c>
      <c r="F9">
        <v>499.24</v>
      </c>
      <c r="G9">
        <f>(F9-F8)/F8</f>
        <v>0.24477023960904584</v>
      </c>
      <c r="H9">
        <v>1795</v>
      </c>
      <c r="I9">
        <f>(H9-H8)/H8</f>
        <v>-5.0264550264550262E-2</v>
      </c>
      <c r="J9">
        <v>1146.6600000000001</v>
      </c>
      <c r="K9">
        <f xml:space="preserve"> (J9-J8)/J8</f>
        <v>-9.9479318008685771E-2</v>
      </c>
      <c r="M9" s="3" t="s">
        <v>55</v>
      </c>
      <c r="N9" s="27">
        <f>STDEVP(C8:C167)</f>
        <v>5.8182775342423852E-2</v>
      </c>
      <c r="O9" s="27">
        <f t="shared" ref="O9" si="0">STDEVP(E8:E167)</f>
        <v>9.3722228923193138E-2</v>
      </c>
      <c r="P9" s="27">
        <f>STDEVP(G8:G167)</f>
        <v>8.5312191410251551E-2</v>
      </c>
      <c r="Q9" s="47">
        <f>STDEVP(I8:I167)</f>
        <v>4.8155619374625723E-2</v>
      </c>
      <c r="R9" s="48">
        <f>STDEVP(K8:K167)</f>
        <v>5.3204081950475608E-2</v>
      </c>
      <c r="T9" t="s">
        <v>77</v>
      </c>
      <c r="V9">
        <v>3030.05</v>
      </c>
      <c r="W9">
        <v>5.8282000000000007</v>
      </c>
      <c r="X9">
        <f xml:space="preserve"> (V9-V8)/V8</f>
        <v>1.5496965289344911E-2</v>
      </c>
    </row>
    <row r="10" spans="1:28" x14ac:dyDescent="0.25">
      <c r="A10" s="8">
        <v>36950</v>
      </c>
      <c r="B10">
        <v>262.5</v>
      </c>
      <c r="C10">
        <f>(B10-B9)/B9</f>
        <v>8.9211618257261413E-2</v>
      </c>
      <c r="D10">
        <v>142.18</v>
      </c>
      <c r="E10">
        <f t="shared" ref="E10:E72" si="1">(D10-D9)/D9</f>
        <v>2.4677430726926198E-3</v>
      </c>
      <c r="F10">
        <v>399.67</v>
      </c>
      <c r="G10">
        <f t="shared" ref="G10:G72" si="2">(F10-F9)/F9</f>
        <v>-0.19944315359346204</v>
      </c>
      <c r="H10">
        <v>1905</v>
      </c>
      <c r="I10">
        <f t="shared" ref="I10:I72" si="3">(H10-H9)/H9</f>
        <v>6.1281337047353758E-2</v>
      </c>
      <c r="J10">
        <v>1148.8800000000001</v>
      </c>
      <c r="K10">
        <f t="shared" ref="K10:K72" si="4" xml:space="preserve"> (J10-J9)/J9</f>
        <v>1.9360577677777432E-3</v>
      </c>
      <c r="V10">
        <v>2868</v>
      </c>
      <c r="W10">
        <v>5.6407000000000007</v>
      </c>
      <c r="X10">
        <f t="shared" ref="X10:X73" si="5" xml:space="preserve"> (V10-V9)/V9</f>
        <v>-5.3480965660632721E-2</v>
      </c>
    </row>
    <row r="11" spans="1:28" x14ac:dyDescent="0.25">
      <c r="A11" s="8">
        <v>36980</v>
      </c>
      <c r="B11">
        <v>251</v>
      </c>
      <c r="C11">
        <f>(B11-B10)/B10</f>
        <v>-4.3809523809523812E-2</v>
      </c>
      <c r="D11">
        <v>154.94</v>
      </c>
      <c r="E11">
        <f t="shared" si="1"/>
        <v>8.974539316359538E-2</v>
      </c>
      <c r="F11">
        <v>357.6</v>
      </c>
      <c r="G11">
        <f t="shared" si="2"/>
        <v>-0.10526184101884052</v>
      </c>
      <c r="H11">
        <v>1841</v>
      </c>
      <c r="I11">
        <f t="shared" si="3"/>
        <v>-3.3595800524934383E-2</v>
      </c>
      <c r="J11">
        <v>1127.77</v>
      </c>
      <c r="K11">
        <f t="shared" si="4"/>
        <v>-1.8374416823341101E-2</v>
      </c>
      <c r="M11" s="14"/>
      <c r="N11" s="162" t="s">
        <v>58</v>
      </c>
      <c r="O11" s="163"/>
      <c r="P11" s="163"/>
      <c r="Q11" s="163"/>
      <c r="R11" s="164"/>
      <c r="S11" s="23"/>
      <c r="T11" s="23"/>
      <c r="U11" s="23"/>
      <c r="V11">
        <v>2711.4</v>
      </c>
      <c r="W11">
        <v>5.6407000000000007</v>
      </c>
      <c r="X11">
        <f t="shared" si="5"/>
        <v>-5.4602510460251011E-2</v>
      </c>
    </row>
    <row r="12" spans="1:28" x14ac:dyDescent="0.25">
      <c r="A12" s="8">
        <v>37011</v>
      </c>
      <c r="B12">
        <v>250</v>
      </c>
      <c r="C12">
        <f t="shared" ref="C12:C75" si="6">(B12-B11)/B11</f>
        <v>-3.9840637450199202E-3</v>
      </c>
      <c r="D12">
        <v>151.04</v>
      </c>
      <c r="E12">
        <f t="shared" si="1"/>
        <v>-2.5171033948625313E-2</v>
      </c>
      <c r="F12">
        <v>391.26</v>
      </c>
      <c r="G12">
        <f t="shared" si="2"/>
        <v>9.4127516778523393E-2</v>
      </c>
      <c r="H12">
        <v>1847</v>
      </c>
      <c r="I12">
        <f t="shared" si="3"/>
        <v>3.2590983161325366E-3</v>
      </c>
      <c r="J12">
        <v>1173.33</v>
      </c>
      <c r="K12">
        <f t="shared" si="4"/>
        <v>4.0398308165672032E-2</v>
      </c>
      <c r="M12" s="15"/>
      <c r="N12" s="24" t="s">
        <v>51</v>
      </c>
      <c r="O12" s="24" t="s">
        <v>59</v>
      </c>
      <c r="P12" s="24" t="s">
        <v>53</v>
      </c>
      <c r="Q12" s="24" t="s">
        <v>43</v>
      </c>
      <c r="R12" s="24" t="s">
        <v>54</v>
      </c>
      <c r="V12">
        <v>2869.04</v>
      </c>
      <c r="W12">
        <v>5.3437999999999999</v>
      </c>
      <c r="X12">
        <f t="shared" si="5"/>
        <v>5.8139706424725185E-2</v>
      </c>
    </row>
    <row r="13" spans="1:28" x14ac:dyDescent="0.25">
      <c r="A13" s="8">
        <v>37042</v>
      </c>
      <c r="B13">
        <v>249</v>
      </c>
      <c r="C13">
        <f t="shared" si="6"/>
        <v>-4.0000000000000001E-3</v>
      </c>
      <c r="D13">
        <v>168.42000000000002</v>
      </c>
      <c r="E13">
        <f t="shared" si="1"/>
        <v>0.11506885593220355</v>
      </c>
      <c r="F13">
        <v>339.69</v>
      </c>
      <c r="G13">
        <f t="shared" si="2"/>
        <v>-0.13180493789296119</v>
      </c>
      <c r="H13">
        <v>1912</v>
      </c>
      <c r="I13">
        <f t="shared" si="3"/>
        <v>3.519220357336221E-2</v>
      </c>
      <c r="J13">
        <v>1192.22</v>
      </c>
      <c r="K13">
        <f t="shared" si="4"/>
        <v>1.6099477555334051E-2</v>
      </c>
      <c r="M13" s="24" t="s">
        <v>51</v>
      </c>
      <c r="N13" s="21">
        <f xml:space="preserve"> N8</f>
        <v>3.3852353465469646E-3</v>
      </c>
      <c r="O13" s="21">
        <f>COVAR(C8:C167,E8:E167)</f>
        <v>1.4254688694220444E-3</v>
      </c>
      <c r="P13" s="21">
        <f>COVAR(C8:C167,G8:G167)</f>
        <v>9.5735915616842961E-4</v>
      </c>
      <c r="Q13" s="21">
        <f>COVAR(C8:C167,I8:I167)</f>
        <v>1.2376809127815015E-3</v>
      </c>
      <c r="R13" s="21">
        <f>COVAR(C8:C167,K8:K167)</f>
        <v>1.157397705097829E-3</v>
      </c>
      <c r="V13">
        <v>2811.2200000000003</v>
      </c>
      <c r="W13">
        <v>5.2501000000000007</v>
      </c>
      <c r="X13">
        <f t="shared" si="5"/>
        <v>-2.0153082564202559E-2</v>
      </c>
    </row>
    <row r="14" spans="1:28" x14ac:dyDescent="0.25">
      <c r="A14" s="8">
        <v>37071</v>
      </c>
      <c r="B14">
        <v>256.5</v>
      </c>
      <c r="C14">
        <f t="shared" si="6"/>
        <v>3.0120481927710843E-2</v>
      </c>
      <c r="D14">
        <v>166.29</v>
      </c>
      <c r="E14">
        <f t="shared" si="1"/>
        <v>-1.2646954043462912E-2</v>
      </c>
      <c r="F14">
        <v>349.06</v>
      </c>
      <c r="G14">
        <f t="shared" si="2"/>
        <v>2.7583973623009229E-2</v>
      </c>
      <c r="H14">
        <v>2000</v>
      </c>
      <c r="I14">
        <f t="shared" si="3"/>
        <v>4.6025104602510462E-2</v>
      </c>
      <c r="J14">
        <v>1331.1100000000001</v>
      </c>
      <c r="K14">
        <f t="shared" si="4"/>
        <v>0.11649695525993532</v>
      </c>
      <c r="M14" s="24" t="s">
        <v>60</v>
      </c>
      <c r="N14" s="21">
        <f>O13</f>
        <v>1.4254688694220444E-3</v>
      </c>
      <c r="O14" s="21">
        <f>O8</f>
        <v>8.7838561943314204E-3</v>
      </c>
      <c r="P14" s="21">
        <f>COVAR(E8:E167,G8:G167)</f>
        <v>3.2828553815257579E-3</v>
      </c>
      <c r="Q14" s="21">
        <f xml:space="preserve"> COVAR(E8:E167,I8:I167)</f>
        <v>6.885349179179968E-4</v>
      </c>
      <c r="R14" s="21">
        <f>COVAR(E8:E167,K8:K167)</f>
        <v>1.0831320388796398E-3</v>
      </c>
      <c r="V14">
        <v>2728.12</v>
      </c>
      <c r="W14">
        <v>5.1718999999999999</v>
      </c>
      <c r="X14">
        <f t="shared" si="5"/>
        <v>-2.9560119805636113E-2</v>
      </c>
    </row>
    <row r="15" spans="1:28" x14ac:dyDescent="0.25">
      <c r="A15" s="8">
        <v>37103</v>
      </c>
      <c r="B15">
        <v>251</v>
      </c>
      <c r="C15">
        <f t="shared" si="6"/>
        <v>-2.1442495126705652E-2</v>
      </c>
      <c r="D15">
        <v>159.02000000000001</v>
      </c>
      <c r="E15">
        <f t="shared" si="1"/>
        <v>-4.3718804498165745E-2</v>
      </c>
      <c r="F15">
        <v>381.08</v>
      </c>
      <c r="G15">
        <f t="shared" si="2"/>
        <v>9.1732080444622652E-2</v>
      </c>
      <c r="H15">
        <v>2027</v>
      </c>
      <c r="I15">
        <f t="shared" si="3"/>
        <v>1.35E-2</v>
      </c>
      <c r="J15">
        <v>1331.1100000000001</v>
      </c>
      <c r="K15">
        <f t="shared" si="4"/>
        <v>0</v>
      </c>
      <c r="M15" s="24" t="s">
        <v>53</v>
      </c>
      <c r="N15" s="21">
        <f>P13</f>
        <v>9.5735915616842961E-4</v>
      </c>
      <c r="O15" s="21">
        <f>P14</f>
        <v>3.2828553815257579E-3</v>
      </c>
      <c r="P15" s="21">
        <f>P8</f>
        <v>7.2781700032193983E-3</v>
      </c>
      <c r="Q15" s="21">
        <f>COVAR(G8:G167,I8:I167)</f>
        <v>5.0003437807899498E-4</v>
      </c>
      <c r="R15" s="21">
        <f>COVAR(G8:G167, K8:K167)</f>
        <v>9.5252954589076871E-4</v>
      </c>
      <c r="V15">
        <v>2663.92</v>
      </c>
      <c r="W15">
        <v>5.1718999999999999</v>
      </c>
      <c r="X15">
        <f t="shared" si="5"/>
        <v>-2.3532689177895336E-2</v>
      </c>
    </row>
    <row r="16" spans="1:28" x14ac:dyDescent="0.25">
      <c r="A16" s="8">
        <v>37134</v>
      </c>
      <c r="B16">
        <v>260.5</v>
      </c>
      <c r="C16">
        <f t="shared" si="6"/>
        <v>3.7848605577689244E-2</v>
      </c>
      <c r="D16">
        <v>154.59</v>
      </c>
      <c r="E16">
        <f t="shared" si="1"/>
        <v>-2.7858131052697816E-2</v>
      </c>
      <c r="F16">
        <v>329.54</v>
      </c>
      <c r="G16">
        <f t="shared" si="2"/>
        <v>-0.13524719219061607</v>
      </c>
      <c r="H16">
        <v>1828</v>
      </c>
      <c r="I16">
        <f t="shared" si="3"/>
        <v>-9.8174642328564377E-2</v>
      </c>
      <c r="J16">
        <v>1306.6600000000001</v>
      </c>
      <c r="K16">
        <f t="shared" si="4"/>
        <v>-1.836812885486552E-2</v>
      </c>
      <c r="M16" s="24" t="s">
        <v>43</v>
      </c>
      <c r="N16" s="21">
        <f>Q13</f>
        <v>1.2376809127815015E-3</v>
      </c>
      <c r="O16" s="21">
        <f>Q14</f>
        <v>6.885349179179968E-4</v>
      </c>
      <c r="P16" s="21">
        <f>Q15</f>
        <v>5.0003437807899498E-4</v>
      </c>
      <c r="Q16" s="21">
        <f xml:space="preserve"> Q8</f>
        <v>2.3189636773538282E-3</v>
      </c>
      <c r="R16" s="21">
        <f>COVAR(I8:I167,K8:K167)</f>
        <v>6.6032216726947493E-4</v>
      </c>
      <c r="V16">
        <v>2590.17</v>
      </c>
      <c r="W16">
        <v>4.8281999999999998</v>
      </c>
      <c r="X16">
        <f t="shared" si="5"/>
        <v>-2.7684765308267516E-2</v>
      </c>
    </row>
    <row r="17" spans="1:24" x14ac:dyDescent="0.25">
      <c r="A17" s="8">
        <v>37162</v>
      </c>
      <c r="B17">
        <v>256</v>
      </c>
      <c r="C17">
        <f t="shared" si="6"/>
        <v>-1.7274472168905951E-2</v>
      </c>
      <c r="D17">
        <v>92.19</v>
      </c>
      <c r="E17">
        <f t="shared" si="1"/>
        <v>-0.40364836017853678</v>
      </c>
      <c r="F17">
        <v>265.51</v>
      </c>
      <c r="G17">
        <f t="shared" si="2"/>
        <v>-0.19430114705346854</v>
      </c>
      <c r="H17">
        <v>1920</v>
      </c>
      <c r="I17">
        <f t="shared" si="3"/>
        <v>5.0328227571115977E-2</v>
      </c>
      <c r="J17">
        <v>1147.77</v>
      </c>
      <c r="K17">
        <f t="shared" si="4"/>
        <v>-0.12160011020464397</v>
      </c>
      <c r="M17" s="24" t="s">
        <v>54</v>
      </c>
      <c r="N17" s="21">
        <f>R13</f>
        <v>1.157397705097829E-3</v>
      </c>
      <c r="O17" s="21">
        <f>R14</f>
        <v>1.0831320388796398E-3</v>
      </c>
      <c r="P17" s="21">
        <f>R15</f>
        <v>9.5252954589076871E-4</v>
      </c>
      <c r="Q17" s="21">
        <f>R16</f>
        <v>6.6032216726947493E-4</v>
      </c>
      <c r="R17" s="21">
        <f>R8</f>
        <v>2.8306743361929242E-3</v>
      </c>
      <c r="V17">
        <v>2340.48</v>
      </c>
      <c r="W17">
        <v>4.6406999999999998</v>
      </c>
      <c r="X17">
        <f t="shared" si="5"/>
        <v>-9.6399078052791923E-2</v>
      </c>
    </row>
    <row r="18" spans="1:24" x14ac:dyDescent="0.25">
      <c r="A18" s="8">
        <v>37195</v>
      </c>
      <c r="B18">
        <v>242.5</v>
      </c>
      <c r="C18">
        <f t="shared" si="6"/>
        <v>-5.2734375E-2</v>
      </c>
      <c r="D18">
        <v>106.01</v>
      </c>
      <c r="E18">
        <f t="shared" si="1"/>
        <v>0.14990779911053267</v>
      </c>
      <c r="F18">
        <v>271.75</v>
      </c>
      <c r="G18">
        <f t="shared" si="2"/>
        <v>2.3501939663289555E-2</v>
      </c>
      <c r="H18">
        <v>1850</v>
      </c>
      <c r="I18">
        <f t="shared" si="3"/>
        <v>-3.6458333333333336E-2</v>
      </c>
      <c r="J18">
        <v>1110</v>
      </c>
      <c r="K18">
        <f t="shared" si="4"/>
        <v>-3.2907289788023715E-2</v>
      </c>
      <c r="V18">
        <v>2413.5</v>
      </c>
      <c r="W18">
        <v>4.2187999999999999</v>
      </c>
      <c r="X18">
        <f t="shared" si="5"/>
        <v>3.1198728465955693E-2</v>
      </c>
    </row>
    <row r="19" spans="1:24" x14ac:dyDescent="0.25">
      <c r="A19" s="8">
        <v>37225</v>
      </c>
      <c r="B19">
        <v>240.5</v>
      </c>
      <c r="C19">
        <f t="shared" si="6"/>
        <v>-8.2474226804123713E-3</v>
      </c>
      <c r="D19">
        <v>115.41</v>
      </c>
      <c r="E19">
        <f t="shared" si="1"/>
        <v>8.8670880105650329E-2</v>
      </c>
      <c r="F19">
        <v>277</v>
      </c>
      <c r="G19">
        <f t="shared" si="2"/>
        <v>1.9319227230910764E-2</v>
      </c>
      <c r="H19">
        <v>1760</v>
      </c>
      <c r="I19">
        <f t="shared" si="3"/>
        <v>-4.8648648648648651E-2</v>
      </c>
      <c r="J19">
        <v>1258.8800000000001</v>
      </c>
      <c r="K19">
        <f t="shared" si="4"/>
        <v>0.13412612612612623</v>
      </c>
      <c r="M19" s="16" t="s">
        <v>61</v>
      </c>
      <c r="N19" s="22">
        <v>1.974459E-3</v>
      </c>
      <c r="O19" s="22">
        <v>1.6710564000000001E-2</v>
      </c>
      <c r="P19" s="22">
        <v>3.0048800000000001E-3</v>
      </c>
      <c r="Q19" s="22">
        <v>-4.4045299999999999E-4</v>
      </c>
      <c r="R19" s="22">
        <v>5.6810920000000004E-3</v>
      </c>
      <c r="S19" s="18" t="s">
        <v>63</v>
      </c>
      <c r="V19">
        <v>2514.0700000000002</v>
      </c>
      <c r="W19">
        <v>3.9688000000000003</v>
      </c>
      <c r="X19">
        <f t="shared" si="5"/>
        <v>4.1669774186865613E-2</v>
      </c>
    </row>
    <row r="20" spans="1:24" x14ac:dyDescent="0.25">
      <c r="A20" s="8">
        <v>37256</v>
      </c>
      <c r="B20">
        <v>249</v>
      </c>
      <c r="C20">
        <f t="shared" si="6"/>
        <v>3.5343035343035345E-2</v>
      </c>
      <c r="D20">
        <v>118.07000000000001</v>
      </c>
      <c r="E20">
        <f t="shared" si="1"/>
        <v>2.3048262715536009E-2</v>
      </c>
      <c r="F20">
        <v>253</v>
      </c>
      <c r="G20">
        <f t="shared" si="2"/>
        <v>-8.6642599277978335E-2</v>
      </c>
      <c r="H20">
        <v>1723</v>
      </c>
      <c r="I20">
        <f t="shared" si="3"/>
        <v>-2.1022727272727273E-2</v>
      </c>
      <c r="J20">
        <v>1253.33</v>
      </c>
      <c r="K20">
        <f t="shared" si="4"/>
        <v>-4.4086807320794525E-3</v>
      </c>
      <c r="M20" s="17" t="s">
        <v>62</v>
      </c>
      <c r="N20" s="25">
        <v>0.2</v>
      </c>
      <c r="O20" s="25">
        <v>0.2</v>
      </c>
      <c r="P20" s="25">
        <v>0.23</v>
      </c>
      <c r="Q20" s="25">
        <v>0.2</v>
      </c>
      <c r="R20" s="25">
        <v>0.2</v>
      </c>
      <c r="S20" s="26">
        <f>SUM(N20:R20)</f>
        <v>1.03</v>
      </c>
      <c r="V20">
        <v>2523.88</v>
      </c>
      <c r="W20">
        <v>4.0468999999999999</v>
      </c>
      <c r="X20">
        <f t="shared" si="5"/>
        <v>3.902039322691868E-3</v>
      </c>
    </row>
    <row r="21" spans="1:24" ht="15.75" thickBot="1" x14ac:dyDescent="0.3">
      <c r="A21" s="8">
        <v>37287</v>
      </c>
      <c r="B21">
        <v>234.75</v>
      </c>
      <c r="C21">
        <f t="shared" si="6"/>
        <v>-5.7228915662650599E-2</v>
      </c>
      <c r="D21">
        <v>112.04</v>
      </c>
      <c r="E21">
        <f t="shared" si="1"/>
        <v>-5.1071398323028719E-2</v>
      </c>
      <c r="F21">
        <v>224.5</v>
      </c>
      <c r="G21">
        <f t="shared" si="2"/>
        <v>-0.11264822134387352</v>
      </c>
      <c r="H21">
        <v>1689</v>
      </c>
      <c r="I21">
        <f t="shared" si="3"/>
        <v>-1.9733023795705164E-2</v>
      </c>
      <c r="J21">
        <v>1265.55</v>
      </c>
      <c r="K21">
        <f t="shared" si="4"/>
        <v>9.7500259309200518E-3</v>
      </c>
      <c r="V21">
        <v>2496.02</v>
      </c>
      <c r="W21">
        <v>3.9688000000000003</v>
      </c>
      <c r="X21">
        <f t="shared" si="5"/>
        <v>-1.1038559677956212E-2</v>
      </c>
    </row>
    <row r="22" spans="1:24" x14ac:dyDescent="0.25">
      <c r="A22" s="8">
        <v>37315</v>
      </c>
      <c r="B22">
        <v>252</v>
      </c>
      <c r="C22">
        <f t="shared" si="6"/>
        <v>7.3482428115015971E-2</v>
      </c>
      <c r="D22">
        <v>114.17</v>
      </c>
      <c r="E22">
        <f t="shared" si="1"/>
        <v>1.9011067475901422E-2</v>
      </c>
      <c r="F22">
        <v>255.75</v>
      </c>
      <c r="G22">
        <f t="shared" si="2"/>
        <v>0.13919821826280623</v>
      </c>
      <c r="H22">
        <v>1724</v>
      </c>
      <c r="I22">
        <f t="shared" si="3"/>
        <v>2.0722320899940794E-2</v>
      </c>
      <c r="J22">
        <v>1302.22</v>
      </c>
      <c r="K22">
        <f t="shared" si="4"/>
        <v>2.8975544229781578E-2</v>
      </c>
      <c r="M22" s="13"/>
      <c r="N22" s="186" t="s">
        <v>64</v>
      </c>
      <c r="O22" s="187"/>
      <c r="Q22" s="170" t="s">
        <v>164</v>
      </c>
      <c r="R22" s="171"/>
      <c r="V22">
        <v>2466.98</v>
      </c>
      <c r="W22">
        <v>3.9375</v>
      </c>
      <c r="X22">
        <f t="shared" si="5"/>
        <v>-1.1634522159277556E-2</v>
      </c>
    </row>
    <row r="23" spans="1:24" x14ac:dyDescent="0.25">
      <c r="A23" s="8">
        <v>37344</v>
      </c>
      <c r="B23">
        <v>241</v>
      </c>
      <c r="C23">
        <f t="shared" si="6"/>
        <v>-4.3650793650793648E-2</v>
      </c>
      <c r="D23">
        <v>133.67000000000002</v>
      </c>
      <c r="E23">
        <f t="shared" si="1"/>
        <v>0.17079793290706852</v>
      </c>
      <c r="F23">
        <v>280</v>
      </c>
      <c r="G23">
        <f t="shared" si="2"/>
        <v>9.4819159335288367E-2</v>
      </c>
      <c r="H23">
        <v>1654</v>
      </c>
      <c r="I23">
        <f t="shared" si="3"/>
        <v>-4.0603248259860787E-2</v>
      </c>
      <c r="J23">
        <v>1248.8800000000001</v>
      </c>
      <c r="K23">
        <f t="shared" si="4"/>
        <v>-4.0960820752253782E-2</v>
      </c>
      <c r="M23" s="3" t="s">
        <v>57</v>
      </c>
      <c r="N23" s="28">
        <f xml:space="preserve"> SUMPRODUCT(N19:R19,N20:R20)</f>
        <v>5.4762548000000001E-3</v>
      </c>
      <c r="O23" s="20"/>
      <c r="Q23" s="172" t="s">
        <v>162</v>
      </c>
      <c r="R23" s="173"/>
      <c r="V23">
        <v>2557.4</v>
      </c>
      <c r="W23">
        <v>3.9688000000000003</v>
      </c>
      <c r="X23">
        <f t="shared" si="5"/>
        <v>3.6652100949338899E-2</v>
      </c>
    </row>
    <row r="24" spans="1:24" x14ac:dyDescent="0.25">
      <c r="A24" s="8">
        <v>37376</v>
      </c>
      <c r="B24">
        <v>263</v>
      </c>
      <c r="C24">
        <f t="shared" si="6"/>
        <v>9.1286307053941904E-2</v>
      </c>
      <c r="D24">
        <v>134.72999999999999</v>
      </c>
      <c r="E24">
        <f t="shared" si="1"/>
        <v>7.9299768085581927E-3</v>
      </c>
      <c r="F24">
        <v>258</v>
      </c>
      <c r="G24">
        <f t="shared" si="2"/>
        <v>-7.857142857142857E-2</v>
      </c>
      <c r="H24">
        <v>1660</v>
      </c>
      <c r="I24">
        <f t="shared" si="3"/>
        <v>3.6275695284159614E-3</v>
      </c>
      <c r="J24">
        <v>1395.55</v>
      </c>
      <c r="K24">
        <f t="shared" si="4"/>
        <v>0.11744122733969624</v>
      </c>
      <c r="M24" s="3" t="s">
        <v>56</v>
      </c>
      <c r="N24" s="29">
        <f t="array" ref="N24" xml:space="preserve"> MMULT(MMULT(N20:R20,N13:R17),TRANSPOSE(N20:R20))</f>
        <v>2.1017029227298747E-3</v>
      </c>
      <c r="O24" s="20"/>
      <c r="Q24" s="172" t="s">
        <v>163</v>
      </c>
      <c r="R24" s="174"/>
      <c r="V24">
        <v>2512.04</v>
      </c>
      <c r="W24">
        <v>3.9375</v>
      </c>
      <c r="X24">
        <f t="shared" si="5"/>
        <v>-1.7736763900836835E-2</v>
      </c>
    </row>
    <row r="25" spans="1:24" ht="15.75" thickBot="1" x14ac:dyDescent="0.3">
      <c r="A25" s="8">
        <v>37407</v>
      </c>
      <c r="B25">
        <v>258</v>
      </c>
      <c r="C25">
        <f t="shared" si="6"/>
        <v>-1.9011406844106463E-2</v>
      </c>
      <c r="D25">
        <v>131.9</v>
      </c>
      <c r="E25">
        <f t="shared" si="1"/>
        <v>-2.1004972908780409E-2</v>
      </c>
      <c r="F25">
        <v>280.25</v>
      </c>
      <c r="G25">
        <f t="shared" si="2"/>
        <v>8.624031007751938E-2</v>
      </c>
      <c r="H25">
        <v>1404</v>
      </c>
      <c r="I25">
        <f t="shared" si="3"/>
        <v>-0.15421686746987953</v>
      </c>
      <c r="J25">
        <v>1395.55</v>
      </c>
      <c r="K25">
        <f t="shared" si="4"/>
        <v>0</v>
      </c>
      <c r="M25" s="3" t="s">
        <v>55</v>
      </c>
      <c r="N25" s="29">
        <f t="array" ref="N25">SQRT(MMULT(MMULT(N20:R20,N13:R17),TRANSPOSE(N20:R20)))</f>
        <v>4.5844333594566238E-2</v>
      </c>
      <c r="O25" s="20"/>
      <c r="Q25" s="175">
        <f xml:space="preserve"> AVERAGE(W108:W167)</f>
        <v>0.57525000000000004</v>
      </c>
      <c r="R25" s="176"/>
      <c r="S25" s="116">
        <f>0.0057525</f>
        <v>5.7524999999999998E-3</v>
      </c>
      <c r="V25">
        <v>2475.5700000000002</v>
      </c>
      <c r="W25">
        <v>3.9688000000000003</v>
      </c>
      <c r="X25">
        <f t="shared" si="5"/>
        <v>-1.4518080922278229E-2</v>
      </c>
    </row>
    <row r="26" spans="1:24" x14ac:dyDescent="0.25">
      <c r="A26" s="8">
        <v>37435</v>
      </c>
      <c r="B26">
        <v>238.5</v>
      </c>
      <c r="C26">
        <f t="shared" si="6"/>
        <v>-7.5581395348837205E-2</v>
      </c>
      <c r="D26">
        <v>114.88</v>
      </c>
      <c r="E26">
        <f t="shared" si="1"/>
        <v>-0.12903714935557248</v>
      </c>
      <c r="F26">
        <v>252</v>
      </c>
      <c r="G26">
        <f t="shared" si="2"/>
        <v>-0.1008028545941124</v>
      </c>
      <c r="H26">
        <v>1418</v>
      </c>
      <c r="I26">
        <f t="shared" si="3"/>
        <v>9.9715099715099714E-3</v>
      </c>
      <c r="J26">
        <v>1328.88</v>
      </c>
      <c r="K26">
        <f t="shared" si="4"/>
        <v>-4.7773279352226611E-2</v>
      </c>
      <c r="M26" s="19"/>
      <c r="N26" s="18"/>
      <c r="V26">
        <v>2263.11</v>
      </c>
      <c r="W26">
        <v>3.9219000000000004</v>
      </c>
      <c r="X26">
        <f t="shared" si="5"/>
        <v>-8.5822659023982367E-2</v>
      </c>
    </row>
    <row r="27" spans="1:24" x14ac:dyDescent="0.25">
      <c r="A27" s="8">
        <v>37468</v>
      </c>
      <c r="B27">
        <v>218.75</v>
      </c>
      <c r="C27">
        <f t="shared" si="6"/>
        <v>-8.2809224318658281E-2</v>
      </c>
      <c r="D27">
        <v>103.71000000000001</v>
      </c>
      <c r="E27">
        <f t="shared" si="1"/>
        <v>-9.7231894150417719E-2</v>
      </c>
      <c r="F27">
        <v>201.5</v>
      </c>
      <c r="G27">
        <f t="shared" si="2"/>
        <v>-0.20039682539682541</v>
      </c>
      <c r="H27">
        <v>1243</v>
      </c>
      <c r="I27">
        <f t="shared" si="3"/>
        <v>-0.12341325811001411</v>
      </c>
      <c r="J27">
        <v>1250</v>
      </c>
      <c r="K27">
        <f t="shared" si="4"/>
        <v>-5.9358256576967146E-2</v>
      </c>
      <c r="M27" s="190" t="s">
        <v>66</v>
      </c>
      <c r="N27" s="191"/>
      <c r="O27" s="191"/>
      <c r="P27" s="191"/>
      <c r="Q27" s="191"/>
      <c r="R27" s="191"/>
      <c r="S27" s="191"/>
      <c r="T27" s="191"/>
      <c r="U27" s="64"/>
      <c r="V27">
        <v>2050.81</v>
      </c>
      <c r="W27">
        <v>3.8594000000000004</v>
      </c>
      <c r="X27">
        <f t="shared" si="5"/>
        <v>-9.3808962003614577E-2</v>
      </c>
    </row>
    <row r="28" spans="1:24" x14ac:dyDescent="0.25">
      <c r="A28" s="8">
        <v>37498</v>
      </c>
      <c r="B28">
        <v>211.5</v>
      </c>
      <c r="C28">
        <f t="shared" si="6"/>
        <v>-3.3142857142857141E-2</v>
      </c>
      <c r="D28">
        <v>99.81</v>
      </c>
      <c r="E28">
        <f t="shared" si="1"/>
        <v>-3.7604859704946536E-2</v>
      </c>
      <c r="F28">
        <v>200</v>
      </c>
      <c r="G28">
        <f t="shared" si="2"/>
        <v>-7.4441687344913151E-3</v>
      </c>
      <c r="H28">
        <v>1216</v>
      </c>
      <c r="I28">
        <f t="shared" si="3"/>
        <v>-2.1721641190667738E-2</v>
      </c>
      <c r="J28">
        <v>1308.8800000000001</v>
      </c>
      <c r="K28">
        <f t="shared" si="4"/>
        <v>4.710400000000009E-2</v>
      </c>
      <c r="M28" s="35"/>
      <c r="N28" s="36" t="s">
        <v>171</v>
      </c>
      <c r="O28" s="36" t="s">
        <v>67</v>
      </c>
      <c r="P28" s="36" t="s">
        <v>68</v>
      </c>
      <c r="Q28" s="36" t="s">
        <v>68</v>
      </c>
      <c r="R28" s="37" t="s">
        <v>78</v>
      </c>
      <c r="S28" s="37" t="s">
        <v>83</v>
      </c>
      <c r="T28" s="37" t="s">
        <v>84</v>
      </c>
      <c r="U28" s="37" t="s">
        <v>170</v>
      </c>
      <c r="V28">
        <v>2046.21</v>
      </c>
      <c r="W28">
        <v>3.9219000000000004</v>
      </c>
      <c r="X28">
        <f t="shared" si="5"/>
        <v>-2.2430161740970198E-3</v>
      </c>
    </row>
    <row r="29" spans="1:24" ht="39" x14ac:dyDescent="0.25">
      <c r="A29" s="8">
        <v>37529</v>
      </c>
      <c r="B29">
        <v>205.75</v>
      </c>
      <c r="C29">
        <f t="shared" si="6"/>
        <v>-2.7186761229314422E-2</v>
      </c>
      <c r="D29">
        <v>70.91</v>
      </c>
      <c r="E29">
        <f t="shared" si="1"/>
        <v>-0.28955014527602452</v>
      </c>
      <c r="F29">
        <v>164.5</v>
      </c>
      <c r="G29">
        <f t="shared" si="2"/>
        <v>-0.17749999999999999</v>
      </c>
      <c r="H29">
        <v>1230</v>
      </c>
      <c r="I29">
        <f t="shared" si="3"/>
        <v>1.1513157894736841E-2</v>
      </c>
      <c r="J29">
        <v>1282.22</v>
      </c>
      <c r="K29">
        <f t="shared" si="4"/>
        <v>-2.0368559379011122E-2</v>
      </c>
      <c r="M29" s="39" t="s">
        <v>69</v>
      </c>
      <c r="N29" s="40" t="s">
        <v>72</v>
      </c>
      <c r="O29" s="40" t="s">
        <v>72</v>
      </c>
      <c r="P29" s="121" t="s">
        <v>75</v>
      </c>
      <c r="Q29" s="46" t="s">
        <v>168</v>
      </c>
      <c r="R29" s="41" t="s">
        <v>72</v>
      </c>
      <c r="S29" s="41" t="s">
        <v>72</v>
      </c>
      <c r="T29" s="41" t="s">
        <v>72</v>
      </c>
      <c r="U29" s="41" t="s">
        <v>72</v>
      </c>
      <c r="V29">
        <v>1801.48</v>
      </c>
      <c r="W29">
        <v>3.875</v>
      </c>
      <c r="X29">
        <f t="shared" si="5"/>
        <v>-0.11960160491836128</v>
      </c>
    </row>
    <row r="30" spans="1:24" ht="26.25" x14ac:dyDescent="0.25">
      <c r="A30" s="8">
        <v>37560</v>
      </c>
      <c r="B30">
        <v>198.25</v>
      </c>
      <c r="C30">
        <f t="shared" si="6"/>
        <v>-3.6452004860267312E-2</v>
      </c>
      <c r="D30">
        <v>73.930000000000007</v>
      </c>
      <c r="E30">
        <f t="shared" si="1"/>
        <v>4.2589197574390218E-2</v>
      </c>
      <c r="F30">
        <v>181.5</v>
      </c>
      <c r="G30">
        <f t="shared" si="2"/>
        <v>0.10334346504559271</v>
      </c>
      <c r="H30">
        <v>1220</v>
      </c>
      <c r="I30">
        <f t="shared" si="3"/>
        <v>-8.130081300813009E-3</v>
      </c>
      <c r="J30">
        <v>1403.33</v>
      </c>
      <c r="K30">
        <f t="shared" si="4"/>
        <v>9.4453369936516277E-2</v>
      </c>
      <c r="M30" s="39" t="s">
        <v>70</v>
      </c>
      <c r="N30" s="40" t="s">
        <v>72</v>
      </c>
      <c r="O30" s="36" t="s">
        <v>72</v>
      </c>
      <c r="P30" s="121" t="s">
        <v>172</v>
      </c>
      <c r="Q30" s="46">
        <v>1.6710564000000001E-2</v>
      </c>
      <c r="R30" s="41" t="s">
        <v>72</v>
      </c>
      <c r="S30" s="41" t="s">
        <v>72</v>
      </c>
      <c r="T30" s="41" t="s">
        <v>72</v>
      </c>
      <c r="U30" s="41" t="s">
        <v>72</v>
      </c>
      <c r="V30">
        <v>1938.71</v>
      </c>
      <c r="W30">
        <v>3.8594000000000004</v>
      </c>
      <c r="X30">
        <f t="shared" si="5"/>
        <v>7.6176255079157151E-2</v>
      </c>
    </row>
    <row r="31" spans="1:24" x14ac:dyDescent="0.25">
      <c r="A31" s="8">
        <v>37589</v>
      </c>
      <c r="B31">
        <v>203</v>
      </c>
      <c r="C31">
        <f t="shared" si="6"/>
        <v>2.3959646910466582E-2</v>
      </c>
      <c r="D31">
        <v>92.19</v>
      </c>
      <c r="E31">
        <f t="shared" si="1"/>
        <v>0.24699039632084391</v>
      </c>
      <c r="F31">
        <v>210</v>
      </c>
      <c r="G31">
        <f t="shared" si="2"/>
        <v>0.15702479338842976</v>
      </c>
      <c r="H31">
        <v>1203</v>
      </c>
      <c r="I31">
        <f t="shared" si="3"/>
        <v>-1.3934426229508197E-2</v>
      </c>
      <c r="J31">
        <v>1272.22</v>
      </c>
      <c r="K31">
        <f t="shared" si="4"/>
        <v>-9.3427775362886781E-2</v>
      </c>
      <c r="M31" s="30"/>
      <c r="N31" s="31"/>
      <c r="O31" s="31"/>
      <c r="P31" s="31"/>
      <c r="Q31" s="31"/>
      <c r="R31" s="32"/>
      <c r="S31" s="32"/>
      <c r="T31" s="32"/>
      <c r="U31" s="32"/>
      <c r="V31">
        <v>2002.97</v>
      </c>
      <c r="W31">
        <v>3.93</v>
      </c>
      <c r="X31">
        <f t="shared" si="5"/>
        <v>3.314575155644732E-2</v>
      </c>
    </row>
    <row r="32" spans="1:24" x14ac:dyDescent="0.25">
      <c r="A32" s="8">
        <v>37621</v>
      </c>
      <c r="B32">
        <v>194</v>
      </c>
      <c r="C32">
        <f t="shared" si="6"/>
        <v>-4.4334975369458129E-2</v>
      </c>
      <c r="D32">
        <v>75.88</v>
      </c>
      <c r="E32">
        <f t="shared" si="1"/>
        <v>-0.17691723614274871</v>
      </c>
      <c r="F32">
        <v>195</v>
      </c>
      <c r="G32">
        <f t="shared" si="2"/>
        <v>-7.1428571428571425E-2</v>
      </c>
      <c r="H32">
        <v>1192</v>
      </c>
      <c r="I32">
        <f t="shared" si="3"/>
        <v>-9.14380714879468E-3</v>
      </c>
      <c r="J32">
        <v>1313.33</v>
      </c>
      <c r="K32">
        <f t="shared" si="4"/>
        <v>3.2313593560862039E-2</v>
      </c>
      <c r="M32" s="30" t="s">
        <v>39</v>
      </c>
      <c r="N32" s="44">
        <v>0.11572121605558677</v>
      </c>
      <c r="O32" s="44">
        <v>0.2</v>
      </c>
      <c r="P32" s="44">
        <v>2.2191847666698811E-2</v>
      </c>
      <c r="Q32" s="44">
        <v>1.9840415302522655E-8</v>
      </c>
      <c r="R32" s="56">
        <v>0</v>
      </c>
      <c r="S32" s="56">
        <v>3.0710588802696722E-2</v>
      </c>
      <c r="T32" s="56">
        <v>0.10002054913379625</v>
      </c>
      <c r="U32" s="56">
        <v>7.6054154395237897E-2</v>
      </c>
      <c r="V32">
        <v>1893.73</v>
      </c>
      <c r="W32">
        <v>3.97</v>
      </c>
      <c r="X32">
        <f t="shared" si="5"/>
        <v>-5.4539009570787382E-2</v>
      </c>
    </row>
    <row r="33" spans="1:24" x14ac:dyDescent="0.25">
      <c r="A33" s="8">
        <v>37652</v>
      </c>
      <c r="B33">
        <v>165.5</v>
      </c>
      <c r="C33">
        <f t="shared" si="6"/>
        <v>-0.14690721649484537</v>
      </c>
      <c r="D33">
        <v>69.320000000000007</v>
      </c>
      <c r="E33">
        <f t="shared" si="1"/>
        <v>-8.6452293094359367E-2</v>
      </c>
      <c r="F33">
        <v>173.5</v>
      </c>
      <c r="G33">
        <f t="shared" si="2"/>
        <v>-0.11025641025641025</v>
      </c>
      <c r="H33">
        <v>1144</v>
      </c>
      <c r="I33">
        <f t="shared" si="3"/>
        <v>-4.0268456375838924E-2</v>
      </c>
      <c r="J33">
        <v>1175.55</v>
      </c>
      <c r="K33">
        <f t="shared" si="4"/>
        <v>-0.10490889570785711</v>
      </c>
      <c r="M33" s="30" t="s">
        <v>60</v>
      </c>
      <c r="N33" s="44">
        <v>3.6710341460613409E-2</v>
      </c>
      <c r="O33" s="44">
        <v>0.2</v>
      </c>
      <c r="P33" s="44">
        <v>5.9397455975953556E-2</v>
      </c>
      <c r="Q33" s="44">
        <v>0.99999993944851273</v>
      </c>
      <c r="R33" s="56">
        <v>0.99999999679382789</v>
      </c>
      <c r="S33" s="56">
        <v>0.88199753794282287</v>
      </c>
      <c r="T33" s="56">
        <v>0.24037538734057207</v>
      </c>
      <c r="U33" s="56">
        <v>0.65226358688305675</v>
      </c>
      <c r="V33">
        <v>1722.28</v>
      </c>
      <c r="W33">
        <v>3.9000000000000004</v>
      </c>
      <c r="X33">
        <f t="shared" si="5"/>
        <v>-9.0535609616999274E-2</v>
      </c>
    </row>
    <row r="34" spans="1:24" x14ac:dyDescent="0.25">
      <c r="A34" s="8">
        <v>37680</v>
      </c>
      <c r="B34">
        <v>162</v>
      </c>
      <c r="C34">
        <f t="shared" si="6"/>
        <v>-2.1148036253776436E-2</v>
      </c>
      <c r="D34">
        <v>56.38</v>
      </c>
      <c r="E34">
        <f t="shared" si="1"/>
        <v>-0.18667051356030009</v>
      </c>
      <c r="F34">
        <v>163.5</v>
      </c>
      <c r="G34">
        <f t="shared" si="2"/>
        <v>-5.7636887608069162E-2</v>
      </c>
      <c r="H34">
        <v>1116</v>
      </c>
      <c r="I34">
        <f t="shared" si="3"/>
        <v>-2.4475524475524476E-2</v>
      </c>
      <c r="J34">
        <v>1257.77</v>
      </c>
      <c r="K34">
        <f t="shared" si="4"/>
        <v>6.9941729403258074E-2</v>
      </c>
      <c r="M34" s="30" t="s">
        <v>71</v>
      </c>
      <c r="N34" s="44">
        <v>9.506559615224365E-2</v>
      </c>
      <c r="O34" s="44">
        <v>0.2</v>
      </c>
      <c r="P34" s="44">
        <v>0.1068502996857542</v>
      </c>
      <c r="Q34" s="44">
        <v>1.0023546595144156E-8</v>
      </c>
      <c r="R34" s="56">
        <v>0</v>
      </c>
      <c r="S34" s="56">
        <v>2.8563153162783721E-2</v>
      </c>
      <c r="T34" s="56">
        <v>9.3026620371918223E-2</v>
      </c>
      <c r="U34" s="56">
        <v>7.8058072389513788E-2</v>
      </c>
      <c r="V34">
        <v>1759.08</v>
      </c>
      <c r="W34">
        <v>3.66</v>
      </c>
      <c r="X34">
        <f t="shared" si="5"/>
        <v>2.1367025106254475E-2</v>
      </c>
    </row>
    <row r="35" spans="1:24" x14ac:dyDescent="0.25">
      <c r="A35" s="8">
        <v>37711</v>
      </c>
      <c r="B35">
        <v>178.25</v>
      </c>
      <c r="C35">
        <f t="shared" si="6"/>
        <v>0.10030864197530864</v>
      </c>
      <c r="D35">
        <v>50.17</v>
      </c>
      <c r="E35">
        <f t="shared" si="1"/>
        <v>-0.11014544164597376</v>
      </c>
      <c r="F35">
        <v>157</v>
      </c>
      <c r="G35">
        <f t="shared" si="2"/>
        <v>-3.9755351681957186E-2</v>
      </c>
      <c r="H35">
        <v>1113</v>
      </c>
      <c r="I35">
        <f t="shared" si="3"/>
        <v>-2.6881720430107529E-3</v>
      </c>
      <c r="J35">
        <v>1302.22</v>
      </c>
      <c r="K35">
        <f t="shared" si="4"/>
        <v>3.5340324542642972E-2</v>
      </c>
      <c r="M35" s="30" t="s">
        <v>43</v>
      </c>
      <c r="N35" s="51">
        <v>0.4391253582406307</v>
      </c>
      <c r="O35" s="51">
        <v>0.2</v>
      </c>
      <c r="P35" s="51">
        <v>0.81156039667161095</v>
      </c>
      <c r="Q35" s="51">
        <v>0</v>
      </c>
      <c r="R35" s="57">
        <v>0</v>
      </c>
      <c r="S35" s="57">
        <v>3.5743355115554272E-2</v>
      </c>
      <c r="T35" s="57">
        <v>0.11641163904303048</v>
      </c>
      <c r="U35" s="57">
        <v>6.2795133170823497E-2</v>
      </c>
      <c r="V35">
        <v>1735.72</v>
      </c>
      <c r="W35">
        <v>3.6300000000000003</v>
      </c>
      <c r="X35">
        <f t="shared" si="5"/>
        <v>-1.3279668917843362E-2</v>
      </c>
    </row>
    <row r="36" spans="1:24" x14ac:dyDescent="0.25">
      <c r="A36" s="8">
        <v>37741</v>
      </c>
      <c r="B36">
        <v>198</v>
      </c>
      <c r="C36">
        <f t="shared" si="6"/>
        <v>0.11079943899018233</v>
      </c>
      <c r="D36">
        <v>64.349999999999994</v>
      </c>
      <c r="E36">
        <f t="shared" si="1"/>
        <v>0.28263902730715551</v>
      </c>
      <c r="F36">
        <v>179.25</v>
      </c>
      <c r="G36">
        <f t="shared" si="2"/>
        <v>0.14171974522292993</v>
      </c>
      <c r="H36">
        <v>1254</v>
      </c>
      <c r="I36">
        <f t="shared" si="3"/>
        <v>0.12668463611859837</v>
      </c>
      <c r="J36">
        <v>1366.66</v>
      </c>
      <c r="K36">
        <f t="shared" si="4"/>
        <v>4.9484726083150354E-2</v>
      </c>
      <c r="M36" s="30" t="s">
        <v>47</v>
      </c>
      <c r="N36" s="51">
        <v>0.31337748809092547</v>
      </c>
      <c r="O36" s="51">
        <v>0.2</v>
      </c>
      <c r="P36" s="51">
        <v>0</v>
      </c>
      <c r="Q36" s="51">
        <v>1.5240690013748052E-7</v>
      </c>
      <c r="R36" s="57">
        <v>0</v>
      </c>
      <c r="S36" s="57">
        <v>2.2985828367286975E-2</v>
      </c>
      <c r="T36" s="57">
        <v>0.45016580520749533</v>
      </c>
      <c r="U36" s="57">
        <v>0.13082906263528818</v>
      </c>
      <c r="V36">
        <v>1891.5</v>
      </c>
      <c r="W36">
        <v>3.5900000000000003</v>
      </c>
      <c r="X36">
        <f t="shared" si="5"/>
        <v>8.9749498767082228E-2</v>
      </c>
    </row>
    <row r="37" spans="1:24" x14ac:dyDescent="0.25">
      <c r="A37" s="8">
        <v>37771</v>
      </c>
      <c r="B37">
        <v>204.25</v>
      </c>
      <c r="C37">
        <f t="shared" si="6"/>
        <v>3.1565656565656568E-2</v>
      </c>
      <c r="D37">
        <v>87.75</v>
      </c>
      <c r="E37">
        <f t="shared" si="1"/>
        <v>0.36363636363636376</v>
      </c>
      <c r="F37">
        <v>192.5</v>
      </c>
      <c r="G37">
        <f t="shared" si="2"/>
        <v>7.3919107391910738E-2</v>
      </c>
      <c r="H37">
        <v>1205</v>
      </c>
      <c r="I37">
        <f t="shared" si="3"/>
        <v>-3.9074960127591707E-2</v>
      </c>
      <c r="J37">
        <v>1208.8800000000001</v>
      </c>
      <c r="K37">
        <f t="shared" si="4"/>
        <v>-0.11544934365533488</v>
      </c>
      <c r="M37" s="30"/>
      <c r="N37" s="31"/>
      <c r="O37" s="31"/>
      <c r="P37" s="31"/>
      <c r="Q37" s="31"/>
      <c r="R37" s="32"/>
      <c r="S37" s="32"/>
      <c r="T37" s="32"/>
      <c r="U37" s="32"/>
      <c r="V37">
        <v>1968.8300000000002</v>
      </c>
      <c r="W37">
        <v>3.625</v>
      </c>
      <c r="X37">
        <f t="shared" si="5"/>
        <v>4.0882897171557048E-2</v>
      </c>
    </row>
    <row r="38" spans="1:24" x14ac:dyDescent="0.25">
      <c r="A38" s="8">
        <v>37802</v>
      </c>
      <c r="B38">
        <v>219.25</v>
      </c>
      <c r="C38">
        <f t="shared" si="6"/>
        <v>7.3439412484700123E-2</v>
      </c>
      <c r="D38">
        <v>90.95</v>
      </c>
      <c r="E38">
        <f t="shared" si="1"/>
        <v>3.64672364672365E-2</v>
      </c>
      <c r="F38">
        <v>203.75</v>
      </c>
      <c r="G38">
        <f t="shared" si="2"/>
        <v>5.844155844155844E-2</v>
      </c>
      <c r="H38">
        <v>1223</v>
      </c>
      <c r="I38">
        <f t="shared" si="3"/>
        <v>1.4937759336099586E-2</v>
      </c>
      <c r="J38">
        <v>1072.22</v>
      </c>
      <c r="K38">
        <f t="shared" si="4"/>
        <v>-0.1130467871087288</v>
      </c>
      <c r="M38" s="38" t="s">
        <v>63</v>
      </c>
      <c r="N38" s="31">
        <f t="shared" ref="N38:T38" si="7">SUM(N32:N36)</f>
        <v>1</v>
      </c>
      <c r="O38" s="31">
        <f t="shared" si="7"/>
        <v>1</v>
      </c>
      <c r="P38" s="31">
        <f t="shared" si="7"/>
        <v>1.0000000000000175</v>
      </c>
      <c r="Q38" s="52">
        <f t="shared" si="7"/>
        <v>1.0000001217193748</v>
      </c>
      <c r="R38" s="32">
        <f t="shared" si="7"/>
        <v>0.99999999679382789</v>
      </c>
      <c r="S38" s="55">
        <f t="shared" si="7"/>
        <v>1.0000004633911446</v>
      </c>
      <c r="T38" s="55">
        <f t="shared" si="7"/>
        <v>1.0000000010968124</v>
      </c>
      <c r="U38" s="55">
        <f t="shared" ref="U38" si="8">SUM(U32:U36)</f>
        <v>1.0000000094739201</v>
      </c>
      <c r="V38">
        <v>1971.26</v>
      </c>
      <c r="W38">
        <v>3.605</v>
      </c>
      <c r="X38">
        <f t="shared" si="5"/>
        <v>1.234235561221556E-3</v>
      </c>
    </row>
    <row r="39" spans="1:24" x14ac:dyDescent="0.25">
      <c r="A39" s="8">
        <v>37833</v>
      </c>
      <c r="B39">
        <v>215.25</v>
      </c>
      <c r="C39">
        <f t="shared" si="6"/>
        <v>-1.8244013683010263E-2</v>
      </c>
      <c r="D39">
        <v>108.14</v>
      </c>
      <c r="E39">
        <f t="shared" si="1"/>
        <v>0.18900494777350188</v>
      </c>
      <c r="F39">
        <v>195.75</v>
      </c>
      <c r="G39">
        <f t="shared" si="2"/>
        <v>-3.9263803680981597E-2</v>
      </c>
      <c r="H39">
        <v>1192</v>
      </c>
      <c r="I39">
        <f t="shared" si="3"/>
        <v>-2.5347506132461162E-2</v>
      </c>
      <c r="J39">
        <v>1134.44</v>
      </c>
      <c r="K39">
        <f t="shared" si="4"/>
        <v>5.8029135811680461E-2</v>
      </c>
      <c r="M39" s="43" t="s">
        <v>73</v>
      </c>
      <c r="N39" s="122">
        <f t="array" ref="N39" xml:space="preserve"> SUMPRODUCT(N19:R19,TRANSPOSE(N32:N36))</f>
        <v>2.714510274697577E-3</v>
      </c>
      <c r="O39" s="45">
        <f t="array" ref="O39" xml:space="preserve"> SUMPRODUCT(N19:R19,TRANSPOSE(O32:O36))</f>
        <v>5.3861084000000007E-3</v>
      </c>
      <c r="P39" s="50">
        <f t="array" ref="P39" xml:space="preserve"> SUMPRODUCT(N19:R19,TRANSPOSE(P32:P36))</f>
        <v>1.0000000000000247E-3</v>
      </c>
      <c r="Q39" s="49">
        <f t="array" ref="Q39" xml:space="preserve"> SUMPRODUCT(N19:R19,TRANSPOSE(Q32:Q36))</f>
        <v>1.6710563923281761E-2</v>
      </c>
      <c r="R39" s="53">
        <f t="array" ref="R39" xml:space="preserve"> SUMPRODUCT(N19:R19,TRANSPOSE(R32:R36))</f>
        <v>1.6710563946423056E-2</v>
      </c>
      <c r="S39" s="53">
        <f t="array" ref="S39" xml:space="preserve"> SUMPRODUCT(N19:R19,TRANSPOSE(S32:S36))</f>
        <v>1.4999983289428595E-2</v>
      </c>
      <c r="T39" s="53">
        <f t="array" ref="T39" xml:space="preserve"> SUMPRODUCT(N19:R19,TRANSPOSE(T32:T36))</f>
        <v>6.9999880976111964E-3</v>
      </c>
      <c r="U39" s="53">
        <f t="array" ref="U39" xml:space="preserve"> SUMPRODUCT(N19:R19,TRANSPOSE(U32:U36))</f>
        <v>1.2000006999988096E-2</v>
      </c>
      <c r="V39">
        <v>2045.82</v>
      </c>
      <c r="W39">
        <v>3.3650000000000002</v>
      </c>
      <c r="X39">
        <f t="shared" si="5"/>
        <v>3.7823524040461402E-2</v>
      </c>
    </row>
    <row r="40" spans="1:24" x14ac:dyDescent="0.25">
      <c r="A40" s="8">
        <v>37862</v>
      </c>
      <c r="B40">
        <v>216</v>
      </c>
      <c r="C40">
        <f t="shared" si="6"/>
        <v>3.4843205574912892E-3</v>
      </c>
      <c r="D40">
        <v>120.37</v>
      </c>
      <c r="E40">
        <f t="shared" si="1"/>
        <v>0.11309413722951733</v>
      </c>
      <c r="F40">
        <v>184</v>
      </c>
      <c r="G40">
        <f t="shared" si="2"/>
        <v>-6.0025542784163471E-2</v>
      </c>
      <c r="H40">
        <v>1207</v>
      </c>
      <c r="I40">
        <f t="shared" si="3"/>
        <v>1.2583892617449664E-2</v>
      </c>
      <c r="J40">
        <v>1143.33</v>
      </c>
      <c r="K40">
        <f t="shared" si="4"/>
        <v>7.8364655689149472E-3</v>
      </c>
      <c r="M40" s="43" t="s">
        <v>56</v>
      </c>
      <c r="N40" s="45">
        <f t="array" ref="N40">MMULT(MMULT(TRANSPOSE(N32:N36),N13:R17),N32:N36)</f>
        <v>1.4412842369738545E-3</v>
      </c>
      <c r="O40" s="45">
        <f t="array" ref="O40">MMULT(MMULT(TRANSPOSE(O32:O36),N13:R17),O32:O36)</f>
        <v>1.9395011881483766E-3</v>
      </c>
      <c r="P40" s="50">
        <f t="array" ref="P40">MMULT(MMULT(TRANSPOSE(P32:P36),N13:R17),P32:P36)</f>
        <v>1.8907437591409518E-3</v>
      </c>
      <c r="Q40" s="49">
        <f t="array" ref="Q40">MMULT(MMULT(TRANSPOSE(Q32:Q36),N13:R17),Q32:Q36)</f>
        <v>8.7838555831094792E-3</v>
      </c>
      <c r="R40" s="53">
        <f t="array" ref="R40">MMULT(MMULT(TRANSPOSE(R32:R36),N13:R17),R32:R36)</f>
        <v>8.7838561380063126E-3</v>
      </c>
      <c r="S40" s="53">
        <f t="array" ref="S40">MMULT(MMULT(TRANSPOSE(S32:S36),N13:R17),S32:S36)</f>
        <v>7.1860713851251345E-3</v>
      </c>
      <c r="T40" s="53">
        <f t="array" ref="T40">MMULT(MMULT(TRANSPOSE(T32:T36),N13:R17),T32:T36)</f>
        <v>2.0084293430131586E-3</v>
      </c>
      <c r="U40" s="53">
        <f t="array" ref="U40">MMULT(MMULT(TRANSPOSE(U32:U36),N13:R17),U32:U36)</f>
        <v>4.6570007487226808E-3</v>
      </c>
      <c r="V40">
        <v>2064.7400000000002</v>
      </c>
      <c r="W40">
        <v>3.52</v>
      </c>
      <c r="X40">
        <f t="shared" si="5"/>
        <v>9.248125446031567E-3</v>
      </c>
    </row>
    <row r="41" spans="1:24" x14ac:dyDescent="0.25">
      <c r="A41" s="8">
        <v>37894</v>
      </c>
      <c r="B41">
        <v>241</v>
      </c>
      <c r="C41">
        <f t="shared" si="6"/>
        <v>0.11574074074074074</v>
      </c>
      <c r="D41">
        <v>114.17</v>
      </c>
      <c r="E41">
        <f t="shared" si="1"/>
        <v>-5.1507850793387079E-2</v>
      </c>
      <c r="F41">
        <v>180</v>
      </c>
      <c r="G41">
        <f t="shared" si="2"/>
        <v>-2.1739130434782608E-2</v>
      </c>
      <c r="H41">
        <v>1249</v>
      </c>
      <c r="I41">
        <f t="shared" si="3"/>
        <v>3.4797017398508698E-2</v>
      </c>
      <c r="J41">
        <v>1142.22</v>
      </c>
      <c r="K41">
        <f t="shared" si="4"/>
        <v>-9.7084831151102483E-4</v>
      </c>
      <c r="M41" s="43" t="s">
        <v>74</v>
      </c>
      <c r="N41" s="45">
        <f t="array" ref="N41" xml:space="preserve"> SQRT(MMULT(MMULT(TRANSPOSE(N32:N36), N13:R17), N32:N36))</f>
        <v>3.7964249458850817E-2</v>
      </c>
      <c r="O41" s="45">
        <f t="array" ref="O41" xml:space="preserve"> SQRT(MMULT(MMULT(TRANSPOSE(O32:O36), N13:R17), O32:O36))</f>
        <v>4.4039768257205632E-2</v>
      </c>
      <c r="P41" s="50">
        <f t="array" ref="P41" xml:space="preserve"> SQRT(MMULT(MMULT(TRANSPOSE(P32:P36), N13:R17), P32:P36))</f>
        <v>4.3482683439973573E-2</v>
      </c>
      <c r="Q41" s="49">
        <f t="array" ref="Q41" xml:space="preserve"> SQRT(MMULT(MMULT(TRANSPOSE(Q32:Q36), N13:R17), Q32:Q36))</f>
        <v>9.3722225662376799E-2</v>
      </c>
      <c r="R41" s="53">
        <f t="array" ref="R41" xml:space="preserve"> SQRT(MMULT(MMULT(TRANSPOSE(R32:R36), N13:R17), R32:R36))</f>
        <v>9.3722228622703546E-2</v>
      </c>
      <c r="S41" s="53">
        <f t="array" ref="S41" xml:space="preserve"> SQRT(MMULT(MMULT(TRANSPOSE(S32:S36), N13:R17), S32:S36))</f>
        <v>8.4770698859482893E-2</v>
      </c>
      <c r="T41" s="120">
        <f t="array" ref="T41" xml:space="preserve"> SQRT(MMULT(MMULT(TRANSPOSE(T32:T36), N13:R17), T32:T36))</f>
        <v>4.4815503377884293E-2</v>
      </c>
      <c r="U41" s="53">
        <f t="array" ref="U41" xml:space="preserve"> SQRT(MMULT(MMULT(TRANSPOSE(U32:U36), N13:R17), U32:U36))</f>
        <v>6.8242221159064573E-2</v>
      </c>
      <c r="V41">
        <v>2027.72</v>
      </c>
      <c r="W41">
        <v>3.625</v>
      </c>
      <c r="X41">
        <f t="shared" si="5"/>
        <v>-1.7929618257020354E-2</v>
      </c>
    </row>
    <row r="42" spans="1:24" x14ac:dyDescent="0.25">
      <c r="A42" s="8">
        <v>37925</v>
      </c>
      <c r="B42">
        <v>236.25</v>
      </c>
      <c r="C42">
        <f t="shared" si="6"/>
        <v>-1.970954356846473E-2</v>
      </c>
      <c r="D42">
        <v>134.56</v>
      </c>
      <c r="E42">
        <f t="shared" si="1"/>
        <v>0.1785933257423141</v>
      </c>
      <c r="F42">
        <v>185.5</v>
      </c>
      <c r="G42">
        <f t="shared" si="2"/>
        <v>3.0555555555555555E-2</v>
      </c>
      <c r="H42">
        <v>1262</v>
      </c>
      <c r="I42">
        <f t="shared" si="3"/>
        <v>1.0408326661329063E-2</v>
      </c>
      <c r="J42">
        <v>1116.6600000000001</v>
      </c>
      <c r="K42">
        <f t="shared" si="4"/>
        <v>-2.2377475442559178E-2</v>
      </c>
      <c r="M42" s="42" t="s">
        <v>167</v>
      </c>
      <c r="N42" s="33">
        <f>(N39-S25)/N41</f>
        <v>-8.0022383389806731E-2</v>
      </c>
      <c r="O42" s="33">
        <f>(O39-S25)/O41</f>
        <v>-8.3195623977892156E-3</v>
      </c>
      <c r="P42" s="33">
        <f>(P39-S25)/P41</f>
        <v>-0.10929638246822201</v>
      </c>
      <c r="Q42" s="33">
        <f>(Q39-S25)/Q41</f>
        <v>0.11692065404802578</v>
      </c>
      <c r="R42" s="117">
        <f>(R39-S25)/R41</f>
        <v>0.1169206506018631</v>
      </c>
      <c r="S42" s="34">
        <f>(S39-S25)/S41</f>
        <v>0.10908820398847195</v>
      </c>
      <c r="T42" s="34">
        <f>(T39-S25)/T41</f>
        <v>2.7836083577872102E-2</v>
      </c>
      <c r="U42" s="34">
        <f>(U39-S25)/U41</f>
        <v>9.1548998462782943E-2</v>
      </c>
      <c r="V42">
        <v>2125.37</v>
      </c>
      <c r="W42">
        <v>3.6900000000000004</v>
      </c>
      <c r="X42">
        <f t="shared" si="5"/>
        <v>4.8157536543506928E-2</v>
      </c>
    </row>
    <row r="43" spans="1:24" x14ac:dyDescent="0.25">
      <c r="A43" s="8">
        <v>37953</v>
      </c>
      <c r="B43">
        <v>248.75</v>
      </c>
      <c r="C43">
        <f t="shared" si="6"/>
        <v>5.2910052910052907E-2</v>
      </c>
      <c r="D43">
        <v>126.4</v>
      </c>
      <c r="E43">
        <f t="shared" si="1"/>
        <v>-6.0642092746730054E-2</v>
      </c>
      <c r="F43">
        <v>173.75</v>
      </c>
      <c r="G43">
        <f t="shared" si="2"/>
        <v>-6.3342318059299185E-2</v>
      </c>
      <c r="H43">
        <v>1311</v>
      </c>
      <c r="I43">
        <f t="shared" si="3"/>
        <v>3.8827258320126783E-2</v>
      </c>
      <c r="J43">
        <v>1122.22</v>
      </c>
      <c r="K43">
        <f t="shared" si="4"/>
        <v>4.9791342037862419E-3</v>
      </c>
      <c r="T43" t="s">
        <v>87</v>
      </c>
      <c r="V43">
        <v>2146.7200000000003</v>
      </c>
      <c r="W43">
        <v>3.7250000000000001</v>
      </c>
      <c r="X43">
        <f t="shared" si="5"/>
        <v>1.0045309757830573E-2</v>
      </c>
    </row>
    <row r="44" spans="1:24" x14ac:dyDescent="0.25">
      <c r="A44" s="8">
        <v>37986</v>
      </c>
      <c r="B44">
        <v>257.75</v>
      </c>
      <c r="C44">
        <f t="shared" si="6"/>
        <v>3.6180904522613064E-2</v>
      </c>
      <c r="D44">
        <v>125.69</v>
      </c>
      <c r="E44">
        <f t="shared" si="1"/>
        <v>-5.6170886075949996E-3</v>
      </c>
      <c r="F44">
        <v>188.25</v>
      </c>
      <c r="G44">
        <f t="shared" si="2"/>
        <v>8.3453237410071948E-2</v>
      </c>
      <c r="H44">
        <v>1280</v>
      </c>
      <c r="I44">
        <f t="shared" si="3"/>
        <v>-2.364607170099161E-2</v>
      </c>
      <c r="J44">
        <v>1157.22</v>
      </c>
      <c r="K44">
        <f t="shared" si="4"/>
        <v>3.1188180570654596E-2</v>
      </c>
      <c r="M44" s="177" t="s">
        <v>169</v>
      </c>
      <c r="N44" s="177"/>
      <c r="O44" s="118" t="s">
        <v>165</v>
      </c>
      <c r="V44">
        <v>2207.38</v>
      </c>
      <c r="W44">
        <v>3.8650000000000002</v>
      </c>
      <c r="X44">
        <f t="shared" si="5"/>
        <v>2.8257061936349335E-2</v>
      </c>
    </row>
    <row r="45" spans="1:24" x14ac:dyDescent="0.25">
      <c r="A45" s="8">
        <v>38016</v>
      </c>
      <c r="B45">
        <v>238.5</v>
      </c>
      <c r="C45">
        <f t="shared" si="6"/>
        <v>-7.4684772065955377E-2</v>
      </c>
      <c r="D45">
        <v>130.83000000000001</v>
      </c>
      <c r="E45">
        <f t="shared" si="1"/>
        <v>4.0894263664571683E-2</v>
      </c>
      <c r="F45">
        <v>175.75</v>
      </c>
      <c r="G45">
        <f t="shared" si="2"/>
        <v>-6.6401062416998669E-2</v>
      </c>
      <c r="H45">
        <v>1180</v>
      </c>
      <c r="I45">
        <f t="shared" si="3"/>
        <v>-7.8125E-2</v>
      </c>
      <c r="J45">
        <v>1176.1100000000001</v>
      </c>
      <c r="K45">
        <f t="shared" si="4"/>
        <v>1.6323603117816922E-2</v>
      </c>
      <c r="M45" s="58" t="s">
        <v>85</v>
      </c>
      <c r="N45" s="58" t="s">
        <v>86</v>
      </c>
      <c r="O45" s="119" t="s">
        <v>166</v>
      </c>
      <c r="V45">
        <v>2187.1</v>
      </c>
      <c r="W45">
        <v>3.9050000000000002</v>
      </c>
      <c r="X45">
        <f t="shared" si="5"/>
        <v>-9.1873623934257808E-3</v>
      </c>
    </row>
    <row r="46" spans="1:24" x14ac:dyDescent="0.25">
      <c r="A46" s="8">
        <v>38044</v>
      </c>
      <c r="B46">
        <v>257.5</v>
      </c>
      <c r="C46">
        <f t="shared" si="6"/>
        <v>7.9664570230607967E-2</v>
      </c>
      <c r="D46">
        <v>156.01</v>
      </c>
      <c r="E46">
        <f t="shared" si="1"/>
        <v>0.19246350225483433</v>
      </c>
      <c r="F46">
        <v>176.75</v>
      </c>
      <c r="G46">
        <f t="shared" si="2"/>
        <v>5.6899004267425323E-3</v>
      </c>
      <c r="H46">
        <v>1121</v>
      </c>
      <c r="I46">
        <f t="shared" si="3"/>
        <v>-0.05</v>
      </c>
      <c r="J46">
        <v>1250</v>
      </c>
      <c r="K46">
        <f t="shared" si="4"/>
        <v>6.2825756094242777E-2</v>
      </c>
      <c r="M46" s="60">
        <f>P41</f>
        <v>4.3482683439973573E-2</v>
      </c>
      <c r="N46" s="60">
        <f>P39</f>
        <v>1.0000000000000247E-3</v>
      </c>
      <c r="O46">
        <f xml:space="preserve"> (N46-S25)/M46</f>
        <v>-0.10929638246822201</v>
      </c>
      <c r="V46">
        <v>2243.41</v>
      </c>
      <c r="W46">
        <v>4.04</v>
      </c>
      <c r="X46">
        <f t="shared" si="5"/>
        <v>2.574642220291708E-2</v>
      </c>
    </row>
    <row r="47" spans="1:24" x14ac:dyDescent="0.25">
      <c r="A47" s="8">
        <v>38077</v>
      </c>
      <c r="B47">
        <v>245.75</v>
      </c>
      <c r="C47">
        <f t="shared" si="6"/>
        <v>-4.5631067961165048E-2</v>
      </c>
      <c r="D47">
        <v>163.12</v>
      </c>
      <c r="E47">
        <f t="shared" si="1"/>
        <v>4.5574001666559928E-2</v>
      </c>
      <c r="F47">
        <v>177</v>
      </c>
      <c r="G47">
        <f t="shared" si="2"/>
        <v>1.4144271570014145E-3</v>
      </c>
      <c r="H47">
        <v>1068</v>
      </c>
      <c r="I47">
        <f t="shared" si="3"/>
        <v>-4.7279214986619092E-2</v>
      </c>
      <c r="J47">
        <v>1196.6600000000001</v>
      </c>
      <c r="K47">
        <f t="shared" si="4"/>
        <v>-4.2671999999999932E-2</v>
      </c>
      <c r="M47" s="59">
        <f>N41</f>
        <v>3.7964249458850817E-2</v>
      </c>
      <c r="N47" s="59">
        <f>N39</f>
        <v>2.714510274697577E-3</v>
      </c>
      <c r="O47">
        <f xml:space="preserve"> (N47-S25)/M47</f>
        <v>-8.0022383389806731E-2</v>
      </c>
      <c r="V47">
        <v>2196.9700000000003</v>
      </c>
      <c r="W47">
        <v>4.13</v>
      </c>
      <c r="X47">
        <f t="shared" si="5"/>
        <v>-2.0700629844745098E-2</v>
      </c>
    </row>
    <row r="48" spans="1:24" x14ac:dyDescent="0.25">
      <c r="A48" s="8">
        <v>38107</v>
      </c>
      <c r="B48">
        <v>248.75</v>
      </c>
      <c r="C48">
        <f t="shared" si="6"/>
        <v>1.2207527975584944E-2</v>
      </c>
      <c r="D48">
        <v>167.84</v>
      </c>
      <c r="E48">
        <f t="shared" si="1"/>
        <v>2.8935752820009802E-2</v>
      </c>
      <c r="F48">
        <v>178.5</v>
      </c>
      <c r="G48">
        <f t="shared" si="2"/>
        <v>8.4745762711864406E-3</v>
      </c>
      <c r="H48">
        <v>1167</v>
      </c>
      <c r="I48">
        <f t="shared" si="3"/>
        <v>9.269662921348315E-2</v>
      </c>
      <c r="J48">
        <v>1182.22</v>
      </c>
      <c r="K48">
        <f t="shared" si="4"/>
        <v>-1.2066919592866857E-2</v>
      </c>
      <c r="M48" s="59">
        <f>T41</f>
        <v>4.4815503377884293E-2</v>
      </c>
      <c r="N48" s="59">
        <f>T39</f>
        <v>6.9999880976111964E-3</v>
      </c>
      <c r="O48">
        <f>(N48-S25)/M48</f>
        <v>2.7836083577872102E-2</v>
      </c>
      <c r="V48">
        <v>2237.34</v>
      </c>
      <c r="W48">
        <v>4.1800000000000006</v>
      </c>
      <c r="X48">
        <f t="shared" si="5"/>
        <v>1.8375307810302319E-2</v>
      </c>
    </row>
    <row r="49" spans="1:24" x14ac:dyDescent="0.25">
      <c r="A49" s="8">
        <v>38138</v>
      </c>
      <c r="B49">
        <v>249</v>
      </c>
      <c r="C49">
        <f t="shared" si="6"/>
        <v>1.0050251256281408E-3</v>
      </c>
      <c r="D49">
        <v>163.67000000000002</v>
      </c>
      <c r="E49">
        <f t="shared" si="1"/>
        <v>-2.4845090562440345E-2</v>
      </c>
      <c r="F49">
        <v>183</v>
      </c>
      <c r="G49">
        <f t="shared" si="2"/>
        <v>2.5210084033613446E-2</v>
      </c>
      <c r="H49">
        <v>1140</v>
      </c>
      <c r="I49">
        <f t="shared" si="3"/>
        <v>-2.313624678663239E-2</v>
      </c>
      <c r="J49">
        <v>1152.22</v>
      </c>
      <c r="K49">
        <f t="shared" si="4"/>
        <v>-2.5375987548848775E-2</v>
      </c>
      <c r="M49" s="59">
        <f>U41</f>
        <v>6.8242221159064573E-2</v>
      </c>
      <c r="N49" s="59">
        <f>U39</f>
        <v>1.2000006999988096E-2</v>
      </c>
      <c r="O49">
        <f>U42</f>
        <v>9.1548998462782943E-2</v>
      </c>
      <c r="V49">
        <v>2201.81</v>
      </c>
      <c r="W49">
        <v>4.38</v>
      </c>
      <c r="X49">
        <f t="shared" si="5"/>
        <v>-1.5880465195276621E-2</v>
      </c>
    </row>
    <row r="50" spans="1:24" x14ac:dyDescent="0.25">
      <c r="A50" s="8">
        <v>38168</v>
      </c>
      <c r="B50">
        <v>266.25</v>
      </c>
      <c r="C50">
        <f t="shared" si="6"/>
        <v>6.9277108433734941E-2</v>
      </c>
      <c r="D50">
        <v>182.52</v>
      </c>
      <c r="E50">
        <f t="shared" si="1"/>
        <v>0.11517077045274023</v>
      </c>
      <c r="F50">
        <v>198.5</v>
      </c>
      <c r="G50">
        <f t="shared" si="2"/>
        <v>8.4699453551912565E-2</v>
      </c>
      <c r="H50">
        <v>1116</v>
      </c>
      <c r="I50">
        <f t="shared" si="3"/>
        <v>-2.1052631578947368E-2</v>
      </c>
      <c r="J50">
        <v>1202.22</v>
      </c>
      <c r="K50">
        <f t="shared" si="4"/>
        <v>4.3394490635468921E-2</v>
      </c>
      <c r="M50" s="59">
        <f>R41</f>
        <v>9.3722228622703546E-2</v>
      </c>
      <c r="N50" s="59">
        <f>R39</f>
        <v>1.6710563946423056E-2</v>
      </c>
      <c r="O50">
        <f>(N50-S25)/M50</f>
        <v>0.1169206506018631</v>
      </c>
      <c r="V50">
        <v>2228.67</v>
      </c>
      <c r="W50">
        <v>4.5550000000000006</v>
      </c>
      <c r="X50">
        <f t="shared" si="5"/>
        <v>1.219905441432282E-2</v>
      </c>
    </row>
    <row r="51" spans="1:24" x14ac:dyDescent="0.25">
      <c r="A51" s="8">
        <v>38198</v>
      </c>
      <c r="B51">
        <v>254.5</v>
      </c>
      <c r="C51">
        <f t="shared" si="6"/>
        <v>-4.4131455399061034E-2</v>
      </c>
      <c r="D51">
        <v>174.91</v>
      </c>
      <c r="E51">
        <f t="shared" si="1"/>
        <v>-4.1694060924830231E-2</v>
      </c>
      <c r="F51">
        <v>188.75</v>
      </c>
      <c r="G51">
        <f t="shared" si="2"/>
        <v>-4.9118387909319897E-2</v>
      </c>
      <c r="H51">
        <v>1117</v>
      </c>
      <c r="I51">
        <f t="shared" si="3"/>
        <v>8.960573476702509E-4</v>
      </c>
      <c r="J51">
        <v>1078.8800000000001</v>
      </c>
      <c r="K51">
        <f t="shared" si="4"/>
        <v>-0.10259353529304113</v>
      </c>
      <c r="M51" s="59">
        <f>S41</f>
        <v>8.4770698859482893E-2</v>
      </c>
      <c r="N51" s="59">
        <f>S39</f>
        <v>1.4999983289428595E-2</v>
      </c>
      <c r="O51">
        <f>(N51-S25)/M51</f>
        <v>0.10908820398847195</v>
      </c>
      <c r="V51">
        <v>2192.2200000000003</v>
      </c>
      <c r="W51">
        <v>4.7</v>
      </c>
      <c r="X51">
        <f t="shared" si="5"/>
        <v>-1.6355045834511084E-2</v>
      </c>
    </row>
    <row r="52" spans="1:24" x14ac:dyDescent="0.25">
      <c r="A52" s="8">
        <v>38230</v>
      </c>
      <c r="B52">
        <v>266</v>
      </c>
      <c r="C52">
        <f t="shared" si="6"/>
        <v>4.5186640471512773E-2</v>
      </c>
      <c r="D52">
        <v>168.02</v>
      </c>
      <c r="E52">
        <f t="shared" si="1"/>
        <v>-3.9391687153393098E-2</v>
      </c>
      <c r="F52">
        <v>183</v>
      </c>
      <c r="G52">
        <f t="shared" si="2"/>
        <v>-3.0463576158940398E-2</v>
      </c>
      <c r="H52">
        <v>1131</v>
      </c>
      <c r="I52">
        <f t="shared" si="3"/>
        <v>1.2533572068039392E-2</v>
      </c>
      <c r="J52">
        <v>1057.77</v>
      </c>
      <c r="K52">
        <f t="shared" si="4"/>
        <v>-1.9566587572297314E-2</v>
      </c>
      <c r="M52" s="61">
        <f>Q41</f>
        <v>9.3722225662376799E-2</v>
      </c>
      <c r="N52" s="61">
        <f>Q39</f>
        <v>1.6710563923281761E-2</v>
      </c>
      <c r="O52" s="10">
        <f>(N52-S25)/M52</f>
        <v>0.11692065404802578</v>
      </c>
      <c r="V52">
        <v>2214.19</v>
      </c>
      <c r="W52">
        <v>4.79</v>
      </c>
      <c r="X52">
        <f t="shared" si="5"/>
        <v>1.0021804380947075E-2</v>
      </c>
    </row>
    <row r="53" spans="1:24" x14ac:dyDescent="0.25">
      <c r="A53" s="8">
        <v>38260</v>
      </c>
      <c r="B53">
        <v>285.25</v>
      </c>
      <c r="C53">
        <f t="shared" si="6"/>
        <v>7.2368421052631582E-2</v>
      </c>
      <c r="D53">
        <v>183.61</v>
      </c>
      <c r="E53">
        <f t="shared" si="1"/>
        <v>9.2786573027020605E-2</v>
      </c>
      <c r="F53">
        <v>179.75</v>
      </c>
      <c r="G53">
        <f t="shared" si="2"/>
        <v>-1.7759562841530054E-2</v>
      </c>
      <c r="H53">
        <v>1191</v>
      </c>
      <c r="I53">
        <f t="shared" si="3"/>
        <v>5.3050397877984087E-2</v>
      </c>
      <c r="J53">
        <v>999.44</v>
      </c>
      <c r="K53">
        <f t="shared" si="4"/>
        <v>-5.5144313035915112E-2</v>
      </c>
      <c r="V53">
        <v>2271.67</v>
      </c>
      <c r="W53">
        <v>4.78</v>
      </c>
      <c r="X53">
        <f t="shared" si="5"/>
        <v>2.5959831812084787E-2</v>
      </c>
    </row>
    <row r="54" spans="1:24" x14ac:dyDescent="0.25">
      <c r="A54" s="8">
        <v>38289</v>
      </c>
      <c r="B54">
        <v>287</v>
      </c>
      <c r="C54">
        <f t="shared" si="6"/>
        <v>6.1349693251533744E-3</v>
      </c>
      <c r="D54">
        <v>190.37</v>
      </c>
      <c r="E54">
        <f t="shared" si="1"/>
        <v>3.68171668209792E-2</v>
      </c>
      <c r="F54">
        <v>185.75</v>
      </c>
      <c r="G54">
        <f t="shared" si="2"/>
        <v>3.3379694019471488E-2</v>
      </c>
      <c r="H54">
        <v>1147</v>
      </c>
      <c r="I54">
        <f t="shared" si="3"/>
        <v>-3.6943744752308987E-2</v>
      </c>
      <c r="J54">
        <v>1020</v>
      </c>
      <c r="K54">
        <f t="shared" si="4"/>
        <v>2.0571520051228632E-2</v>
      </c>
      <c r="M54" s="59">
        <f>O41</f>
        <v>4.4039768257205632E-2</v>
      </c>
      <c r="N54" s="59">
        <f>O39</f>
        <v>5.3861084000000007E-3</v>
      </c>
      <c r="O54">
        <f>(N54-S25)/M54</f>
        <v>-8.3195623977892156E-3</v>
      </c>
      <c r="V54">
        <v>2297.66</v>
      </c>
      <c r="W54">
        <v>4.76</v>
      </c>
      <c r="X54">
        <f t="shared" si="5"/>
        <v>1.1440922317061801E-2</v>
      </c>
    </row>
    <row r="55" spans="1:24" x14ac:dyDescent="0.25">
      <c r="A55" s="8">
        <v>38321</v>
      </c>
      <c r="B55">
        <v>301.5</v>
      </c>
      <c r="C55">
        <f t="shared" si="6"/>
        <v>5.0522648083623695E-2</v>
      </c>
      <c r="D55">
        <v>193.31</v>
      </c>
      <c r="E55">
        <f t="shared" si="1"/>
        <v>1.544360981247044E-2</v>
      </c>
      <c r="F55">
        <v>194.5</v>
      </c>
      <c r="G55">
        <f t="shared" si="2"/>
        <v>4.7106325706594884E-2</v>
      </c>
      <c r="H55">
        <v>1101</v>
      </c>
      <c r="I55">
        <f t="shared" si="3"/>
        <v>-4.0104620749782043E-2</v>
      </c>
      <c r="J55">
        <v>1064.44</v>
      </c>
      <c r="K55">
        <f t="shared" si="4"/>
        <v>4.3568627450980446E-2</v>
      </c>
      <c r="M55">
        <v>0</v>
      </c>
      <c r="N55">
        <v>5.7524999999999998E-3</v>
      </c>
      <c r="V55">
        <v>2345.21</v>
      </c>
      <c r="W55">
        <v>4.7650000000000006</v>
      </c>
      <c r="X55">
        <f t="shared" si="5"/>
        <v>2.0694967923887864E-2</v>
      </c>
    </row>
    <row r="56" spans="1:24" x14ac:dyDescent="0.25">
      <c r="A56" s="8">
        <v>38352</v>
      </c>
      <c r="B56">
        <v>321.75</v>
      </c>
      <c r="C56">
        <f t="shared" si="6"/>
        <v>6.7164179104477612E-2</v>
      </c>
      <c r="D56">
        <v>181.38</v>
      </c>
      <c r="E56">
        <f t="shared" si="1"/>
        <v>-6.171434483472147E-2</v>
      </c>
      <c r="F56">
        <v>203</v>
      </c>
      <c r="G56">
        <f t="shared" si="2"/>
        <v>4.3701799485861184E-2</v>
      </c>
      <c r="H56">
        <v>1222</v>
      </c>
      <c r="I56">
        <f t="shared" si="3"/>
        <v>0.10990009082652134</v>
      </c>
      <c r="J56">
        <v>1136.6600000000001</v>
      </c>
      <c r="K56">
        <f t="shared" si="4"/>
        <v>6.7847882454624045E-2</v>
      </c>
      <c r="M56">
        <v>9.3722222999999993E-2</v>
      </c>
      <c r="N56">
        <v>1.6710559999999999E-2</v>
      </c>
      <c r="V56">
        <v>2410.75</v>
      </c>
      <c r="W56">
        <v>4.7949999999999999</v>
      </c>
      <c r="X56">
        <f t="shared" si="5"/>
        <v>2.7946324636173289E-2</v>
      </c>
    </row>
    <row r="57" spans="1:24" x14ac:dyDescent="0.25">
      <c r="A57" s="8">
        <v>38383</v>
      </c>
      <c r="B57">
        <v>308.25</v>
      </c>
      <c r="C57">
        <f t="shared" si="6"/>
        <v>-4.195804195804196E-2</v>
      </c>
      <c r="D57">
        <v>191.66</v>
      </c>
      <c r="E57">
        <f t="shared" si="1"/>
        <v>5.6676590583305778E-2</v>
      </c>
      <c r="F57">
        <v>208</v>
      </c>
      <c r="G57">
        <f t="shared" si="2"/>
        <v>2.4630541871921183E-2</v>
      </c>
      <c r="H57">
        <v>1175</v>
      </c>
      <c r="I57">
        <f t="shared" si="3"/>
        <v>-3.8461538461538464E-2</v>
      </c>
      <c r="J57">
        <v>1120</v>
      </c>
      <c r="K57">
        <f t="shared" si="4"/>
        <v>-1.465697746027843E-2</v>
      </c>
      <c r="V57">
        <v>2441.2200000000003</v>
      </c>
      <c r="W57">
        <v>4.76</v>
      </c>
      <c r="X57">
        <f t="shared" si="5"/>
        <v>1.2639220159701443E-2</v>
      </c>
    </row>
    <row r="58" spans="1:24" x14ac:dyDescent="0.25">
      <c r="A58" s="8">
        <v>38411</v>
      </c>
      <c r="B58">
        <v>305.25</v>
      </c>
      <c r="C58">
        <f t="shared" si="6"/>
        <v>-9.7323600973236012E-3</v>
      </c>
      <c r="D58">
        <v>190.92000000000002</v>
      </c>
      <c r="E58">
        <f t="shared" si="1"/>
        <v>-3.86100386100376E-3</v>
      </c>
      <c r="F58">
        <v>208.5</v>
      </c>
      <c r="G58">
        <f t="shared" si="2"/>
        <v>2.403846153846154E-3</v>
      </c>
      <c r="H58">
        <v>1243</v>
      </c>
      <c r="I58">
        <f t="shared" si="3"/>
        <v>5.7872340425531917E-2</v>
      </c>
      <c r="J58">
        <v>1106.1100000000001</v>
      </c>
      <c r="K58">
        <f t="shared" si="4"/>
        <v>-1.2401785714285601E-2</v>
      </c>
      <c r="V58">
        <v>2495.46</v>
      </c>
      <c r="W58">
        <v>4.8</v>
      </c>
      <c r="X58">
        <f t="shared" si="5"/>
        <v>2.2218398997222607E-2</v>
      </c>
    </row>
    <row r="59" spans="1:24" x14ac:dyDescent="0.25">
      <c r="A59" s="8">
        <v>38442</v>
      </c>
      <c r="B59">
        <v>316.5</v>
      </c>
      <c r="C59">
        <f t="shared" si="6"/>
        <v>3.6855036855036855E-2</v>
      </c>
      <c r="D59">
        <v>182.78</v>
      </c>
      <c r="E59">
        <f t="shared" si="1"/>
        <v>-4.2635658914728758E-2</v>
      </c>
      <c r="F59">
        <v>205.5</v>
      </c>
      <c r="G59">
        <f t="shared" si="2"/>
        <v>-1.4388489208633094E-2</v>
      </c>
      <c r="H59">
        <v>1213</v>
      </c>
      <c r="I59">
        <f t="shared" si="3"/>
        <v>-2.413515687851971E-2</v>
      </c>
      <c r="J59">
        <v>1162.22</v>
      </c>
      <c r="K59">
        <f t="shared" si="4"/>
        <v>5.0727323683901142E-2</v>
      </c>
      <c r="V59">
        <v>2457.73</v>
      </c>
      <c r="W59">
        <v>4.8150000000000004</v>
      </c>
      <c r="X59">
        <f t="shared" si="5"/>
        <v>-1.5119456933791773E-2</v>
      </c>
    </row>
    <row r="60" spans="1:24" x14ac:dyDescent="0.25">
      <c r="A60" s="8">
        <v>38471</v>
      </c>
      <c r="B60">
        <v>308</v>
      </c>
      <c r="C60">
        <f t="shared" si="6"/>
        <v>-2.6856240126382307E-2</v>
      </c>
      <c r="D60">
        <v>177.53</v>
      </c>
      <c r="E60">
        <f t="shared" si="1"/>
        <v>-2.8723055038844512E-2</v>
      </c>
      <c r="F60">
        <v>199.75</v>
      </c>
      <c r="G60">
        <f t="shared" si="2"/>
        <v>-2.7980535279805353E-2</v>
      </c>
      <c r="H60">
        <v>1312</v>
      </c>
      <c r="I60">
        <f t="shared" si="3"/>
        <v>8.1615828524319867E-2</v>
      </c>
      <c r="J60">
        <v>1104.44</v>
      </c>
      <c r="K60">
        <f t="shared" si="4"/>
        <v>-4.9715200220268083E-2</v>
      </c>
      <c r="M60" t="s">
        <v>173</v>
      </c>
      <c r="V60">
        <v>2397.0500000000002</v>
      </c>
      <c r="W60">
        <v>4.8100000000000005</v>
      </c>
      <c r="X60">
        <f t="shared" si="5"/>
        <v>-2.468944920719519E-2</v>
      </c>
    </row>
    <row r="61" spans="1:24" x14ac:dyDescent="0.25">
      <c r="A61" s="8">
        <v>38503</v>
      </c>
      <c r="B61">
        <v>313</v>
      </c>
      <c r="C61">
        <f t="shared" si="6"/>
        <v>1.6233766233766232E-2</v>
      </c>
      <c r="D61">
        <v>203.19</v>
      </c>
      <c r="E61">
        <f t="shared" si="1"/>
        <v>0.14453895116318366</v>
      </c>
      <c r="F61">
        <v>213.25</v>
      </c>
      <c r="G61">
        <f t="shared" si="2"/>
        <v>6.7584480600750937E-2</v>
      </c>
      <c r="H61">
        <v>1360</v>
      </c>
      <c r="I61">
        <f t="shared" si="3"/>
        <v>3.6585365853658534E-2</v>
      </c>
      <c r="J61">
        <v>1192.22</v>
      </c>
      <c r="K61">
        <f t="shared" si="4"/>
        <v>7.9479193075223609E-2</v>
      </c>
      <c r="V61">
        <v>2483.35</v>
      </c>
      <c r="W61">
        <v>4.79</v>
      </c>
      <c r="X61">
        <f t="shared" si="5"/>
        <v>3.6002586512588274E-2</v>
      </c>
    </row>
    <row r="62" spans="1:24" x14ac:dyDescent="0.25">
      <c r="A62" s="8">
        <v>38533</v>
      </c>
      <c r="B62">
        <v>318.75</v>
      </c>
      <c r="C62">
        <f t="shared" si="6"/>
        <v>1.8370607028753993E-2</v>
      </c>
      <c r="D62">
        <v>215.17000000000002</v>
      </c>
      <c r="E62">
        <f t="shared" si="1"/>
        <v>5.8959594468231798E-2</v>
      </c>
      <c r="F62">
        <v>230</v>
      </c>
      <c r="G62">
        <f t="shared" si="2"/>
        <v>7.8546307151230954E-2</v>
      </c>
      <c r="H62">
        <v>1351</v>
      </c>
      <c r="I62">
        <f t="shared" si="3"/>
        <v>-6.6176470588235293E-3</v>
      </c>
      <c r="J62">
        <v>1196.6600000000001</v>
      </c>
      <c r="K62">
        <f t="shared" si="4"/>
        <v>3.724144872590675E-3</v>
      </c>
      <c r="V62">
        <v>2560.17</v>
      </c>
      <c r="W62">
        <v>4.7549999999999999</v>
      </c>
      <c r="X62">
        <f t="shared" si="5"/>
        <v>3.0934020577043173E-2</v>
      </c>
    </row>
    <row r="63" spans="1:24" ht="15.75" x14ac:dyDescent="0.25">
      <c r="A63" s="8">
        <v>38562</v>
      </c>
      <c r="B63">
        <v>325.5</v>
      </c>
      <c r="C63">
        <f t="shared" si="6"/>
        <v>2.1176470588235293E-2</v>
      </c>
      <c r="D63">
        <v>250.57</v>
      </c>
      <c r="E63">
        <f t="shared" si="1"/>
        <v>0.16452107635822827</v>
      </c>
      <c r="F63">
        <v>227.5</v>
      </c>
      <c r="G63">
        <f t="shared" si="2"/>
        <v>-1.0869565217391304E-2</v>
      </c>
      <c r="H63">
        <v>1341</v>
      </c>
      <c r="I63">
        <f t="shared" si="3"/>
        <v>-7.4019245003700959E-3</v>
      </c>
      <c r="J63">
        <v>1223.33</v>
      </c>
      <c r="K63">
        <f t="shared" si="4"/>
        <v>2.2287032239733797E-2</v>
      </c>
      <c r="M63" s="161" t="s">
        <v>176</v>
      </c>
      <c r="N63" s="161"/>
      <c r="O63" s="161"/>
      <c r="P63" s="161"/>
      <c r="Q63" s="161"/>
      <c r="R63" s="161"/>
      <c r="S63" s="161"/>
      <c r="T63" s="161"/>
      <c r="V63">
        <v>2644.75</v>
      </c>
      <c r="W63">
        <v>4.58</v>
      </c>
      <c r="X63">
        <f t="shared" si="5"/>
        <v>3.3036868645441482E-2</v>
      </c>
    </row>
    <row r="64" spans="1:24" x14ac:dyDescent="0.25">
      <c r="A64" s="8">
        <v>38595</v>
      </c>
      <c r="B64">
        <v>326.25</v>
      </c>
      <c r="C64">
        <f t="shared" si="6"/>
        <v>2.304147465437788E-3</v>
      </c>
      <c r="D64">
        <v>252.82</v>
      </c>
      <c r="E64">
        <f t="shared" si="1"/>
        <v>8.9795266791714897E-3</v>
      </c>
      <c r="F64">
        <v>215.5</v>
      </c>
      <c r="G64">
        <f t="shared" si="2"/>
        <v>-5.2747252747252747E-2</v>
      </c>
      <c r="H64">
        <v>1339</v>
      </c>
      <c r="I64">
        <f t="shared" si="3"/>
        <v>-1.4914243102162564E-3</v>
      </c>
      <c r="J64">
        <v>1238.8800000000001</v>
      </c>
      <c r="K64">
        <f t="shared" si="4"/>
        <v>1.2711206297564993E-2</v>
      </c>
      <c r="M64" s="13"/>
      <c r="N64" s="24" t="s">
        <v>51</v>
      </c>
      <c r="O64" s="24" t="s">
        <v>52</v>
      </c>
      <c r="P64" s="24" t="s">
        <v>53</v>
      </c>
      <c r="Q64" s="24" t="s">
        <v>43</v>
      </c>
      <c r="R64" s="24" t="s">
        <v>54</v>
      </c>
      <c r="V64">
        <v>2659.21</v>
      </c>
      <c r="W64">
        <v>4.5250000000000004</v>
      </c>
      <c r="X64">
        <f t="shared" si="5"/>
        <v>5.4674354853956088E-3</v>
      </c>
    </row>
    <row r="65" spans="1:24" x14ac:dyDescent="0.25">
      <c r="A65" s="8">
        <v>38625</v>
      </c>
      <c r="B65">
        <v>309.5</v>
      </c>
      <c r="C65">
        <f t="shared" si="6"/>
        <v>-5.1340996168582377E-2</v>
      </c>
      <c r="D65">
        <v>279.78000000000003</v>
      </c>
      <c r="E65">
        <f t="shared" si="1"/>
        <v>0.10663713313820124</v>
      </c>
      <c r="F65">
        <v>222.25</v>
      </c>
      <c r="G65">
        <f t="shared" si="2"/>
        <v>3.1322505800464036E-2</v>
      </c>
      <c r="H65">
        <v>1442</v>
      </c>
      <c r="I65">
        <f t="shared" si="3"/>
        <v>7.6923076923076927E-2</v>
      </c>
      <c r="J65">
        <v>1315.55</v>
      </c>
      <c r="K65">
        <f t="shared" si="4"/>
        <v>6.1886542683714192E-2</v>
      </c>
      <c r="M65" s="3" t="s">
        <v>57</v>
      </c>
      <c r="N65" s="27">
        <f>AVERAGE(C168:C203)</f>
        <v>-9.2722166737315113E-3</v>
      </c>
      <c r="O65" s="124">
        <f>AVERAGE(E168:E203)</f>
        <v>-4.87373948108848E-3</v>
      </c>
      <c r="P65" s="27">
        <f xml:space="preserve"> AVERAGE(G168:G203)</f>
        <v>-3.1714746390169111E-3</v>
      </c>
      <c r="Q65" s="147">
        <f>AVERAGE(I168:I203)</f>
        <v>2.4200681833333316E-3</v>
      </c>
      <c r="R65" s="146">
        <f xml:space="preserve"> AVERAGE(K168:K203)</f>
        <v>1.3556313883261669E-2</v>
      </c>
      <c r="V65">
        <v>2745.79</v>
      </c>
      <c r="W65">
        <v>4.54</v>
      </c>
      <c r="X65">
        <f t="shared" si="5"/>
        <v>3.2558541822571341E-2</v>
      </c>
    </row>
    <row r="66" spans="1:24" x14ac:dyDescent="0.25">
      <c r="A66" s="8">
        <v>38656</v>
      </c>
      <c r="B66">
        <v>300.75</v>
      </c>
      <c r="C66">
        <f t="shared" si="6"/>
        <v>-2.827140549273021E-2</v>
      </c>
      <c r="D66">
        <v>275.91000000000003</v>
      </c>
      <c r="E66">
        <f t="shared" si="1"/>
        <v>-1.3832296804632226E-2</v>
      </c>
      <c r="F66">
        <v>213</v>
      </c>
      <c r="G66">
        <f t="shared" si="2"/>
        <v>-4.1619797525309338E-2</v>
      </c>
      <c r="H66">
        <v>1469</v>
      </c>
      <c r="I66">
        <f t="shared" si="3"/>
        <v>1.8723994452149791E-2</v>
      </c>
      <c r="J66">
        <v>1273.33</v>
      </c>
      <c r="K66">
        <f t="shared" si="4"/>
        <v>-3.2093040933449911E-2</v>
      </c>
      <c r="M66" s="3" t="s">
        <v>56</v>
      </c>
      <c r="N66" s="27">
        <f xml:space="preserve"> VARP(C168:C203)</f>
        <v>7.1407379902979776E-3</v>
      </c>
      <c r="O66" s="27">
        <f xml:space="preserve"> VARP(E168:E203)</f>
        <v>6.3186930849007776E-3</v>
      </c>
      <c r="P66" s="27">
        <f xml:space="preserve"> VARP(G168:G203)</f>
        <v>3.3684276205031617E-3</v>
      </c>
      <c r="Q66" s="27">
        <f xml:space="preserve"> VARP(I168:I203)</f>
        <v>2.5326269031018538E-3</v>
      </c>
      <c r="R66" s="27">
        <f xml:space="preserve"> VARP(K168:K203)</f>
        <v>3.166494819071667E-3</v>
      </c>
      <c r="V66">
        <v>2664.4</v>
      </c>
      <c r="W66">
        <v>4.5250000000000004</v>
      </c>
      <c r="X66">
        <f t="shared" si="5"/>
        <v>-2.9641742449349685E-2</v>
      </c>
    </row>
    <row r="67" spans="1:24" x14ac:dyDescent="0.25">
      <c r="A67" s="8">
        <v>38686</v>
      </c>
      <c r="B67">
        <v>303</v>
      </c>
      <c r="C67">
        <f t="shared" si="6"/>
        <v>7.481296758104738E-3</v>
      </c>
      <c r="D67">
        <v>294.43</v>
      </c>
      <c r="E67">
        <f t="shared" si="1"/>
        <v>6.7123337320140558E-2</v>
      </c>
      <c r="F67">
        <v>213.5</v>
      </c>
      <c r="G67">
        <f t="shared" si="2"/>
        <v>2.3474178403755869E-3</v>
      </c>
      <c r="H67">
        <v>1429</v>
      </c>
      <c r="I67">
        <f t="shared" si="3"/>
        <v>-2.722940776038121E-2</v>
      </c>
      <c r="J67">
        <v>1258.8800000000001</v>
      </c>
      <c r="K67">
        <f t="shared" si="4"/>
        <v>-1.1348197246589508E-2</v>
      </c>
      <c r="M67" s="3" t="s">
        <v>55</v>
      </c>
      <c r="N67" s="27">
        <f xml:space="preserve"> SQRT(N66)</f>
        <v>8.4502887467221954E-2</v>
      </c>
      <c r="O67" s="27">
        <f t="shared" ref="O67:R67" si="9" xml:space="preserve"> SQRT(O66)</f>
        <v>7.9490207478033273E-2</v>
      </c>
      <c r="P67" s="27">
        <f t="shared" si="9"/>
        <v>5.8038156591187162E-2</v>
      </c>
      <c r="Q67" s="47">
        <f t="shared" si="9"/>
        <v>5.0325211406429815E-2</v>
      </c>
      <c r="R67" s="124">
        <f t="shared" si="9"/>
        <v>5.6271616460447156E-2</v>
      </c>
      <c r="V67">
        <v>2741.05</v>
      </c>
      <c r="W67">
        <v>4.5350000000000001</v>
      </c>
      <c r="X67">
        <f t="shared" si="5"/>
        <v>2.876820297252668E-2</v>
      </c>
    </row>
    <row r="68" spans="1:24" x14ac:dyDescent="0.25">
      <c r="A68" s="8">
        <v>38716</v>
      </c>
      <c r="B68">
        <v>331.5</v>
      </c>
      <c r="C68">
        <f t="shared" si="6"/>
        <v>9.405940594059406E-2</v>
      </c>
      <c r="D68">
        <v>323.15000000000003</v>
      </c>
      <c r="E68">
        <f t="shared" si="1"/>
        <v>9.7544407838875205E-2</v>
      </c>
      <c r="F68">
        <v>222.75</v>
      </c>
      <c r="G68">
        <f t="shared" si="2"/>
        <v>4.3325526932084309E-2</v>
      </c>
      <c r="H68">
        <v>1469</v>
      </c>
      <c r="I68">
        <f t="shared" si="3"/>
        <v>2.7991602519244228E-2</v>
      </c>
      <c r="J68">
        <v>1281.1100000000001</v>
      </c>
      <c r="K68">
        <f t="shared" si="4"/>
        <v>1.7658553634977134E-2</v>
      </c>
      <c r="V68">
        <v>2847.02</v>
      </c>
      <c r="W68">
        <v>4.6050000000000004</v>
      </c>
      <c r="X68">
        <f t="shared" si="5"/>
        <v>3.8660367377464762E-2</v>
      </c>
    </row>
    <row r="69" spans="1:24" x14ac:dyDescent="0.25">
      <c r="A69" s="8">
        <v>38748</v>
      </c>
      <c r="B69">
        <v>318</v>
      </c>
      <c r="C69">
        <f t="shared" si="6"/>
        <v>-4.072398190045249E-2</v>
      </c>
      <c r="D69">
        <v>328.07</v>
      </c>
      <c r="E69">
        <f t="shared" si="1"/>
        <v>1.5225127649698154E-2</v>
      </c>
      <c r="F69">
        <v>205.5</v>
      </c>
      <c r="G69">
        <f t="shared" si="2"/>
        <v>-7.7441077441077436E-2</v>
      </c>
      <c r="H69">
        <v>1438</v>
      </c>
      <c r="I69">
        <f t="shared" si="3"/>
        <v>-2.1102791014295439E-2</v>
      </c>
      <c r="J69">
        <v>1313.33</v>
      </c>
      <c r="K69">
        <f t="shared" si="4"/>
        <v>2.5150065177853422E-2</v>
      </c>
      <c r="M69" s="14"/>
      <c r="N69" s="162" t="s">
        <v>58</v>
      </c>
      <c r="O69" s="163"/>
      <c r="P69" s="163"/>
      <c r="Q69" s="163"/>
      <c r="R69" s="164"/>
      <c r="V69">
        <v>2928.56</v>
      </c>
      <c r="W69">
        <v>4.5250000000000004</v>
      </c>
      <c r="X69">
        <f t="shared" si="5"/>
        <v>2.8640473196535312E-2</v>
      </c>
    </row>
    <row r="70" spans="1:24" x14ac:dyDescent="0.25">
      <c r="A70" s="8">
        <v>38776</v>
      </c>
      <c r="B70">
        <v>338</v>
      </c>
      <c r="C70">
        <f t="shared" si="6"/>
        <v>6.2893081761006289E-2</v>
      </c>
      <c r="D70">
        <v>331.66</v>
      </c>
      <c r="E70">
        <f t="shared" si="1"/>
        <v>1.0942786600420739E-2</v>
      </c>
      <c r="F70">
        <v>205.75</v>
      </c>
      <c r="G70">
        <f t="shared" si="2"/>
        <v>1.2165450121654502E-3</v>
      </c>
      <c r="H70">
        <v>1446</v>
      </c>
      <c r="I70">
        <f t="shared" si="3"/>
        <v>5.5632823365785811E-3</v>
      </c>
      <c r="J70">
        <v>1305.55</v>
      </c>
      <c r="K70">
        <f t="shared" si="4"/>
        <v>-5.9238729032306987E-3</v>
      </c>
      <c r="M70" s="15"/>
      <c r="N70" s="24" t="s">
        <v>51</v>
      </c>
      <c r="O70" s="24" t="s">
        <v>59</v>
      </c>
      <c r="P70" s="24" t="s">
        <v>53</v>
      </c>
      <c r="Q70" s="24" t="s">
        <v>43</v>
      </c>
      <c r="R70" s="24" t="s">
        <v>54</v>
      </c>
      <c r="V70">
        <v>2956.12</v>
      </c>
      <c r="W70">
        <v>4.5049999999999999</v>
      </c>
      <c r="X70">
        <f t="shared" si="5"/>
        <v>9.4107684322670346E-3</v>
      </c>
    </row>
    <row r="71" spans="1:24" x14ac:dyDescent="0.25">
      <c r="A71" s="8">
        <v>38807</v>
      </c>
      <c r="B71">
        <v>330</v>
      </c>
      <c r="C71">
        <f t="shared" si="6"/>
        <v>-2.3668639053254437E-2</v>
      </c>
      <c r="D71">
        <v>350.55</v>
      </c>
      <c r="E71">
        <f t="shared" si="1"/>
        <v>5.695591871193386E-2</v>
      </c>
      <c r="F71">
        <v>222</v>
      </c>
      <c r="G71">
        <f t="shared" si="2"/>
        <v>7.8979343863912518E-2</v>
      </c>
      <c r="H71">
        <v>1505</v>
      </c>
      <c r="I71">
        <f t="shared" si="3"/>
        <v>4.0802213001383127E-2</v>
      </c>
      <c r="J71">
        <v>1308.8800000000001</v>
      </c>
      <c r="K71">
        <f t="shared" si="4"/>
        <v>2.5506491516986362E-3</v>
      </c>
      <c r="M71" s="24" t="s">
        <v>51</v>
      </c>
      <c r="N71" s="125">
        <f>N66</f>
        <v>7.1407379902979776E-3</v>
      </c>
      <c r="O71" s="126">
        <f>COVAR(C168:C203, E168:E203)</f>
        <v>1.1660666946915136E-3</v>
      </c>
      <c r="P71" s="126">
        <f xml:space="preserve"> COVAR(C168:C203, G168:G203)</f>
        <v>8.8906230816961876E-4</v>
      </c>
      <c r="Q71" s="126">
        <f xml:space="preserve"> COVAR(C168:C203, I168:I203)</f>
        <v>1.2858935352210135E-3</v>
      </c>
      <c r="R71" s="126">
        <f xml:space="preserve"> COVAR(C168:C203, K168:K203)</f>
        <v>1.5213247227397499E-3</v>
      </c>
      <c r="V71">
        <v>3047.96</v>
      </c>
      <c r="W71">
        <v>4.5250000000000004</v>
      </c>
      <c r="X71">
        <f t="shared" si="5"/>
        <v>3.1067750970867267E-2</v>
      </c>
    </row>
    <row r="72" spans="1:24" x14ac:dyDescent="0.25">
      <c r="A72" s="8">
        <v>38835</v>
      </c>
      <c r="B72">
        <v>319.5</v>
      </c>
      <c r="C72">
        <f t="shared" si="6"/>
        <v>-3.1818181818181815E-2</v>
      </c>
      <c r="D72">
        <v>364.71</v>
      </c>
      <c r="E72">
        <f t="shared" si="1"/>
        <v>4.0393667094565593E-2</v>
      </c>
      <c r="F72">
        <v>219.25</v>
      </c>
      <c r="G72">
        <f t="shared" si="2"/>
        <v>-1.2387387387387387E-2</v>
      </c>
      <c r="H72">
        <v>1556</v>
      </c>
      <c r="I72">
        <f t="shared" si="3"/>
        <v>3.3887043189368769E-2</v>
      </c>
      <c r="J72">
        <v>1294.44</v>
      </c>
      <c r="K72">
        <f t="shared" si="4"/>
        <v>-1.1032332986981277E-2</v>
      </c>
      <c r="M72" s="24" t="s">
        <v>60</v>
      </c>
      <c r="N72" s="126">
        <f>O71</f>
        <v>1.1660666946915136E-3</v>
      </c>
      <c r="O72" s="125">
        <f>O66</f>
        <v>6.3186930849007776E-3</v>
      </c>
      <c r="P72" s="126">
        <f xml:space="preserve"> COVAR(E168:E203, G168:G203)</f>
        <v>6.5485727133135106E-4</v>
      </c>
      <c r="Q72" s="126">
        <f>COVAR(E168:E203, I168:I203)</f>
        <v>1.6722872590409358E-3</v>
      </c>
      <c r="R72" s="126">
        <f>COVAR(E168:E203, K168:K203)</f>
        <v>1.8100114235506299E-3</v>
      </c>
      <c r="V72">
        <v>3074.26</v>
      </c>
      <c r="W72">
        <v>4.5650000000000004</v>
      </c>
      <c r="X72">
        <f t="shared" si="5"/>
        <v>8.6287221617082181E-3</v>
      </c>
    </row>
    <row r="73" spans="1:24" x14ac:dyDescent="0.25">
      <c r="A73" s="8">
        <v>38868</v>
      </c>
      <c r="B73">
        <v>320.5</v>
      </c>
      <c r="C73">
        <f t="shared" si="6"/>
        <v>3.1298904538341159E-3</v>
      </c>
      <c r="D73">
        <v>316.11</v>
      </c>
      <c r="E73">
        <f t="shared" ref="E73:E136" si="10">(D73-D72)/D72</f>
        <v>-0.13325656000658048</v>
      </c>
      <c r="F73">
        <v>234.25</v>
      </c>
      <c r="G73">
        <f t="shared" ref="G73:G136" si="11">(F73-F72)/F72</f>
        <v>6.8415051311288486E-2</v>
      </c>
      <c r="H73">
        <v>1480</v>
      </c>
      <c r="I73">
        <f t="shared" ref="I73:I136" si="12">(H73-H72)/H72</f>
        <v>-4.8843187660668377E-2</v>
      </c>
      <c r="J73">
        <v>1195</v>
      </c>
      <c r="K73">
        <f t="shared" ref="K73:K136" si="13" xml:space="preserve"> (J73-J72)/J72</f>
        <v>-7.6820864620994439E-2</v>
      </c>
      <c r="M73" s="24" t="s">
        <v>53</v>
      </c>
      <c r="N73" s="126">
        <f>P71</f>
        <v>8.8906230816961876E-4</v>
      </c>
      <c r="O73" s="126">
        <f>P72</f>
        <v>6.5485727133135106E-4</v>
      </c>
      <c r="P73" s="125">
        <f>P66</f>
        <v>3.3684276205031617E-3</v>
      </c>
      <c r="Q73" s="126">
        <f>COVAR(G168:G203, I168:I203)</f>
        <v>1.033380631334386E-3</v>
      </c>
      <c r="R73" s="126">
        <f xml:space="preserve"> COVAR(G168:G203, K168:K203)</f>
        <v>1.1236221986411516E-3</v>
      </c>
      <c r="V73">
        <v>2916.85</v>
      </c>
      <c r="W73">
        <v>4.6100000000000003</v>
      </c>
      <c r="X73">
        <f t="shared" si="5"/>
        <v>-5.120256582071793E-2</v>
      </c>
    </row>
    <row r="74" spans="1:24" x14ac:dyDescent="0.25">
      <c r="A74" s="8">
        <v>38898</v>
      </c>
      <c r="B74">
        <v>334</v>
      </c>
      <c r="C74">
        <f t="shared" si="6"/>
        <v>4.2121684867394697E-2</v>
      </c>
      <c r="D74">
        <v>316.87</v>
      </c>
      <c r="E74">
        <f t="shared" si="10"/>
        <v>2.4042263768940903E-3</v>
      </c>
      <c r="F74">
        <v>239.25</v>
      </c>
      <c r="G74">
        <f t="shared" si="11"/>
        <v>2.1344717182497332E-2</v>
      </c>
      <c r="H74">
        <v>1511</v>
      </c>
      <c r="I74">
        <f t="shared" si="12"/>
        <v>2.0945945945945947E-2</v>
      </c>
      <c r="J74">
        <v>1216</v>
      </c>
      <c r="K74">
        <f t="shared" si="13"/>
        <v>1.7573221757322177E-2</v>
      </c>
      <c r="M74" s="24" t="s">
        <v>43</v>
      </c>
      <c r="N74" s="126">
        <f>Q71</f>
        <v>1.2858935352210135E-3</v>
      </c>
      <c r="O74" s="126">
        <f>Q72</f>
        <v>1.6722872590409358E-3</v>
      </c>
      <c r="P74" s="126">
        <f>Q73</f>
        <v>1.033380631334386E-3</v>
      </c>
      <c r="Q74" s="125">
        <f>Q66</f>
        <v>2.5326269031018538E-3</v>
      </c>
      <c r="R74" s="126">
        <f xml:space="preserve"> COVAR(I168:I203, K168:K203)</f>
        <v>2.0731081830185931E-3</v>
      </c>
      <c r="V74">
        <v>2967.58</v>
      </c>
      <c r="W74">
        <v>4.6400000000000006</v>
      </c>
      <c r="X74">
        <f t="shared" ref="X74:X137" si="14" xml:space="preserve"> (V74-V73)/V73</f>
        <v>1.7392049642593901E-2</v>
      </c>
    </row>
    <row r="75" spans="1:24" x14ac:dyDescent="0.25">
      <c r="A75" s="8">
        <v>38929</v>
      </c>
      <c r="B75">
        <v>359.5</v>
      </c>
      <c r="C75">
        <f t="shared" si="6"/>
        <v>7.6347305389221562E-2</v>
      </c>
      <c r="D75">
        <v>337.35</v>
      </c>
      <c r="E75">
        <f t="shared" si="10"/>
        <v>6.4632183545302549E-2</v>
      </c>
      <c r="F75">
        <v>237.75</v>
      </c>
      <c r="G75">
        <f t="shared" si="11"/>
        <v>-6.269592476489028E-3</v>
      </c>
      <c r="H75">
        <v>1481</v>
      </c>
      <c r="I75">
        <f t="shared" si="12"/>
        <v>-1.9854401058901391E-2</v>
      </c>
      <c r="J75">
        <v>1266</v>
      </c>
      <c r="K75">
        <f t="shared" si="13"/>
        <v>4.1118421052631582E-2</v>
      </c>
      <c r="M75" s="24" t="s">
        <v>54</v>
      </c>
      <c r="N75" s="126">
        <f>R71</f>
        <v>1.5213247227397499E-3</v>
      </c>
      <c r="O75" s="126">
        <f>R72</f>
        <v>1.8100114235506299E-3</v>
      </c>
      <c r="P75" s="126">
        <f>R73</f>
        <v>1.1236221986411516E-3</v>
      </c>
      <c r="Q75" s="126">
        <f>R74</f>
        <v>2.0731081830185931E-3</v>
      </c>
      <c r="R75" s="125">
        <f>R66</f>
        <v>3.166494819071667E-3</v>
      </c>
      <c r="V75">
        <v>3004.28</v>
      </c>
      <c r="W75">
        <v>4.63</v>
      </c>
      <c r="X75">
        <f t="shared" si="14"/>
        <v>1.2366979154732231E-2</v>
      </c>
    </row>
    <row r="76" spans="1:24" ht="15.75" thickBot="1" x14ac:dyDescent="0.3">
      <c r="A76" s="8">
        <v>38960</v>
      </c>
      <c r="B76">
        <v>377.25</v>
      </c>
      <c r="C76">
        <f t="shared" ref="C76:C139" si="15">(B76-B75)/B75</f>
        <v>4.9374130737134911E-2</v>
      </c>
      <c r="D76">
        <v>333.90000000000003</v>
      </c>
      <c r="E76">
        <f t="shared" si="10"/>
        <v>-1.0226767452200945E-2</v>
      </c>
      <c r="F76">
        <v>246.5</v>
      </c>
      <c r="G76">
        <f t="shared" si="11"/>
        <v>3.6803364879074658E-2</v>
      </c>
      <c r="H76">
        <v>1488</v>
      </c>
      <c r="I76">
        <f t="shared" si="12"/>
        <v>4.7265361242403783E-3</v>
      </c>
      <c r="J76">
        <v>1256</v>
      </c>
      <c r="K76">
        <f t="shared" si="13"/>
        <v>-7.8988941548183249E-3</v>
      </c>
      <c r="V76">
        <v>3007.51</v>
      </c>
      <c r="W76">
        <v>4.875</v>
      </c>
      <c r="X76">
        <f t="shared" si="14"/>
        <v>1.075132810523659E-3</v>
      </c>
    </row>
    <row r="77" spans="1:24" x14ac:dyDescent="0.25">
      <c r="A77" s="8">
        <v>38989</v>
      </c>
      <c r="B77">
        <v>360</v>
      </c>
      <c r="C77">
        <f t="shared" si="15"/>
        <v>-4.5725646123260438E-2</v>
      </c>
      <c r="D77">
        <v>346.72</v>
      </c>
      <c r="E77">
        <f t="shared" si="10"/>
        <v>3.8394728960766671E-2</v>
      </c>
      <c r="F77">
        <v>268</v>
      </c>
      <c r="G77">
        <f t="shared" si="11"/>
        <v>8.7221095334685597E-2</v>
      </c>
      <c r="H77">
        <v>1422</v>
      </c>
      <c r="I77">
        <f t="shared" si="12"/>
        <v>-4.4354838709677422E-2</v>
      </c>
      <c r="J77">
        <v>1317</v>
      </c>
      <c r="K77">
        <f t="shared" si="13"/>
        <v>4.8566878980891723E-2</v>
      </c>
      <c r="M77" s="178" t="s">
        <v>66</v>
      </c>
      <c r="N77" s="179"/>
      <c r="O77" s="179"/>
      <c r="P77" s="180"/>
      <c r="Q77" s="129"/>
      <c r="R77" s="129"/>
      <c r="S77" s="129"/>
      <c r="T77" s="129"/>
      <c r="V77">
        <v>3050.44</v>
      </c>
      <c r="W77">
        <v>4.915</v>
      </c>
      <c r="X77">
        <f t="shared" si="14"/>
        <v>1.4274266752230196E-2</v>
      </c>
    </row>
    <row r="78" spans="1:24" x14ac:dyDescent="0.25">
      <c r="A78" s="8">
        <v>39021</v>
      </c>
      <c r="B78">
        <v>393.5</v>
      </c>
      <c r="C78">
        <f t="shared" si="15"/>
        <v>9.3055555555555558E-2</v>
      </c>
      <c r="D78">
        <v>362.45</v>
      </c>
      <c r="E78">
        <f t="shared" si="10"/>
        <v>4.5368020304568414E-2</v>
      </c>
      <c r="F78">
        <v>278.25</v>
      </c>
      <c r="G78">
        <f t="shared" si="11"/>
        <v>3.8246268656716417E-2</v>
      </c>
      <c r="H78">
        <v>1400</v>
      </c>
      <c r="I78">
        <f t="shared" si="12"/>
        <v>-1.5471167369901548E-2</v>
      </c>
      <c r="J78">
        <v>1301</v>
      </c>
      <c r="K78">
        <f t="shared" si="13"/>
        <v>-1.2148823082763858E-2</v>
      </c>
      <c r="M78" s="135"/>
      <c r="N78" s="36" t="s">
        <v>171</v>
      </c>
      <c r="O78" s="36" t="s">
        <v>67</v>
      </c>
      <c r="P78" s="136" t="s">
        <v>78</v>
      </c>
      <c r="Q78" s="16"/>
      <c r="R78" s="16"/>
      <c r="S78" s="16"/>
      <c r="T78" s="16"/>
      <c r="V78">
        <v>3140.4700000000003</v>
      </c>
      <c r="W78">
        <v>5.0200000000000005</v>
      </c>
      <c r="X78">
        <f t="shared" si="14"/>
        <v>2.951377506195834E-2</v>
      </c>
    </row>
    <row r="79" spans="1:24" ht="26.25" x14ac:dyDescent="0.25">
      <c r="A79" s="8">
        <v>39051</v>
      </c>
      <c r="B79">
        <v>391.25</v>
      </c>
      <c r="C79">
        <f t="shared" si="15"/>
        <v>-5.7179161372299869E-3</v>
      </c>
      <c r="D79">
        <v>328.89</v>
      </c>
      <c r="E79">
        <f t="shared" si="10"/>
        <v>-9.259208166643676E-2</v>
      </c>
      <c r="F79">
        <v>284.25</v>
      </c>
      <c r="G79">
        <f t="shared" si="11"/>
        <v>2.15633423180593E-2</v>
      </c>
      <c r="H79">
        <v>1351</v>
      </c>
      <c r="I79">
        <f t="shared" si="12"/>
        <v>-3.5000000000000003E-2</v>
      </c>
      <c r="J79">
        <v>1363</v>
      </c>
      <c r="K79">
        <f t="shared" si="13"/>
        <v>4.7655649500384319E-2</v>
      </c>
      <c r="M79" s="137" t="s">
        <v>69</v>
      </c>
      <c r="N79" s="40" t="s">
        <v>72</v>
      </c>
      <c r="O79" s="40" t="s">
        <v>72</v>
      </c>
      <c r="P79" s="138" t="s">
        <v>72</v>
      </c>
      <c r="Q79" s="121"/>
      <c r="R79" s="130"/>
      <c r="S79" s="130"/>
      <c r="T79" s="130"/>
      <c r="V79">
        <v>3119.85</v>
      </c>
      <c r="W79">
        <v>5.1100000000000003</v>
      </c>
      <c r="X79">
        <f t="shared" si="14"/>
        <v>-6.5658961875134439E-3</v>
      </c>
    </row>
    <row r="80" spans="1:24" ht="26.25" x14ac:dyDescent="0.25">
      <c r="A80" s="8">
        <v>39080</v>
      </c>
      <c r="B80">
        <v>404.5</v>
      </c>
      <c r="C80">
        <f t="shared" si="15"/>
        <v>3.386581469648562E-2</v>
      </c>
      <c r="D80">
        <v>345.48</v>
      </c>
      <c r="E80">
        <f t="shared" si="10"/>
        <v>5.0442397154063769E-2</v>
      </c>
      <c r="F80">
        <v>301.5</v>
      </c>
      <c r="G80">
        <f t="shared" si="11"/>
        <v>6.0686015831134567E-2</v>
      </c>
      <c r="H80">
        <v>1344</v>
      </c>
      <c r="I80">
        <f t="shared" si="12"/>
        <v>-5.1813471502590676E-3</v>
      </c>
      <c r="J80">
        <v>1428</v>
      </c>
      <c r="K80">
        <f t="shared" si="13"/>
        <v>4.7688921496698462E-2</v>
      </c>
      <c r="M80" s="137" t="s">
        <v>70</v>
      </c>
      <c r="N80" s="40" t="s">
        <v>72</v>
      </c>
      <c r="O80" s="36" t="s">
        <v>72</v>
      </c>
      <c r="P80" s="138" t="s">
        <v>72</v>
      </c>
      <c r="Q80" s="121"/>
      <c r="R80" s="130"/>
      <c r="S80" s="130"/>
      <c r="T80" s="130"/>
      <c r="V80">
        <v>3221.42</v>
      </c>
      <c r="W80">
        <v>5.2200000000000006</v>
      </c>
      <c r="X80">
        <f t="shared" si="14"/>
        <v>3.2556052374312923E-2</v>
      </c>
    </row>
    <row r="81" spans="1:39" ht="15.75" thickBot="1" x14ac:dyDescent="0.3">
      <c r="A81" s="8">
        <v>39113</v>
      </c>
      <c r="B81">
        <v>418</v>
      </c>
      <c r="C81">
        <f t="shared" si="15"/>
        <v>3.3374536464771322E-2</v>
      </c>
      <c r="D81">
        <v>361.1</v>
      </c>
      <c r="E81">
        <f t="shared" si="10"/>
        <v>4.5212458029408369E-2</v>
      </c>
      <c r="F81">
        <v>306</v>
      </c>
      <c r="G81">
        <f t="shared" si="11"/>
        <v>1.4925373134328358E-2</v>
      </c>
      <c r="H81">
        <v>1365</v>
      </c>
      <c r="I81">
        <f t="shared" si="12"/>
        <v>1.5625E-2</v>
      </c>
      <c r="J81">
        <v>1384</v>
      </c>
      <c r="K81">
        <f t="shared" si="13"/>
        <v>-3.081232492997199E-2</v>
      </c>
      <c r="M81" s="71"/>
      <c r="N81" s="31"/>
      <c r="O81" s="31"/>
      <c r="P81" s="72"/>
      <c r="Q81" s="131"/>
      <c r="R81" s="131"/>
      <c r="S81" s="131"/>
      <c r="T81" s="131"/>
      <c r="V81">
        <v>3211.84</v>
      </c>
      <c r="W81">
        <v>5.3900000000000006</v>
      </c>
      <c r="X81">
        <f t="shared" si="14"/>
        <v>-2.9738438328438784E-3</v>
      </c>
    </row>
    <row r="82" spans="1:39" x14ac:dyDescent="0.25">
      <c r="A82" s="8">
        <v>39141</v>
      </c>
      <c r="B82">
        <v>432</v>
      </c>
      <c r="C82">
        <f t="shared" si="15"/>
        <v>3.3492822966507178E-2</v>
      </c>
      <c r="D82">
        <v>379.04</v>
      </c>
      <c r="E82">
        <f t="shared" si="10"/>
        <v>4.9681528662420371E-2</v>
      </c>
      <c r="F82">
        <v>295.75</v>
      </c>
      <c r="G82">
        <f t="shared" si="11"/>
        <v>-3.349673202614379E-2</v>
      </c>
      <c r="H82">
        <v>1430</v>
      </c>
      <c r="I82">
        <f t="shared" si="12"/>
        <v>4.7619047619047616E-2</v>
      </c>
      <c r="J82">
        <v>1361</v>
      </c>
      <c r="K82">
        <f t="shared" si="13"/>
        <v>-1.6618497109826588E-2</v>
      </c>
      <c r="M82" s="71" t="s">
        <v>39</v>
      </c>
      <c r="N82" s="44">
        <v>0.10386772619097949</v>
      </c>
      <c r="O82" s="44">
        <v>0.2</v>
      </c>
      <c r="P82" s="139">
        <v>0</v>
      </c>
      <c r="Q82" s="51"/>
      <c r="R82" s="51"/>
      <c r="S82" s="51"/>
      <c r="T82" s="51"/>
      <c r="V82">
        <v>3198.28</v>
      </c>
      <c r="W82">
        <v>5.3850000000000007</v>
      </c>
      <c r="X82">
        <f t="shared" si="14"/>
        <v>-4.221879047524143E-3</v>
      </c>
      <c r="Y82" s="64"/>
      <c r="Z82" s="97" t="s">
        <v>39</v>
      </c>
      <c r="AA82" s="97" t="s">
        <v>60</v>
      </c>
      <c r="AB82" s="97" t="s">
        <v>71</v>
      </c>
      <c r="AC82" s="97" t="s">
        <v>43</v>
      </c>
      <c r="AD82" s="97" t="s">
        <v>47</v>
      </c>
      <c r="AE82" s="100" t="s">
        <v>145</v>
      </c>
      <c r="AF82" s="100" t="s">
        <v>143</v>
      </c>
      <c r="AG82" s="64"/>
      <c r="AH82" s="192" t="s">
        <v>136</v>
      </c>
      <c r="AI82" s="193"/>
      <c r="AJ82" s="193"/>
      <c r="AK82" s="193"/>
      <c r="AL82" s="193"/>
      <c r="AM82" s="194"/>
    </row>
    <row r="83" spans="1:39" x14ac:dyDescent="0.25">
      <c r="A83" s="8">
        <v>39171</v>
      </c>
      <c r="B83">
        <v>444.25</v>
      </c>
      <c r="C83">
        <f t="shared" si="15"/>
        <v>2.8356481481481483E-2</v>
      </c>
      <c r="D83">
        <v>386.1</v>
      </c>
      <c r="E83">
        <f t="shared" si="10"/>
        <v>1.862600253271423E-2</v>
      </c>
      <c r="F83">
        <v>303.75</v>
      </c>
      <c r="G83">
        <f t="shared" si="11"/>
        <v>2.7049873203719356E-2</v>
      </c>
      <c r="H83">
        <v>1397</v>
      </c>
      <c r="I83">
        <f t="shared" si="12"/>
        <v>-2.3076923076923078E-2</v>
      </c>
      <c r="J83">
        <v>1531</v>
      </c>
      <c r="K83">
        <f t="shared" si="13"/>
        <v>0.12490815576781777</v>
      </c>
      <c r="M83" s="71" t="s">
        <v>60</v>
      </c>
      <c r="N83" s="44">
        <v>0.10305841034379935</v>
      </c>
      <c r="O83" s="44">
        <v>0.2</v>
      </c>
      <c r="P83" s="139">
        <v>0</v>
      </c>
      <c r="Q83" s="51"/>
      <c r="R83" s="51"/>
      <c r="S83" s="51"/>
      <c r="T83" s="51"/>
      <c r="V83">
        <v>3283.21</v>
      </c>
      <c r="W83">
        <v>5.4249999999999998</v>
      </c>
      <c r="X83">
        <f t="shared" si="14"/>
        <v>2.6554898257813521E-2</v>
      </c>
      <c r="Y83" s="64"/>
      <c r="Z83" s="98">
        <f>(B168-B167)/B167</f>
        <v>-8.293838862559395E-3</v>
      </c>
      <c r="AA83" s="98">
        <v>-9.8257082781094112E-3</v>
      </c>
      <c r="AB83" s="98">
        <v>-2.8985507246376812E-2</v>
      </c>
      <c r="AC83" s="98">
        <v>2.5447690857681431E-2</v>
      </c>
      <c r="AD83" s="98">
        <v>3.2409215150331905E-2</v>
      </c>
      <c r="AE83" s="99">
        <v>4.7000000000000002E-3</v>
      </c>
      <c r="AF83" s="99">
        <v>1.8067324972789265E-2</v>
      </c>
      <c r="AG83" s="64"/>
      <c r="AH83" s="71"/>
      <c r="AI83" s="31"/>
      <c r="AJ83" s="31"/>
      <c r="AK83" s="31"/>
      <c r="AL83" s="31"/>
      <c r="AM83" s="72"/>
    </row>
    <row r="84" spans="1:39" x14ac:dyDescent="0.25">
      <c r="A84" s="8">
        <v>39202</v>
      </c>
      <c r="B84">
        <v>462.5</v>
      </c>
      <c r="C84">
        <f t="shared" si="15"/>
        <v>4.1080472706809229E-2</v>
      </c>
      <c r="D84">
        <v>374.77</v>
      </c>
      <c r="E84">
        <f t="shared" si="10"/>
        <v>-2.934472934472945E-2</v>
      </c>
      <c r="F84">
        <v>316.25</v>
      </c>
      <c r="G84">
        <f t="shared" si="11"/>
        <v>4.1152263374485597E-2</v>
      </c>
      <c r="H84">
        <v>1449</v>
      </c>
      <c r="I84">
        <f t="shared" si="12"/>
        <v>3.7222619899785252E-2</v>
      </c>
      <c r="J84">
        <v>1576</v>
      </c>
      <c r="K84">
        <f t="shared" si="13"/>
        <v>2.9392553886348791E-2</v>
      </c>
      <c r="M84" s="71" t="s">
        <v>71</v>
      </c>
      <c r="N84" s="44">
        <v>0.3351269527682631</v>
      </c>
      <c r="O84" s="44">
        <v>0.2</v>
      </c>
      <c r="P84" s="139">
        <v>0</v>
      </c>
      <c r="Q84" s="51"/>
      <c r="R84" s="51"/>
      <c r="S84" s="51"/>
      <c r="T84" s="51"/>
      <c r="V84">
        <v>3355.6</v>
      </c>
      <c r="W84">
        <v>5.5250000000000004</v>
      </c>
      <c r="X84">
        <f t="shared" si="14"/>
        <v>2.2048543955458185E-2</v>
      </c>
      <c r="Y84" s="64"/>
      <c r="Z84" s="98">
        <v>3.6183649086874971E-2</v>
      </c>
      <c r="AA84" s="98">
        <v>-9.5206465183216311E-3</v>
      </c>
      <c r="AB84" s="98">
        <v>7.7340569877883306E-2</v>
      </c>
      <c r="AC84" s="98">
        <v>-1.8995098039215685E-2</v>
      </c>
      <c r="AD84" s="98">
        <v>1.3615733736762481E-2</v>
      </c>
      <c r="AE84" s="99">
        <v>4.7499999999999999E-3</v>
      </c>
      <c r="AF84" s="98">
        <v>9.7186884466950903E-3</v>
      </c>
      <c r="AG84" s="64"/>
      <c r="AH84" s="195" t="s">
        <v>144</v>
      </c>
      <c r="AI84" s="196"/>
      <c r="AJ84" s="196"/>
      <c r="AK84" s="196"/>
      <c r="AL84" s="196"/>
      <c r="AM84" s="197"/>
    </row>
    <row r="85" spans="1:39" x14ac:dyDescent="0.25">
      <c r="A85" s="8">
        <v>39233</v>
      </c>
      <c r="B85">
        <v>458.75</v>
      </c>
      <c r="C85">
        <f t="shared" si="15"/>
        <v>-8.1081081081081086E-3</v>
      </c>
      <c r="D85">
        <v>389.03000000000003</v>
      </c>
      <c r="E85">
        <f t="shared" si="10"/>
        <v>3.8050004002454965E-2</v>
      </c>
      <c r="F85">
        <v>329.5</v>
      </c>
      <c r="G85">
        <f t="shared" si="11"/>
        <v>4.1897233201581029E-2</v>
      </c>
      <c r="H85">
        <v>1310</v>
      </c>
      <c r="I85">
        <f t="shared" si="12"/>
        <v>-9.5928226363008975E-2</v>
      </c>
      <c r="J85">
        <v>1559</v>
      </c>
      <c r="K85">
        <f t="shared" si="13"/>
        <v>-1.0786802030456852E-2</v>
      </c>
      <c r="M85" s="71" t="s">
        <v>43</v>
      </c>
      <c r="N85" s="51">
        <v>0.36679829390432356</v>
      </c>
      <c r="O85" s="51">
        <v>0.2</v>
      </c>
      <c r="P85" s="140">
        <v>0</v>
      </c>
      <c r="Q85" s="51"/>
      <c r="R85" s="51"/>
      <c r="S85" s="51"/>
      <c r="T85" s="51"/>
      <c r="V85">
        <v>3438.7000000000003</v>
      </c>
      <c r="W85">
        <v>5.63</v>
      </c>
      <c r="X85">
        <f t="shared" si="14"/>
        <v>2.4764572654666934E-2</v>
      </c>
      <c r="Y85" s="64"/>
      <c r="Z85" s="98">
        <v>-6.374567616537645E-2</v>
      </c>
      <c r="AA85" s="98">
        <v>2.7881361959823953E-2</v>
      </c>
      <c r="AB85" s="98">
        <v>-3.0478589420654827E-2</v>
      </c>
      <c r="AC85" s="98">
        <v>-2.3110555902560899E-2</v>
      </c>
      <c r="AD85" s="98">
        <v>-1.082089552238806E-2</v>
      </c>
      <c r="AE85" s="99">
        <v>4.7499999999999999E-3</v>
      </c>
      <c r="AF85" s="98">
        <v>-1.4998590975127336E-2</v>
      </c>
      <c r="AG85" s="64"/>
      <c r="AH85" s="198">
        <f xml:space="preserve"> AVERAGE(W168:W203)</f>
        <v>0.44236111111111126</v>
      </c>
      <c r="AI85" s="199"/>
      <c r="AJ85" s="199"/>
      <c r="AK85" s="199"/>
      <c r="AL85" s="199"/>
      <c r="AM85" s="174"/>
    </row>
    <row r="86" spans="1:39" ht="15.75" thickBot="1" x14ac:dyDescent="0.3">
      <c r="A86" s="8">
        <v>39262</v>
      </c>
      <c r="B86">
        <v>418.5</v>
      </c>
      <c r="C86">
        <f t="shared" si="15"/>
        <v>-8.7738419618528615E-2</v>
      </c>
      <c r="D86">
        <v>420.67</v>
      </c>
      <c r="E86">
        <f t="shared" si="10"/>
        <v>8.1330488651260788E-2</v>
      </c>
      <c r="F86">
        <v>332.5</v>
      </c>
      <c r="G86">
        <f t="shared" si="11"/>
        <v>9.104704097116844E-3</v>
      </c>
      <c r="H86">
        <v>1305</v>
      </c>
      <c r="I86">
        <f t="shared" si="12"/>
        <v>-3.8167938931297708E-3</v>
      </c>
      <c r="J86">
        <v>1615</v>
      </c>
      <c r="K86">
        <f t="shared" si="13"/>
        <v>3.5920461834509303E-2</v>
      </c>
      <c r="M86" s="71" t="s">
        <v>47</v>
      </c>
      <c r="N86" s="51">
        <v>9.1148631539770639E-2</v>
      </c>
      <c r="O86" s="51">
        <v>0.2</v>
      </c>
      <c r="P86" s="140">
        <v>1.0000000207551889</v>
      </c>
      <c r="Q86" s="51"/>
      <c r="R86" s="51"/>
      <c r="S86" s="51"/>
      <c r="T86" s="51"/>
      <c r="V86">
        <v>3404.14</v>
      </c>
      <c r="W86">
        <v>5.8250000000000002</v>
      </c>
      <c r="X86">
        <f t="shared" si="14"/>
        <v>-1.0050309710064965E-2</v>
      </c>
      <c r="Y86" s="64"/>
      <c r="Z86" s="98">
        <v>-9.2188599577762098E-2</v>
      </c>
      <c r="AA86" s="98">
        <v>-2.7125077846205495E-2</v>
      </c>
      <c r="AB86" s="98">
        <v>9.3530787217458184E-3</v>
      </c>
      <c r="AC86" s="98">
        <v>-8.1521739130434784E-2</v>
      </c>
      <c r="AD86" s="98">
        <v>-3.0554507732930971E-2</v>
      </c>
      <c r="AE86" s="99">
        <v>4.6499999999999996E-3</v>
      </c>
      <c r="AF86" s="98">
        <v>-4.0470086301001235E-3</v>
      </c>
      <c r="AG86" s="64"/>
      <c r="AH86" s="75"/>
      <c r="AI86" s="76"/>
      <c r="AJ86" s="76"/>
      <c r="AK86" s="76"/>
      <c r="AL86" s="76"/>
      <c r="AM86" s="77"/>
    </row>
    <row r="87" spans="1:39" x14ac:dyDescent="0.25">
      <c r="A87" s="8">
        <v>39294</v>
      </c>
      <c r="B87">
        <v>407.75</v>
      </c>
      <c r="C87">
        <f t="shared" si="15"/>
        <v>-2.5686977299880526E-2</v>
      </c>
      <c r="D87">
        <v>398.40000000000003</v>
      </c>
      <c r="E87">
        <f t="shared" si="10"/>
        <v>-5.2939358642166021E-2</v>
      </c>
      <c r="F87">
        <v>315</v>
      </c>
      <c r="G87">
        <f t="shared" si="11"/>
        <v>-5.2631578947368418E-2</v>
      </c>
      <c r="H87">
        <v>1255</v>
      </c>
      <c r="I87">
        <f t="shared" si="12"/>
        <v>-3.8314176245210725E-2</v>
      </c>
      <c r="J87">
        <v>1550</v>
      </c>
      <c r="K87">
        <f t="shared" si="13"/>
        <v>-4.0247678018575851E-2</v>
      </c>
      <c r="M87" s="71"/>
      <c r="N87" s="31"/>
      <c r="O87" s="31"/>
      <c r="P87" s="72"/>
      <c r="Q87" s="131"/>
      <c r="R87" s="131"/>
      <c r="S87" s="131"/>
      <c r="T87" s="131"/>
      <c r="V87">
        <v>3289.12</v>
      </c>
      <c r="W87">
        <v>5.8650000000000002</v>
      </c>
      <c r="X87">
        <f t="shared" si="14"/>
        <v>-3.3788269577631938E-2</v>
      </c>
      <c r="Y87" s="64"/>
      <c r="Z87" s="98">
        <v>-0.10872093023255808</v>
      </c>
      <c r="AA87" s="98">
        <v>-1.826920145909753E-2</v>
      </c>
      <c r="AB87" s="98">
        <v>-3.8610038610038611E-3</v>
      </c>
      <c r="AC87" s="98">
        <v>2.6453184824225547E-2</v>
      </c>
      <c r="AD87" s="98">
        <v>3.4630350194552531E-2</v>
      </c>
      <c r="AE87" s="99">
        <v>4.6499999999999996E-3</v>
      </c>
      <c r="AF87" s="98">
        <v>1.503784561665767E-2</v>
      </c>
      <c r="AG87" s="64"/>
      <c r="AH87" s="103" t="s">
        <v>137</v>
      </c>
      <c r="AI87" s="103" t="s">
        <v>138</v>
      </c>
      <c r="AJ87" s="103" t="s">
        <v>139</v>
      </c>
      <c r="AK87" s="103" t="s">
        <v>140</v>
      </c>
      <c r="AL87" s="103" t="s">
        <v>141</v>
      </c>
      <c r="AM87" s="103" t="s">
        <v>142</v>
      </c>
    </row>
    <row r="88" spans="1:39" x14ac:dyDescent="0.25">
      <c r="A88" s="8">
        <v>39325</v>
      </c>
      <c r="B88">
        <v>425</v>
      </c>
      <c r="C88">
        <f t="shared" si="15"/>
        <v>4.2305334150827711E-2</v>
      </c>
      <c r="D88">
        <v>399.18</v>
      </c>
      <c r="E88">
        <f t="shared" si="10"/>
        <v>1.957831325301136E-3</v>
      </c>
      <c r="F88">
        <v>315.75</v>
      </c>
      <c r="G88">
        <f t="shared" si="11"/>
        <v>2.3809523809523812E-3</v>
      </c>
      <c r="H88">
        <v>1295</v>
      </c>
      <c r="I88">
        <f t="shared" si="12"/>
        <v>3.1872509960159362E-2</v>
      </c>
      <c r="J88">
        <v>1563</v>
      </c>
      <c r="K88">
        <f t="shared" si="13"/>
        <v>8.3870967741935479E-3</v>
      </c>
      <c r="M88" s="141" t="s">
        <v>63</v>
      </c>
      <c r="N88" s="31">
        <f t="shared" ref="N88:O88" si="16">SUM(N82:N86)</f>
        <v>1.0000000147471362</v>
      </c>
      <c r="O88" s="31">
        <f t="shared" si="16"/>
        <v>1</v>
      </c>
      <c r="P88" s="142">
        <f xml:space="preserve"> SUM(P82:P86)</f>
        <v>1.0000000207551889</v>
      </c>
      <c r="Q88" s="134"/>
      <c r="R88" s="131"/>
      <c r="S88" s="132"/>
      <c r="T88" s="132"/>
      <c r="V88">
        <v>3260.48</v>
      </c>
      <c r="W88">
        <v>6.5</v>
      </c>
      <c r="X88">
        <f t="shared" si="14"/>
        <v>-8.7074962299946105E-3</v>
      </c>
      <c r="Y88" s="64"/>
      <c r="Z88" s="98">
        <v>-0.19025875190258751</v>
      </c>
      <c r="AA88" s="98">
        <v>-5.5341081981804846E-2</v>
      </c>
      <c r="AB88" s="98">
        <v>-1.9121447028423715E-2</v>
      </c>
      <c r="AC88" s="98">
        <v>-4.170905391658189E-2</v>
      </c>
      <c r="AD88" s="98">
        <v>-2.7830011282437006E-2</v>
      </c>
      <c r="AE88" s="99">
        <v>4.6499999999999996E-3</v>
      </c>
      <c r="AF88" s="98">
        <v>-2.9017403298218915E-2</v>
      </c>
      <c r="AG88" s="64"/>
      <c r="AH88" s="102">
        <f t="shared" ref="AH88:AH123" si="17">Z83-AE83</f>
        <v>-1.2993838862559396E-2</v>
      </c>
      <c r="AI88" s="102">
        <f t="shared" ref="AI88:AI119" si="18">AA83-AE83</f>
        <v>-1.4525708278109412E-2</v>
      </c>
      <c r="AJ88" s="102">
        <f t="shared" ref="AJ88:AJ123" si="19">AB83-AE83</f>
        <v>-3.3685507246376811E-2</v>
      </c>
      <c r="AK88" s="102">
        <f t="shared" ref="AK88:AK119" si="20" xml:space="preserve"> AC83-AE83</f>
        <v>2.0747690857681432E-2</v>
      </c>
      <c r="AL88" s="102">
        <f t="shared" ref="AL88:AL119" si="21">AD83-AE83</f>
        <v>2.7709215150331905E-2</v>
      </c>
      <c r="AM88" s="102">
        <f xml:space="preserve"> AF83-AE83</f>
        <v>1.3367324972789266E-2</v>
      </c>
    </row>
    <row r="89" spans="1:39" x14ac:dyDescent="0.25">
      <c r="A89" s="8">
        <v>39353</v>
      </c>
      <c r="B89">
        <v>439.25</v>
      </c>
      <c r="C89">
        <f t="shared" si="15"/>
        <v>3.3529411764705884E-2</v>
      </c>
      <c r="D89">
        <v>408.17</v>
      </c>
      <c r="E89">
        <f t="shared" si="10"/>
        <v>2.2521168395210203E-2</v>
      </c>
      <c r="F89">
        <v>307</v>
      </c>
      <c r="G89">
        <f t="shared" si="11"/>
        <v>-2.7711797307996833E-2</v>
      </c>
      <c r="H89">
        <v>1297</v>
      </c>
      <c r="I89">
        <f t="shared" si="12"/>
        <v>1.5444015444015444E-3</v>
      </c>
      <c r="J89">
        <v>1545</v>
      </c>
      <c r="K89">
        <f t="shared" si="13"/>
        <v>-1.1516314779270634E-2</v>
      </c>
      <c r="M89" s="143" t="s">
        <v>73</v>
      </c>
      <c r="N89" s="49">
        <f t="array" ref="N89">SUMPRODUCT(N82:N86, TRANSPOSE(N65:R65))</f>
        <v>-4.0489419759523883E-4</v>
      </c>
      <c r="O89" s="45">
        <f t="array" ref="O89">SUMPRODUCT(O82:O86, TRANSPOSE(N65:R65))</f>
        <v>-2.682097454483807E-4</v>
      </c>
      <c r="P89" s="144">
        <f t="array" ref="P89">SUMPRODUCT(P82:P86,TRANSPOSE(N65:R65))</f>
        <v>1.3556314164625525E-2</v>
      </c>
      <c r="Q89" s="133"/>
      <c r="R89" s="123"/>
      <c r="S89" s="123"/>
      <c r="T89" s="123"/>
      <c r="V89">
        <v>3316.89</v>
      </c>
      <c r="W89">
        <v>6.08</v>
      </c>
      <c r="X89">
        <f t="shared" si="14"/>
        <v>1.7301133575424434E-2</v>
      </c>
      <c r="Y89" s="64"/>
      <c r="Z89" s="98">
        <v>-6.7669172932330948E-2</v>
      </c>
      <c r="AA89" s="98">
        <v>-0.11603777719344373</v>
      </c>
      <c r="AB89" s="98">
        <v>-3.187565858798741E-2</v>
      </c>
      <c r="AC89" s="98">
        <v>3.1847133757961785E-3</v>
      </c>
      <c r="AD89" s="98">
        <v>-2.746615087040619E-2</v>
      </c>
      <c r="AE89" s="99">
        <v>4.6499999999999996E-3</v>
      </c>
      <c r="AF89" s="98">
        <v>-8.6221289046473047E-3</v>
      </c>
      <c r="AG89" s="64"/>
      <c r="AH89" s="102">
        <f t="shared" si="17"/>
        <v>3.1433649086874973E-2</v>
      </c>
      <c r="AI89" s="102">
        <f t="shared" si="18"/>
        <v>-1.427064651832163E-2</v>
      </c>
      <c r="AJ89" s="102">
        <f t="shared" si="19"/>
        <v>7.2590569877883301E-2</v>
      </c>
      <c r="AK89" s="102">
        <f t="shared" si="20"/>
        <v>-2.3745098039215685E-2</v>
      </c>
      <c r="AL89" s="102">
        <f t="shared" si="21"/>
        <v>8.8657337367624815E-3</v>
      </c>
      <c r="AM89" s="102">
        <f t="shared" ref="AM89:AM123" si="22" xml:space="preserve"> AF84-AE84</f>
        <v>4.9686884466950904E-3</v>
      </c>
    </row>
    <row r="90" spans="1:39" x14ac:dyDescent="0.25">
      <c r="A90" s="8">
        <v>39386</v>
      </c>
      <c r="B90">
        <v>488</v>
      </c>
      <c r="C90">
        <f t="shared" si="15"/>
        <v>0.1109846328969835</v>
      </c>
      <c r="D90">
        <v>423.71000000000004</v>
      </c>
      <c r="E90">
        <f t="shared" si="10"/>
        <v>3.807237180586525E-2</v>
      </c>
      <c r="F90">
        <v>326</v>
      </c>
      <c r="G90">
        <f t="shared" si="11"/>
        <v>6.1889250814332247E-2</v>
      </c>
      <c r="H90">
        <v>1238</v>
      </c>
      <c r="I90">
        <f t="shared" si="12"/>
        <v>-4.5489591364687741E-2</v>
      </c>
      <c r="J90">
        <v>1625</v>
      </c>
      <c r="K90">
        <f t="shared" si="13"/>
        <v>5.1779935275080909E-2</v>
      </c>
      <c r="M90" s="143" t="s">
        <v>56</v>
      </c>
      <c r="N90" s="45">
        <f t="array" ref="N90" xml:space="preserve"> MMULT(MMULT(TRANSPOSE(N82:N86),N71:R75), N82:N86)</f>
        <v>1.7701437159545132E-3</v>
      </c>
      <c r="O90" s="45">
        <f t="array" ref="O90" xml:space="preserve"> MMULT(MMULT(TRANSPOSE(O82:O86), N71:R75), O82:O86)</f>
        <v>1.9594483549341332E-3</v>
      </c>
      <c r="P90" s="144">
        <f t="array" ref="P90" xml:space="preserve"> MMULT(MMULT(TRANSPOSE(P82:P86), N71:R75), P82:P86)</f>
        <v>3.1664949505140643E-3</v>
      </c>
      <c r="Q90" s="133"/>
      <c r="R90" s="123"/>
      <c r="S90" s="123"/>
      <c r="T90" s="123"/>
      <c r="V90">
        <v>3454.12</v>
      </c>
      <c r="W90">
        <v>5.9750000000000005</v>
      </c>
      <c r="X90">
        <f t="shared" si="14"/>
        <v>4.1373093470087954E-2</v>
      </c>
      <c r="Y90" s="64"/>
      <c r="Z90" s="98">
        <v>7.4020737327189071E-2</v>
      </c>
      <c r="AA90" s="98">
        <v>-5.8254111872687155E-4</v>
      </c>
      <c r="AB90" s="98">
        <v>0.11619047619047616</v>
      </c>
      <c r="AC90" s="98">
        <v>4.7619047619047616E-2</v>
      </c>
      <c r="AD90" s="98">
        <v>7.6372315035799526E-2</v>
      </c>
      <c r="AE90" s="99">
        <v>4.6499999999999996E-3</v>
      </c>
      <c r="AF90" s="98">
        <v>2.5648929914998352E-2</v>
      </c>
      <c r="AG90" s="64"/>
      <c r="AH90" s="102">
        <f t="shared" si="17"/>
        <v>-6.8495676165376454E-2</v>
      </c>
      <c r="AI90" s="102">
        <f t="shared" si="18"/>
        <v>2.3131361959823953E-2</v>
      </c>
      <c r="AJ90" s="102">
        <f t="shared" si="19"/>
        <v>-3.5228589420654828E-2</v>
      </c>
      <c r="AK90" s="102">
        <f t="shared" si="20"/>
        <v>-2.78605559025609E-2</v>
      </c>
      <c r="AL90" s="102">
        <f t="shared" si="21"/>
        <v>-1.5570895522388061E-2</v>
      </c>
      <c r="AM90" s="102">
        <f t="shared" si="22"/>
        <v>-1.9748590975127336E-2</v>
      </c>
    </row>
    <row r="91" spans="1:39" x14ac:dyDescent="0.25">
      <c r="A91" s="8">
        <v>39416</v>
      </c>
      <c r="B91">
        <v>479</v>
      </c>
      <c r="C91">
        <f t="shared" si="15"/>
        <v>-1.8442622950819672E-2</v>
      </c>
      <c r="D91">
        <v>416.23</v>
      </c>
      <c r="E91">
        <f t="shared" si="10"/>
        <v>-1.7653583819121611E-2</v>
      </c>
      <c r="F91">
        <v>286.75</v>
      </c>
      <c r="G91">
        <f t="shared" si="11"/>
        <v>-0.12039877300613497</v>
      </c>
      <c r="H91">
        <v>1288</v>
      </c>
      <c r="I91">
        <f t="shared" si="12"/>
        <v>4.0387722132471729E-2</v>
      </c>
      <c r="J91">
        <v>1784</v>
      </c>
      <c r="K91">
        <f t="shared" si="13"/>
        <v>9.7846153846153847E-2</v>
      </c>
      <c r="M91" s="143" t="s">
        <v>74</v>
      </c>
      <c r="N91" s="45">
        <f xml:space="preserve"> SQRT(N90)</f>
        <v>4.2073075903177236E-2</v>
      </c>
      <c r="O91" s="45">
        <f>SQRT(O90)</f>
        <v>4.4265656607963395E-2</v>
      </c>
      <c r="P91" s="144">
        <f>SQRT(P90)</f>
        <v>5.6271617628375181E-2</v>
      </c>
      <c r="Q91" s="133"/>
      <c r="R91" s="123"/>
      <c r="S91" s="123"/>
      <c r="T91" s="133"/>
      <c r="V91">
        <v>3280.87</v>
      </c>
      <c r="W91">
        <v>6.0550000000000006</v>
      </c>
      <c r="X91">
        <f t="shared" si="14"/>
        <v>-5.0157493080726784E-2</v>
      </c>
      <c r="Y91" s="64"/>
      <c r="Z91" s="98">
        <v>1.3676588897827743E-2</v>
      </c>
      <c r="AA91" s="98">
        <v>3.2641317558349994E-2</v>
      </c>
      <c r="AB91" s="98">
        <v>-2.1209166260360773E-2</v>
      </c>
      <c r="AC91" s="98">
        <v>-7.3400673400673397E-2</v>
      </c>
      <c r="AD91" s="98">
        <v>-2.8824833702882482E-2</v>
      </c>
      <c r="AE91" s="99">
        <v>4.6499999999999996E-3</v>
      </c>
      <c r="AF91" s="98">
        <v>-1.6859060701523917E-2</v>
      </c>
      <c r="AG91" s="64"/>
      <c r="AH91" s="102">
        <f t="shared" si="17"/>
        <v>-9.6838599577762099E-2</v>
      </c>
      <c r="AI91" s="102">
        <f t="shared" si="18"/>
        <v>-3.1775077846205493E-2</v>
      </c>
      <c r="AJ91" s="102">
        <f t="shared" si="19"/>
        <v>4.7030787217458188E-3</v>
      </c>
      <c r="AK91" s="102">
        <f t="shared" si="20"/>
        <v>-8.6171739130434785E-2</v>
      </c>
      <c r="AL91" s="102">
        <f t="shared" si="21"/>
        <v>-3.5204507732930969E-2</v>
      </c>
      <c r="AM91" s="102">
        <f t="shared" si="22"/>
        <v>-8.697008630100124E-3</v>
      </c>
    </row>
    <row r="92" spans="1:39" ht="15.75" thickBot="1" x14ac:dyDescent="0.3">
      <c r="A92" s="8">
        <v>39447</v>
      </c>
      <c r="B92">
        <v>477.25</v>
      </c>
      <c r="C92">
        <f t="shared" si="15"/>
        <v>-3.6534446764091857E-3</v>
      </c>
      <c r="D92">
        <v>430.01</v>
      </c>
      <c r="E92">
        <f t="shared" si="10"/>
        <v>3.3106695817216376E-2</v>
      </c>
      <c r="F92">
        <v>272.75</v>
      </c>
      <c r="G92">
        <f t="shared" si="11"/>
        <v>-4.8823016564952047E-2</v>
      </c>
      <c r="H92">
        <v>1279</v>
      </c>
      <c r="I92">
        <f t="shared" si="12"/>
        <v>-6.987577639751553E-3</v>
      </c>
      <c r="J92">
        <v>1890</v>
      </c>
      <c r="K92">
        <f t="shared" si="13"/>
        <v>5.9417040358744393E-2</v>
      </c>
      <c r="M92" s="145" t="s">
        <v>167</v>
      </c>
      <c r="N92" s="76">
        <f>(N89-M95)/N91</f>
        <v>-0.11476473267174928</v>
      </c>
      <c r="O92" s="76">
        <f xml:space="preserve"> (O89-M95)/O91</f>
        <v>-0.10599234747859662</v>
      </c>
      <c r="P92" s="77">
        <f xml:space="preserve"> (P89-M95)/P91</f>
        <v>0.16229679256473359</v>
      </c>
      <c r="Q92" s="131"/>
      <c r="R92" s="131"/>
      <c r="S92" s="131"/>
      <c r="T92" s="131"/>
      <c r="V92">
        <v>3286.67</v>
      </c>
      <c r="W92">
        <v>5.9250000000000007</v>
      </c>
      <c r="X92">
        <f t="shared" si="14"/>
        <v>1.7678237784490645E-3</v>
      </c>
      <c r="Y92" s="64"/>
      <c r="Z92" s="98">
        <v>0.18915343915343916</v>
      </c>
      <c r="AA92" s="98">
        <v>2.4703960800326726E-2</v>
      </c>
      <c r="AB92" s="98">
        <v>4.0846824408468332E-2</v>
      </c>
      <c r="AC92" s="98">
        <v>6.6133720930232565E-2</v>
      </c>
      <c r="AD92" s="98">
        <v>0.11491628614916286</v>
      </c>
      <c r="AE92" s="99">
        <v>4.7499999999999999E-3</v>
      </c>
      <c r="AF92" s="98">
        <v>2.5212724400889876E-2</v>
      </c>
      <c r="AG92" s="64"/>
      <c r="AH92" s="102">
        <f t="shared" si="17"/>
        <v>-0.11337093023255808</v>
      </c>
      <c r="AI92" s="102">
        <f t="shared" si="18"/>
        <v>-2.2919201459097531E-2</v>
      </c>
      <c r="AJ92" s="102">
        <f t="shared" si="19"/>
        <v>-8.5110038610038616E-3</v>
      </c>
      <c r="AK92" s="102">
        <f t="shared" si="20"/>
        <v>2.1803184824225545E-2</v>
      </c>
      <c r="AL92" s="102">
        <f t="shared" si="21"/>
        <v>2.998035019455253E-2</v>
      </c>
      <c r="AM92" s="102">
        <f t="shared" si="22"/>
        <v>1.0387845616657671E-2</v>
      </c>
    </row>
    <row r="93" spans="1:39" x14ac:dyDescent="0.25">
      <c r="A93" s="8">
        <v>39478</v>
      </c>
      <c r="B93">
        <v>417</v>
      </c>
      <c r="C93">
        <f t="shared" si="15"/>
        <v>-0.12624410686223153</v>
      </c>
      <c r="D93">
        <v>371.14</v>
      </c>
      <c r="E93">
        <f t="shared" si="10"/>
        <v>-0.13690379293504804</v>
      </c>
      <c r="F93">
        <v>259</v>
      </c>
      <c r="G93">
        <f t="shared" si="11"/>
        <v>-5.0412465627864347E-2</v>
      </c>
      <c r="H93">
        <v>1182</v>
      </c>
      <c r="I93">
        <f t="shared" si="12"/>
        <v>-7.5840500390930418E-2</v>
      </c>
      <c r="J93">
        <v>1653</v>
      </c>
      <c r="K93">
        <f t="shared" si="13"/>
        <v>-0.1253968253968254</v>
      </c>
      <c r="V93">
        <v>3000.1</v>
      </c>
      <c r="W93">
        <v>5.5350000000000001</v>
      </c>
      <c r="X93">
        <f t="shared" si="14"/>
        <v>-8.7191595140370087E-2</v>
      </c>
      <c r="Y93" s="64"/>
      <c r="Z93" s="98">
        <v>9.1879866518353753E-2</v>
      </c>
      <c r="AA93" s="98">
        <v>6.4496091323558685E-2</v>
      </c>
      <c r="AB93" s="98">
        <v>9.0452261306532541E-2</v>
      </c>
      <c r="AC93" s="98">
        <v>5.0783912747102929E-2</v>
      </c>
      <c r="AD93" s="98">
        <v>-2.1843003412969283E-2</v>
      </c>
      <c r="AE93" s="99">
        <v>4.7499999999999999E-3</v>
      </c>
      <c r="AF93" s="98">
        <v>3.3809062319668973E-2</v>
      </c>
      <c r="AG93" s="64"/>
      <c r="AH93" s="102">
        <f t="shared" si="17"/>
        <v>-0.1949087519025875</v>
      </c>
      <c r="AI93" s="102">
        <f t="shared" si="18"/>
        <v>-5.9991081981804847E-2</v>
      </c>
      <c r="AJ93" s="102">
        <f t="shared" si="19"/>
        <v>-2.3771447028423716E-2</v>
      </c>
      <c r="AK93" s="102">
        <f t="shared" si="20"/>
        <v>-4.6359053916581891E-2</v>
      </c>
      <c r="AL93" s="102">
        <f t="shared" si="21"/>
        <v>-3.2480011282437007E-2</v>
      </c>
      <c r="AM93" s="102">
        <f t="shared" si="22"/>
        <v>-3.3667403298218913E-2</v>
      </c>
    </row>
    <row r="94" spans="1:39" x14ac:dyDescent="0.25">
      <c r="A94" s="8">
        <v>39507</v>
      </c>
      <c r="B94">
        <v>400.5</v>
      </c>
      <c r="C94">
        <f t="shared" si="15"/>
        <v>-3.9568345323741004E-2</v>
      </c>
      <c r="D94">
        <v>342.2</v>
      </c>
      <c r="E94">
        <f t="shared" si="10"/>
        <v>-7.7975965942770925E-2</v>
      </c>
      <c r="F94">
        <v>227</v>
      </c>
      <c r="G94">
        <f t="shared" si="11"/>
        <v>-0.12355212355212356</v>
      </c>
      <c r="H94">
        <v>1102</v>
      </c>
      <c r="I94">
        <f t="shared" si="12"/>
        <v>-6.7681895093062605E-2</v>
      </c>
      <c r="J94">
        <v>1596</v>
      </c>
      <c r="K94">
        <f t="shared" si="13"/>
        <v>-3.4482758620689655E-2</v>
      </c>
      <c r="M94" s="128" t="s">
        <v>178</v>
      </c>
      <c r="V94">
        <v>3013.02</v>
      </c>
      <c r="W94">
        <v>5.5550000000000006</v>
      </c>
      <c r="X94">
        <f t="shared" si="14"/>
        <v>4.3065231158961612E-3</v>
      </c>
      <c r="Y94" s="64"/>
      <c r="Z94" s="98">
        <v>-1.44661776691117E-2</v>
      </c>
      <c r="AA94" s="98">
        <v>4.2168542047431807E-3</v>
      </c>
      <c r="AB94" s="98">
        <v>-3.8841342988808404E-2</v>
      </c>
      <c r="AC94" s="98">
        <v>2.9192345118391177E-3</v>
      </c>
      <c r="AD94" s="98">
        <v>-1.7794836008374039E-2</v>
      </c>
      <c r="AE94" s="99">
        <v>4.7499999999999999E-3</v>
      </c>
      <c r="AF94" s="98">
        <v>-2.1547648934636027E-2</v>
      </c>
      <c r="AG94" s="64"/>
      <c r="AH94" s="102">
        <f t="shared" si="17"/>
        <v>-7.231917293233095E-2</v>
      </c>
      <c r="AI94" s="102">
        <f t="shared" si="18"/>
        <v>-0.12068777719344373</v>
      </c>
      <c r="AJ94" s="102">
        <f t="shared" si="19"/>
        <v>-3.6525658587987411E-2</v>
      </c>
      <c r="AK94" s="102">
        <f t="shared" si="20"/>
        <v>-1.4652866242038211E-3</v>
      </c>
      <c r="AL94" s="102">
        <f t="shared" si="21"/>
        <v>-3.2116150870406188E-2</v>
      </c>
      <c r="AM94" s="102">
        <f t="shared" si="22"/>
        <v>-1.3272128904647304E-2</v>
      </c>
    </row>
    <row r="95" spans="1:39" x14ac:dyDescent="0.25">
      <c r="A95" s="8">
        <v>39538</v>
      </c>
      <c r="B95">
        <v>379</v>
      </c>
      <c r="C95">
        <f t="shared" si="15"/>
        <v>-5.3682896379525592E-2</v>
      </c>
      <c r="D95">
        <v>324.13</v>
      </c>
      <c r="E95">
        <f t="shared" si="10"/>
        <v>-5.2805376972530668E-2</v>
      </c>
      <c r="F95">
        <v>217.25</v>
      </c>
      <c r="G95">
        <f t="shared" si="11"/>
        <v>-4.2951541850220265E-2</v>
      </c>
      <c r="H95">
        <v>1066</v>
      </c>
      <c r="I95">
        <f t="shared" si="12"/>
        <v>-3.2667876588021776E-2</v>
      </c>
      <c r="J95">
        <v>1699</v>
      </c>
      <c r="K95">
        <f t="shared" si="13"/>
        <v>6.4536340852130322E-2</v>
      </c>
      <c r="M95" s="127">
        <f>AVERAGE(W168:W203) / 100</f>
        <v>4.4236111111111125E-3</v>
      </c>
      <c r="V95">
        <v>2927.05</v>
      </c>
      <c r="W95">
        <v>5.75</v>
      </c>
      <c r="X95">
        <f t="shared" si="14"/>
        <v>-2.8532834166384493E-2</v>
      </c>
      <c r="Y95" s="64"/>
      <c r="Z95" s="98">
        <v>-8.6210461029563756E-2</v>
      </c>
      <c r="AA95" s="98">
        <v>0.11255468210373973</v>
      </c>
      <c r="AB95" s="98">
        <v>4.0525114155251139E-2</v>
      </c>
      <c r="AC95" s="98">
        <v>-2.0375161707632601E-2</v>
      </c>
      <c r="AD95" s="98">
        <v>1.8117229129662522E-2</v>
      </c>
      <c r="AE95" s="99">
        <v>4.7499999999999999E-3</v>
      </c>
      <c r="AF95" s="98">
        <v>2.6334896467389825E-2</v>
      </c>
      <c r="AG95" s="64"/>
      <c r="AH95" s="102">
        <f t="shared" si="17"/>
        <v>6.9370737327189069E-2</v>
      </c>
      <c r="AI95" s="102">
        <f t="shared" si="18"/>
        <v>-5.2325411187268715E-3</v>
      </c>
      <c r="AJ95" s="102">
        <f t="shared" si="19"/>
        <v>0.11154047619047616</v>
      </c>
      <c r="AK95" s="102">
        <f t="shared" si="20"/>
        <v>4.2969047619047615E-2</v>
      </c>
      <c r="AL95" s="102">
        <f t="shared" si="21"/>
        <v>7.1722315035799525E-2</v>
      </c>
      <c r="AM95" s="102">
        <f t="shared" si="22"/>
        <v>2.0998929914998354E-2</v>
      </c>
    </row>
    <row r="96" spans="1:39" x14ac:dyDescent="0.25">
      <c r="A96" s="8">
        <v>39568</v>
      </c>
      <c r="B96">
        <v>429</v>
      </c>
      <c r="C96">
        <f t="shared" si="15"/>
        <v>0.13192612137203166</v>
      </c>
      <c r="D96">
        <v>353.08</v>
      </c>
      <c r="E96">
        <f t="shared" si="10"/>
        <v>8.9316015179094779E-2</v>
      </c>
      <c r="F96">
        <v>222.75</v>
      </c>
      <c r="G96">
        <f t="shared" si="11"/>
        <v>2.5316455696202531E-2</v>
      </c>
      <c r="H96">
        <v>1121</v>
      </c>
      <c r="I96">
        <f t="shared" si="12"/>
        <v>5.1594746716697934E-2</v>
      </c>
      <c r="J96">
        <v>1702</v>
      </c>
      <c r="K96">
        <f t="shared" si="13"/>
        <v>1.7657445556209534E-3</v>
      </c>
      <c r="V96">
        <v>3099.94</v>
      </c>
      <c r="W96">
        <v>5.4450000000000003</v>
      </c>
      <c r="X96">
        <f t="shared" si="14"/>
        <v>5.9066295416887266E-2</v>
      </c>
      <c r="Y96" s="64"/>
      <c r="Z96" s="98">
        <v>-3.8009049773755681E-2</v>
      </c>
      <c r="AA96" s="98">
        <v>-4.5883222468588267E-2</v>
      </c>
      <c r="AB96" s="98">
        <v>-1.9857377948436668E-2</v>
      </c>
      <c r="AC96" s="98">
        <v>-4.027731924727633E-2</v>
      </c>
      <c r="AD96" s="98">
        <v>7.32728541521284E-3</v>
      </c>
      <c r="AE96" s="99">
        <v>4.7499999999999999E-3</v>
      </c>
      <c r="AF96" s="98">
        <v>9.8562256985260735E-3</v>
      </c>
      <c r="AG96" s="64"/>
      <c r="AH96" s="102">
        <f t="shared" si="17"/>
        <v>9.026588897827743E-3</v>
      </c>
      <c r="AI96" s="102">
        <f t="shared" si="18"/>
        <v>2.7991317558349993E-2</v>
      </c>
      <c r="AJ96" s="102">
        <f t="shared" si="19"/>
        <v>-2.5859166260360771E-2</v>
      </c>
      <c r="AK96" s="102">
        <f t="shared" si="20"/>
        <v>-7.8050673400673398E-2</v>
      </c>
      <c r="AL96" s="102">
        <f t="shared" si="21"/>
        <v>-3.3474833702882484E-2</v>
      </c>
      <c r="AM96" s="102">
        <f t="shared" si="22"/>
        <v>-2.1509060701523919E-2</v>
      </c>
    </row>
    <row r="97" spans="1:39" x14ac:dyDescent="0.25">
      <c r="A97" s="8">
        <v>39598</v>
      </c>
      <c r="B97">
        <v>414.1</v>
      </c>
      <c r="C97">
        <f t="shared" si="15"/>
        <v>-3.4731934731934679E-2</v>
      </c>
      <c r="D97">
        <v>340.01</v>
      </c>
      <c r="E97">
        <f t="shared" si="10"/>
        <v>-3.701710660473545E-2</v>
      </c>
      <c r="F97">
        <v>222</v>
      </c>
      <c r="G97">
        <f t="shared" si="11"/>
        <v>-3.3670033670033669E-3</v>
      </c>
      <c r="H97">
        <v>1113.5</v>
      </c>
      <c r="I97">
        <f t="shared" si="12"/>
        <v>-6.6904549509366638E-3</v>
      </c>
      <c r="J97">
        <v>1671</v>
      </c>
      <c r="K97">
        <f t="shared" si="13"/>
        <v>-1.8213866039952998E-2</v>
      </c>
      <c r="V97">
        <v>3082.26</v>
      </c>
      <c r="W97">
        <v>5.415</v>
      </c>
      <c r="X97">
        <f t="shared" si="14"/>
        <v>-5.7033361936036945E-3</v>
      </c>
      <c r="Y97" s="64"/>
      <c r="Z97" s="98">
        <v>-2.3518344308552658E-4</v>
      </c>
      <c r="AA97" s="98">
        <v>-0.12825994897695706</v>
      </c>
      <c r="AB97" s="98">
        <v>7.8352361764047456E-3</v>
      </c>
      <c r="AC97" s="98">
        <v>-9.0127278981768144E-2</v>
      </c>
      <c r="AD97" s="98">
        <v>-5.4381711118808448E-2</v>
      </c>
      <c r="AE97" s="99">
        <v>5.0499999999999998E-3</v>
      </c>
      <c r="AF97" s="98">
        <v>-5.9661006236305401E-2</v>
      </c>
      <c r="AG97" s="64"/>
      <c r="AH97" s="102">
        <f t="shared" si="17"/>
        <v>0.18440343915343915</v>
      </c>
      <c r="AI97" s="102">
        <f t="shared" si="18"/>
        <v>1.9953960800326725E-2</v>
      </c>
      <c r="AJ97" s="102">
        <f t="shared" si="19"/>
        <v>3.6096824408468335E-2</v>
      </c>
      <c r="AK97" s="102">
        <f t="shared" si="20"/>
        <v>6.1383720930232567E-2</v>
      </c>
      <c r="AL97" s="102">
        <f t="shared" si="21"/>
        <v>0.11016628614916285</v>
      </c>
      <c r="AM97" s="102">
        <f t="shared" si="22"/>
        <v>2.0462724400889875E-2</v>
      </c>
    </row>
    <row r="98" spans="1:39" x14ac:dyDescent="0.25">
      <c r="A98" s="8">
        <v>39629</v>
      </c>
      <c r="B98">
        <v>369.3</v>
      </c>
      <c r="C98">
        <f t="shared" si="15"/>
        <v>-0.10818642839893748</v>
      </c>
      <c r="D98">
        <v>274.67</v>
      </c>
      <c r="E98">
        <f t="shared" si="10"/>
        <v>-0.19217081850533801</v>
      </c>
      <c r="F98">
        <v>199.9</v>
      </c>
      <c r="G98">
        <f t="shared" si="11"/>
        <v>-9.9549549549549518E-2</v>
      </c>
      <c r="H98">
        <v>1113</v>
      </c>
      <c r="I98">
        <f t="shared" si="12"/>
        <v>-4.4903457566232598E-4</v>
      </c>
      <c r="J98">
        <v>1429</v>
      </c>
      <c r="K98">
        <f t="shared" si="13"/>
        <v>-0.14482345900658289</v>
      </c>
      <c r="V98">
        <v>2855.69</v>
      </c>
      <c r="W98">
        <v>5.4649999999999999</v>
      </c>
      <c r="X98">
        <f t="shared" si="14"/>
        <v>-7.3507750806226652E-2</v>
      </c>
      <c r="Y98" s="64"/>
      <c r="Z98" s="98">
        <v>1.4820042342978148E-2</v>
      </c>
      <c r="AA98" s="98">
        <v>-8.735678487221718E-2</v>
      </c>
      <c r="AB98" s="98">
        <v>3.1652598844957795E-2</v>
      </c>
      <c r="AC98" s="98">
        <v>5.5576559546313797E-2</v>
      </c>
      <c r="AD98" s="98">
        <v>6.4835164835164841E-2</v>
      </c>
      <c r="AE98" s="99">
        <v>5.0499999999999998E-3</v>
      </c>
      <c r="AF98" s="98">
        <v>2.3024270566686655E-2</v>
      </c>
      <c r="AG98" s="64"/>
      <c r="AH98" s="102">
        <f t="shared" si="17"/>
        <v>8.7129866518353749E-2</v>
      </c>
      <c r="AI98" s="102">
        <f t="shared" si="18"/>
        <v>5.9746091323558688E-2</v>
      </c>
      <c r="AJ98" s="102">
        <f t="shared" si="19"/>
        <v>8.5702261306532537E-2</v>
      </c>
      <c r="AK98" s="102">
        <f t="shared" si="20"/>
        <v>4.6033912747102931E-2</v>
      </c>
      <c r="AL98" s="102">
        <f t="shared" si="21"/>
        <v>-2.6593003412969284E-2</v>
      </c>
      <c r="AM98" s="102">
        <f t="shared" si="22"/>
        <v>2.9059062319668972E-2</v>
      </c>
    </row>
    <row r="99" spans="1:39" x14ac:dyDescent="0.25">
      <c r="A99" s="8">
        <v>39660</v>
      </c>
      <c r="B99">
        <v>360.40000000000003</v>
      </c>
      <c r="C99">
        <f t="shared" si="15"/>
        <v>-2.4099647982669854E-2</v>
      </c>
      <c r="D99">
        <v>288.14</v>
      </c>
      <c r="E99">
        <f t="shared" si="10"/>
        <v>4.904066698219671E-2</v>
      </c>
      <c r="F99">
        <v>173.9</v>
      </c>
      <c r="G99">
        <f t="shared" si="11"/>
        <v>-0.13006503251625812</v>
      </c>
      <c r="H99">
        <v>1176</v>
      </c>
      <c r="I99">
        <f t="shared" si="12"/>
        <v>5.6603773584905662E-2</v>
      </c>
      <c r="J99">
        <v>1388</v>
      </c>
      <c r="K99">
        <f t="shared" si="13"/>
        <v>-2.8691392582225334E-2</v>
      </c>
      <c r="V99">
        <v>2749.21</v>
      </c>
      <c r="W99">
        <v>5.3550000000000004</v>
      </c>
      <c r="X99">
        <f t="shared" si="14"/>
        <v>-3.7286960419373259E-2</v>
      </c>
      <c r="Y99" s="64"/>
      <c r="Z99" s="98">
        <v>-0.11288827074640714</v>
      </c>
      <c r="AA99" s="98">
        <v>-6.3600249260009359E-2</v>
      </c>
      <c r="AB99" s="98">
        <v>-5.8348584347077119E-2</v>
      </c>
      <c r="AC99" s="98">
        <v>-3.9756446991404008E-2</v>
      </c>
      <c r="AD99" s="98">
        <v>-9.769521843825249E-2</v>
      </c>
      <c r="AE99" s="99">
        <v>5.0499999999999998E-3</v>
      </c>
      <c r="AF99" s="98">
        <v>-5.9715997908448094E-2</v>
      </c>
      <c r="AG99" s="64"/>
      <c r="AH99" s="102">
        <f t="shared" si="17"/>
        <v>-1.9216177669111701E-2</v>
      </c>
      <c r="AI99" s="102">
        <f t="shared" si="18"/>
        <v>-5.3314579525681922E-4</v>
      </c>
      <c r="AJ99" s="102">
        <f t="shared" si="19"/>
        <v>-4.3591342988808401E-2</v>
      </c>
      <c r="AK99" s="102">
        <f t="shared" si="20"/>
        <v>-1.8307654881608822E-3</v>
      </c>
      <c r="AL99" s="102">
        <f t="shared" si="21"/>
        <v>-2.254483600837404E-2</v>
      </c>
      <c r="AM99" s="102">
        <f t="shared" si="22"/>
        <v>-2.6297648934636028E-2</v>
      </c>
    </row>
    <row r="100" spans="1:39" x14ac:dyDescent="0.25">
      <c r="A100" s="8">
        <v>39689</v>
      </c>
      <c r="B100">
        <v>381.5</v>
      </c>
      <c r="C100">
        <f t="shared" si="15"/>
        <v>5.8546059933407224E-2</v>
      </c>
      <c r="D100">
        <v>319.91000000000003</v>
      </c>
      <c r="E100">
        <f t="shared" si="10"/>
        <v>0.11025890192267662</v>
      </c>
      <c r="F100">
        <v>172.4</v>
      </c>
      <c r="G100">
        <f t="shared" si="11"/>
        <v>-8.6256469235192635E-3</v>
      </c>
      <c r="H100">
        <v>1296.5</v>
      </c>
      <c r="I100">
        <f t="shared" si="12"/>
        <v>0.10246598639455783</v>
      </c>
      <c r="J100">
        <v>1477</v>
      </c>
      <c r="K100">
        <f t="shared" si="13"/>
        <v>6.4121037463976946E-2</v>
      </c>
      <c r="V100">
        <v>2868.69</v>
      </c>
      <c r="W100">
        <v>5.335</v>
      </c>
      <c r="X100">
        <f t="shared" si="14"/>
        <v>4.3459757530345089E-2</v>
      </c>
      <c r="Y100" s="64"/>
      <c r="Z100" s="98">
        <v>-4.2592108701332516E-2</v>
      </c>
      <c r="AA100" s="98">
        <v>-8.9436980964660531E-2</v>
      </c>
      <c r="AB100" s="98">
        <v>-4.0585343546358753E-2</v>
      </c>
      <c r="AC100" s="98">
        <v>-5.5576277508392391E-2</v>
      </c>
      <c r="AD100" s="98">
        <v>2.4018299656881435E-2</v>
      </c>
      <c r="AE100" s="99">
        <v>5.0499999999999998E-3</v>
      </c>
      <c r="AF100" s="98">
        <v>-2.8748114806123395E-2</v>
      </c>
      <c r="AG100" s="64"/>
      <c r="AH100" s="102">
        <f t="shared" si="17"/>
        <v>-9.0960461029563761E-2</v>
      </c>
      <c r="AI100" s="102">
        <f t="shared" si="18"/>
        <v>0.10780468210373972</v>
      </c>
      <c r="AJ100" s="102">
        <f t="shared" si="19"/>
        <v>3.5775114155251142E-2</v>
      </c>
      <c r="AK100" s="102">
        <f t="shared" si="20"/>
        <v>-2.5125161707632602E-2</v>
      </c>
      <c r="AL100" s="102">
        <f t="shared" si="21"/>
        <v>1.3367229129662522E-2</v>
      </c>
      <c r="AM100" s="102">
        <f t="shared" si="22"/>
        <v>2.1584896467389824E-2</v>
      </c>
    </row>
    <row r="101" spans="1:39" x14ac:dyDescent="0.25">
      <c r="A101" s="8">
        <v>39721</v>
      </c>
      <c r="B101">
        <v>387.6</v>
      </c>
      <c r="C101">
        <f t="shared" si="15"/>
        <v>1.5989515072083939E-2</v>
      </c>
      <c r="D101">
        <v>270.64</v>
      </c>
      <c r="E101">
        <f t="shared" si="10"/>
        <v>-0.15401206589353267</v>
      </c>
      <c r="F101">
        <v>161.1</v>
      </c>
      <c r="G101">
        <f t="shared" si="11"/>
        <v>-6.5545243619489629E-2</v>
      </c>
      <c r="H101">
        <v>1211</v>
      </c>
      <c r="I101">
        <f t="shared" si="12"/>
        <v>-6.5946779791747012E-2</v>
      </c>
      <c r="J101">
        <v>1522</v>
      </c>
      <c r="K101">
        <f t="shared" si="13"/>
        <v>3.0467163168584971E-2</v>
      </c>
      <c r="V101">
        <v>2483.67</v>
      </c>
      <c r="W101">
        <v>6.0500000000000007</v>
      </c>
      <c r="X101">
        <f t="shared" si="14"/>
        <v>-0.13421457180803781</v>
      </c>
      <c r="Y101" s="64"/>
      <c r="Z101" s="98">
        <v>5.4585152838424844E-4</v>
      </c>
      <c r="AA101" s="98">
        <v>2.9507597673497969E-2</v>
      </c>
      <c r="AB101" s="98">
        <v>0.1081982840800762</v>
      </c>
      <c r="AC101" s="98">
        <v>0.10979462875197472</v>
      </c>
      <c r="AD101" s="98">
        <v>7.7066269545793001E-2</v>
      </c>
      <c r="AE101" s="99">
        <v>5.0499999999999998E-3</v>
      </c>
      <c r="AF101" s="98">
        <v>4.4569414134631474E-2</v>
      </c>
      <c r="AG101" s="64"/>
      <c r="AH101" s="102">
        <f t="shared" si="17"/>
        <v>-4.2759049773755678E-2</v>
      </c>
      <c r="AI101" s="102">
        <f t="shared" si="18"/>
        <v>-5.0633222468588264E-2</v>
      </c>
      <c r="AJ101" s="102">
        <f t="shared" si="19"/>
        <v>-2.4607377948436669E-2</v>
      </c>
      <c r="AK101" s="102">
        <f t="shared" si="20"/>
        <v>-4.5027319247276328E-2</v>
      </c>
      <c r="AL101" s="102">
        <f t="shared" si="21"/>
        <v>2.5772854152128401E-3</v>
      </c>
      <c r="AM101" s="102">
        <f t="shared" si="22"/>
        <v>5.1062256985260736E-3</v>
      </c>
    </row>
    <row r="102" spans="1:39" x14ac:dyDescent="0.25">
      <c r="A102" s="8">
        <v>39752</v>
      </c>
      <c r="B102">
        <v>339.40000000000003</v>
      </c>
      <c r="C102">
        <f t="shared" si="15"/>
        <v>-0.12435500515995869</v>
      </c>
      <c r="D102">
        <v>267.91000000000003</v>
      </c>
      <c r="E102">
        <f t="shared" si="10"/>
        <v>-1.0087200709429358E-2</v>
      </c>
      <c r="F102">
        <v>115.10000000000001</v>
      </c>
      <c r="G102">
        <f t="shared" si="11"/>
        <v>-0.28553693358162624</v>
      </c>
      <c r="H102">
        <v>1197</v>
      </c>
      <c r="I102">
        <f t="shared" si="12"/>
        <v>-1.1560693641618497E-2</v>
      </c>
      <c r="J102">
        <v>1396</v>
      </c>
      <c r="K102">
        <f t="shared" si="13"/>
        <v>-8.2785808147174775E-2</v>
      </c>
      <c r="V102">
        <v>2183.69</v>
      </c>
      <c r="W102">
        <v>5.625</v>
      </c>
      <c r="X102">
        <f t="shared" si="14"/>
        <v>-0.12078094110731297</v>
      </c>
      <c r="Y102" s="64"/>
      <c r="Z102" s="98">
        <v>-8.7834151663938861E-2</v>
      </c>
      <c r="AA102" s="98">
        <v>-0.11781235210601038</v>
      </c>
      <c r="AB102" s="98">
        <v>6.7634408602150517E-2</v>
      </c>
      <c r="AC102" s="98">
        <v>-3.5231316725978651E-2</v>
      </c>
      <c r="AD102" s="98">
        <v>-2.0394054614586935E-2</v>
      </c>
      <c r="AE102" s="99">
        <v>5.0499999999999998E-3</v>
      </c>
      <c r="AF102" s="98">
        <v>2.1609366928772886E-3</v>
      </c>
      <c r="AG102" s="64"/>
      <c r="AH102" s="102">
        <f t="shared" si="17"/>
        <v>-5.2851834430855263E-3</v>
      </c>
      <c r="AI102" s="102">
        <f t="shared" si="18"/>
        <v>-0.13330994897695705</v>
      </c>
      <c r="AJ102" s="102">
        <f t="shared" si="19"/>
        <v>2.7852361764047458E-3</v>
      </c>
      <c r="AK102" s="102">
        <f t="shared" si="20"/>
        <v>-9.5177278981768143E-2</v>
      </c>
      <c r="AL102" s="102">
        <f t="shared" si="21"/>
        <v>-5.9431711118808447E-2</v>
      </c>
      <c r="AM102" s="102">
        <f t="shared" si="22"/>
        <v>-6.4711006236305407E-2</v>
      </c>
    </row>
    <row r="103" spans="1:39" x14ac:dyDescent="0.25">
      <c r="A103" s="8">
        <v>39780</v>
      </c>
      <c r="B103">
        <v>295.3</v>
      </c>
      <c r="C103">
        <f t="shared" si="15"/>
        <v>-0.12993517972893345</v>
      </c>
      <c r="D103">
        <v>256.01</v>
      </c>
      <c r="E103">
        <f t="shared" si="10"/>
        <v>-4.4417901534097394E-2</v>
      </c>
      <c r="F103">
        <v>135.19999999999999</v>
      </c>
      <c r="G103">
        <f t="shared" si="11"/>
        <v>0.1746307558644655</v>
      </c>
      <c r="H103">
        <v>1120</v>
      </c>
      <c r="I103">
        <f t="shared" si="12"/>
        <v>-6.4327485380116955E-2</v>
      </c>
      <c r="J103">
        <v>1493</v>
      </c>
      <c r="K103">
        <f t="shared" si="13"/>
        <v>6.9484240687679083E-2</v>
      </c>
      <c r="V103">
        <v>2133.9900000000002</v>
      </c>
      <c r="W103">
        <v>3.1500000000000004</v>
      </c>
      <c r="X103">
        <f t="shared" si="14"/>
        <v>-2.2759640791504204E-2</v>
      </c>
      <c r="Y103" s="64"/>
      <c r="Z103" s="98">
        <v>-0.10586124401913885</v>
      </c>
      <c r="AA103" s="98">
        <v>-5.1936295054484521E-2</v>
      </c>
      <c r="AB103" s="98">
        <v>-4.9853963138281804E-2</v>
      </c>
      <c r="AC103" s="98">
        <v>1.2910365178900774E-2</v>
      </c>
      <c r="AD103" s="98">
        <v>3.2639378969654201E-2</v>
      </c>
      <c r="AE103" s="99">
        <v>5.0499999999999998E-3</v>
      </c>
      <c r="AF103" s="98">
        <v>-1.3707966198280101E-2</v>
      </c>
      <c r="AG103" s="64"/>
      <c r="AH103" s="102">
        <f t="shared" si="17"/>
        <v>9.770042342978149E-3</v>
      </c>
      <c r="AI103" s="102">
        <f t="shared" si="18"/>
        <v>-9.2406784872217179E-2</v>
      </c>
      <c r="AJ103" s="102">
        <f t="shared" si="19"/>
        <v>2.6602598844957796E-2</v>
      </c>
      <c r="AK103" s="102">
        <f t="shared" si="20"/>
        <v>5.0526559546313798E-2</v>
      </c>
      <c r="AL103" s="102">
        <f t="shared" si="21"/>
        <v>5.9785164835164842E-2</v>
      </c>
      <c r="AM103" s="102">
        <f t="shared" si="22"/>
        <v>1.7974270566686656E-2</v>
      </c>
    </row>
    <row r="104" spans="1:39" x14ac:dyDescent="0.25">
      <c r="A104" s="8">
        <v>39813</v>
      </c>
      <c r="B104">
        <v>360</v>
      </c>
      <c r="C104">
        <f t="shared" si="15"/>
        <v>0.21909922113105312</v>
      </c>
      <c r="D104">
        <v>275.51</v>
      </c>
      <c r="E104">
        <f t="shared" si="10"/>
        <v>7.6168899652357333E-2</v>
      </c>
      <c r="F104">
        <v>135.19999999999999</v>
      </c>
      <c r="G104">
        <f t="shared" si="11"/>
        <v>0</v>
      </c>
      <c r="H104">
        <v>1284.5</v>
      </c>
      <c r="I104">
        <f t="shared" si="12"/>
        <v>0.14687500000000001</v>
      </c>
      <c r="J104">
        <v>1579</v>
      </c>
      <c r="K104">
        <f t="shared" si="13"/>
        <v>5.7602143335565972E-2</v>
      </c>
      <c r="V104">
        <v>2209.29</v>
      </c>
      <c r="W104">
        <v>2.15</v>
      </c>
      <c r="X104">
        <f t="shared" si="14"/>
        <v>3.5286013523962025E-2</v>
      </c>
      <c r="Y104" s="64"/>
      <c r="Z104" s="98">
        <v>0.15986622073578599</v>
      </c>
      <c r="AA104" s="98">
        <v>-3.4782147404158935E-2</v>
      </c>
      <c r="AB104" s="98">
        <v>2.787788848844612E-2</v>
      </c>
      <c r="AC104" s="98">
        <v>4.8069919883466858E-2</v>
      </c>
      <c r="AD104" s="98">
        <v>5.4160259695882451E-2</v>
      </c>
      <c r="AE104" s="99">
        <v>4.8999999999999998E-3</v>
      </c>
      <c r="AF104" s="98">
        <v>-3.1461039526632754E-2</v>
      </c>
      <c r="AG104" s="64"/>
      <c r="AH104" s="102">
        <f t="shared" si="17"/>
        <v>-0.11793827074640714</v>
      </c>
      <c r="AI104" s="102">
        <f t="shared" si="18"/>
        <v>-6.8650249260009358E-2</v>
      </c>
      <c r="AJ104" s="102">
        <f t="shared" si="19"/>
        <v>-6.3398584347077125E-2</v>
      </c>
      <c r="AK104" s="102">
        <f t="shared" si="20"/>
        <v>-4.4806446991404007E-2</v>
      </c>
      <c r="AL104" s="102">
        <f t="shared" si="21"/>
        <v>-0.10274521843825249</v>
      </c>
      <c r="AM104" s="102">
        <f t="shared" si="22"/>
        <v>-6.47659979084481E-2</v>
      </c>
    </row>
    <row r="105" spans="1:39" x14ac:dyDescent="0.25">
      <c r="A105" s="8">
        <v>39843</v>
      </c>
      <c r="B105">
        <v>358.2</v>
      </c>
      <c r="C105">
        <f t="shared" si="15"/>
        <v>-5.0000000000000313E-3</v>
      </c>
      <c r="D105">
        <v>272.63</v>
      </c>
      <c r="E105">
        <f t="shared" si="10"/>
        <v>-1.045334107654893E-2</v>
      </c>
      <c r="F105">
        <v>104.9</v>
      </c>
      <c r="G105">
        <f t="shared" si="11"/>
        <v>-0.22411242603550285</v>
      </c>
      <c r="H105">
        <v>1219.5</v>
      </c>
      <c r="I105">
        <f t="shared" si="12"/>
        <v>-5.0603347606072401E-2</v>
      </c>
      <c r="J105">
        <v>1530</v>
      </c>
      <c r="K105">
        <f t="shared" si="13"/>
        <v>-3.1032298923369221E-2</v>
      </c>
      <c r="V105">
        <v>2078.92</v>
      </c>
      <c r="W105">
        <v>1.6</v>
      </c>
      <c r="X105">
        <f t="shared" si="14"/>
        <v>-5.9009908160540213E-2</v>
      </c>
      <c r="Y105" s="64"/>
      <c r="Z105" s="98">
        <v>4.0369088811995385E-2</v>
      </c>
      <c r="AA105" s="98">
        <v>0.22341302555647163</v>
      </c>
      <c r="AB105" s="98">
        <v>3.4031143652675615E-3</v>
      </c>
      <c r="AC105" s="98">
        <v>-2.7449617790132035E-2</v>
      </c>
      <c r="AD105" s="98">
        <v>2.2690437601296598E-3</v>
      </c>
      <c r="AE105" s="99">
        <v>4.8999999999999998E-3</v>
      </c>
      <c r="AF105" s="98">
        <v>2.9797056266674823E-3</v>
      </c>
      <c r="AG105" s="64"/>
      <c r="AH105" s="102">
        <f t="shared" si="17"/>
        <v>-4.7642108701332515E-2</v>
      </c>
      <c r="AI105" s="102">
        <f t="shared" si="18"/>
        <v>-9.448698096466053E-2</v>
      </c>
      <c r="AJ105" s="102">
        <f t="shared" si="19"/>
        <v>-4.5635343546358752E-2</v>
      </c>
      <c r="AK105" s="102">
        <f t="shared" si="20"/>
        <v>-6.062627750839239E-2</v>
      </c>
      <c r="AL105" s="102">
        <f t="shared" si="21"/>
        <v>1.8968299656881436E-2</v>
      </c>
      <c r="AM105" s="102">
        <f t="shared" si="22"/>
        <v>-3.3798114806123394E-2</v>
      </c>
    </row>
    <row r="106" spans="1:39" x14ac:dyDescent="0.25">
      <c r="A106" s="8">
        <v>39871</v>
      </c>
      <c r="B106">
        <v>333.2</v>
      </c>
      <c r="C106">
        <f t="shared" si="15"/>
        <v>-6.9793411501954214E-2</v>
      </c>
      <c r="D106">
        <v>237.32</v>
      </c>
      <c r="E106">
        <f t="shared" si="10"/>
        <v>-0.12951619410923229</v>
      </c>
      <c r="F106">
        <v>90.7</v>
      </c>
      <c r="G106">
        <f t="shared" si="11"/>
        <v>-0.13536701620591041</v>
      </c>
      <c r="H106">
        <v>1069</v>
      </c>
      <c r="I106">
        <f t="shared" si="12"/>
        <v>-0.12341123411234112</v>
      </c>
      <c r="J106">
        <v>1368</v>
      </c>
      <c r="K106">
        <f t="shared" si="13"/>
        <v>-0.10588235294117647</v>
      </c>
      <c r="V106">
        <v>1929.75</v>
      </c>
      <c r="W106">
        <v>1.4000000000000001</v>
      </c>
      <c r="X106">
        <f t="shared" si="14"/>
        <v>-7.1753602832239846E-2</v>
      </c>
      <c r="Y106" s="64"/>
      <c r="Z106" s="98">
        <v>6.3192904656319326E-2</v>
      </c>
      <c r="AA106" s="98">
        <v>4.4174902665467678E-3</v>
      </c>
      <c r="AB106" s="98">
        <v>-9.4552929085303189E-2</v>
      </c>
      <c r="AC106" s="98">
        <v>8.9317613433369056E-3</v>
      </c>
      <c r="AD106" s="98">
        <v>1.9566623544631307E-2</v>
      </c>
      <c r="AE106" s="99">
        <v>4.8999999999999998E-3</v>
      </c>
      <c r="AF106" s="98">
        <v>1.4749659278387462E-2</v>
      </c>
      <c r="AG106" s="64"/>
      <c r="AH106" s="102">
        <f t="shared" si="17"/>
        <v>-4.5041484716157511E-3</v>
      </c>
      <c r="AI106" s="102">
        <f t="shared" si="18"/>
        <v>2.445759767349797E-2</v>
      </c>
      <c r="AJ106" s="102">
        <f t="shared" si="19"/>
        <v>0.1031482840800762</v>
      </c>
      <c r="AK106" s="102">
        <f t="shared" si="20"/>
        <v>0.10474462875197472</v>
      </c>
      <c r="AL106" s="102">
        <f t="shared" si="21"/>
        <v>7.2016269545793002E-2</v>
      </c>
      <c r="AM106" s="102">
        <f t="shared" si="22"/>
        <v>3.9519414134631475E-2</v>
      </c>
    </row>
    <row r="107" spans="1:39" x14ac:dyDescent="0.25">
      <c r="A107" s="8">
        <v>39903</v>
      </c>
      <c r="B107">
        <v>333.40000000000003</v>
      </c>
      <c r="C107">
        <f t="shared" si="15"/>
        <v>6.0024009603855183E-4</v>
      </c>
      <c r="D107">
        <v>241.43</v>
      </c>
      <c r="E107">
        <f t="shared" si="10"/>
        <v>1.7318388673521042E-2</v>
      </c>
      <c r="F107">
        <v>78.2</v>
      </c>
      <c r="G107">
        <f t="shared" si="11"/>
        <v>-0.13781697905181917</v>
      </c>
      <c r="H107">
        <v>1087.5</v>
      </c>
      <c r="I107">
        <f t="shared" si="12"/>
        <v>1.7305893358278764E-2</v>
      </c>
      <c r="J107">
        <v>1318</v>
      </c>
      <c r="K107">
        <f t="shared" si="13"/>
        <v>-3.6549707602339179E-2</v>
      </c>
      <c r="V107">
        <v>1984.17</v>
      </c>
      <c r="W107" s="10">
        <v>1</v>
      </c>
      <c r="X107">
        <f t="shared" si="14"/>
        <v>2.8200544111931635E-2</v>
      </c>
      <c r="Y107" s="64"/>
      <c r="Z107" s="98">
        <v>-0.10271115745568309</v>
      </c>
      <c r="AA107" s="98">
        <v>-7.8568766306373189E-3</v>
      </c>
      <c r="AB107" s="98">
        <v>6.1293984108966824E-3</v>
      </c>
      <c r="AC107" s="98">
        <v>3.3286118980169969E-2</v>
      </c>
      <c r="AD107" s="98">
        <v>-3.1086439333862015E-2</v>
      </c>
      <c r="AE107" s="99">
        <v>4.8999999999999998E-3</v>
      </c>
      <c r="AF107" s="98">
        <v>7.8081049955967758E-3</v>
      </c>
      <c r="AG107" s="64"/>
      <c r="AH107" s="102">
        <f t="shared" si="17"/>
        <v>-9.288415166393886E-2</v>
      </c>
      <c r="AI107" s="102">
        <f t="shared" si="18"/>
        <v>-0.12286235210601038</v>
      </c>
      <c r="AJ107" s="102">
        <f t="shared" si="19"/>
        <v>6.2584408602150518E-2</v>
      </c>
      <c r="AK107" s="102">
        <f t="shared" si="20"/>
        <v>-4.028131672597865E-2</v>
      </c>
      <c r="AL107" s="102">
        <f t="shared" si="21"/>
        <v>-2.5444054614586934E-2</v>
      </c>
      <c r="AM107" s="102">
        <f t="shared" si="22"/>
        <v>-2.8890633071227113E-3</v>
      </c>
    </row>
    <row r="108" spans="1:39" x14ac:dyDescent="0.25">
      <c r="A108" s="8">
        <v>39933</v>
      </c>
      <c r="B108">
        <v>337.2</v>
      </c>
      <c r="C108">
        <f t="shared" si="15"/>
        <v>1.1397720455908681E-2</v>
      </c>
      <c r="D108">
        <v>284.92</v>
      </c>
      <c r="E108">
        <f t="shared" si="10"/>
        <v>0.18013502878681195</v>
      </c>
      <c r="F108">
        <v>94</v>
      </c>
      <c r="G108">
        <f t="shared" si="11"/>
        <v>0.20204603580562655</v>
      </c>
      <c r="H108">
        <v>1049</v>
      </c>
      <c r="I108">
        <f t="shared" si="12"/>
        <v>-3.5402298850574714E-2</v>
      </c>
      <c r="J108">
        <v>1326</v>
      </c>
      <c r="K108">
        <f t="shared" si="13"/>
        <v>6.0698027314112293E-3</v>
      </c>
      <c r="V108">
        <v>2173.06</v>
      </c>
      <c r="W108">
        <v>0.77500000000000002</v>
      </c>
      <c r="X108">
        <f t="shared" si="14"/>
        <v>9.5198496096604551E-2</v>
      </c>
      <c r="Y108" s="64"/>
      <c r="Z108" s="98">
        <v>-4.0674026728646138E-2</v>
      </c>
      <c r="AA108" s="98">
        <v>-7.5434273005950653E-2</v>
      </c>
      <c r="AB108" s="98">
        <v>-9.0252707581222312E-4</v>
      </c>
      <c r="AC108" s="98">
        <v>-9.5956134338588076E-3</v>
      </c>
      <c r="AD108" s="98">
        <v>2.9955802913733835E-2</v>
      </c>
      <c r="AE108" s="99">
        <v>4.8999999999999998E-3</v>
      </c>
      <c r="AF108" s="98">
        <v>2.3584767805475957E-3</v>
      </c>
      <c r="AG108" s="64"/>
      <c r="AH108" s="102">
        <f t="shared" si="17"/>
        <v>-0.11091124401913885</v>
      </c>
      <c r="AI108" s="102">
        <f t="shared" si="18"/>
        <v>-5.698629505448452E-2</v>
      </c>
      <c r="AJ108" s="102">
        <f t="shared" si="19"/>
        <v>-5.4903963138281803E-2</v>
      </c>
      <c r="AK108" s="102">
        <f t="shared" si="20"/>
        <v>7.8603651789007738E-3</v>
      </c>
      <c r="AL108" s="102">
        <f t="shared" si="21"/>
        <v>2.7589378969654202E-2</v>
      </c>
      <c r="AM108" s="102">
        <f t="shared" si="22"/>
        <v>-1.8757966198280102E-2</v>
      </c>
    </row>
    <row r="109" spans="1:39" x14ac:dyDescent="0.25">
      <c r="A109" s="8">
        <v>39962</v>
      </c>
      <c r="B109">
        <v>364.90000000000003</v>
      </c>
      <c r="C109">
        <f t="shared" si="15"/>
        <v>8.214709371293015E-2</v>
      </c>
      <c r="D109">
        <v>276.5</v>
      </c>
      <c r="E109">
        <f t="shared" si="10"/>
        <v>-2.9552154990874685E-2</v>
      </c>
      <c r="F109">
        <v>87.4</v>
      </c>
      <c r="G109">
        <f t="shared" si="11"/>
        <v>-7.0212765957446743E-2</v>
      </c>
      <c r="H109">
        <v>1042</v>
      </c>
      <c r="I109">
        <f t="shared" si="12"/>
        <v>-6.6730219256434702E-3</v>
      </c>
      <c r="J109">
        <v>1450</v>
      </c>
      <c r="K109">
        <f t="shared" si="13"/>
        <v>9.3514328808446456E-2</v>
      </c>
      <c r="V109">
        <v>2252.64</v>
      </c>
      <c r="W109">
        <v>0.625</v>
      </c>
      <c r="X109">
        <f t="shared" si="14"/>
        <v>3.6621170147165719E-2</v>
      </c>
      <c r="Y109" s="64"/>
      <c r="Z109" s="98">
        <v>5.9357964869775966E-2</v>
      </c>
      <c r="AA109" s="98">
        <v>0.14942790274346648</v>
      </c>
      <c r="AB109" s="98">
        <v>-7.4074074074074098E-2</v>
      </c>
      <c r="AC109" s="98">
        <v>0.11038062283737024</v>
      </c>
      <c r="AD109" s="98">
        <v>0.13763509218054673</v>
      </c>
      <c r="AE109" s="99">
        <v>4.8999999999999998E-3</v>
      </c>
      <c r="AF109" s="98">
        <v>2.4981266965423424E-2</v>
      </c>
      <c r="AG109" s="64"/>
      <c r="AH109" s="102">
        <f t="shared" si="17"/>
        <v>0.154966220735786</v>
      </c>
      <c r="AI109" s="102">
        <f t="shared" si="18"/>
        <v>-3.9682147404158936E-2</v>
      </c>
      <c r="AJ109" s="102">
        <f t="shared" si="19"/>
        <v>2.2977888488446119E-2</v>
      </c>
      <c r="AK109" s="102">
        <f t="shared" si="20"/>
        <v>4.3169919883466856E-2</v>
      </c>
      <c r="AL109" s="102">
        <f t="shared" si="21"/>
        <v>4.926025969588245E-2</v>
      </c>
      <c r="AM109" s="102">
        <f t="shared" si="22"/>
        <v>-3.6361039526632756E-2</v>
      </c>
    </row>
    <row r="110" spans="1:39" x14ac:dyDescent="0.25">
      <c r="A110" s="8">
        <v>39994</v>
      </c>
      <c r="B110">
        <v>353.6</v>
      </c>
      <c r="C110">
        <f t="shared" si="15"/>
        <v>-3.0967388325568678E-2</v>
      </c>
      <c r="D110">
        <v>304.73</v>
      </c>
      <c r="E110">
        <f t="shared" si="10"/>
        <v>0.10209764918625684</v>
      </c>
      <c r="F110">
        <v>101.5</v>
      </c>
      <c r="G110">
        <f t="shared" si="11"/>
        <v>0.16132723112128139</v>
      </c>
      <c r="H110">
        <v>1068.5</v>
      </c>
      <c r="I110">
        <f t="shared" si="12"/>
        <v>2.543186180422265E-2</v>
      </c>
      <c r="J110">
        <v>1424</v>
      </c>
      <c r="K110">
        <f t="shared" si="13"/>
        <v>-1.793103448275862E-2</v>
      </c>
      <c r="V110">
        <v>2172.08</v>
      </c>
      <c r="W110">
        <v>0.6</v>
      </c>
      <c r="X110">
        <f t="shared" si="14"/>
        <v>-3.576248313090416E-2</v>
      </c>
      <c r="Y110" s="64"/>
      <c r="Z110" s="98">
        <v>-0.10806174957118356</v>
      </c>
      <c r="AA110" s="98">
        <v>0.11174740533355954</v>
      </c>
      <c r="AB110" s="98">
        <v>8.170731707317129E-3</v>
      </c>
      <c r="AC110" s="98">
        <v>5.2041134309753816E-2</v>
      </c>
      <c r="AD110" s="98">
        <v>-1.2713048337524449E-2</v>
      </c>
      <c r="AE110" s="99">
        <v>4.5500000000000002E-3</v>
      </c>
      <c r="AF110" s="98">
        <v>3.9363381643886169E-2</v>
      </c>
      <c r="AG110" s="64"/>
      <c r="AH110" s="102">
        <f t="shared" si="17"/>
        <v>3.5469088811995383E-2</v>
      </c>
      <c r="AI110" s="102">
        <f t="shared" si="18"/>
        <v>0.21851302555647165</v>
      </c>
      <c r="AJ110" s="102">
        <f t="shared" si="19"/>
        <v>-1.4968856347324384E-3</v>
      </c>
      <c r="AK110" s="102">
        <f t="shared" si="20"/>
        <v>-3.2349617790132033E-2</v>
      </c>
      <c r="AL110" s="102">
        <f t="shared" si="21"/>
        <v>-2.63095623987034E-3</v>
      </c>
      <c r="AM110" s="102">
        <f t="shared" si="22"/>
        <v>-1.9202943733325176E-3</v>
      </c>
    </row>
    <row r="111" spans="1:39" x14ac:dyDescent="0.25">
      <c r="A111" s="8">
        <v>40025</v>
      </c>
      <c r="B111">
        <v>367.5</v>
      </c>
      <c r="C111">
        <f t="shared" si="15"/>
        <v>3.9309954751131151E-2</v>
      </c>
      <c r="D111">
        <v>349.2</v>
      </c>
      <c r="E111">
        <f t="shared" si="10"/>
        <v>0.14593246480490915</v>
      </c>
      <c r="F111">
        <v>126.65</v>
      </c>
      <c r="G111">
        <f t="shared" si="11"/>
        <v>0.24778325123152714</v>
      </c>
      <c r="H111">
        <v>1149</v>
      </c>
      <c r="I111">
        <f t="shared" si="12"/>
        <v>7.5339260645765085E-2</v>
      </c>
      <c r="J111">
        <v>1580</v>
      </c>
      <c r="K111">
        <f t="shared" si="13"/>
        <v>0.10955056179775281</v>
      </c>
      <c r="V111">
        <v>2353.4700000000003</v>
      </c>
      <c r="W111">
        <v>0.57500000000000007</v>
      </c>
      <c r="X111">
        <f t="shared" si="14"/>
        <v>8.3509815476409857E-2</v>
      </c>
      <c r="Y111" s="64"/>
      <c r="Z111" s="98">
        <v>6.6346153846153805E-2</v>
      </c>
      <c r="AA111" s="98">
        <v>-2.6556438791732903E-2</v>
      </c>
      <c r="AB111" s="98">
        <v>-6.5319946776339663E-2</v>
      </c>
      <c r="AC111" s="98">
        <v>-2.9028436018957347E-2</v>
      </c>
      <c r="AD111" s="98">
        <v>-1.2735248337342579E-3</v>
      </c>
      <c r="AE111" s="99">
        <v>3.0000000000000001E-3</v>
      </c>
      <c r="AF111" s="98">
        <v>1.1866999833051929E-2</v>
      </c>
      <c r="AG111" s="64"/>
      <c r="AH111" s="102">
        <f t="shared" si="17"/>
        <v>5.8292904656319325E-2</v>
      </c>
      <c r="AI111" s="102">
        <f t="shared" si="18"/>
        <v>-4.8250973345323207E-4</v>
      </c>
      <c r="AJ111" s="102">
        <f t="shared" si="19"/>
        <v>-9.9452929085303191E-2</v>
      </c>
      <c r="AK111" s="102">
        <f t="shared" si="20"/>
        <v>4.0317613433369058E-3</v>
      </c>
      <c r="AL111" s="102">
        <f t="shared" si="21"/>
        <v>1.4666623544631307E-2</v>
      </c>
      <c r="AM111" s="102">
        <f t="shared" si="22"/>
        <v>9.8496592783874626E-3</v>
      </c>
    </row>
    <row r="112" spans="1:39" x14ac:dyDescent="0.25">
      <c r="A112" s="8">
        <v>40056</v>
      </c>
      <c r="B112">
        <v>375.90000000000003</v>
      </c>
      <c r="C112">
        <f t="shared" si="15"/>
        <v>2.2857142857142951E-2</v>
      </c>
      <c r="D112">
        <v>381.61</v>
      </c>
      <c r="E112">
        <f t="shared" si="10"/>
        <v>9.2812142038946235E-2</v>
      </c>
      <c r="F112">
        <v>138.4</v>
      </c>
      <c r="G112">
        <f t="shared" si="11"/>
        <v>9.2775365179628894E-2</v>
      </c>
      <c r="H112">
        <v>1203</v>
      </c>
      <c r="I112">
        <f t="shared" si="12"/>
        <v>4.6997389033942558E-2</v>
      </c>
      <c r="J112">
        <v>1680</v>
      </c>
      <c r="K112">
        <f t="shared" si="13"/>
        <v>6.3291139240506333E-2</v>
      </c>
      <c r="V112">
        <v>2520.66</v>
      </c>
      <c r="W112">
        <v>0.55000000000000004</v>
      </c>
      <c r="X112">
        <f t="shared" si="14"/>
        <v>7.1039783808588844E-2</v>
      </c>
      <c r="Y112" s="64"/>
      <c r="Z112" s="98">
        <v>9.9789600240457008E-2</v>
      </c>
      <c r="AA112" s="98">
        <v>-6.4935913349099192E-2</v>
      </c>
      <c r="AB112" s="98">
        <v>6.988481946421609E-3</v>
      </c>
      <c r="AC112" s="98">
        <v>2.4405125076266015E-3</v>
      </c>
      <c r="AD112" s="98">
        <v>3.5562482289600454E-2</v>
      </c>
      <c r="AE112" s="99">
        <v>3.0999999999999999E-3</v>
      </c>
      <c r="AF112" s="98">
        <v>1.5728161116956414E-2</v>
      </c>
      <c r="AG112" s="64"/>
      <c r="AH112" s="102">
        <f t="shared" si="17"/>
        <v>-0.10761115745568309</v>
      </c>
      <c r="AI112" s="102">
        <f t="shared" si="18"/>
        <v>-1.2756876630637319E-2</v>
      </c>
      <c r="AJ112" s="102">
        <f t="shared" si="19"/>
        <v>1.2293984108966826E-3</v>
      </c>
      <c r="AK112" s="102">
        <f t="shared" si="20"/>
        <v>2.8386118980169968E-2</v>
      </c>
      <c r="AL112" s="102">
        <f t="shared" si="21"/>
        <v>-3.5986439333862016E-2</v>
      </c>
      <c r="AM112" s="102">
        <f t="shared" si="22"/>
        <v>2.9081049955967759E-3</v>
      </c>
    </row>
    <row r="113" spans="1:43" x14ac:dyDescent="0.25">
      <c r="A113" s="8">
        <v>40086</v>
      </c>
      <c r="B113">
        <v>399.6</v>
      </c>
      <c r="C113">
        <f t="shared" si="15"/>
        <v>6.3048683160414967E-2</v>
      </c>
      <c r="D113">
        <v>396.87</v>
      </c>
      <c r="E113">
        <f t="shared" si="10"/>
        <v>3.998846990382849E-2</v>
      </c>
      <c r="F113">
        <v>130</v>
      </c>
      <c r="G113">
        <f t="shared" si="11"/>
        <v>-6.0693641618497149E-2</v>
      </c>
      <c r="H113">
        <v>1229.5</v>
      </c>
      <c r="I113">
        <f t="shared" si="12"/>
        <v>2.2028262676641729E-2</v>
      </c>
      <c r="J113">
        <v>1778</v>
      </c>
      <c r="K113">
        <f t="shared" si="13"/>
        <v>5.8333333333333334E-2</v>
      </c>
      <c r="V113">
        <v>2634.79</v>
      </c>
      <c r="W113">
        <v>0.52500000000000002</v>
      </c>
      <c r="X113">
        <f t="shared" si="14"/>
        <v>4.5277824061952077E-2</v>
      </c>
      <c r="Y113" s="64"/>
      <c r="Z113" s="98">
        <v>0.15195408581579656</v>
      </c>
      <c r="AA113" s="98">
        <v>1.5132672879958698E-2</v>
      </c>
      <c r="AB113" s="98">
        <v>-3.3671764554684548E-2</v>
      </c>
      <c r="AC113" s="98">
        <v>-1.4911746804625686E-2</v>
      </c>
      <c r="AD113" s="98">
        <v>-6.4714735257901224E-2</v>
      </c>
      <c r="AE113" s="99">
        <v>3.0999999999999999E-3</v>
      </c>
      <c r="AF113" s="98">
        <v>3.4084796582998416E-3</v>
      </c>
      <c r="AG113" s="64"/>
      <c r="AH113" s="102">
        <f t="shared" si="17"/>
        <v>-4.557402672864614E-2</v>
      </c>
      <c r="AI113" s="102">
        <f t="shared" si="18"/>
        <v>-8.0334273005950654E-2</v>
      </c>
      <c r="AJ113" s="102">
        <f t="shared" si="19"/>
        <v>-5.8025270758122229E-3</v>
      </c>
      <c r="AK113" s="102">
        <f t="shared" si="20"/>
        <v>-1.4495613433858807E-2</v>
      </c>
      <c r="AL113" s="102">
        <f t="shared" si="21"/>
        <v>2.5055802913733834E-2</v>
      </c>
      <c r="AM113" s="102">
        <f t="shared" si="22"/>
        <v>-2.5415232194524041E-3</v>
      </c>
    </row>
    <row r="114" spans="1:43" x14ac:dyDescent="0.25">
      <c r="A114" s="8">
        <v>40116</v>
      </c>
      <c r="B114">
        <v>407.35</v>
      </c>
      <c r="C114">
        <f t="shared" si="15"/>
        <v>1.9394394394394394E-2</v>
      </c>
      <c r="D114">
        <v>385.82</v>
      </c>
      <c r="E114">
        <f t="shared" si="10"/>
        <v>-2.7842870461360171E-2</v>
      </c>
      <c r="F114">
        <v>131.30000000000001</v>
      </c>
      <c r="G114">
        <f t="shared" si="11"/>
        <v>1.0000000000000087E-2</v>
      </c>
      <c r="H114">
        <v>1250</v>
      </c>
      <c r="I114">
        <f t="shared" si="12"/>
        <v>1.6673444489629929E-2</v>
      </c>
      <c r="J114">
        <v>1829</v>
      </c>
      <c r="K114">
        <f t="shared" si="13"/>
        <v>2.8683914510686165E-2</v>
      </c>
      <c r="V114">
        <v>2584.59</v>
      </c>
      <c r="W114">
        <v>0.52500000000000002</v>
      </c>
      <c r="X114">
        <f t="shared" si="14"/>
        <v>-1.9052751832214262E-2</v>
      </c>
      <c r="Y114" s="64"/>
      <c r="Z114" s="98">
        <v>-9.7271648873071548E-3</v>
      </c>
      <c r="AA114" s="98">
        <v>-6.8823124569855468E-2</v>
      </c>
      <c r="AB114" s="98">
        <v>-5.0139646229551714E-2</v>
      </c>
      <c r="AC114" s="98">
        <v>-7.5996292863762749E-2</v>
      </c>
      <c r="AD114" s="98">
        <v>-6.4950263311878295E-2</v>
      </c>
      <c r="AE114" s="99">
        <v>3.0999999999999999E-3</v>
      </c>
      <c r="AF114" s="98">
        <v>-2.0100102437807455E-2</v>
      </c>
      <c r="AG114" s="64"/>
      <c r="AH114" s="102">
        <f t="shared" si="17"/>
        <v>5.4457964869775964E-2</v>
      </c>
      <c r="AI114" s="102">
        <f t="shared" si="18"/>
        <v>0.1445279027434665</v>
      </c>
      <c r="AJ114" s="102">
        <f t="shared" si="19"/>
        <v>-7.8974074074074099E-2</v>
      </c>
      <c r="AK114" s="102">
        <f t="shared" si="20"/>
        <v>0.10548062283737024</v>
      </c>
      <c r="AL114" s="102">
        <f t="shared" si="21"/>
        <v>0.13273509218054674</v>
      </c>
      <c r="AM114" s="102">
        <f t="shared" si="22"/>
        <v>2.0081266965423422E-2</v>
      </c>
    </row>
    <row r="115" spans="1:43" x14ac:dyDescent="0.25">
      <c r="A115" s="8">
        <v>40147</v>
      </c>
      <c r="B115">
        <v>423</v>
      </c>
      <c r="C115">
        <f t="shared" si="15"/>
        <v>3.841904995703934E-2</v>
      </c>
      <c r="D115">
        <v>405.21000000000004</v>
      </c>
      <c r="E115">
        <f t="shared" si="10"/>
        <v>5.0256596340262409E-2</v>
      </c>
      <c r="F115">
        <v>140.20000000000002</v>
      </c>
      <c r="G115">
        <f t="shared" si="11"/>
        <v>6.7783701447067815E-2</v>
      </c>
      <c r="H115">
        <v>1257</v>
      </c>
      <c r="I115">
        <f t="shared" si="12"/>
        <v>5.5999999999999999E-3</v>
      </c>
      <c r="J115">
        <v>1784</v>
      </c>
      <c r="K115">
        <f t="shared" si="13"/>
        <v>-2.4603608529250958E-2</v>
      </c>
      <c r="V115">
        <v>2648.43</v>
      </c>
      <c r="W115">
        <v>0.53500000000000003</v>
      </c>
      <c r="X115">
        <f t="shared" si="14"/>
        <v>2.4700242591668191E-2</v>
      </c>
      <c r="Y115" s="64"/>
      <c r="Z115" s="98">
        <v>-8.8643986583613922E-3</v>
      </c>
      <c r="AA115" s="98">
        <v>-1.2564671101256468E-2</v>
      </c>
      <c r="AB115" s="98">
        <v>2.7443293195183453E-2</v>
      </c>
      <c r="AC115" s="98">
        <v>4.446673353393514E-2</v>
      </c>
      <c r="AD115" s="98">
        <v>3.0193992490613268E-2</v>
      </c>
      <c r="AE115" s="99">
        <v>3.0000000000000001E-3</v>
      </c>
      <c r="AF115" s="98">
        <v>4.8970859061856831E-2</v>
      </c>
      <c r="AG115" s="64"/>
      <c r="AH115" s="102">
        <f t="shared" si="17"/>
        <v>-0.11261174957118356</v>
      </c>
      <c r="AI115" s="102">
        <f t="shared" si="18"/>
        <v>0.10719740533355954</v>
      </c>
      <c r="AJ115" s="102">
        <f t="shared" si="19"/>
        <v>3.6207317073171288E-3</v>
      </c>
      <c r="AK115" s="102">
        <f t="shared" si="20"/>
        <v>4.7491134309753817E-2</v>
      </c>
      <c r="AL115" s="102">
        <f t="shared" si="21"/>
        <v>-1.7263048337524449E-2</v>
      </c>
      <c r="AM115" s="102">
        <f t="shared" si="22"/>
        <v>3.4813381643886171E-2</v>
      </c>
      <c r="AQ115" t="s">
        <v>87</v>
      </c>
    </row>
    <row r="116" spans="1:43" x14ac:dyDescent="0.25">
      <c r="A116" s="8">
        <v>40178</v>
      </c>
      <c r="B116">
        <v>428</v>
      </c>
      <c r="C116">
        <f t="shared" si="15"/>
        <v>1.1820330969267139E-2</v>
      </c>
      <c r="D116">
        <v>412.89</v>
      </c>
      <c r="E116">
        <f t="shared" si="10"/>
        <v>1.8953135411268106E-2</v>
      </c>
      <c r="F116">
        <v>135</v>
      </c>
      <c r="G116">
        <f t="shared" si="11"/>
        <v>-3.7089871611982995E-2</v>
      </c>
      <c r="H116">
        <v>1319.5</v>
      </c>
      <c r="I116">
        <f t="shared" si="12"/>
        <v>4.9721559268098646E-2</v>
      </c>
      <c r="J116">
        <v>1994</v>
      </c>
      <c r="K116">
        <f t="shared" si="13"/>
        <v>0.11771300448430494</v>
      </c>
      <c r="V116">
        <v>2760.8</v>
      </c>
      <c r="W116">
        <v>0.53</v>
      </c>
      <c r="X116">
        <f t="shared" si="14"/>
        <v>4.2428910713139617E-2</v>
      </c>
      <c r="Y116" s="64"/>
      <c r="Z116" s="98">
        <v>-5.9221658206429779E-2</v>
      </c>
      <c r="AA116" s="98">
        <v>-7.4850299401197609E-4</v>
      </c>
      <c r="AB116" s="98">
        <v>-0.17184518942491145</v>
      </c>
      <c r="AC116" s="98">
        <v>-2.176696542893726E-2</v>
      </c>
      <c r="AD116" s="98">
        <v>-1.9741837509491267E-2</v>
      </c>
      <c r="AE116" s="99">
        <v>3.0000000000000001E-3</v>
      </c>
      <c r="AF116" s="98">
        <v>-3.8624193823227279E-3</v>
      </c>
      <c r="AG116" s="64"/>
      <c r="AH116" s="102">
        <f t="shared" si="17"/>
        <v>6.3346153846153802E-2</v>
      </c>
      <c r="AI116" s="102">
        <f t="shared" si="18"/>
        <v>-2.9556438791732902E-2</v>
      </c>
      <c r="AJ116" s="102">
        <f t="shared" si="19"/>
        <v>-6.8319946776339666E-2</v>
      </c>
      <c r="AK116" s="102">
        <f t="shared" si="20"/>
        <v>-3.202843601895735E-2</v>
      </c>
      <c r="AL116" s="102">
        <f t="shared" si="21"/>
        <v>-4.2735248337342577E-3</v>
      </c>
      <c r="AM116" s="102">
        <f t="shared" si="22"/>
        <v>8.8669998330519299E-3</v>
      </c>
    </row>
    <row r="117" spans="1:43" x14ac:dyDescent="0.25">
      <c r="A117" s="8">
        <v>40207</v>
      </c>
      <c r="B117">
        <v>425.55</v>
      </c>
      <c r="C117">
        <f t="shared" si="15"/>
        <v>-5.724299065420534E-3</v>
      </c>
      <c r="D117">
        <v>409.73</v>
      </c>
      <c r="E117">
        <f t="shared" si="10"/>
        <v>-7.6533701470124444E-3</v>
      </c>
      <c r="F117">
        <v>137.6</v>
      </c>
      <c r="G117">
        <f t="shared" si="11"/>
        <v>1.9259259259259216E-2</v>
      </c>
      <c r="H117">
        <v>1216.5</v>
      </c>
      <c r="I117">
        <f t="shared" si="12"/>
        <v>-7.8059871163319444E-2</v>
      </c>
      <c r="J117">
        <v>1910</v>
      </c>
      <c r="K117">
        <f t="shared" si="13"/>
        <v>-4.212637913741224E-2</v>
      </c>
      <c r="V117">
        <v>2660.4900000000002</v>
      </c>
      <c r="W117">
        <v>0.52500000000000002</v>
      </c>
      <c r="X117">
        <f t="shared" si="14"/>
        <v>-3.63336713995943E-2</v>
      </c>
      <c r="Y117" s="64"/>
      <c r="Z117" s="98">
        <v>-3.1860226104830365E-2</v>
      </c>
      <c r="AA117" s="98">
        <v>0.17902621722846443</v>
      </c>
      <c r="AB117" s="98">
        <v>7.6518018759256207E-2</v>
      </c>
      <c r="AC117" s="98">
        <v>7.8534031413612565E-2</v>
      </c>
      <c r="AD117" s="98">
        <v>0.18326878388845855</v>
      </c>
      <c r="AE117" s="99">
        <v>3.0000000000000001E-3</v>
      </c>
      <c r="AF117" s="98">
        <v>2.4663967695282289E-2</v>
      </c>
      <c r="AG117" s="64"/>
      <c r="AH117" s="102">
        <f t="shared" si="17"/>
        <v>9.6689600240457002E-2</v>
      </c>
      <c r="AI117" s="102">
        <f t="shared" si="18"/>
        <v>-6.8035913349099197E-2</v>
      </c>
      <c r="AJ117" s="102">
        <f t="shared" si="19"/>
        <v>3.8884819464216091E-3</v>
      </c>
      <c r="AK117" s="102">
        <f t="shared" si="20"/>
        <v>-6.594874923733984E-4</v>
      </c>
      <c r="AL117" s="102">
        <f t="shared" si="21"/>
        <v>3.2462482289600456E-2</v>
      </c>
      <c r="AM117" s="102">
        <f t="shared" si="22"/>
        <v>1.2628161116956414E-2</v>
      </c>
    </row>
    <row r="118" spans="1:43" x14ac:dyDescent="0.25">
      <c r="A118" s="8">
        <v>40235</v>
      </c>
      <c r="B118">
        <v>419.7</v>
      </c>
      <c r="C118">
        <f t="shared" si="15"/>
        <v>-1.3746915756080419E-2</v>
      </c>
      <c r="D118">
        <v>476.51</v>
      </c>
      <c r="E118">
        <f t="shared" si="10"/>
        <v>0.16298538061650347</v>
      </c>
      <c r="F118">
        <v>114.9</v>
      </c>
      <c r="G118">
        <f t="shared" si="11"/>
        <v>-0.16497093023255807</v>
      </c>
      <c r="H118">
        <v>1214</v>
      </c>
      <c r="I118">
        <f t="shared" si="12"/>
        <v>-2.055076037813399E-3</v>
      </c>
      <c r="J118">
        <v>1924</v>
      </c>
      <c r="K118">
        <f t="shared" si="13"/>
        <v>7.3298429319371729E-3</v>
      </c>
      <c r="V118">
        <v>2736.8</v>
      </c>
      <c r="W118">
        <v>0.52500000000000002</v>
      </c>
      <c r="X118">
        <f t="shared" si="14"/>
        <v>2.8682686272077675E-2</v>
      </c>
      <c r="Y118" s="64"/>
      <c r="Z118" s="98">
        <v>-1.4861995753715558E-2</v>
      </c>
      <c r="AA118" s="98">
        <v>-4.1931385006353239E-2</v>
      </c>
      <c r="AB118" s="98">
        <v>-2.7208804646897077E-2</v>
      </c>
      <c r="AC118" s="98">
        <v>6.9781553398058256E-3</v>
      </c>
      <c r="AD118" s="98">
        <v>3.1552762503273109E-2</v>
      </c>
      <c r="AE118" s="99">
        <v>2.8E-3</v>
      </c>
      <c r="AF118" s="98">
        <v>9.2527482534109518E-3</v>
      </c>
      <c r="AG118" s="64"/>
      <c r="AH118" s="102">
        <f t="shared" si="17"/>
        <v>0.14885408581579657</v>
      </c>
      <c r="AI118" s="102">
        <f t="shared" si="18"/>
        <v>1.2032672879958697E-2</v>
      </c>
      <c r="AJ118" s="102">
        <f t="shared" si="19"/>
        <v>-3.6771764554684547E-2</v>
      </c>
      <c r="AK118" s="102">
        <f t="shared" si="20"/>
        <v>-1.8011746804625684E-2</v>
      </c>
      <c r="AL118" s="102">
        <f t="shared" si="21"/>
        <v>-6.7814735257901229E-2</v>
      </c>
      <c r="AM118" s="102">
        <f t="shared" si="22"/>
        <v>3.0847965829984168E-4</v>
      </c>
    </row>
    <row r="119" spans="1:43" x14ac:dyDescent="0.25">
      <c r="A119" s="8">
        <v>40268</v>
      </c>
      <c r="B119">
        <v>435.45</v>
      </c>
      <c r="C119">
        <f t="shared" si="15"/>
        <v>3.7526804860614729E-2</v>
      </c>
      <c r="D119">
        <v>508.54</v>
      </c>
      <c r="E119">
        <f t="shared" si="10"/>
        <v>6.7217896791253132E-2</v>
      </c>
      <c r="F119">
        <v>123.9</v>
      </c>
      <c r="G119">
        <f t="shared" si="11"/>
        <v>7.8328981723237601E-2</v>
      </c>
      <c r="H119">
        <v>1265.5</v>
      </c>
      <c r="I119">
        <f t="shared" si="12"/>
        <v>4.2421746293245473E-2</v>
      </c>
      <c r="J119">
        <v>1935</v>
      </c>
      <c r="K119">
        <f t="shared" si="13"/>
        <v>5.7172557172557176E-3</v>
      </c>
      <c r="V119">
        <v>2910.19</v>
      </c>
      <c r="W119">
        <v>0.52500000000000002</v>
      </c>
      <c r="X119">
        <f t="shared" si="14"/>
        <v>6.335501315404847E-2</v>
      </c>
      <c r="Y119" s="64"/>
      <c r="AG119" s="64"/>
      <c r="AH119" s="102">
        <f t="shared" si="17"/>
        <v>-1.2827164887307155E-2</v>
      </c>
      <c r="AI119" s="102">
        <f t="shared" si="18"/>
        <v>-7.1923124569855473E-2</v>
      </c>
      <c r="AJ119" s="102">
        <f t="shared" si="19"/>
        <v>-5.3239646229551713E-2</v>
      </c>
      <c r="AK119" s="102">
        <f t="shared" si="20"/>
        <v>-7.9096292863762754E-2</v>
      </c>
      <c r="AL119" s="102">
        <f t="shared" si="21"/>
        <v>-6.8050263311878301E-2</v>
      </c>
      <c r="AM119" s="102">
        <f t="shared" si="22"/>
        <v>-2.3200102437807454E-2</v>
      </c>
    </row>
    <row r="120" spans="1:43" x14ac:dyDescent="0.25">
      <c r="A120" s="8">
        <v>40298</v>
      </c>
      <c r="B120">
        <v>435.15000000000003</v>
      </c>
      <c r="C120">
        <f t="shared" si="15"/>
        <v>-6.889424733033748E-4</v>
      </c>
      <c r="D120">
        <v>501.02000000000004</v>
      </c>
      <c r="E120">
        <f t="shared" si="10"/>
        <v>-1.4787430683918633E-2</v>
      </c>
      <c r="F120">
        <v>126.7</v>
      </c>
      <c r="G120">
        <f t="shared" si="11"/>
        <v>2.2598870056497151E-2</v>
      </c>
      <c r="H120">
        <v>1211</v>
      </c>
      <c r="I120">
        <f t="shared" si="12"/>
        <v>-4.3065981825365467E-2</v>
      </c>
      <c r="J120">
        <v>1974</v>
      </c>
      <c r="K120">
        <f t="shared" si="13"/>
        <v>2.0155038759689922E-2</v>
      </c>
      <c r="V120">
        <v>2863.35</v>
      </c>
      <c r="W120">
        <v>0.52500000000000002</v>
      </c>
      <c r="X120">
        <f t="shared" si="14"/>
        <v>-1.6095169043945635E-2</v>
      </c>
      <c r="Y120" s="65"/>
      <c r="AH120" s="102">
        <f t="shared" si="17"/>
        <v>-1.1864398658361391E-2</v>
      </c>
      <c r="AI120" s="102">
        <f t="shared" ref="AI120:AI123" si="23">AA115-AE115</f>
        <v>-1.5564671101256467E-2</v>
      </c>
      <c r="AJ120" s="102">
        <f t="shared" si="19"/>
        <v>2.4443293195183454E-2</v>
      </c>
      <c r="AK120" s="102">
        <f t="shared" ref="AK120:AK123" si="24" xml:space="preserve"> AC115-AE115</f>
        <v>4.1466733533935138E-2</v>
      </c>
      <c r="AL120" s="102">
        <f t="shared" ref="AL120:AL123" si="25">AD115-AE115</f>
        <v>2.7193992490613269E-2</v>
      </c>
      <c r="AM120" s="102">
        <f t="shared" si="22"/>
        <v>4.5970859061856828E-2</v>
      </c>
    </row>
    <row r="121" spans="1:43" x14ac:dyDescent="0.25">
      <c r="A121" s="8">
        <v>40329</v>
      </c>
      <c r="B121">
        <v>411.6</v>
      </c>
      <c r="C121">
        <f t="shared" si="15"/>
        <v>-5.4119269217511222E-2</v>
      </c>
      <c r="D121">
        <v>510.99</v>
      </c>
      <c r="E121">
        <f t="shared" si="10"/>
        <v>1.9899405213364675E-2</v>
      </c>
      <c r="F121">
        <v>127</v>
      </c>
      <c r="G121">
        <f t="shared" si="11"/>
        <v>2.3677979479084228E-3</v>
      </c>
      <c r="H121">
        <v>1157</v>
      </c>
      <c r="I121">
        <f t="shared" si="12"/>
        <v>-4.4591246903385631E-2</v>
      </c>
      <c r="J121">
        <v>1868</v>
      </c>
      <c r="K121">
        <f t="shared" si="13"/>
        <v>-5.3698074974670718E-2</v>
      </c>
      <c r="V121">
        <v>2673.17</v>
      </c>
      <c r="W121">
        <v>0.57500000000000007</v>
      </c>
      <c r="X121">
        <f t="shared" si="14"/>
        <v>-6.6418705362599695E-2</v>
      </c>
      <c r="Y121" s="65"/>
      <c r="AH121" s="102">
        <f t="shared" si="17"/>
        <v>-6.2221658206429782E-2</v>
      </c>
      <c r="AI121" s="102">
        <f t="shared" si="23"/>
        <v>-3.7485029940119759E-3</v>
      </c>
      <c r="AJ121" s="102">
        <f t="shared" si="19"/>
        <v>-0.17484518942491145</v>
      </c>
      <c r="AK121" s="102">
        <f t="shared" si="24"/>
        <v>-2.4766965428937259E-2</v>
      </c>
      <c r="AL121" s="102">
        <f t="shared" si="25"/>
        <v>-2.2741837509491266E-2</v>
      </c>
      <c r="AM121" s="102">
        <f t="shared" si="22"/>
        <v>-6.862419382322728E-3</v>
      </c>
    </row>
    <row r="122" spans="1:43" x14ac:dyDescent="0.25">
      <c r="A122" s="8">
        <v>40359</v>
      </c>
      <c r="B122">
        <v>380.05</v>
      </c>
      <c r="C122">
        <f t="shared" si="15"/>
        <v>-7.6652089407191468E-2</v>
      </c>
      <c r="D122">
        <v>487.58</v>
      </c>
      <c r="E122">
        <f t="shared" si="10"/>
        <v>-4.5813029609190051E-2</v>
      </c>
      <c r="F122">
        <v>130.1</v>
      </c>
      <c r="G122">
        <f t="shared" si="11"/>
        <v>2.4409448818897592E-2</v>
      </c>
      <c r="H122">
        <v>1143</v>
      </c>
      <c r="I122">
        <f t="shared" si="12"/>
        <v>-1.2100259291270527E-2</v>
      </c>
      <c r="J122">
        <v>1801</v>
      </c>
      <c r="K122">
        <f t="shared" si="13"/>
        <v>-3.5867237687366167E-2</v>
      </c>
      <c r="V122">
        <v>2543.4700000000003</v>
      </c>
      <c r="W122">
        <v>0.57500000000000007</v>
      </c>
      <c r="X122">
        <f t="shared" si="14"/>
        <v>-4.8519173864737301E-2</v>
      </c>
      <c r="Y122" s="65"/>
      <c r="AH122" s="102">
        <f t="shared" si="17"/>
        <v>-3.4860226104830368E-2</v>
      </c>
      <c r="AI122" s="102">
        <f t="shared" si="23"/>
        <v>0.17602621722846443</v>
      </c>
      <c r="AJ122" s="102">
        <f t="shared" si="19"/>
        <v>7.3518018759256204E-2</v>
      </c>
      <c r="AK122" s="102">
        <f t="shared" si="24"/>
        <v>7.5534031413612562E-2</v>
      </c>
      <c r="AL122" s="102">
        <f t="shared" si="25"/>
        <v>0.18026878388845854</v>
      </c>
      <c r="AM122" s="102">
        <f t="shared" si="22"/>
        <v>2.1663967695282289E-2</v>
      </c>
    </row>
    <row r="123" spans="1:43" x14ac:dyDescent="0.25">
      <c r="A123" s="8">
        <v>40389</v>
      </c>
      <c r="B123">
        <v>390.65000000000003</v>
      </c>
      <c r="C123">
        <f t="shared" si="15"/>
        <v>2.7891066964873101E-2</v>
      </c>
      <c r="D123">
        <v>502.75</v>
      </c>
      <c r="E123">
        <f t="shared" si="10"/>
        <v>3.1112843020632545E-2</v>
      </c>
      <c r="F123">
        <v>142.20000000000002</v>
      </c>
      <c r="G123">
        <f t="shared" si="11"/>
        <v>9.3005380476556668E-2</v>
      </c>
      <c r="H123">
        <v>1111</v>
      </c>
      <c r="I123">
        <f t="shared" si="12"/>
        <v>-2.799650043744532E-2</v>
      </c>
      <c r="J123">
        <v>1811</v>
      </c>
      <c r="K123">
        <f t="shared" si="13"/>
        <v>5.5524708495280403E-3</v>
      </c>
      <c r="V123">
        <v>2715.36</v>
      </c>
      <c r="W123">
        <v>0.57500000000000007</v>
      </c>
      <c r="X123">
        <f t="shared" si="14"/>
        <v>6.7580903254215646E-2</v>
      </c>
      <c r="Y123" s="65"/>
      <c r="AH123" s="102">
        <f t="shared" si="17"/>
        <v>-1.7661995753715558E-2</v>
      </c>
      <c r="AI123" s="102">
        <f t="shared" si="23"/>
        <v>-4.4731385006353236E-2</v>
      </c>
      <c r="AJ123" s="102">
        <f t="shared" si="19"/>
        <v>-3.0008804646897078E-2</v>
      </c>
      <c r="AK123" s="102">
        <f t="shared" si="24"/>
        <v>4.1781553398058252E-3</v>
      </c>
      <c r="AL123" s="102">
        <f t="shared" si="25"/>
        <v>2.8752762503273108E-2</v>
      </c>
      <c r="AM123" s="102">
        <f t="shared" si="22"/>
        <v>6.4527482534109514E-3</v>
      </c>
    </row>
    <row r="124" spans="1:43" x14ac:dyDescent="0.25">
      <c r="A124" s="8">
        <v>40421</v>
      </c>
      <c r="B124">
        <v>406.95</v>
      </c>
      <c r="C124">
        <f t="shared" si="15"/>
        <v>4.1725329578906831E-2</v>
      </c>
      <c r="D124">
        <v>480.21000000000004</v>
      </c>
      <c r="E124">
        <f t="shared" si="10"/>
        <v>-4.4833416210840304E-2</v>
      </c>
      <c r="F124">
        <v>133.19999999999999</v>
      </c>
      <c r="G124">
        <f t="shared" si="11"/>
        <v>-6.3291139240506528E-2</v>
      </c>
      <c r="H124">
        <v>1221</v>
      </c>
      <c r="I124">
        <f t="shared" si="12"/>
        <v>9.9009900990099015E-2</v>
      </c>
      <c r="J124">
        <v>1722</v>
      </c>
      <c r="K124">
        <f t="shared" si="13"/>
        <v>-4.9144119271120924E-2</v>
      </c>
      <c r="V124">
        <v>2696.7200000000003</v>
      </c>
      <c r="W124">
        <v>0.57500000000000007</v>
      </c>
      <c r="X124">
        <f t="shared" si="14"/>
        <v>-6.8646514642625184E-3</v>
      </c>
      <c r="Y124" s="65"/>
      <c r="AG124" s="101"/>
      <c r="AI124" s="101"/>
    </row>
    <row r="125" spans="1:43" x14ac:dyDescent="0.25">
      <c r="A125" s="8">
        <v>40451</v>
      </c>
      <c r="B125">
        <v>424</v>
      </c>
      <c r="C125">
        <f t="shared" si="15"/>
        <v>4.189703894827377E-2</v>
      </c>
      <c r="D125">
        <v>523.12</v>
      </c>
      <c r="E125">
        <f t="shared" si="10"/>
        <v>8.93567397596884E-2</v>
      </c>
      <c r="F125">
        <v>140</v>
      </c>
      <c r="G125">
        <f t="shared" si="11"/>
        <v>5.1051051051051143E-2</v>
      </c>
      <c r="H125">
        <v>1254.5</v>
      </c>
      <c r="I125">
        <f t="shared" si="12"/>
        <v>2.7436527436527438E-2</v>
      </c>
      <c r="J125">
        <v>1841</v>
      </c>
      <c r="K125">
        <f t="shared" si="13"/>
        <v>6.910569105691057E-2</v>
      </c>
      <c r="V125">
        <v>2867.58</v>
      </c>
      <c r="W125">
        <v>0.57500000000000007</v>
      </c>
      <c r="X125">
        <f t="shared" si="14"/>
        <v>6.3358450265507599E-2</v>
      </c>
      <c r="Y125" s="65"/>
      <c r="AG125" s="101"/>
      <c r="AI125" s="101"/>
    </row>
    <row r="126" spans="1:43" x14ac:dyDescent="0.25">
      <c r="A126" s="8">
        <v>40480</v>
      </c>
      <c r="B126">
        <v>426.85</v>
      </c>
      <c r="C126">
        <f t="shared" si="15"/>
        <v>6.7216981132076012E-3</v>
      </c>
      <c r="D126">
        <v>566.95000000000005</v>
      </c>
      <c r="E126">
        <f t="shared" si="10"/>
        <v>8.3785747056124862E-2</v>
      </c>
      <c r="F126">
        <v>153.70000000000002</v>
      </c>
      <c r="G126">
        <f t="shared" si="11"/>
        <v>9.7857142857142976E-2</v>
      </c>
      <c r="H126">
        <v>1221</v>
      </c>
      <c r="I126">
        <f t="shared" si="12"/>
        <v>-2.6703866082104424E-2</v>
      </c>
      <c r="J126">
        <v>1799</v>
      </c>
      <c r="K126">
        <f t="shared" si="13"/>
        <v>-2.2813688212927757E-2</v>
      </c>
      <c r="V126">
        <v>2936.15</v>
      </c>
      <c r="W126">
        <v>0.6</v>
      </c>
      <c r="X126">
        <f t="shared" si="14"/>
        <v>2.3912148919995314E-2</v>
      </c>
      <c r="Y126" s="65"/>
      <c r="AI126" s="101"/>
    </row>
    <row r="127" spans="1:43" x14ac:dyDescent="0.25">
      <c r="A127" s="8">
        <v>40512</v>
      </c>
      <c r="B127">
        <v>414.3</v>
      </c>
      <c r="C127">
        <f t="shared" si="15"/>
        <v>-2.9401429073445028E-2</v>
      </c>
      <c r="D127">
        <v>533.24</v>
      </c>
      <c r="E127">
        <f t="shared" si="10"/>
        <v>-5.9458506041097155E-2</v>
      </c>
      <c r="F127">
        <v>170</v>
      </c>
      <c r="G127">
        <f t="shared" si="11"/>
        <v>0.10605074821080014</v>
      </c>
      <c r="H127">
        <v>1212</v>
      </c>
      <c r="I127">
        <f t="shared" si="12"/>
        <v>-7.3710073710073713E-3</v>
      </c>
      <c r="J127">
        <v>1777</v>
      </c>
      <c r="K127">
        <f t="shared" si="13"/>
        <v>-1.2229016120066704E-2</v>
      </c>
      <c r="V127">
        <v>2861.61</v>
      </c>
      <c r="W127">
        <v>0.59000000000000008</v>
      </c>
      <c r="X127">
        <f t="shared" si="14"/>
        <v>-2.5386986359688696E-2</v>
      </c>
      <c r="Y127" s="65"/>
      <c r="AI127" s="101"/>
    </row>
    <row r="128" spans="1:43" x14ac:dyDescent="0.25">
      <c r="A128" s="8">
        <v>40543</v>
      </c>
      <c r="B128">
        <v>425</v>
      </c>
      <c r="C128">
        <f t="shared" si="15"/>
        <v>2.5826695631185104E-2</v>
      </c>
      <c r="D128">
        <v>545.5</v>
      </c>
      <c r="E128">
        <f t="shared" si="10"/>
        <v>2.2991523516615389E-2</v>
      </c>
      <c r="F128">
        <v>180.8</v>
      </c>
      <c r="G128">
        <f t="shared" si="11"/>
        <v>6.3529411764705945E-2</v>
      </c>
      <c r="H128">
        <v>1240</v>
      </c>
      <c r="I128">
        <f t="shared" si="12"/>
        <v>2.3102310231023101E-2</v>
      </c>
      <c r="J128">
        <v>1963</v>
      </c>
      <c r="K128">
        <f t="shared" si="13"/>
        <v>0.10467079347214406</v>
      </c>
      <c r="V128">
        <v>3062.85</v>
      </c>
      <c r="W128">
        <v>0.61499999999999999</v>
      </c>
      <c r="X128">
        <f t="shared" si="14"/>
        <v>7.0324048350404067E-2</v>
      </c>
      <c r="Y128" s="65"/>
    </row>
    <row r="129" spans="1:25" x14ac:dyDescent="0.25">
      <c r="A129" s="8">
        <v>40574</v>
      </c>
      <c r="B129">
        <v>402.7</v>
      </c>
      <c r="C129">
        <f t="shared" si="15"/>
        <v>-5.2470588235294144E-2</v>
      </c>
      <c r="D129">
        <v>558.64</v>
      </c>
      <c r="E129">
        <f t="shared" si="10"/>
        <v>2.4087992667277701E-2</v>
      </c>
      <c r="F129">
        <v>175.5</v>
      </c>
      <c r="G129">
        <f t="shared" si="11"/>
        <v>-2.9314159292035458E-2</v>
      </c>
      <c r="H129">
        <v>1128.5</v>
      </c>
      <c r="I129">
        <f t="shared" si="12"/>
        <v>-8.9919354838709678E-2</v>
      </c>
      <c r="J129">
        <v>1816</v>
      </c>
      <c r="K129">
        <f t="shared" si="13"/>
        <v>-7.4885379521141104E-2</v>
      </c>
      <c r="V129">
        <v>3044.27</v>
      </c>
      <c r="W129">
        <v>0.625</v>
      </c>
      <c r="X129">
        <f t="shared" si="14"/>
        <v>-6.0662454903112877E-3</v>
      </c>
      <c r="Y129" s="65"/>
    </row>
    <row r="130" spans="1:25" x14ac:dyDescent="0.25">
      <c r="A130" s="8">
        <v>40602</v>
      </c>
      <c r="B130">
        <v>404.2</v>
      </c>
      <c r="C130">
        <f t="shared" si="15"/>
        <v>3.7248572138068041E-3</v>
      </c>
      <c r="D130">
        <v>540.25</v>
      </c>
      <c r="E130">
        <f t="shared" si="10"/>
        <v>-3.2919232421595279E-2</v>
      </c>
      <c r="F130">
        <v>182.20000000000002</v>
      </c>
      <c r="G130">
        <f t="shared" si="11"/>
        <v>3.8176638176638272E-2</v>
      </c>
      <c r="H130">
        <v>1181</v>
      </c>
      <c r="I130">
        <f t="shared" si="12"/>
        <v>4.652193176783341E-2</v>
      </c>
      <c r="J130">
        <v>1824</v>
      </c>
      <c r="K130">
        <f t="shared" si="13"/>
        <v>4.4052863436123352E-3</v>
      </c>
      <c r="V130">
        <v>3106.58</v>
      </c>
      <c r="W130">
        <v>0.625</v>
      </c>
      <c r="X130">
        <f t="shared" si="14"/>
        <v>2.0467961120399947E-2</v>
      </c>
    </row>
    <row r="131" spans="1:25" x14ac:dyDescent="0.25">
      <c r="A131" s="8">
        <v>40633</v>
      </c>
      <c r="B131">
        <v>381</v>
      </c>
      <c r="C131">
        <f t="shared" si="15"/>
        <v>-5.7397328055418084E-2</v>
      </c>
      <c r="D131">
        <v>542</v>
      </c>
      <c r="E131">
        <f t="shared" si="10"/>
        <v>3.2392410920869968E-3</v>
      </c>
      <c r="F131">
        <v>185.6</v>
      </c>
      <c r="G131">
        <f t="shared" si="11"/>
        <v>1.8660812294182091E-2</v>
      </c>
      <c r="H131">
        <v>1189.5</v>
      </c>
      <c r="I131">
        <f t="shared" si="12"/>
        <v>7.1972904318374255E-3</v>
      </c>
      <c r="J131">
        <v>1900</v>
      </c>
      <c r="K131">
        <f t="shared" si="13"/>
        <v>4.1666666666666664E-2</v>
      </c>
      <c r="V131">
        <v>3067.73</v>
      </c>
      <c r="W131">
        <v>0.625</v>
      </c>
      <c r="X131">
        <f t="shared" si="14"/>
        <v>-1.2505713678707746E-2</v>
      </c>
    </row>
    <row r="132" spans="1:25" x14ac:dyDescent="0.25">
      <c r="A132" s="8">
        <v>40662</v>
      </c>
      <c r="B132">
        <v>403.55</v>
      </c>
      <c r="C132">
        <f t="shared" si="15"/>
        <v>5.9186351706036776E-2</v>
      </c>
      <c r="D132">
        <v>570.41999999999996</v>
      </c>
      <c r="E132">
        <f t="shared" si="10"/>
        <v>5.2435424354243469E-2</v>
      </c>
      <c r="F132">
        <v>195.8</v>
      </c>
      <c r="G132">
        <f t="shared" si="11"/>
        <v>5.4956896551724234E-2</v>
      </c>
      <c r="H132">
        <v>1305.5</v>
      </c>
      <c r="I132">
        <f t="shared" si="12"/>
        <v>9.7519966372425396E-2</v>
      </c>
      <c r="J132">
        <v>1942</v>
      </c>
      <c r="K132">
        <f t="shared" si="13"/>
        <v>2.2105263157894735E-2</v>
      </c>
      <c r="V132">
        <v>3155.03</v>
      </c>
      <c r="W132">
        <v>0.625</v>
      </c>
      <c r="X132">
        <f t="shared" si="14"/>
        <v>2.845752396723316E-2</v>
      </c>
    </row>
    <row r="133" spans="1:25" x14ac:dyDescent="0.25">
      <c r="A133" s="8">
        <v>40694</v>
      </c>
      <c r="B133">
        <v>419.05</v>
      </c>
      <c r="C133">
        <f t="shared" si="15"/>
        <v>3.8409119068269111E-2</v>
      </c>
      <c r="D133">
        <v>565.53</v>
      </c>
      <c r="E133">
        <f t="shared" si="10"/>
        <v>-8.5726306931734279E-3</v>
      </c>
      <c r="F133">
        <v>200.8</v>
      </c>
      <c r="G133">
        <f t="shared" si="11"/>
        <v>2.5536261491317668E-2</v>
      </c>
      <c r="H133">
        <v>1320</v>
      </c>
      <c r="I133">
        <f t="shared" si="12"/>
        <v>1.1106855610877058E-2</v>
      </c>
      <c r="J133">
        <v>1971</v>
      </c>
      <c r="K133">
        <f t="shared" si="13"/>
        <v>1.4933058702368692E-2</v>
      </c>
      <c r="V133">
        <v>3121.07</v>
      </c>
      <c r="W133">
        <v>0.625</v>
      </c>
      <c r="X133">
        <f t="shared" si="14"/>
        <v>-1.0763764528388014E-2</v>
      </c>
    </row>
    <row r="134" spans="1:25" x14ac:dyDescent="0.25">
      <c r="A134" s="8">
        <v>40724</v>
      </c>
      <c r="B134">
        <v>402</v>
      </c>
      <c r="C134">
        <f t="shared" si="15"/>
        <v>-4.068726882233626E-2</v>
      </c>
      <c r="D134">
        <v>573.53</v>
      </c>
      <c r="E134">
        <f t="shared" si="10"/>
        <v>1.4146022315350204E-2</v>
      </c>
      <c r="F134">
        <v>201.5</v>
      </c>
      <c r="G134">
        <f t="shared" si="11"/>
        <v>3.4860557768923734E-3</v>
      </c>
      <c r="H134">
        <v>1334</v>
      </c>
      <c r="I134">
        <f t="shared" si="12"/>
        <v>1.0606060606060607E-2</v>
      </c>
      <c r="J134">
        <v>2006</v>
      </c>
      <c r="K134">
        <f t="shared" si="13"/>
        <v>1.7757483510908167E-2</v>
      </c>
      <c r="V134">
        <v>3096.7200000000003</v>
      </c>
      <c r="W134">
        <v>0.66</v>
      </c>
      <c r="X134">
        <f t="shared" si="14"/>
        <v>-7.8018115582155828E-3</v>
      </c>
    </row>
    <row r="135" spans="1:25" x14ac:dyDescent="0.25">
      <c r="A135" s="8">
        <v>40753</v>
      </c>
      <c r="B135">
        <v>383.45</v>
      </c>
      <c r="C135">
        <f t="shared" si="15"/>
        <v>-4.6144278606965204E-2</v>
      </c>
      <c r="D135">
        <v>580.20000000000005</v>
      </c>
      <c r="E135">
        <f t="shared" si="10"/>
        <v>1.1629731661813808E-2</v>
      </c>
      <c r="F135">
        <v>201</v>
      </c>
      <c r="G135">
        <f t="shared" si="11"/>
        <v>-2.4813895781637717E-3</v>
      </c>
      <c r="H135">
        <v>1364</v>
      </c>
      <c r="I135">
        <f t="shared" si="12"/>
        <v>2.2488755622188907E-2</v>
      </c>
      <c r="J135">
        <v>1948</v>
      </c>
      <c r="K135">
        <f t="shared" si="13"/>
        <v>-2.8913260219341975E-2</v>
      </c>
      <c r="V135">
        <v>3026.02</v>
      </c>
      <c r="W135">
        <v>0.66</v>
      </c>
      <c r="X135">
        <f t="shared" si="14"/>
        <v>-2.2830607868971127E-2</v>
      </c>
    </row>
    <row r="136" spans="1:25" x14ac:dyDescent="0.25">
      <c r="A136" s="8">
        <v>40786</v>
      </c>
      <c r="B136">
        <v>378.6</v>
      </c>
      <c r="C136">
        <f t="shared" si="15"/>
        <v>-1.2648324423001607E-2</v>
      </c>
      <c r="D136">
        <v>569.09</v>
      </c>
      <c r="E136">
        <f t="shared" si="10"/>
        <v>-1.914856945880733E-2</v>
      </c>
      <c r="F136">
        <v>171.5</v>
      </c>
      <c r="G136">
        <f t="shared" si="11"/>
        <v>-0.14676616915422885</v>
      </c>
      <c r="H136">
        <v>1310.5</v>
      </c>
      <c r="I136">
        <f t="shared" si="12"/>
        <v>-3.9222873900293255E-2</v>
      </c>
      <c r="J136">
        <v>2064</v>
      </c>
      <c r="K136">
        <f t="shared" si="13"/>
        <v>5.9548254620123205E-2</v>
      </c>
      <c r="V136">
        <v>2800.51</v>
      </c>
      <c r="W136">
        <v>0.70000000000000007</v>
      </c>
      <c r="X136">
        <f t="shared" si="14"/>
        <v>-7.4523631701046186E-2</v>
      </c>
    </row>
    <row r="137" spans="1:25" x14ac:dyDescent="0.25">
      <c r="A137" s="8">
        <v>40816</v>
      </c>
      <c r="B137">
        <v>378</v>
      </c>
      <c r="C137">
        <f t="shared" si="15"/>
        <v>-1.5847860538827857E-3</v>
      </c>
      <c r="D137">
        <v>529.07000000000005</v>
      </c>
      <c r="E137">
        <f t="shared" ref="E137:E200" si="26">(D137-D136)/D136</f>
        <v>-7.0322796042805141E-2</v>
      </c>
      <c r="F137">
        <v>173.70000000000002</v>
      </c>
      <c r="G137">
        <f t="shared" ref="G137:G200" si="27">(F137-F136)/F136</f>
        <v>1.2827988338192519E-2</v>
      </c>
      <c r="H137">
        <v>1333</v>
      </c>
      <c r="I137">
        <f t="shared" ref="I137:I200" si="28">(H137-H136)/H136</f>
        <v>1.7169019458222051E-2</v>
      </c>
      <c r="J137">
        <v>2021</v>
      </c>
      <c r="K137">
        <f t="shared" ref="K137:K200" si="29" xml:space="preserve"> (J137-J136)/J136</f>
        <v>-2.0833333333333332E-2</v>
      </c>
      <c r="V137">
        <v>2654.38</v>
      </c>
      <c r="W137">
        <v>0.71500000000000008</v>
      </c>
      <c r="X137">
        <f t="shared" si="14"/>
        <v>-5.2179781539790998E-2</v>
      </c>
    </row>
    <row r="138" spans="1:25" x14ac:dyDescent="0.25">
      <c r="A138" s="8">
        <v>40847</v>
      </c>
      <c r="B138">
        <v>401.75</v>
      </c>
      <c r="C138">
        <f t="shared" si="15"/>
        <v>6.2830687830687834E-2</v>
      </c>
      <c r="D138">
        <v>630.66999999999996</v>
      </c>
      <c r="E138">
        <f t="shared" si="26"/>
        <v>0.19203508042414028</v>
      </c>
      <c r="F138">
        <v>188.1</v>
      </c>
      <c r="G138">
        <f t="shared" si="27"/>
        <v>8.2901554404144942E-2</v>
      </c>
      <c r="H138">
        <v>1400</v>
      </c>
      <c r="I138">
        <f t="shared" si="28"/>
        <v>5.0262565641410351E-2</v>
      </c>
      <c r="J138">
        <v>2086</v>
      </c>
      <c r="K138">
        <f t="shared" si="29"/>
        <v>3.2162295893122216E-2</v>
      </c>
      <c r="V138">
        <v>2860.86</v>
      </c>
      <c r="W138">
        <v>0.745</v>
      </c>
      <c r="X138">
        <f t="shared" ref="X138:X167" si="30" xml:space="preserve"> (V138-V137)/V137</f>
        <v>7.7788410099533606E-2</v>
      </c>
    </row>
    <row r="139" spans="1:25" x14ac:dyDescent="0.25">
      <c r="A139" s="8">
        <v>40877</v>
      </c>
      <c r="B139">
        <v>405.2</v>
      </c>
      <c r="C139">
        <f t="shared" si="15"/>
        <v>8.5874299937771965E-3</v>
      </c>
      <c r="D139">
        <v>654.46</v>
      </c>
      <c r="E139">
        <f t="shared" si="26"/>
        <v>3.7721787939810167E-2</v>
      </c>
      <c r="F139">
        <v>190</v>
      </c>
      <c r="G139">
        <f t="shared" si="27"/>
        <v>1.0101010101010131E-2</v>
      </c>
      <c r="H139">
        <v>1403.5</v>
      </c>
      <c r="I139">
        <f t="shared" si="28"/>
        <v>2.5000000000000001E-3</v>
      </c>
      <c r="J139">
        <v>2137</v>
      </c>
      <c r="K139">
        <f t="shared" si="29"/>
        <v>2.4448705656759349E-2</v>
      </c>
      <c r="V139">
        <v>2835.84</v>
      </c>
      <c r="W139">
        <v>0.78500000000000003</v>
      </c>
      <c r="X139">
        <f t="shared" si="30"/>
        <v>-8.745621945848445E-3</v>
      </c>
    </row>
    <row r="140" spans="1:25" x14ac:dyDescent="0.25">
      <c r="A140" s="8">
        <v>40907</v>
      </c>
      <c r="B140">
        <v>403.45</v>
      </c>
      <c r="C140">
        <f t="shared" ref="C140:C203" si="31">(B140-B139)/B139</f>
        <v>-4.3188548864758142E-3</v>
      </c>
      <c r="D140">
        <v>670.17</v>
      </c>
      <c r="E140">
        <f t="shared" si="26"/>
        <v>2.4004522812700428E-2</v>
      </c>
      <c r="F140">
        <v>190.9</v>
      </c>
      <c r="G140">
        <f t="shared" si="27"/>
        <v>4.7368421052631877E-3</v>
      </c>
      <c r="H140">
        <v>1471.5</v>
      </c>
      <c r="I140">
        <f t="shared" si="28"/>
        <v>4.8450302814392589E-2</v>
      </c>
      <c r="J140">
        <v>2163</v>
      </c>
      <c r="K140">
        <f t="shared" si="29"/>
        <v>1.2166588675713618E-2</v>
      </c>
      <c r="V140">
        <v>2857.88</v>
      </c>
      <c r="W140">
        <v>0.81</v>
      </c>
      <c r="X140">
        <f t="shared" si="30"/>
        <v>7.7719476416158745E-3</v>
      </c>
    </row>
    <row r="141" spans="1:25" x14ac:dyDescent="0.25">
      <c r="A141" s="8">
        <v>40939</v>
      </c>
      <c r="B141">
        <v>319.60000000000002</v>
      </c>
      <c r="C141">
        <f t="shared" si="31"/>
        <v>-0.20783244516049068</v>
      </c>
      <c r="D141">
        <v>660.30000000000007</v>
      </c>
      <c r="E141">
        <f t="shared" si="26"/>
        <v>-1.4727606428219544E-2</v>
      </c>
      <c r="F141">
        <v>203.5</v>
      </c>
      <c r="G141">
        <f t="shared" si="27"/>
        <v>6.6003143006809817E-2</v>
      </c>
      <c r="H141">
        <v>1410</v>
      </c>
      <c r="I141">
        <f t="shared" si="28"/>
        <v>-4.1794087665647302E-2</v>
      </c>
      <c r="J141">
        <v>2046</v>
      </c>
      <c r="K141">
        <f t="shared" si="29"/>
        <v>-5.4091539528432729E-2</v>
      </c>
      <c r="V141">
        <v>2932.91</v>
      </c>
      <c r="W141">
        <v>0.81</v>
      </c>
      <c r="X141">
        <f t="shared" si="30"/>
        <v>2.6253726538552964E-2</v>
      </c>
    </row>
    <row r="142" spans="1:25" x14ac:dyDescent="0.25">
      <c r="A142" s="8">
        <v>40968</v>
      </c>
      <c r="B142">
        <v>316.10000000000002</v>
      </c>
      <c r="C142">
        <f t="shared" si="31"/>
        <v>-1.095118898623279E-2</v>
      </c>
      <c r="D142">
        <v>730.77</v>
      </c>
      <c r="E142">
        <f t="shared" si="26"/>
        <v>0.10672421626533379</v>
      </c>
      <c r="F142">
        <v>215</v>
      </c>
      <c r="G142">
        <f t="shared" si="27"/>
        <v>5.6511056511056514E-2</v>
      </c>
      <c r="H142">
        <v>1387</v>
      </c>
      <c r="I142">
        <f t="shared" si="28"/>
        <v>-1.6312056737588652E-2</v>
      </c>
      <c r="J142">
        <v>2031</v>
      </c>
      <c r="K142">
        <f t="shared" si="29"/>
        <v>-7.331378299120235E-3</v>
      </c>
      <c r="V142">
        <v>3043.91</v>
      </c>
      <c r="W142">
        <v>0.77500000000000002</v>
      </c>
      <c r="X142">
        <f t="shared" si="30"/>
        <v>3.7846371010361722E-2</v>
      </c>
    </row>
    <row r="143" spans="1:25" x14ac:dyDescent="0.25">
      <c r="A143" s="8">
        <v>40998</v>
      </c>
      <c r="B143">
        <v>330</v>
      </c>
      <c r="C143">
        <f t="shared" si="31"/>
        <v>4.397342613097114E-2</v>
      </c>
      <c r="D143">
        <v>728.98</v>
      </c>
      <c r="E143">
        <f t="shared" si="26"/>
        <v>-2.4494711058198389E-3</v>
      </c>
      <c r="F143">
        <v>226.4</v>
      </c>
      <c r="G143">
        <f t="shared" si="27"/>
        <v>5.3023255813953514E-2</v>
      </c>
      <c r="H143">
        <v>1396.5</v>
      </c>
      <c r="I143">
        <f t="shared" si="28"/>
        <v>6.8493150684931503E-3</v>
      </c>
      <c r="J143">
        <v>2064</v>
      </c>
      <c r="K143">
        <f t="shared" si="29"/>
        <v>1.6248153618906941E-2</v>
      </c>
      <c r="V143">
        <v>3002.78</v>
      </c>
      <c r="W143">
        <v>0.73</v>
      </c>
      <c r="X143">
        <f t="shared" si="30"/>
        <v>-1.3512226051361459E-2</v>
      </c>
    </row>
    <row r="144" spans="1:25" x14ac:dyDescent="0.25">
      <c r="A144" s="8">
        <v>41029</v>
      </c>
      <c r="B144">
        <v>317.35000000000002</v>
      </c>
      <c r="C144">
        <f t="shared" si="31"/>
        <v>-3.8333333333333261E-2</v>
      </c>
      <c r="D144">
        <v>748.99</v>
      </c>
      <c r="E144">
        <f t="shared" si="26"/>
        <v>2.7449312738346717E-2</v>
      </c>
      <c r="F144">
        <v>210.8</v>
      </c>
      <c r="G144">
        <f t="shared" si="27"/>
        <v>-6.8904593639575948E-2</v>
      </c>
      <c r="H144">
        <v>1425</v>
      </c>
      <c r="I144">
        <f t="shared" si="28"/>
        <v>2.0408163265306121E-2</v>
      </c>
      <c r="J144">
        <v>2103</v>
      </c>
      <c r="K144">
        <f t="shared" si="29"/>
        <v>1.8895348837209301E-2</v>
      </c>
      <c r="V144">
        <v>2984.67</v>
      </c>
      <c r="W144">
        <v>0.67500000000000004</v>
      </c>
      <c r="X144">
        <f t="shared" si="30"/>
        <v>-6.0310778678425081E-3</v>
      </c>
    </row>
    <row r="145" spans="1:39" x14ac:dyDescent="0.25">
      <c r="A145" s="8">
        <v>41060</v>
      </c>
      <c r="B145">
        <v>302.55</v>
      </c>
      <c r="C145">
        <f t="shared" si="31"/>
        <v>-4.6636206081613396E-2</v>
      </c>
      <c r="D145">
        <v>747.62</v>
      </c>
      <c r="E145">
        <f t="shared" si="26"/>
        <v>-1.829129894925172E-3</v>
      </c>
      <c r="F145">
        <v>206.3</v>
      </c>
      <c r="G145">
        <f t="shared" si="27"/>
        <v>-2.1347248576850095E-2</v>
      </c>
      <c r="H145">
        <v>1438</v>
      </c>
      <c r="I145">
        <f t="shared" si="28"/>
        <v>9.1228070175438589E-3</v>
      </c>
      <c r="J145">
        <v>2041</v>
      </c>
      <c r="K145">
        <f t="shared" si="29"/>
        <v>-2.9481692819781264E-2</v>
      </c>
      <c r="V145">
        <v>2767.09</v>
      </c>
      <c r="W145">
        <v>0.65</v>
      </c>
      <c r="X145">
        <f t="shared" si="30"/>
        <v>-7.2899181484050141E-2</v>
      </c>
    </row>
    <row r="146" spans="1:39" x14ac:dyDescent="0.25">
      <c r="A146" s="8">
        <v>41089</v>
      </c>
      <c r="B146">
        <v>310.05</v>
      </c>
      <c r="C146">
        <f t="shared" si="31"/>
        <v>2.4789291026276649E-2</v>
      </c>
      <c r="D146">
        <v>780.37</v>
      </c>
      <c r="E146">
        <f t="shared" si="26"/>
        <v>4.380567668066665E-2</v>
      </c>
      <c r="F146">
        <v>211.4</v>
      </c>
      <c r="G146">
        <f t="shared" si="27"/>
        <v>2.4721279689772148E-2</v>
      </c>
      <c r="H146">
        <v>1447</v>
      </c>
      <c r="I146">
        <f t="shared" si="28"/>
        <v>6.2586926286509036E-3</v>
      </c>
      <c r="J146">
        <v>2144</v>
      </c>
      <c r="K146">
        <f t="shared" si="29"/>
        <v>5.0465458108770213E-2</v>
      </c>
      <c r="V146">
        <v>2891.4500000000003</v>
      </c>
      <c r="W146">
        <v>0.6</v>
      </c>
      <c r="X146">
        <f t="shared" si="30"/>
        <v>4.4942520843196325E-2</v>
      </c>
    </row>
    <row r="147" spans="1:39" x14ac:dyDescent="0.25">
      <c r="A147" s="8">
        <v>41121</v>
      </c>
      <c r="B147">
        <v>318.10000000000002</v>
      </c>
      <c r="C147">
        <f t="shared" si="31"/>
        <v>2.5963554265441093E-2</v>
      </c>
      <c r="D147">
        <v>773.54</v>
      </c>
      <c r="E147">
        <f t="shared" si="26"/>
        <v>-8.7522585440240417E-3</v>
      </c>
      <c r="F147">
        <v>217.3</v>
      </c>
      <c r="G147">
        <f t="shared" si="27"/>
        <v>2.7909176915799458E-2</v>
      </c>
      <c r="H147">
        <v>1468.5</v>
      </c>
      <c r="I147">
        <f t="shared" si="28"/>
        <v>1.4858327574291638E-2</v>
      </c>
      <c r="J147">
        <v>2291</v>
      </c>
      <c r="K147">
        <f t="shared" si="29"/>
        <v>6.8563432835820892E-2</v>
      </c>
      <c r="V147">
        <v>2927.27</v>
      </c>
      <c r="W147">
        <v>0.58000000000000007</v>
      </c>
      <c r="X147">
        <f t="shared" si="30"/>
        <v>1.2388248110809354E-2</v>
      </c>
    </row>
    <row r="148" spans="1:39" x14ac:dyDescent="0.25">
      <c r="A148" s="8">
        <v>41152</v>
      </c>
      <c r="B148">
        <v>336.6</v>
      </c>
      <c r="C148">
        <f t="shared" si="31"/>
        <v>5.8157812008802261E-2</v>
      </c>
      <c r="D148">
        <v>746.71</v>
      </c>
      <c r="E148">
        <f t="shared" si="26"/>
        <v>-3.4684696331152787E-2</v>
      </c>
      <c r="F148">
        <v>217.6</v>
      </c>
      <c r="G148">
        <f t="shared" si="27"/>
        <v>1.3805798435342059E-3</v>
      </c>
      <c r="H148">
        <v>1425</v>
      </c>
      <c r="I148">
        <f t="shared" si="28"/>
        <v>-2.9622063329928498E-2</v>
      </c>
      <c r="J148">
        <v>2264</v>
      </c>
      <c r="K148">
        <f t="shared" si="29"/>
        <v>-1.178524661719773E-2</v>
      </c>
      <c r="V148">
        <v>2972.63</v>
      </c>
      <c r="W148">
        <v>0.51</v>
      </c>
      <c r="X148">
        <f t="shared" si="30"/>
        <v>1.5495666610869556E-2</v>
      </c>
      <c r="AM148" t="s">
        <v>108</v>
      </c>
    </row>
    <row r="149" spans="1:39" x14ac:dyDescent="0.25">
      <c r="A149" s="8">
        <v>41180</v>
      </c>
      <c r="B149">
        <v>332</v>
      </c>
      <c r="C149">
        <f t="shared" si="31"/>
        <v>-1.3666072489601968E-2</v>
      </c>
      <c r="D149">
        <v>766.72</v>
      </c>
      <c r="E149">
        <f t="shared" si="26"/>
        <v>2.6797551927789893E-2</v>
      </c>
      <c r="F149">
        <v>230.70000000000002</v>
      </c>
      <c r="G149">
        <f t="shared" si="27"/>
        <v>6.0202205882353046E-2</v>
      </c>
      <c r="H149">
        <v>1427.5</v>
      </c>
      <c r="I149">
        <f t="shared" si="28"/>
        <v>1.7543859649122807E-3</v>
      </c>
      <c r="J149">
        <v>2252</v>
      </c>
      <c r="K149">
        <f t="shared" si="29"/>
        <v>-5.3003533568904597E-3</v>
      </c>
      <c r="V149">
        <v>2998.86</v>
      </c>
      <c r="W149">
        <v>0.47500000000000003</v>
      </c>
      <c r="X149">
        <f t="shared" si="30"/>
        <v>8.8238361316410104E-3</v>
      </c>
    </row>
    <row r="150" spans="1:39" x14ac:dyDescent="0.25">
      <c r="A150" s="8">
        <v>41213</v>
      </c>
      <c r="B150">
        <v>319.85000000000002</v>
      </c>
      <c r="C150">
        <f t="shared" si="31"/>
        <v>-3.6596385542168604E-2</v>
      </c>
      <c r="D150">
        <v>784.16</v>
      </c>
      <c r="E150">
        <f t="shared" si="26"/>
        <v>2.2746243739565866E-2</v>
      </c>
      <c r="F150">
        <v>212.5</v>
      </c>
      <c r="G150">
        <f t="shared" si="27"/>
        <v>-7.8890333766796772E-2</v>
      </c>
      <c r="H150">
        <v>1386.5</v>
      </c>
      <c r="I150">
        <f t="shared" si="28"/>
        <v>-2.8721541155866899E-2</v>
      </c>
      <c r="J150">
        <v>2311</v>
      </c>
      <c r="K150">
        <f t="shared" si="29"/>
        <v>2.6198934280639432E-2</v>
      </c>
      <c r="V150">
        <v>3024.4</v>
      </c>
      <c r="W150">
        <v>0.49000000000000005</v>
      </c>
      <c r="X150">
        <f t="shared" si="30"/>
        <v>8.5165696297926415E-3</v>
      </c>
    </row>
    <row r="151" spans="1:39" x14ac:dyDescent="0.25">
      <c r="A151" s="8">
        <v>41243</v>
      </c>
      <c r="B151">
        <v>325.10000000000002</v>
      </c>
      <c r="C151">
        <f t="shared" si="31"/>
        <v>1.6413944036267E-2</v>
      </c>
      <c r="D151">
        <v>817.2</v>
      </c>
      <c r="E151">
        <f t="shared" si="26"/>
        <v>4.2134258314629768E-2</v>
      </c>
      <c r="F151">
        <v>233.5</v>
      </c>
      <c r="G151">
        <f t="shared" si="27"/>
        <v>9.8823529411764699E-2</v>
      </c>
      <c r="H151">
        <v>1334.5</v>
      </c>
      <c r="I151">
        <f t="shared" si="28"/>
        <v>-3.750450775333574E-2</v>
      </c>
      <c r="J151">
        <v>2403</v>
      </c>
      <c r="K151">
        <f t="shared" si="29"/>
        <v>3.98096062310688E-2</v>
      </c>
      <c r="V151">
        <v>3065.3</v>
      </c>
      <c r="W151">
        <v>0.47000000000000003</v>
      </c>
      <c r="X151">
        <f t="shared" si="30"/>
        <v>1.35233434730856E-2</v>
      </c>
    </row>
    <row r="152" spans="1:39" x14ac:dyDescent="0.25">
      <c r="A152" s="8">
        <v>41274</v>
      </c>
      <c r="B152">
        <v>336</v>
      </c>
      <c r="C152">
        <f t="shared" si="31"/>
        <v>3.3528145186096515E-2</v>
      </c>
      <c r="D152">
        <v>801.6</v>
      </c>
      <c r="E152">
        <f t="shared" si="26"/>
        <v>-1.9089574155653478E-2</v>
      </c>
      <c r="F152">
        <v>231.1</v>
      </c>
      <c r="G152">
        <f t="shared" si="27"/>
        <v>-1.0278372591006448E-2</v>
      </c>
      <c r="H152">
        <v>1335</v>
      </c>
      <c r="I152">
        <f t="shared" si="28"/>
        <v>3.7467216185837392E-4</v>
      </c>
      <c r="J152">
        <v>2366</v>
      </c>
      <c r="K152">
        <f t="shared" si="29"/>
        <v>-1.5397419891801914E-2</v>
      </c>
      <c r="V152">
        <v>3093.41</v>
      </c>
      <c r="W152">
        <v>0.47000000000000003</v>
      </c>
      <c r="X152">
        <f t="shared" si="30"/>
        <v>9.1703911525787586E-3</v>
      </c>
    </row>
    <row r="153" spans="1:39" x14ac:dyDescent="0.25">
      <c r="A153" s="8">
        <v>41305</v>
      </c>
      <c r="B153">
        <v>356.3</v>
      </c>
      <c r="C153">
        <f t="shared" si="31"/>
        <v>6.0416666666666702E-2</v>
      </c>
      <c r="D153">
        <v>868.13</v>
      </c>
      <c r="E153">
        <f t="shared" si="26"/>
        <v>8.299650698602791E-2</v>
      </c>
      <c r="F153">
        <v>248.6</v>
      </c>
      <c r="G153">
        <f t="shared" si="27"/>
        <v>7.5724794461272185E-2</v>
      </c>
      <c r="H153">
        <v>1445.5</v>
      </c>
      <c r="I153">
        <f t="shared" si="28"/>
        <v>8.2771535580524344E-2</v>
      </c>
      <c r="J153">
        <v>2567</v>
      </c>
      <c r="K153">
        <f t="shared" si="29"/>
        <v>8.4953508030431113E-2</v>
      </c>
      <c r="V153">
        <v>3287.38</v>
      </c>
      <c r="W153">
        <v>0.46500000000000002</v>
      </c>
      <c r="X153">
        <f t="shared" si="30"/>
        <v>6.2704264872745691E-2</v>
      </c>
    </row>
    <row r="154" spans="1:39" x14ac:dyDescent="0.25">
      <c r="A154" s="8">
        <v>41333</v>
      </c>
      <c r="B154">
        <v>369.6</v>
      </c>
      <c r="C154">
        <f t="shared" si="31"/>
        <v>3.7328094302554057E-2</v>
      </c>
      <c r="D154">
        <v>943.38</v>
      </c>
      <c r="E154">
        <f t="shared" si="26"/>
        <v>8.6680566274636286E-2</v>
      </c>
      <c r="F154">
        <v>267.7</v>
      </c>
      <c r="G154">
        <f t="shared" si="27"/>
        <v>7.6830249396621059E-2</v>
      </c>
      <c r="H154">
        <v>1456</v>
      </c>
      <c r="I154">
        <f t="shared" si="28"/>
        <v>7.2639225181598066E-3</v>
      </c>
      <c r="J154">
        <v>2628</v>
      </c>
      <c r="K154">
        <f t="shared" si="29"/>
        <v>2.3763147643163226E-2</v>
      </c>
      <c r="V154">
        <v>3349.39</v>
      </c>
      <c r="W154">
        <v>0.46500000000000002</v>
      </c>
      <c r="X154">
        <f t="shared" si="30"/>
        <v>1.8863045951487131E-2</v>
      </c>
    </row>
    <row r="155" spans="1:39" x14ac:dyDescent="0.25">
      <c r="A155" s="8">
        <v>41362</v>
      </c>
      <c r="B155">
        <v>381.55</v>
      </c>
      <c r="C155">
        <f t="shared" si="31"/>
        <v>3.2332251082251053E-2</v>
      </c>
      <c r="D155">
        <v>1036.98</v>
      </c>
      <c r="E155">
        <f t="shared" si="26"/>
        <v>9.9217706544552586E-2</v>
      </c>
      <c r="F155">
        <v>278</v>
      </c>
      <c r="G155">
        <f t="shared" si="27"/>
        <v>3.8475905864774042E-2</v>
      </c>
      <c r="H155">
        <v>1538.5</v>
      </c>
      <c r="I155">
        <f t="shared" si="28"/>
        <v>5.6662087912087912E-2</v>
      </c>
      <c r="J155">
        <v>2784</v>
      </c>
      <c r="K155">
        <f t="shared" si="29"/>
        <v>5.9360730593607303E-2</v>
      </c>
      <c r="V155">
        <v>3380.64</v>
      </c>
      <c r="W155">
        <v>0.45500000000000002</v>
      </c>
      <c r="X155">
        <f t="shared" si="30"/>
        <v>9.3300571148776344E-3</v>
      </c>
    </row>
    <row r="156" spans="1:39" x14ac:dyDescent="0.25">
      <c r="A156" s="8">
        <v>41394</v>
      </c>
      <c r="B156">
        <v>366.15000000000003</v>
      </c>
      <c r="C156">
        <f t="shared" si="31"/>
        <v>-4.0361682610404868E-2</v>
      </c>
      <c r="D156">
        <v>1047.83</v>
      </c>
      <c r="E156">
        <f t="shared" si="26"/>
        <v>1.0463075469150715E-2</v>
      </c>
      <c r="F156">
        <v>276.2</v>
      </c>
      <c r="G156">
        <f t="shared" si="27"/>
        <v>-6.4748201438849327E-3</v>
      </c>
      <c r="H156">
        <v>1660.5</v>
      </c>
      <c r="I156">
        <f t="shared" si="28"/>
        <v>7.9298017549561256E-2</v>
      </c>
      <c r="J156">
        <v>2786</v>
      </c>
      <c r="K156">
        <f t="shared" si="29"/>
        <v>7.1839080459770114E-4</v>
      </c>
      <c r="V156">
        <v>3390.1800000000003</v>
      </c>
      <c r="W156">
        <v>0.46</v>
      </c>
      <c r="X156">
        <f t="shared" si="30"/>
        <v>2.8219508732075637E-3</v>
      </c>
    </row>
    <row r="157" spans="1:39" x14ac:dyDescent="0.25">
      <c r="A157" s="8">
        <v>41425</v>
      </c>
      <c r="B157">
        <v>365.45</v>
      </c>
      <c r="C157">
        <f t="shared" si="31"/>
        <v>-1.9117847876554566E-3</v>
      </c>
      <c r="D157">
        <v>1117.3700000000001</v>
      </c>
      <c r="E157">
        <f t="shared" si="26"/>
        <v>6.6365727264919114E-2</v>
      </c>
      <c r="F157">
        <v>302.10000000000002</v>
      </c>
      <c r="G157">
        <f t="shared" si="27"/>
        <v>9.3772628530050819E-2</v>
      </c>
      <c r="H157">
        <v>1713.5</v>
      </c>
      <c r="I157">
        <f t="shared" si="28"/>
        <v>3.1918096958747366E-2</v>
      </c>
      <c r="J157">
        <v>2775</v>
      </c>
      <c r="K157">
        <f t="shared" si="29"/>
        <v>-3.9483129935391241E-3</v>
      </c>
      <c r="V157">
        <v>3473.82</v>
      </c>
      <c r="W157">
        <v>0.46</v>
      </c>
      <c r="X157">
        <f t="shared" si="30"/>
        <v>2.4671256393465794E-2</v>
      </c>
    </row>
    <row r="158" spans="1:39" x14ac:dyDescent="0.25">
      <c r="A158" s="8">
        <v>41453</v>
      </c>
      <c r="B158">
        <v>331.40000000000003</v>
      </c>
      <c r="C158">
        <f t="shared" si="31"/>
        <v>-9.3172800656724467E-2</v>
      </c>
      <c r="D158">
        <v>1051.53</v>
      </c>
      <c r="E158">
        <f t="shared" si="26"/>
        <v>-5.8924080653677956E-2</v>
      </c>
      <c r="F158">
        <v>309.2</v>
      </c>
      <c r="G158">
        <f t="shared" si="27"/>
        <v>2.350215160542855E-2</v>
      </c>
      <c r="H158">
        <v>1648</v>
      </c>
      <c r="I158">
        <f t="shared" si="28"/>
        <v>-3.8225853516194924E-2</v>
      </c>
      <c r="J158">
        <v>2662</v>
      </c>
      <c r="K158">
        <f t="shared" si="29"/>
        <v>-4.0720720720720721E-2</v>
      </c>
      <c r="V158">
        <v>3289.71</v>
      </c>
      <c r="W158">
        <v>0.46</v>
      </c>
      <c r="X158">
        <f t="shared" si="30"/>
        <v>-5.2999291845864244E-2</v>
      </c>
    </row>
    <row r="159" spans="1:39" x14ac:dyDescent="0.25">
      <c r="A159" s="8">
        <v>41486</v>
      </c>
      <c r="B159">
        <v>367.3</v>
      </c>
      <c r="C159">
        <f t="shared" si="31"/>
        <v>0.108328304164152</v>
      </c>
      <c r="D159">
        <v>1089.55</v>
      </c>
      <c r="E159">
        <f t="shared" si="26"/>
        <v>3.6156838131104187E-2</v>
      </c>
      <c r="F159">
        <v>340.7</v>
      </c>
      <c r="G159">
        <f t="shared" si="27"/>
        <v>0.101875808538163</v>
      </c>
      <c r="H159">
        <v>1684</v>
      </c>
      <c r="I159">
        <f t="shared" si="28"/>
        <v>2.1844660194174758E-2</v>
      </c>
      <c r="J159">
        <v>2669</v>
      </c>
      <c r="K159">
        <f t="shared" si="29"/>
        <v>2.6296018031555222E-3</v>
      </c>
      <c r="V159">
        <v>3509.94</v>
      </c>
      <c r="W159">
        <v>0.46</v>
      </c>
      <c r="X159">
        <f t="shared" si="30"/>
        <v>6.6945110663249957E-2</v>
      </c>
    </row>
    <row r="160" spans="1:39" x14ac:dyDescent="0.25">
      <c r="A160" s="8">
        <v>41516</v>
      </c>
      <c r="B160">
        <v>366.55</v>
      </c>
      <c r="C160">
        <f t="shared" si="31"/>
        <v>-2.0419275796351756E-3</v>
      </c>
      <c r="D160">
        <v>1031.1300000000001</v>
      </c>
      <c r="E160">
        <f t="shared" si="26"/>
        <v>-5.3618466339314254E-2</v>
      </c>
      <c r="F160">
        <v>325.3</v>
      </c>
      <c r="G160">
        <f t="shared" si="27"/>
        <v>-4.5201056648077421E-2</v>
      </c>
      <c r="H160">
        <v>1645.5</v>
      </c>
      <c r="I160">
        <f t="shared" si="28"/>
        <v>-2.2862232779097387E-2</v>
      </c>
      <c r="J160">
        <v>2459</v>
      </c>
      <c r="K160">
        <f t="shared" si="29"/>
        <v>-7.8681153990258518E-2</v>
      </c>
      <c r="V160">
        <v>3410.4300000000003</v>
      </c>
      <c r="W160">
        <v>0.46</v>
      </c>
      <c r="X160">
        <f t="shared" si="30"/>
        <v>-2.8350911981401324E-2</v>
      </c>
    </row>
    <row r="161" spans="1:41" x14ac:dyDescent="0.25">
      <c r="A161" s="8">
        <v>41547</v>
      </c>
      <c r="B161">
        <v>359</v>
      </c>
      <c r="C161">
        <f t="shared" si="31"/>
        <v>-2.0597462829082012E-2</v>
      </c>
      <c r="D161">
        <v>1031.1300000000001</v>
      </c>
      <c r="E161">
        <f t="shared" si="26"/>
        <v>0</v>
      </c>
      <c r="F161">
        <v>342.40000000000003</v>
      </c>
      <c r="G161">
        <f t="shared" si="27"/>
        <v>5.2566861358745838E-2</v>
      </c>
      <c r="H161">
        <v>1557.5</v>
      </c>
      <c r="I161">
        <f t="shared" si="28"/>
        <v>-5.3479185657854755E-2</v>
      </c>
      <c r="J161">
        <v>2440</v>
      </c>
      <c r="K161">
        <f t="shared" si="29"/>
        <v>-7.7267181781211875E-3</v>
      </c>
      <c r="V161">
        <v>3443.85</v>
      </c>
      <c r="W161">
        <v>0.48000000000000004</v>
      </c>
      <c r="X161">
        <f t="shared" si="30"/>
        <v>9.7993508149997553E-3</v>
      </c>
    </row>
    <row r="162" spans="1:41" x14ac:dyDescent="0.25">
      <c r="A162" s="8">
        <v>41578</v>
      </c>
      <c r="B162">
        <v>364.2</v>
      </c>
      <c r="C162">
        <f t="shared" si="31"/>
        <v>1.448467966573813E-2</v>
      </c>
      <c r="D162">
        <v>1074.5</v>
      </c>
      <c r="E162">
        <f t="shared" si="26"/>
        <v>4.2060651906161088E-2</v>
      </c>
      <c r="F162">
        <v>377</v>
      </c>
      <c r="G162">
        <f t="shared" si="27"/>
        <v>0.10105140186915877</v>
      </c>
      <c r="H162">
        <v>1643.5</v>
      </c>
      <c r="I162">
        <f t="shared" si="28"/>
        <v>5.5216693418940609E-2</v>
      </c>
      <c r="J162">
        <v>2525</v>
      </c>
      <c r="K162">
        <f t="shared" si="29"/>
        <v>3.4836065573770489E-2</v>
      </c>
      <c r="V162">
        <v>3585.32</v>
      </c>
      <c r="W162">
        <v>0.48000000000000004</v>
      </c>
      <c r="X162">
        <f t="shared" si="30"/>
        <v>4.10790249284958E-2</v>
      </c>
    </row>
    <row r="163" spans="1:41" x14ac:dyDescent="0.25">
      <c r="A163" s="8">
        <v>41607</v>
      </c>
      <c r="B163">
        <v>347.95</v>
      </c>
      <c r="C163">
        <f t="shared" si="31"/>
        <v>-4.4618341570565621E-2</v>
      </c>
      <c r="D163">
        <v>1153.92</v>
      </c>
      <c r="E163">
        <f t="shared" si="26"/>
        <v>7.3913448115402583E-2</v>
      </c>
      <c r="F163">
        <v>372.7</v>
      </c>
      <c r="G163">
        <f t="shared" si="27"/>
        <v>-1.1405835543766608E-2</v>
      </c>
      <c r="H163">
        <v>1618.5</v>
      </c>
      <c r="I163">
        <f t="shared" si="28"/>
        <v>-1.5211439002129602E-2</v>
      </c>
      <c r="J163">
        <v>2469</v>
      </c>
      <c r="K163">
        <f t="shared" si="29"/>
        <v>-2.2178217821782177E-2</v>
      </c>
      <c r="V163">
        <v>3548.4500000000003</v>
      </c>
      <c r="W163">
        <v>0.53</v>
      </c>
      <c r="X163">
        <f t="shared" si="30"/>
        <v>-1.0283600905916316E-2</v>
      </c>
    </row>
    <row r="164" spans="1:41" x14ac:dyDescent="0.25">
      <c r="A164" s="8">
        <v>41639</v>
      </c>
      <c r="B164">
        <v>334.35</v>
      </c>
      <c r="C164">
        <f t="shared" si="31"/>
        <v>-3.908607558557254E-2</v>
      </c>
      <c r="D164">
        <v>1191.29</v>
      </c>
      <c r="E164">
        <f t="shared" si="26"/>
        <v>3.238526067664993E-2</v>
      </c>
      <c r="F164">
        <v>379.40000000000003</v>
      </c>
      <c r="G164">
        <f t="shared" si="27"/>
        <v>1.7976925140864089E-2</v>
      </c>
      <c r="H164">
        <v>1611.5</v>
      </c>
      <c r="I164">
        <f t="shared" si="28"/>
        <v>-4.3249922767995058E-3</v>
      </c>
      <c r="J164">
        <v>2482</v>
      </c>
      <c r="K164">
        <f t="shared" si="29"/>
        <v>5.2652895909275008E-3</v>
      </c>
      <c r="V164">
        <v>3609.63</v>
      </c>
      <c r="W164">
        <v>0.47500000000000003</v>
      </c>
      <c r="X164">
        <f t="shared" si="30"/>
        <v>1.7241330721864428E-2</v>
      </c>
    </row>
    <row r="165" spans="1:41" x14ac:dyDescent="0.25">
      <c r="A165" s="8">
        <v>41670</v>
      </c>
      <c r="B165">
        <v>320.35000000000002</v>
      </c>
      <c r="C165">
        <f t="shared" si="31"/>
        <v>-4.1872289516973228E-2</v>
      </c>
      <c r="D165">
        <v>1109.07</v>
      </c>
      <c r="E165">
        <f t="shared" si="26"/>
        <v>-6.9017619555272039E-2</v>
      </c>
      <c r="F165">
        <v>383.3</v>
      </c>
      <c r="G165">
        <f t="shared" si="27"/>
        <v>1.0279388508170735E-2</v>
      </c>
      <c r="H165">
        <v>1564</v>
      </c>
      <c r="I165">
        <f t="shared" si="28"/>
        <v>-2.9475643810114801E-2</v>
      </c>
      <c r="J165">
        <v>2339</v>
      </c>
      <c r="K165">
        <f t="shared" si="29"/>
        <v>-5.7614826752618857E-2</v>
      </c>
      <c r="V165">
        <v>3496.51</v>
      </c>
      <c r="W165">
        <v>0.47000000000000003</v>
      </c>
      <c r="X165">
        <f t="shared" si="30"/>
        <v>-3.1338392023559168E-2</v>
      </c>
    </row>
    <row r="166" spans="1:41" ht="15.75" thickBot="1" x14ac:dyDescent="0.3">
      <c r="A166" s="8">
        <v>41698</v>
      </c>
      <c r="B166">
        <v>329.2</v>
      </c>
      <c r="C166">
        <f t="shared" si="31"/>
        <v>2.7626034025284737E-2</v>
      </c>
      <c r="D166">
        <v>933.41</v>
      </c>
      <c r="E166">
        <f t="shared" si="26"/>
        <v>-0.15838495315895298</v>
      </c>
      <c r="F166">
        <v>409.8</v>
      </c>
      <c r="G166">
        <f t="shared" si="27"/>
        <v>6.9136446647534572E-2</v>
      </c>
      <c r="H166">
        <v>1671.5</v>
      </c>
      <c r="I166">
        <f t="shared" si="28"/>
        <v>6.8734015345268545E-2</v>
      </c>
      <c r="J166">
        <v>2441</v>
      </c>
      <c r="K166">
        <f t="shared" si="29"/>
        <v>4.3608379649422831E-2</v>
      </c>
      <c r="V166">
        <v>3666.66</v>
      </c>
      <c r="W166">
        <v>0.47000000000000003</v>
      </c>
      <c r="X166">
        <f t="shared" si="30"/>
        <v>4.8662809487174247E-2</v>
      </c>
      <c r="Z166" s="188" t="s">
        <v>98</v>
      </c>
      <c r="AA166" s="188"/>
      <c r="AB166" s="188"/>
      <c r="AC166" s="188"/>
      <c r="AD166" s="188"/>
      <c r="AE166" s="188"/>
      <c r="AF166" s="188"/>
      <c r="AG166" s="188"/>
      <c r="AH166" s="188"/>
      <c r="AI166" s="188"/>
      <c r="AK166" s="4" t="s">
        <v>105</v>
      </c>
      <c r="AL166" s="4"/>
      <c r="AM166" s="4"/>
      <c r="AN166" s="4"/>
    </row>
    <row r="167" spans="1:41" ht="15.75" thickBot="1" x14ac:dyDescent="0.3">
      <c r="A167" s="62">
        <v>41729</v>
      </c>
      <c r="B167" s="63">
        <v>295.40000000000003</v>
      </c>
      <c r="C167">
        <f t="shared" si="31"/>
        <v>-0.10267314702308614</v>
      </c>
      <c r="D167" s="63">
        <v>1003.49</v>
      </c>
      <c r="E167">
        <f t="shared" si="26"/>
        <v>7.5079547037207706E-2</v>
      </c>
      <c r="F167" s="63">
        <v>379.5</v>
      </c>
      <c r="G167">
        <f t="shared" si="27"/>
        <v>-7.3938506588579825E-2</v>
      </c>
      <c r="H167" s="63">
        <v>1591.5</v>
      </c>
      <c r="I167">
        <f t="shared" si="28"/>
        <v>-4.7861202512713134E-2</v>
      </c>
      <c r="J167" s="63">
        <v>2561</v>
      </c>
      <c r="K167">
        <f t="shared" si="29"/>
        <v>4.9160180253994268E-2</v>
      </c>
      <c r="M167" t="s">
        <v>88</v>
      </c>
      <c r="V167" s="63">
        <v>3555.59</v>
      </c>
      <c r="W167" s="63">
        <v>0.47000000000000003</v>
      </c>
      <c r="X167">
        <f t="shared" si="30"/>
        <v>-3.02918732579513E-2</v>
      </c>
      <c r="Z167" s="79" t="s">
        <v>101</v>
      </c>
      <c r="AA167" s="80" t="s">
        <v>99</v>
      </c>
      <c r="AB167" s="79" t="s">
        <v>102</v>
      </c>
      <c r="AC167" s="80" t="s">
        <v>99</v>
      </c>
      <c r="AD167" s="79" t="s">
        <v>100</v>
      </c>
      <c r="AE167" s="80" t="s">
        <v>99</v>
      </c>
      <c r="AF167" s="79" t="s">
        <v>103</v>
      </c>
      <c r="AG167" s="80" t="s">
        <v>99</v>
      </c>
      <c r="AH167" s="79" t="s">
        <v>104</v>
      </c>
      <c r="AI167" s="80" t="s">
        <v>99</v>
      </c>
      <c r="AK167">
        <f xml:space="preserve"> AVERAGE(W168:W203)</f>
        <v>0.44236111111111126</v>
      </c>
    </row>
    <row r="168" spans="1:41" x14ac:dyDescent="0.25">
      <c r="A168" s="9">
        <v>41759</v>
      </c>
      <c r="B168" s="10">
        <v>292.95</v>
      </c>
      <c r="C168">
        <f>(B168-B167)/B167</f>
        <v>-8.293838862559395E-3</v>
      </c>
      <c r="D168" s="10">
        <v>993.63</v>
      </c>
      <c r="E168">
        <f t="shared" si="26"/>
        <v>-9.8257082781094112E-3</v>
      </c>
      <c r="F168" s="10">
        <v>368.5</v>
      </c>
      <c r="G168">
        <f t="shared" si="27"/>
        <v>-2.8985507246376812E-2</v>
      </c>
      <c r="H168" s="10">
        <v>1632</v>
      </c>
      <c r="I168">
        <f t="shared" si="28"/>
        <v>2.5447690857681431E-2</v>
      </c>
      <c r="J168" s="10">
        <v>2644</v>
      </c>
      <c r="K168">
        <f t="shared" si="29"/>
        <v>3.2409215150331905E-2</v>
      </c>
      <c r="M168" s="169" t="s">
        <v>89</v>
      </c>
      <c r="N168" s="169"/>
      <c r="V168" s="10">
        <v>3619.83</v>
      </c>
      <c r="W168" s="10">
        <v>0.47000000000000003</v>
      </c>
      <c r="Z168" s="81">
        <v>-8.293838862559395E-3</v>
      </c>
      <c r="AA168" s="82">
        <v>1.8067324972789265E-2</v>
      </c>
      <c r="AB168" s="81">
        <v>-9.8257082781094112E-3</v>
      </c>
      <c r="AC168" s="82">
        <v>1.8067324972789265E-2</v>
      </c>
      <c r="AD168" s="90">
        <v>-2.8985507246376812E-2</v>
      </c>
      <c r="AE168" s="91">
        <v>1.8067324972789265E-2</v>
      </c>
      <c r="AF168" s="86">
        <v>2.5447690857681431E-2</v>
      </c>
      <c r="AG168" s="87">
        <v>1.8067324972789265E-2</v>
      </c>
      <c r="AH168" s="86">
        <v>3.2409215150331905E-2</v>
      </c>
      <c r="AI168" s="87">
        <v>1.8067324972789265E-2</v>
      </c>
      <c r="AK168" s="189" t="s">
        <v>107</v>
      </c>
      <c r="AL168" s="189"/>
      <c r="AM168" s="189"/>
      <c r="AN168" s="189"/>
      <c r="AO168" s="189"/>
    </row>
    <row r="169" spans="1:41" ht="15.75" thickBot="1" x14ac:dyDescent="0.3">
      <c r="A169" s="9">
        <v>41789</v>
      </c>
      <c r="B169" s="10">
        <v>303.55</v>
      </c>
      <c r="C169">
        <f t="shared" si="31"/>
        <v>3.6183649086874971E-2</v>
      </c>
      <c r="D169" s="10">
        <v>984.17000000000007</v>
      </c>
      <c r="E169">
        <f t="shared" si="26"/>
        <v>-9.5206465183216311E-3</v>
      </c>
      <c r="F169" s="10">
        <v>397</v>
      </c>
      <c r="G169">
        <f t="shared" si="27"/>
        <v>7.7340569877883306E-2</v>
      </c>
      <c r="H169" s="10">
        <v>1601</v>
      </c>
      <c r="I169">
        <f t="shared" si="28"/>
        <v>-1.8995098039215685E-2</v>
      </c>
      <c r="J169" s="10">
        <v>2680</v>
      </c>
      <c r="K169">
        <f t="shared" si="29"/>
        <v>1.3615733736762481E-2</v>
      </c>
      <c r="M169" t="s">
        <v>48</v>
      </c>
      <c r="N169" t="s">
        <v>49</v>
      </c>
      <c r="V169" s="10">
        <v>3655.01</v>
      </c>
      <c r="W169" s="10">
        <v>0.47500000000000003</v>
      </c>
      <c r="Z169" s="81">
        <v>3.6183649086874971E-2</v>
      </c>
      <c r="AA169" s="83">
        <v>9.7186884466950903E-3</v>
      </c>
      <c r="AB169" s="81">
        <v>-9.5206465183216311E-3</v>
      </c>
      <c r="AC169" s="83">
        <v>9.7186884466950903E-3</v>
      </c>
      <c r="AD169" s="81">
        <v>7.7340569877883306E-2</v>
      </c>
      <c r="AE169" s="83">
        <v>9.7186884466950903E-3</v>
      </c>
      <c r="AF169" s="86">
        <v>-1.8995098039215685E-2</v>
      </c>
      <c r="AG169" s="87">
        <v>9.7186884466950903E-3</v>
      </c>
      <c r="AH169" s="86">
        <v>1.3615733736762481E-2</v>
      </c>
      <c r="AI169" s="87">
        <v>9.7186884466950903E-3</v>
      </c>
      <c r="AK169" s="17" t="s">
        <v>106</v>
      </c>
      <c r="AL169" s="17" t="s">
        <v>102</v>
      </c>
      <c r="AM169" s="17" t="s">
        <v>100</v>
      </c>
      <c r="AN169" s="17" t="s">
        <v>103</v>
      </c>
      <c r="AO169" s="17" t="s">
        <v>104</v>
      </c>
    </row>
    <row r="170" spans="1:41" ht="30" x14ac:dyDescent="0.25">
      <c r="A170" s="9">
        <v>41820</v>
      </c>
      <c r="B170" s="10">
        <v>284.2</v>
      </c>
      <c r="C170">
        <f t="shared" si="31"/>
        <v>-6.374567616537645E-2</v>
      </c>
      <c r="D170" s="10">
        <v>1011.61</v>
      </c>
      <c r="E170">
        <f t="shared" si="26"/>
        <v>2.7881361959823953E-2</v>
      </c>
      <c r="F170" s="10">
        <v>384.90000000000003</v>
      </c>
      <c r="G170">
        <f t="shared" si="27"/>
        <v>-3.0478589420654827E-2</v>
      </c>
      <c r="H170" s="10">
        <v>1564</v>
      </c>
      <c r="I170">
        <f t="shared" si="28"/>
        <v>-2.3110555902560899E-2</v>
      </c>
      <c r="J170" s="10">
        <v>2651</v>
      </c>
      <c r="K170">
        <f t="shared" si="29"/>
        <v>-1.082089552238806E-2</v>
      </c>
      <c r="M170" s="63">
        <v>3555.59</v>
      </c>
      <c r="N170" s="64"/>
      <c r="P170" s="68" t="s">
        <v>90</v>
      </c>
      <c r="Q170" s="69" t="s">
        <v>92</v>
      </c>
      <c r="R170" s="69" t="s">
        <v>91</v>
      </c>
      <c r="S170" s="69" t="s">
        <v>93</v>
      </c>
      <c r="T170" s="70" t="s">
        <v>94</v>
      </c>
      <c r="V170" s="10">
        <v>3600.19</v>
      </c>
      <c r="W170" s="10">
        <v>0.47500000000000003</v>
      </c>
      <c r="Z170" s="81">
        <v>-6.374567616537645E-2</v>
      </c>
      <c r="AA170" s="83">
        <v>-1.4998590975127336E-2</v>
      </c>
      <c r="AB170" s="81">
        <v>2.7881361959823953E-2</v>
      </c>
      <c r="AC170" s="83">
        <v>-1.4998590975127336E-2</v>
      </c>
      <c r="AD170" s="81">
        <v>-3.0478589420654827E-2</v>
      </c>
      <c r="AE170" s="83">
        <v>-1.4998590975127336E-2</v>
      </c>
      <c r="AF170" s="86">
        <v>-2.3110555902560899E-2</v>
      </c>
      <c r="AG170" s="87">
        <v>-1.4998590975127336E-2</v>
      </c>
      <c r="AH170" s="86">
        <v>-1.082089552238806E-2</v>
      </c>
      <c r="AI170" s="87">
        <v>-1.4998590975127336E-2</v>
      </c>
      <c r="AK170">
        <f>AVERAGE(C168:C203)</f>
        <v>-9.2722166737315113E-3</v>
      </c>
      <c r="AL170">
        <f>AVERAGE(E168:E203)</f>
        <v>-4.87373948108848E-3</v>
      </c>
      <c r="AM170">
        <f>AVERAGE(G168:G203)</f>
        <v>-3.1714746390169111E-3</v>
      </c>
      <c r="AN170">
        <f>AVERAGE(I168:I203)</f>
        <v>2.4200681833333316E-3</v>
      </c>
      <c r="AO170">
        <f xml:space="preserve"> AVERAGE(K168:K203)</f>
        <v>1.3556313883261669E-2</v>
      </c>
    </row>
    <row r="171" spans="1:41" x14ac:dyDescent="0.25">
      <c r="A171" s="9">
        <v>41851</v>
      </c>
      <c r="B171" s="10">
        <v>258</v>
      </c>
      <c r="C171">
        <f t="shared" si="31"/>
        <v>-9.2188599577762098E-2</v>
      </c>
      <c r="D171" s="10">
        <v>984.17000000000007</v>
      </c>
      <c r="E171">
        <f t="shared" si="26"/>
        <v>-2.7125077846205495E-2</v>
      </c>
      <c r="F171" s="10">
        <v>388.5</v>
      </c>
      <c r="G171">
        <f t="shared" si="27"/>
        <v>9.3530787217458184E-3</v>
      </c>
      <c r="H171" s="10">
        <v>1436.5</v>
      </c>
      <c r="I171">
        <f t="shared" si="28"/>
        <v>-8.1521739130434784E-2</v>
      </c>
      <c r="J171" s="10">
        <v>2570</v>
      </c>
      <c r="K171">
        <f t="shared" si="29"/>
        <v>-3.0554507732930971E-2</v>
      </c>
      <c r="M171" s="65">
        <v>3619.83</v>
      </c>
      <c r="N171" s="65">
        <f>(M171-M170)/M170</f>
        <v>1.8067324972789265E-2</v>
      </c>
      <c r="P171" s="71">
        <f>COVAR(C168:C203,N171:N206)</f>
        <v>5.0812256829870883E-4</v>
      </c>
      <c r="Q171" s="31">
        <f xml:space="preserve"> COVAR(E168:E203, N171:N206)</f>
        <v>9.457190051035102E-4</v>
      </c>
      <c r="R171" s="31">
        <f>COVAR(G168:G203, N171:N206)</f>
        <v>6.0130804078032676E-4</v>
      </c>
      <c r="S171" s="31">
        <f>COVAR(I168:I203, N171:N206)</f>
        <v>8.7096425636050683E-4</v>
      </c>
      <c r="T171" s="72">
        <f>COVAR(K168:K203, N171:N206)</f>
        <v>7.9328097282148693E-4</v>
      </c>
      <c r="V171" s="10">
        <v>3585.62</v>
      </c>
      <c r="W171" s="10">
        <v>0.46500000000000002</v>
      </c>
      <c r="Z171" s="81">
        <v>-9.2188599577762098E-2</v>
      </c>
      <c r="AA171" s="83">
        <v>-4.0470086301001235E-3</v>
      </c>
      <c r="AB171" s="81">
        <v>-2.7125077846205495E-2</v>
      </c>
      <c r="AC171" s="83">
        <v>-4.0470086301001235E-3</v>
      </c>
      <c r="AD171" s="81">
        <v>9.3530787217458184E-3</v>
      </c>
      <c r="AE171" s="83">
        <v>-4.0470086301001235E-3</v>
      </c>
      <c r="AF171" s="86">
        <v>-8.1521739130434784E-2</v>
      </c>
      <c r="AG171" s="87">
        <v>-4.0470086301001235E-3</v>
      </c>
      <c r="AH171" s="86">
        <v>-3.0554507732930971E-2</v>
      </c>
      <c r="AI171" s="87">
        <v>-4.0470086301001235E-3</v>
      </c>
    </row>
    <row r="172" spans="1:41" x14ac:dyDescent="0.25">
      <c r="A172" s="9">
        <v>41880</v>
      </c>
      <c r="B172" s="10">
        <v>229.95000000000002</v>
      </c>
      <c r="C172">
        <f t="shared" si="31"/>
        <v>-0.10872093023255808</v>
      </c>
      <c r="D172" s="10">
        <v>966.19</v>
      </c>
      <c r="E172">
        <f t="shared" si="26"/>
        <v>-1.826920145909753E-2</v>
      </c>
      <c r="F172" s="10">
        <v>387</v>
      </c>
      <c r="G172">
        <f t="shared" si="27"/>
        <v>-3.8610038610038611E-3</v>
      </c>
      <c r="H172" s="10">
        <v>1474.5</v>
      </c>
      <c r="I172">
        <f t="shared" si="28"/>
        <v>2.6453184824225547E-2</v>
      </c>
      <c r="J172" s="10">
        <v>2659</v>
      </c>
      <c r="K172">
        <f t="shared" si="29"/>
        <v>3.4630350194552531E-2</v>
      </c>
      <c r="M172" s="65">
        <v>3655.01</v>
      </c>
      <c r="N172" s="66">
        <f>(M172-M171)/M171</f>
        <v>9.7186884466950903E-3</v>
      </c>
      <c r="P172" s="71"/>
      <c r="Q172" s="31"/>
      <c r="R172" s="31"/>
      <c r="S172" s="31"/>
      <c r="T172" s="72"/>
      <c r="V172" s="10">
        <v>3639.54</v>
      </c>
      <c r="W172" s="10">
        <v>0.46500000000000002</v>
      </c>
      <c r="Z172" s="81">
        <v>-0.10872093023255808</v>
      </c>
      <c r="AA172" s="83">
        <v>1.503784561665767E-2</v>
      </c>
      <c r="AB172" s="81">
        <v>-1.826920145909753E-2</v>
      </c>
      <c r="AC172" s="83">
        <v>1.503784561665767E-2</v>
      </c>
      <c r="AD172" s="81">
        <v>-3.8610038610038611E-3</v>
      </c>
      <c r="AE172" s="83">
        <v>1.503784561665767E-2</v>
      </c>
      <c r="AF172" s="86">
        <v>2.6453184824225547E-2</v>
      </c>
      <c r="AG172" s="87">
        <v>1.503784561665767E-2</v>
      </c>
      <c r="AH172" s="86">
        <v>3.4630350194552531E-2</v>
      </c>
      <c r="AI172" s="87">
        <v>1.503784561665767E-2</v>
      </c>
    </row>
    <row r="173" spans="1:41" x14ac:dyDescent="0.25">
      <c r="A173" s="9">
        <v>41912</v>
      </c>
      <c r="B173" s="10">
        <v>186.20000000000002</v>
      </c>
      <c r="C173">
        <f t="shared" si="31"/>
        <v>-0.19025875190258751</v>
      </c>
      <c r="D173" s="10">
        <v>912.72</v>
      </c>
      <c r="E173">
        <f t="shared" si="26"/>
        <v>-5.5341081981804846E-2</v>
      </c>
      <c r="F173" s="10">
        <v>379.6</v>
      </c>
      <c r="G173">
        <f t="shared" si="27"/>
        <v>-1.9121447028423715E-2</v>
      </c>
      <c r="H173" s="10">
        <v>1413</v>
      </c>
      <c r="I173">
        <f t="shared" si="28"/>
        <v>-4.170905391658189E-2</v>
      </c>
      <c r="J173" s="10">
        <v>2585</v>
      </c>
      <c r="K173">
        <f t="shared" si="29"/>
        <v>-2.7830011282437006E-2</v>
      </c>
      <c r="M173" s="65">
        <v>3600.19</v>
      </c>
      <c r="N173" s="66">
        <f t="shared" ref="N173:N206" si="32">(M173-M172)/M172</f>
        <v>-1.4998590975127336E-2</v>
      </c>
      <c r="P173" s="71"/>
      <c r="Q173" s="31"/>
      <c r="R173" s="78" t="s">
        <v>97</v>
      </c>
      <c r="S173" s="31"/>
      <c r="T173" s="72"/>
      <c r="V173" s="10">
        <v>3533.9300000000003</v>
      </c>
      <c r="W173" s="10">
        <v>0.46500000000000002</v>
      </c>
      <c r="Z173" s="81">
        <v>-0.19025875190258751</v>
      </c>
      <c r="AA173" s="83">
        <v>-2.9017403298218915E-2</v>
      </c>
      <c r="AB173" s="81">
        <v>-5.5341081981804846E-2</v>
      </c>
      <c r="AC173" s="83">
        <v>-2.9017403298218915E-2</v>
      </c>
      <c r="AD173" s="81">
        <v>-1.9121447028423715E-2</v>
      </c>
      <c r="AE173" s="83">
        <v>-2.9017403298218915E-2</v>
      </c>
      <c r="AF173" s="86">
        <v>-4.170905391658189E-2</v>
      </c>
      <c r="AG173" s="87">
        <v>-2.9017403298218915E-2</v>
      </c>
      <c r="AH173" s="86">
        <v>-2.7830011282437006E-2</v>
      </c>
      <c r="AI173" s="87">
        <v>-2.9017403298218915E-2</v>
      </c>
    </row>
    <row r="174" spans="1:41" x14ac:dyDescent="0.25">
      <c r="A174" s="9">
        <v>41943</v>
      </c>
      <c r="B174" s="10">
        <v>173.6</v>
      </c>
      <c r="C174">
        <f t="shared" si="31"/>
        <v>-6.7669172932330948E-2</v>
      </c>
      <c r="D174" s="10">
        <v>806.81000000000006</v>
      </c>
      <c r="E174">
        <f t="shared" si="26"/>
        <v>-0.11603777719344373</v>
      </c>
      <c r="F174" s="10">
        <v>367.5</v>
      </c>
      <c r="G174">
        <f t="shared" si="27"/>
        <v>-3.187565858798741E-2</v>
      </c>
      <c r="H174" s="10">
        <v>1417.5</v>
      </c>
      <c r="I174">
        <f t="shared" si="28"/>
        <v>3.1847133757961785E-3</v>
      </c>
      <c r="J174" s="10">
        <v>2514</v>
      </c>
      <c r="K174">
        <f t="shared" si="29"/>
        <v>-2.746615087040619E-2</v>
      </c>
      <c r="M174" s="65">
        <v>3585.62</v>
      </c>
      <c r="N174" s="66">
        <f t="shared" si="32"/>
        <v>-4.0470086301001235E-3</v>
      </c>
      <c r="P174" s="71"/>
      <c r="Q174" s="31"/>
      <c r="R174" s="40">
        <f>VARP(N171:N206)</f>
        <v>6.4886209612390565E-4</v>
      </c>
      <c r="S174" s="31"/>
      <c r="T174" s="72"/>
      <c r="V174" s="10">
        <v>3503.46</v>
      </c>
      <c r="W174" s="10">
        <v>0.46500000000000002</v>
      </c>
      <c r="Z174" s="81">
        <v>-6.7669172932330948E-2</v>
      </c>
      <c r="AA174" s="83">
        <v>-8.6221289046473047E-3</v>
      </c>
      <c r="AB174" s="81">
        <v>-0.11603777719344373</v>
      </c>
      <c r="AC174" s="83">
        <v>-8.6221289046473047E-3</v>
      </c>
      <c r="AD174" s="81">
        <v>-3.187565858798741E-2</v>
      </c>
      <c r="AE174" s="83">
        <v>-8.6221289046473047E-3</v>
      </c>
      <c r="AF174" s="86">
        <v>3.1847133757961785E-3</v>
      </c>
      <c r="AG174" s="87">
        <v>-8.6221289046473047E-3</v>
      </c>
      <c r="AH174" s="86">
        <v>-2.746615087040619E-2</v>
      </c>
      <c r="AI174" s="87">
        <v>-8.6221289046473047E-3</v>
      </c>
    </row>
    <row r="175" spans="1:41" x14ac:dyDescent="0.25">
      <c r="A175" s="9">
        <v>41971</v>
      </c>
      <c r="B175" s="10">
        <v>186.45000000000002</v>
      </c>
      <c r="C175">
        <f t="shared" si="31"/>
        <v>7.4020737327189071E-2</v>
      </c>
      <c r="D175" s="10">
        <v>806.34</v>
      </c>
      <c r="E175">
        <f t="shared" si="26"/>
        <v>-5.8254111872687155E-4</v>
      </c>
      <c r="F175" s="10">
        <v>410.2</v>
      </c>
      <c r="G175">
        <f t="shared" si="27"/>
        <v>0.11619047619047616</v>
      </c>
      <c r="H175" s="10">
        <v>1485</v>
      </c>
      <c r="I175">
        <f t="shared" si="28"/>
        <v>4.7619047619047616E-2</v>
      </c>
      <c r="J175" s="10">
        <v>2706</v>
      </c>
      <c r="K175">
        <f t="shared" si="29"/>
        <v>7.6372315035799526E-2</v>
      </c>
      <c r="M175" s="65">
        <v>3639.54</v>
      </c>
      <c r="N175" s="66">
        <f t="shared" si="32"/>
        <v>1.503784561665767E-2</v>
      </c>
      <c r="P175" s="71"/>
      <c r="Q175" s="31"/>
      <c r="R175" s="31"/>
      <c r="S175" s="31"/>
      <c r="T175" s="72"/>
      <c r="V175" s="10">
        <v>3593.32</v>
      </c>
      <c r="W175" s="10">
        <v>0.46500000000000002</v>
      </c>
      <c r="Z175" s="81">
        <v>7.4020737327189071E-2</v>
      </c>
      <c r="AA175" s="83">
        <v>2.5648929914998352E-2</v>
      </c>
      <c r="AB175" s="81">
        <v>-5.8254111872687155E-4</v>
      </c>
      <c r="AC175" s="83">
        <v>2.5648929914998352E-2</v>
      </c>
      <c r="AD175" s="81">
        <v>0.11619047619047616</v>
      </c>
      <c r="AE175" s="83">
        <v>2.5648929914998352E-2</v>
      </c>
      <c r="AF175" s="86">
        <v>4.7619047619047616E-2</v>
      </c>
      <c r="AG175" s="87">
        <v>2.5648929914998352E-2</v>
      </c>
      <c r="AH175" s="86">
        <v>7.6372315035799526E-2</v>
      </c>
      <c r="AI175" s="87">
        <v>2.5648929914998352E-2</v>
      </c>
    </row>
    <row r="176" spans="1:41" x14ac:dyDescent="0.25">
      <c r="A176" s="9">
        <v>42004</v>
      </c>
      <c r="B176" s="10">
        <v>189</v>
      </c>
      <c r="C176">
        <f t="shared" si="31"/>
        <v>1.3676588897827743E-2</v>
      </c>
      <c r="D176" s="10">
        <v>832.66</v>
      </c>
      <c r="E176">
        <f t="shared" si="26"/>
        <v>3.2641317558349994E-2</v>
      </c>
      <c r="F176" s="10">
        <v>401.5</v>
      </c>
      <c r="G176">
        <f t="shared" si="27"/>
        <v>-2.1209166260360773E-2</v>
      </c>
      <c r="H176" s="10">
        <v>1376</v>
      </c>
      <c r="I176">
        <f t="shared" si="28"/>
        <v>-7.3400673400673397E-2</v>
      </c>
      <c r="J176" s="10">
        <v>2628</v>
      </c>
      <c r="K176">
        <f t="shared" si="29"/>
        <v>-2.8824833702882482E-2</v>
      </c>
      <c r="M176" s="65">
        <v>3533.9300000000003</v>
      </c>
      <c r="N176" s="66">
        <f t="shared" si="32"/>
        <v>-2.9017403298218915E-2</v>
      </c>
      <c r="P176" s="181" t="s">
        <v>96</v>
      </c>
      <c r="Q176" s="182"/>
      <c r="R176" s="182"/>
      <c r="S176" s="182"/>
      <c r="T176" s="183"/>
      <c r="V176" s="10">
        <v>3532.7400000000002</v>
      </c>
      <c r="W176" s="10">
        <v>0.46500000000000002</v>
      </c>
      <c r="Z176" s="81">
        <v>1.3676588897827743E-2</v>
      </c>
      <c r="AA176" s="83">
        <v>-1.6859060701523917E-2</v>
      </c>
      <c r="AB176" s="81">
        <v>3.2641317558349994E-2</v>
      </c>
      <c r="AC176" s="83">
        <v>-1.6859060701523917E-2</v>
      </c>
      <c r="AD176" s="81">
        <v>-2.1209166260360773E-2</v>
      </c>
      <c r="AE176" s="83">
        <v>-1.6859060701523917E-2</v>
      </c>
      <c r="AF176" s="86">
        <v>-7.3400673400673397E-2</v>
      </c>
      <c r="AG176" s="87">
        <v>-1.6859060701523917E-2</v>
      </c>
      <c r="AH176" s="86">
        <v>-2.8824833702882482E-2</v>
      </c>
      <c r="AI176" s="87">
        <v>-1.6859060701523917E-2</v>
      </c>
    </row>
    <row r="177" spans="1:35" x14ac:dyDescent="0.25">
      <c r="A177" s="9">
        <v>42034</v>
      </c>
      <c r="B177" s="10">
        <v>224.75</v>
      </c>
      <c r="C177">
        <f t="shared" si="31"/>
        <v>0.18915343915343916</v>
      </c>
      <c r="D177" s="10">
        <v>853.23</v>
      </c>
      <c r="E177">
        <f t="shared" si="26"/>
        <v>2.4703960800326726E-2</v>
      </c>
      <c r="F177" s="10">
        <v>417.90000000000003</v>
      </c>
      <c r="G177">
        <f t="shared" si="27"/>
        <v>4.0846824408468332E-2</v>
      </c>
      <c r="H177" s="10">
        <v>1467</v>
      </c>
      <c r="I177">
        <f t="shared" si="28"/>
        <v>6.6133720930232565E-2</v>
      </c>
      <c r="J177" s="10">
        <v>2930</v>
      </c>
      <c r="K177">
        <f t="shared" si="29"/>
        <v>0.11491628614916286</v>
      </c>
      <c r="M177" s="65">
        <v>3503.46</v>
      </c>
      <c r="N177" s="66">
        <f t="shared" si="32"/>
        <v>-8.6221289046473047E-3</v>
      </c>
      <c r="P177" s="73" t="s">
        <v>39</v>
      </c>
      <c r="Q177" s="67" t="s">
        <v>60</v>
      </c>
      <c r="R177" s="67" t="s">
        <v>95</v>
      </c>
      <c r="S177" s="67" t="s">
        <v>43</v>
      </c>
      <c r="T177" s="74" t="s">
        <v>47</v>
      </c>
      <c r="V177" s="10">
        <v>3621.81</v>
      </c>
      <c r="W177" s="10">
        <v>0.47500000000000003</v>
      </c>
      <c r="Z177" s="81">
        <v>0.18915343915343916</v>
      </c>
      <c r="AA177" s="83">
        <v>2.5212724400889876E-2</v>
      </c>
      <c r="AB177" s="81">
        <v>2.4703960800326726E-2</v>
      </c>
      <c r="AC177" s="83">
        <v>2.5212724400889876E-2</v>
      </c>
      <c r="AD177" s="81">
        <v>4.0846824408468332E-2</v>
      </c>
      <c r="AE177" s="83">
        <v>2.5212724400889876E-2</v>
      </c>
      <c r="AF177" s="86">
        <v>6.6133720930232565E-2</v>
      </c>
      <c r="AG177" s="87">
        <v>2.5212724400889876E-2</v>
      </c>
      <c r="AH177" s="86">
        <v>0.11491628614916286</v>
      </c>
      <c r="AI177" s="87">
        <v>2.5212724400889876E-2</v>
      </c>
    </row>
    <row r="178" spans="1:35" ht="15.75" thickBot="1" x14ac:dyDescent="0.3">
      <c r="A178" s="9">
        <v>42062</v>
      </c>
      <c r="B178" s="10">
        <v>245.4</v>
      </c>
      <c r="C178">
        <f t="shared" si="31"/>
        <v>9.1879866518353753E-2</v>
      </c>
      <c r="D178" s="10">
        <v>908.26</v>
      </c>
      <c r="E178">
        <f t="shared" si="26"/>
        <v>6.4496091323558685E-2</v>
      </c>
      <c r="F178" s="10">
        <v>455.7</v>
      </c>
      <c r="G178">
        <f t="shared" si="27"/>
        <v>9.0452261306532541E-2</v>
      </c>
      <c r="H178" s="10">
        <v>1541.5</v>
      </c>
      <c r="I178">
        <f t="shared" si="28"/>
        <v>5.0783912747102929E-2</v>
      </c>
      <c r="J178" s="10">
        <v>2866</v>
      </c>
      <c r="K178">
        <f t="shared" si="29"/>
        <v>-2.1843003412969283E-2</v>
      </c>
      <c r="M178" s="65">
        <v>3593.32</v>
      </c>
      <c r="N178" s="66">
        <f t="shared" si="32"/>
        <v>2.5648929914998352E-2</v>
      </c>
      <c r="P178" s="75">
        <f>P171/R174</f>
        <v>0.78309793611627232</v>
      </c>
      <c r="Q178" s="76">
        <f>Q171/R174</f>
        <v>1.4575038529033097</v>
      </c>
      <c r="R178" s="76">
        <f>R171/R174</f>
        <v>0.92671161464407981</v>
      </c>
      <c r="S178" s="76">
        <f>S171/R174</f>
        <v>1.3422948598220921</v>
      </c>
      <c r="T178" s="77">
        <f>T171/R174</f>
        <v>1.2225725274450356</v>
      </c>
      <c r="V178" s="10">
        <v>3744.26</v>
      </c>
      <c r="W178" s="10">
        <v>0.47500000000000003</v>
      </c>
      <c r="Z178" s="81">
        <v>9.1879866518353753E-2</v>
      </c>
      <c r="AA178" s="83">
        <v>3.3809062319668973E-2</v>
      </c>
      <c r="AB178" s="81">
        <v>6.4496091323558685E-2</v>
      </c>
      <c r="AC178" s="83">
        <v>3.3809062319668973E-2</v>
      </c>
      <c r="AD178" s="81">
        <v>9.0452261306532541E-2</v>
      </c>
      <c r="AE178" s="83">
        <v>3.3809062319668973E-2</v>
      </c>
      <c r="AF178" s="86">
        <v>5.0783912747102929E-2</v>
      </c>
      <c r="AG178" s="87">
        <v>3.3809062319668973E-2</v>
      </c>
      <c r="AH178" s="86">
        <v>-2.1843003412969283E-2</v>
      </c>
      <c r="AI178" s="87">
        <v>3.3809062319668973E-2</v>
      </c>
    </row>
    <row r="179" spans="1:35" x14ac:dyDescent="0.25">
      <c r="A179" s="9">
        <v>42094</v>
      </c>
      <c r="B179" s="10">
        <v>241.85</v>
      </c>
      <c r="C179">
        <f t="shared" si="31"/>
        <v>-1.44661776691117E-2</v>
      </c>
      <c r="D179" s="10">
        <v>912.09</v>
      </c>
      <c r="E179">
        <f t="shared" si="26"/>
        <v>4.2168542047431807E-3</v>
      </c>
      <c r="F179" s="10">
        <v>438</v>
      </c>
      <c r="G179">
        <f t="shared" si="27"/>
        <v>-3.8841342988808404E-2</v>
      </c>
      <c r="H179" s="10">
        <v>1546</v>
      </c>
      <c r="I179">
        <f t="shared" si="28"/>
        <v>2.9192345118391177E-3</v>
      </c>
      <c r="J179" s="10">
        <v>2815</v>
      </c>
      <c r="K179">
        <f t="shared" si="29"/>
        <v>-1.7794836008374039E-2</v>
      </c>
      <c r="M179" s="65">
        <v>3532.7400000000002</v>
      </c>
      <c r="N179" s="66">
        <f t="shared" si="32"/>
        <v>-1.6859060701523917E-2</v>
      </c>
      <c r="V179" s="10">
        <v>3663.58</v>
      </c>
      <c r="W179" s="10">
        <v>0.47500000000000003</v>
      </c>
      <c r="Z179" s="81">
        <v>-1.44661776691117E-2</v>
      </c>
      <c r="AA179" s="83">
        <v>-2.1547648934636027E-2</v>
      </c>
      <c r="AB179" s="81">
        <v>4.2168542047431807E-3</v>
      </c>
      <c r="AC179" s="83">
        <v>-2.1547648934636027E-2</v>
      </c>
      <c r="AD179" s="81">
        <v>-3.8841342988808404E-2</v>
      </c>
      <c r="AE179" s="83">
        <v>-2.1547648934636027E-2</v>
      </c>
      <c r="AF179" s="86">
        <v>2.9192345118391177E-3</v>
      </c>
      <c r="AG179" s="87">
        <v>-2.1547648934636027E-2</v>
      </c>
      <c r="AH179" s="86">
        <v>-1.7794836008374039E-2</v>
      </c>
      <c r="AI179" s="87">
        <v>-2.1547648934636027E-2</v>
      </c>
    </row>
    <row r="180" spans="1:35" ht="15.75" thickBot="1" x14ac:dyDescent="0.3">
      <c r="A180" s="9">
        <v>42124</v>
      </c>
      <c r="B180" s="10">
        <v>221</v>
      </c>
      <c r="C180">
        <f t="shared" si="31"/>
        <v>-8.6210461029563756E-2</v>
      </c>
      <c r="D180" s="10">
        <v>1014.75</v>
      </c>
      <c r="E180">
        <f t="shared" si="26"/>
        <v>0.11255468210373973</v>
      </c>
      <c r="F180" s="10">
        <v>455.75</v>
      </c>
      <c r="G180">
        <f t="shared" si="27"/>
        <v>4.0525114155251139E-2</v>
      </c>
      <c r="H180" s="10">
        <v>1514.5</v>
      </c>
      <c r="I180">
        <f t="shared" si="28"/>
        <v>-2.0375161707632601E-2</v>
      </c>
      <c r="J180" s="10">
        <v>2866</v>
      </c>
      <c r="K180">
        <f t="shared" si="29"/>
        <v>1.8117229129662522E-2</v>
      </c>
      <c r="M180" s="65">
        <v>3621.81</v>
      </c>
      <c r="N180" s="66">
        <f t="shared" si="32"/>
        <v>2.5212724400889876E-2</v>
      </c>
      <c r="V180" s="10">
        <v>3760.06</v>
      </c>
      <c r="W180" s="10">
        <v>0.47500000000000003</v>
      </c>
      <c r="Z180" s="81">
        <v>-8.6210461029563756E-2</v>
      </c>
      <c r="AA180" s="83">
        <v>2.6334896467389825E-2</v>
      </c>
      <c r="AB180" s="81">
        <v>0.11255468210373973</v>
      </c>
      <c r="AC180" s="83">
        <v>2.6334896467389825E-2</v>
      </c>
      <c r="AD180" s="81">
        <v>4.0525114155251139E-2</v>
      </c>
      <c r="AE180" s="83">
        <v>2.6334896467389825E-2</v>
      </c>
      <c r="AF180" s="86">
        <v>-2.0375161707632601E-2</v>
      </c>
      <c r="AG180" s="87">
        <v>2.6334896467389825E-2</v>
      </c>
      <c r="AH180" s="86">
        <v>1.8117229129662522E-2</v>
      </c>
      <c r="AI180" s="87">
        <v>2.6334896467389825E-2</v>
      </c>
    </row>
    <row r="181" spans="1:35" x14ac:dyDescent="0.25">
      <c r="A181" s="9">
        <v>42153</v>
      </c>
      <c r="B181" s="10">
        <v>212.6</v>
      </c>
      <c r="C181">
        <f t="shared" si="31"/>
        <v>-3.8009049773755681E-2</v>
      </c>
      <c r="D181" s="10">
        <v>968.19</v>
      </c>
      <c r="E181">
        <f t="shared" si="26"/>
        <v>-4.5883222468588267E-2</v>
      </c>
      <c r="F181" s="10">
        <v>446.7</v>
      </c>
      <c r="G181">
        <f t="shared" si="27"/>
        <v>-1.9857377948436668E-2</v>
      </c>
      <c r="H181" s="10">
        <v>1453.5</v>
      </c>
      <c r="I181">
        <f t="shared" si="28"/>
        <v>-4.027731924727633E-2</v>
      </c>
      <c r="J181" s="10">
        <v>2887</v>
      </c>
      <c r="K181">
        <f t="shared" si="29"/>
        <v>7.32728541521284E-3</v>
      </c>
      <c r="M181" s="65">
        <v>3744.26</v>
      </c>
      <c r="N181" s="66">
        <f t="shared" si="32"/>
        <v>3.3809062319668973E-2</v>
      </c>
      <c r="P181" s="165" t="s">
        <v>152</v>
      </c>
      <c r="Q181" s="166"/>
      <c r="R181" s="166"/>
      <c r="S181" s="166"/>
      <c r="T181" s="167"/>
      <c r="V181" s="10">
        <v>3797.12</v>
      </c>
      <c r="W181" s="10">
        <v>0.47500000000000003</v>
      </c>
      <c r="Z181" s="81">
        <v>-3.8009049773755681E-2</v>
      </c>
      <c r="AA181" s="83">
        <v>9.8562256985260735E-3</v>
      </c>
      <c r="AB181" s="81">
        <v>-4.5883222468588267E-2</v>
      </c>
      <c r="AC181" s="83">
        <v>9.8562256985260735E-3</v>
      </c>
      <c r="AD181" s="81">
        <v>-1.9857377948436668E-2</v>
      </c>
      <c r="AE181" s="83">
        <v>9.8562256985260735E-3</v>
      </c>
      <c r="AF181" s="86">
        <v>-4.027731924727633E-2</v>
      </c>
      <c r="AG181" s="87">
        <v>9.8562256985260735E-3</v>
      </c>
      <c r="AH181" s="86">
        <v>7.32728541521284E-3</v>
      </c>
      <c r="AI181" s="87">
        <v>9.8562256985260735E-3</v>
      </c>
    </row>
    <row r="182" spans="1:35" x14ac:dyDescent="0.25">
      <c r="A182" s="9">
        <v>42185</v>
      </c>
      <c r="B182" s="10">
        <v>212.55</v>
      </c>
      <c r="C182">
        <f t="shared" si="31"/>
        <v>-2.3518344308552658E-4</v>
      </c>
      <c r="D182" s="10">
        <v>844.01</v>
      </c>
      <c r="E182">
        <f t="shared" si="26"/>
        <v>-0.12825994897695706</v>
      </c>
      <c r="F182" s="10">
        <v>450.2</v>
      </c>
      <c r="G182">
        <f t="shared" si="27"/>
        <v>7.8352361764047456E-3</v>
      </c>
      <c r="H182" s="10">
        <v>1322.5</v>
      </c>
      <c r="I182">
        <f t="shared" si="28"/>
        <v>-9.0127278981768144E-2</v>
      </c>
      <c r="J182" s="10">
        <v>2730</v>
      </c>
      <c r="K182">
        <f t="shared" si="29"/>
        <v>-5.4381711118808448E-2</v>
      </c>
      <c r="M182" s="65">
        <v>3663.58</v>
      </c>
      <c r="N182" s="66">
        <f t="shared" si="32"/>
        <v>-2.1547648934636027E-2</v>
      </c>
      <c r="P182" s="106" t="s">
        <v>38</v>
      </c>
      <c r="Q182" s="78" t="s">
        <v>60</v>
      </c>
      <c r="R182" s="78" t="s">
        <v>71</v>
      </c>
      <c r="S182" s="78" t="s">
        <v>43</v>
      </c>
      <c r="T182" s="107" t="s">
        <v>47</v>
      </c>
      <c r="V182" s="10">
        <v>3570.58</v>
      </c>
      <c r="W182" s="10">
        <v>0.505</v>
      </c>
      <c r="Z182" s="81">
        <v>-2.3518344308552658E-4</v>
      </c>
      <c r="AA182" s="83">
        <v>-5.9661006236305401E-2</v>
      </c>
      <c r="AB182" s="81">
        <v>-0.12825994897695706</v>
      </c>
      <c r="AC182" s="83">
        <v>-5.9661006236305401E-2</v>
      </c>
      <c r="AD182" s="81">
        <v>7.8352361764047456E-3</v>
      </c>
      <c r="AE182" s="83">
        <v>-5.9661006236305401E-2</v>
      </c>
      <c r="AF182" s="86">
        <v>-9.0127278981768144E-2</v>
      </c>
      <c r="AG182" s="87">
        <v>-5.9661006236305401E-2</v>
      </c>
      <c r="AH182" s="86">
        <v>-5.4381711118808448E-2</v>
      </c>
      <c r="AI182" s="87">
        <v>-5.9661006236305401E-2</v>
      </c>
    </row>
    <row r="183" spans="1:35" ht="15.75" thickBot="1" x14ac:dyDescent="0.3">
      <c r="A183" s="9">
        <v>42216</v>
      </c>
      <c r="B183" s="10">
        <v>215.70000000000002</v>
      </c>
      <c r="C183">
        <f t="shared" si="31"/>
        <v>1.4820042342978148E-2</v>
      </c>
      <c r="D183" s="10">
        <v>770.28</v>
      </c>
      <c r="E183">
        <f t="shared" si="26"/>
        <v>-8.735678487221718E-2</v>
      </c>
      <c r="F183" s="10">
        <v>464.45</v>
      </c>
      <c r="G183">
        <f t="shared" si="27"/>
        <v>3.1652598844957795E-2</v>
      </c>
      <c r="H183" s="10">
        <v>1396</v>
      </c>
      <c r="I183">
        <f t="shared" si="28"/>
        <v>5.5576559546313797E-2</v>
      </c>
      <c r="J183" s="10">
        <v>2907</v>
      </c>
      <c r="K183">
        <f t="shared" si="29"/>
        <v>6.4835164835164841E-2</v>
      </c>
      <c r="M183" s="65">
        <v>3760.06</v>
      </c>
      <c r="N183" s="66">
        <f t="shared" si="32"/>
        <v>2.6334896467389825E-2</v>
      </c>
      <c r="P183" s="75">
        <f>VARP(C168:C203)</f>
        <v>7.1407379902979776E-3</v>
      </c>
      <c r="Q183" s="76">
        <f>VARP(E168:E203)</f>
        <v>6.3186930849007776E-3</v>
      </c>
      <c r="R183" s="76">
        <f>VARP(G168:G203)</f>
        <v>3.3684276205031617E-3</v>
      </c>
      <c r="S183" s="76">
        <f>VARP(I168:I203)</f>
        <v>2.5326269031018538E-3</v>
      </c>
      <c r="T183" s="77">
        <f>VARP(K168:K203)</f>
        <v>3.166494819071667E-3</v>
      </c>
      <c r="V183" s="10">
        <v>3652.79</v>
      </c>
      <c r="W183" s="10">
        <v>0.505</v>
      </c>
      <c r="Z183" s="81">
        <v>1.4820042342978148E-2</v>
      </c>
      <c r="AA183" s="83">
        <v>2.3024270566686655E-2</v>
      </c>
      <c r="AB183" s="81">
        <v>-8.735678487221718E-2</v>
      </c>
      <c r="AC183" s="83">
        <v>2.3024270566686655E-2</v>
      </c>
      <c r="AD183" s="81">
        <v>3.1652598844957795E-2</v>
      </c>
      <c r="AE183" s="83">
        <v>2.3024270566686655E-2</v>
      </c>
      <c r="AF183" s="86">
        <v>5.5576559546313797E-2</v>
      </c>
      <c r="AG183" s="87">
        <v>2.3024270566686655E-2</v>
      </c>
      <c r="AH183" s="86">
        <v>6.4835164835164841E-2</v>
      </c>
      <c r="AI183" s="87">
        <v>2.3024270566686655E-2</v>
      </c>
    </row>
    <row r="184" spans="1:35" x14ac:dyDescent="0.25">
      <c r="A184" s="9">
        <v>42247</v>
      </c>
      <c r="B184" s="10">
        <v>191.35</v>
      </c>
      <c r="C184">
        <f t="shared" si="31"/>
        <v>-0.11288827074640714</v>
      </c>
      <c r="D184" s="10">
        <v>721.29</v>
      </c>
      <c r="E184">
        <f t="shared" si="26"/>
        <v>-6.3600249260009359E-2</v>
      </c>
      <c r="F184" s="10">
        <v>437.35</v>
      </c>
      <c r="G184">
        <f t="shared" si="27"/>
        <v>-5.8348584347077119E-2</v>
      </c>
      <c r="H184" s="10">
        <v>1340.5</v>
      </c>
      <c r="I184">
        <f t="shared" si="28"/>
        <v>-3.9756446991404008E-2</v>
      </c>
      <c r="J184" s="10">
        <v>2623</v>
      </c>
      <c r="K184">
        <f t="shared" si="29"/>
        <v>-9.769521843825249E-2</v>
      </c>
      <c r="M184" s="65">
        <v>3797.12</v>
      </c>
      <c r="N184" s="66">
        <f t="shared" si="32"/>
        <v>9.8562256985260735E-3</v>
      </c>
      <c r="V184" s="10">
        <v>3434.66</v>
      </c>
      <c r="W184" s="10">
        <v>0.505</v>
      </c>
      <c r="Z184" s="81">
        <v>-0.11288827074640714</v>
      </c>
      <c r="AA184" s="83">
        <v>-5.9715997908448094E-2</v>
      </c>
      <c r="AB184" s="81">
        <v>-6.3600249260009359E-2</v>
      </c>
      <c r="AC184" s="83">
        <v>-5.9715997908448094E-2</v>
      </c>
      <c r="AD184" s="81">
        <v>-5.8348584347077119E-2</v>
      </c>
      <c r="AE184" s="83">
        <v>-5.9715997908448094E-2</v>
      </c>
      <c r="AF184" s="86">
        <v>-3.9756446991404008E-2</v>
      </c>
      <c r="AG184" s="87">
        <v>-5.9715997908448094E-2</v>
      </c>
      <c r="AH184" s="86">
        <v>-9.769521843825249E-2</v>
      </c>
      <c r="AI184" s="87">
        <v>-5.9715997908448094E-2</v>
      </c>
    </row>
    <row r="185" spans="1:35" x14ac:dyDescent="0.25">
      <c r="A185" s="9">
        <v>42277</v>
      </c>
      <c r="B185" s="10">
        <v>183.20000000000002</v>
      </c>
      <c r="C185">
        <f t="shared" si="31"/>
        <v>-4.2592108701332516E-2</v>
      </c>
      <c r="D185" s="10">
        <v>656.78</v>
      </c>
      <c r="E185">
        <f t="shared" si="26"/>
        <v>-8.9436980964660531E-2</v>
      </c>
      <c r="F185" s="10">
        <v>419.6</v>
      </c>
      <c r="G185">
        <f t="shared" si="27"/>
        <v>-4.0585343546358753E-2</v>
      </c>
      <c r="H185" s="10">
        <v>1266</v>
      </c>
      <c r="I185">
        <f t="shared" si="28"/>
        <v>-5.5576277508392391E-2</v>
      </c>
      <c r="J185" s="10">
        <v>2686</v>
      </c>
      <c r="K185">
        <f t="shared" si="29"/>
        <v>2.4018299656881435E-2</v>
      </c>
      <c r="M185" s="65">
        <v>3570.58</v>
      </c>
      <c r="N185" s="66">
        <f t="shared" si="32"/>
        <v>-5.9661006236305401E-2</v>
      </c>
      <c r="V185" s="10">
        <v>3335.92</v>
      </c>
      <c r="W185" s="10">
        <v>0.505</v>
      </c>
      <c r="Z185" s="81">
        <v>-4.2592108701332516E-2</v>
      </c>
      <c r="AA185" s="83">
        <v>-2.8748114806123395E-2</v>
      </c>
      <c r="AB185" s="81">
        <v>-8.9436980964660531E-2</v>
      </c>
      <c r="AC185" s="83">
        <v>-2.8748114806123395E-2</v>
      </c>
      <c r="AD185" s="81">
        <v>-4.0585343546358753E-2</v>
      </c>
      <c r="AE185" s="83">
        <v>-2.8748114806123395E-2</v>
      </c>
      <c r="AF185" s="86">
        <v>-5.5576277508392391E-2</v>
      </c>
      <c r="AG185" s="87">
        <v>-2.8748114806123395E-2</v>
      </c>
      <c r="AH185" s="86">
        <v>2.4018299656881435E-2</v>
      </c>
      <c r="AI185" s="87">
        <v>-2.8748114806123395E-2</v>
      </c>
    </row>
    <row r="186" spans="1:35" x14ac:dyDescent="0.25">
      <c r="A186" s="9">
        <v>42307</v>
      </c>
      <c r="B186" s="10">
        <v>183.3</v>
      </c>
      <c r="C186">
        <f t="shared" si="31"/>
        <v>5.4585152838424844E-4</v>
      </c>
      <c r="D186" s="10">
        <v>676.16</v>
      </c>
      <c r="E186">
        <f t="shared" si="26"/>
        <v>2.9507597673497969E-2</v>
      </c>
      <c r="F186" s="10">
        <v>465</v>
      </c>
      <c r="G186">
        <f t="shared" si="27"/>
        <v>0.1081982840800762</v>
      </c>
      <c r="H186" s="10">
        <v>1405</v>
      </c>
      <c r="I186">
        <f t="shared" si="28"/>
        <v>0.10979462875197472</v>
      </c>
      <c r="J186" s="10">
        <v>2893</v>
      </c>
      <c r="K186">
        <f t="shared" si="29"/>
        <v>7.7066269545793001E-2</v>
      </c>
      <c r="M186" s="65">
        <v>3652.79</v>
      </c>
      <c r="N186" s="66">
        <f t="shared" si="32"/>
        <v>2.3024270566686655E-2</v>
      </c>
      <c r="V186" s="10">
        <v>3484.6</v>
      </c>
      <c r="W186" s="10">
        <v>0.505</v>
      </c>
      <c r="Z186" s="81">
        <v>5.4585152838424844E-4</v>
      </c>
      <c r="AA186" s="83">
        <v>4.4569414134631474E-2</v>
      </c>
      <c r="AB186" s="81">
        <v>2.9507597673497969E-2</v>
      </c>
      <c r="AC186" s="83">
        <v>4.4569414134631474E-2</v>
      </c>
      <c r="AD186" s="81">
        <v>0.1081982840800762</v>
      </c>
      <c r="AE186" s="83">
        <v>4.4569414134631474E-2</v>
      </c>
      <c r="AF186" s="86">
        <v>0.10979462875197472</v>
      </c>
      <c r="AG186" s="87">
        <v>4.4569414134631474E-2</v>
      </c>
      <c r="AH186" s="86">
        <v>7.7066269545793001E-2</v>
      </c>
      <c r="AI186" s="87">
        <v>4.4569414134631474E-2</v>
      </c>
    </row>
    <row r="187" spans="1:35" x14ac:dyDescent="0.25">
      <c r="A187" s="9">
        <v>42338</v>
      </c>
      <c r="B187" s="10">
        <v>167.20000000000002</v>
      </c>
      <c r="C187">
        <f t="shared" si="31"/>
        <v>-8.7834151663938861E-2</v>
      </c>
      <c r="D187" s="10">
        <v>596.5</v>
      </c>
      <c r="E187">
        <f t="shared" si="26"/>
        <v>-0.11781235210601038</v>
      </c>
      <c r="F187" s="10">
        <v>496.45</v>
      </c>
      <c r="G187">
        <f t="shared" si="27"/>
        <v>6.7634408602150517E-2</v>
      </c>
      <c r="H187" s="10">
        <v>1355.5</v>
      </c>
      <c r="I187">
        <f t="shared" si="28"/>
        <v>-3.5231316725978651E-2</v>
      </c>
      <c r="J187" s="10">
        <v>2834</v>
      </c>
      <c r="K187">
        <f t="shared" si="29"/>
        <v>-2.0394054614586935E-2</v>
      </c>
      <c r="M187" s="65">
        <v>3434.66</v>
      </c>
      <c r="N187" s="66">
        <f t="shared" si="32"/>
        <v>-5.9715997908448094E-2</v>
      </c>
      <c r="V187" s="10">
        <v>3492.13</v>
      </c>
      <c r="W187" s="10">
        <v>0.505</v>
      </c>
      <c r="Z187" s="81">
        <v>-8.7834151663938861E-2</v>
      </c>
      <c r="AA187" s="83">
        <v>2.1609366928772886E-3</v>
      </c>
      <c r="AB187" s="81">
        <v>-0.11781235210601038</v>
      </c>
      <c r="AC187" s="83">
        <v>2.1609366928772886E-3</v>
      </c>
      <c r="AD187" s="81">
        <v>6.7634408602150517E-2</v>
      </c>
      <c r="AE187" s="83">
        <v>2.1609366928772886E-3</v>
      </c>
      <c r="AF187" s="86">
        <v>-3.5231316725978651E-2</v>
      </c>
      <c r="AG187" s="87">
        <v>2.1609366928772886E-3</v>
      </c>
      <c r="AH187" s="86">
        <v>-2.0394054614586935E-2</v>
      </c>
      <c r="AI187" s="87">
        <v>2.1609366928772886E-3</v>
      </c>
    </row>
    <row r="188" spans="1:35" x14ac:dyDescent="0.25">
      <c r="A188" s="9">
        <v>42369</v>
      </c>
      <c r="B188" s="10">
        <v>149.5</v>
      </c>
      <c r="C188">
        <f t="shared" si="31"/>
        <v>-0.10586124401913885</v>
      </c>
      <c r="D188" s="10">
        <v>565.52</v>
      </c>
      <c r="E188">
        <f t="shared" si="26"/>
        <v>-5.1936295054484521E-2</v>
      </c>
      <c r="F188" s="10">
        <v>471.7</v>
      </c>
      <c r="G188">
        <f t="shared" si="27"/>
        <v>-4.9853963138281804E-2</v>
      </c>
      <c r="H188" s="10">
        <v>1373</v>
      </c>
      <c r="I188">
        <f t="shared" si="28"/>
        <v>1.2910365178900774E-2</v>
      </c>
      <c r="J188" s="10">
        <v>2926.5</v>
      </c>
      <c r="K188">
        <f t="shared" si="29"/>
        <v>3.2639378969654201E-2</v>
      </c>
      <c r="M188" s="65">
        <v>3335.92</v>
      </c>
      <c r="N188" s="66">
        <f t="shared" si="32"/>
        <v>-2.8748114806123395E-2</v>
      </c>
      <c r="V188" s="10">
        <v>3444.26</v>
      </c>
      <c r="W188" s="10">
        <v>0.505</v>
      </c>
      <c r="Z188" s="81">
        <v>-0.10586124401913885</v>
      </c>
      <c r="AA188" s="83">
        <v>-1.3707966198280101E-2</v>
      </c>
      <c r="AB188" s="81">
        <v>-5.1936295054484521E-2</v>
      </c>
      <c r="AC188" s="83">
        <v>-1.3707966198280101E-2</v>
      </c>
      <c r="AD188" s="81">
        <v>-4.9853963138281804E-2</v>
      </c>
      <c r="AE188" s="83">
        <v>-1.3707966198280101E-2</v>
      </c>
      <c r="AF188" s="86">
        <v>1.2910365178900774E-2</v>
      </c>
      <c r="AG188" s="87">
        <v>-1.3707966198280101E-2</v>
      </c>
      <c r="AH188" s="86">
        <v>3.2639378969654201E-2</v>
      </c>
      <c r="AI188" s="87">
        <v>-1.3707966198280101E-2</v>
      </c>
    </row>
    <row r="189" spans="1:35" x14ac:dyDescent="0.25">
      <c r="A189" s="9">
        <v>42398</v>
      </c>
      <c r="B189" s="10">
        <v>173.4</v>
      </c>
      <c r="C189">
        <f t="shared" si="31"/>
        <v>0.15986622073578599</v>
      </c>
      <c r="D189" s="10">
        <v>545.85</v>
      </c>
      <c r="E189">
        <f t="shared" si="26"/>
        <v>-3.4782147404158935E-2</v>
      </c>
      <c r="F189" s="10">
        <v>484.85</v>
      </c>
      <c r="G189">
        <f t="shared" si="27"/>
        <v>2.787788848844612E-2</v>
      </c>
      <c r="H189" s="10">
        <v>1439</v>
      </c>
      <c r="I189">
        <f t="shared" si="28"/>
        <v>4.8069919883466858E-2</v>
      </c>
      <c r="J189" s="10">
        <v>3085</v>
      </c>
      <c r="K189">
        <f t="shared" si="29"/>
        <v>5.4160259695882451E-2</v>
      </c>
      <c r="M189" s="65">
        <v>3484.6</v>
      </c>
      <c r="N189" s="66">
        <f t="shared" si="32"/>
        <v>4.4569414134631474E-2</v>
      </c>
      <c r="V189" s="10">
        <v>3335.9</v>
      </c>
      <c r="W189" s="10">
        <v>0.49000000000000005</v>
      </c>
      <c r="Z189" s="81">
        <v>0.15986622073578599</v>
      </c>
      <c r="AA189" s="83">
        <v>-3.1461039526632754E-2</v>
      </c>
      <c r="AB189" s="81">
        <v>-3.4782147404158935E-2</v>
      </c>
      <c r="AC189" s="83">
        <v>-3.1461039526632754E-2</v>
      </c>
      <c r="AD189" s="81">
        <v>2.787788848844612E-2</v>
      </c>
      <c r="AE189" s="83">
        <v>-3.1461039526632754E-2</v>
      </c>
      <c r="AF189" s="86">
        <v>4.8069919883466858E-2</v>
      </c>
      <c r="AG189" s="87">
        <v>-3.1461039526632754E-2</v>
      </c>
      <c r="AH189" s="86">
        <v>5.4160259695882451E-2</v>
      </c>
      <c r="AI189" s="87">
        <v>-3.1461039526632754E-2</v>
      </c>
    </row>
    <row r="190" spans="1:35" x14ac:dyDescent="0.25">
      <c r="A190" s="9">
        <v>42429</v>
      </c>
      <c r="B190" s="10">
        <v>180.4</v>
      </c>
      <c r="C190">
        <f t="shared" si="31"/>
        <v>4.0369088811995385E-2</v>
      </c>
      <c r="D190" s="10">
        <v>667.80000000000007</v>
      </c>
      <c r="E190">
        <f t="shared" si="26"/>
        <v>0.22341302555647163</v>
      </c>
      <c r="F190" s="10">
        <v>486.5</v>
      </c>
      <c r="G190">
        <f t="shared" si="27"/>
        <v>3.4031143652675615E-3</v>
      </c>
      <c r="H190" s="10">
        <v>1399.5</v>
      </c>
      <c r="I190">
        <f t="shared" si="28"/>
        <v>-2.7449617790132035E-2</v>
      </c>
      <c r="J190" s="10">
        <v>3092</v>
      </c>
      <c r="K190">
        <f t="shared" si="29"/>
        <v>2.2690437601296598E-3</v>
      </c>
      <c r="M190" s="65">
        <v>3492.13</v>
      </c>
      <c r="N190" s="66">
        <f t="shared" si="32"/>
        <v>2.1609366928772886E-3</v>
      </c>
      <c r="V190" s="10">
        <v>3345.84</v>
      </c>
      <c r="W190" s="10">
        <v>0.49000000000000005</v>
      </c>
      <c r="Z190" s="81">
        <v>4.0369088811995385E-2</v>
      </c>
      <c r="AA190" s="83">
        <v>2.9797056266674823E-3</v>
      </c>
      <c r="AB190" s="81">
        <v>0.22341302555647163</v>
      </c>
      <c r="AC190" s="83">
        <v>2.9797056266674823E-3</v>
      </c>
      <c r="AD190" s="81">
        <v>3.4031143652675615E-3</v>
      </c>
      <c r="AE190" s="83">
        <v>2.9797056266674823E-3</v>
      </c>
      <c r="AF190" s="86">
        <v>-2.7449617790132035E-2</v>
      </c>
      <c r="AG190" s="87">
        <v>2.9797056266674823E-3</v>
      </c>
      <c r="AH190" s="86">
        <v>2.2690437601296598E-3</v>
      </c>
      <c r="AI190" s="87">
        <v>2.9797056266674823E-3</v>
      </c>
    </row>
    <row r="191" spans="1:35" x14ac:dyDescent="0.25">
      <c r="A191" s="9">
        <v>42460</v>
      </c>
      <c r="B191" s="10">
        <v>191.8</v>
      </c>
      <c r="C191">
        <f t="shared" si="31"/>
        <v>6.3192904656319326E-2</v>
      </c>
      <c r="D191" s="10">
        <v>670.75</v>
      </c>
      <c r="E191">
        <f t="shared" si="26"/>
        <v>4.4174902665467678E-3</v>
      </c>
      <c r="F191" s="10">
        <v>440.5</v>
      </c>
      <c r="G191">
        <f t="shared" si="27"/>
        <v>-9.4552929085303189E-2</v>
      </c>
      <c r="H191" s="10">
        <v>1412</v>
      </c>
      <c r="I191">
        <f t="shared" si="28"/>
        <v>8.9317613433369056E-3</v>
      </c>
      <c r="J191" s="10">
        <v>3152.5</v>
      </c>
      <c r="K191">
        <f t="shared" si="29"/>
        <v>1.9566623544631307E-2</v>
      </c>
      <c r="M191" s="65">
        <v>3444.26</v>
      </c>
      <c r="N191" s="66">
        <f t="shared" si="32"/>
        <v>-1.3707966198280101E-2</v>
      </c>
      <c r="V191" s="10">
        <v>3395.19</v>
      </c>
      <c r="W191" s="10">
        <v>0.49000000000000005</v>
      </c>
      <c r="Z191" s="81">
        <v>6.3192904656319326E-2</v>
      </c>
      <c r="AA191" s="83">
        <v>1.4749659278387462E-2</v>
      </c>
      <c r="AB191" s="81">
        <v>4.4174902665467678E-3</v>
      </c>
      <c r="AC191" s="83">
        <v>1.4749659278387462E-2</v>
      </c>
      <c r="AD191" s="81">
        <v>-9.4552929085303189E-2</v>
      </c>
      <c r="AE191" s="83">
        <v>1.4749659278387462E-2</v>
      </c>
      <c r="AF191" s="86">
        <v>8.9317613433369056E-3</v>
      </c>
      <c r="AG191" s="87">
        <v>1.4749659278387462E-2</v>
      </c>
      <c r="AH191" s="86">
        <v>1.9566623544631307E-2</v>
      </c>
      <c r="AI191" s="87">
        <v>1.4749659278387462E-2</v>
      </c>
    </row>
    <row r="192" spans="1:35" x14ac:dyDescent="0.25">
      <c r="A192" s="9">
        <v>42489</v>
      </c>
      <c r="B192" s="10">
        <v>172.1</v>
      </c>
      <c r="C192">
        <f t="shared" si="31"/>
        <v>-0.10271115745568309</v>
      </c>
      <c r="D192" s="10">
        <v>665.48</v>
      </c>
      <c r="E192">
        <f t="shared" si="26"/>
        <v>-7.8568766306373189E-3</v>
      </c>
      <c r="F192" s="10">
        <v>443.2</v>
      </c>
      <c r="G192">
        <f t="shared" si="27"/>
        <v>6.1293984108966824E-3</v>
      </c>
      <c r="H192" s="10">
        <v>1459</v>
      </c>
      <c r="I192">
        <f t="shared" si="28"/>
        <v>3.3286118980169969E-2</v>
      </c>
      <c r="J192" s="10">
        <v>3054.5</v>
      </c>
      <c r="K192">
        <f t="shared" si="29"/>
        <v>-3.1086439333862015E-2</v>
      </c>
      <c r="M192" s="65">
        <v>3335.9</v>
      </c>
      <c r="N192" s="66">
        <f t="shared" si="32"/>
        <v>-3.1461039526632754E-2</v>
      </c>
      <c r="V192" s="10">
        <v>3421.7000000000003</v>
      </c>
      <c r="W192" s="10">
        <v>0.49000000000000005</v>
      </c>
      <c r="Z192" s="81">
        <v>-0.10271115745568309</v>
      </c>
      <c r="AA192" s="83">
        <v>7.8081049955967758E-3</v>
      </c>
      <c r="AB192" s="81">
        <v>-7.8568766306373189E-3</v>
      </c>
      <c r="AC192" s="83">
        <v>7.8081049955967758E-3</v>
      </c>
      <c r="AD192" s="81">
        <v>6.1293984108966824E-3</v>
      </c>
      <c r="AE192" s="83">
        <v>7.8081049955967758E-3</v>
      </c>
      <c r="AF192" s="86">
        <v>3.3286118980169969E-2</v>
      </c>
      <c r="AG192" s="87">
        <v>7.8081049955967758E-3</v>
      </c>
      <c r="AH192" s="86">
        <v>-3.1086439333862015E-2</v>
      </c>
      <c r="AI192" s="87">
        <v>7.8081049955967758E-3</v>
      </c>
    </row>
    <row r="193" spans="1:35" x14ac:dyDescent="0.25">
      <c r="A193" s="9">
        <v>42521</v>
      </c>
      <c r="B193" s="10">
        <v>165.1</v>
      </c>
      <c r="C193">
        <f t="shared" si="31"/>
        <v>-4.0674026728646138E-2</v>
      </c>
      <c r="D193" s="10">
        <v>615.28</v>
      </c>
      <c r="E193">
        <f t="shared" si="26"/>
        <v>-7.5434273005950653E-2</v>
      </c>
      <c r="F193" s="10">
        <v>442.8</v>
      </c>
      <c r="G193">
        <f t="shared" si="27"/>
        <v>-9.0252707581222312E-4</v>
      </c>
      <c r="H193" s="10">
        <v>1445</v>
      </c>
      <c r="I193">
        <f t="shared" si="28"/>
        <v>-9.5956134338588076E-3</v>
      </c>
      <c r="J193" s="10">
        <v>3146</v>
      </c>
      <c r="K193">
        <f t="shared" si="29"/>
        <v>2.9955802913733835E-2</v>
      </c>
      <c r="M193" s="65">
        <v>3345.84</v>
      </c>
      <c r="N193" s="66">
        <f t="shared" si="32"/>
        <v>2.9797056266674823E-3</v>
      </c>
      <c r="V193" s="10">
        <v>3429.77</v>
      </c>
      <c r="W193" s="10">
        <v>0.49000000000000005</v>
      </c>
      <c r="Z193" s="81">
        <v>-4.0674026728646138E-2</v>
      </c>
      <c r="AA193" s="83">
        <v>2.3584767805475957E-3</v>
      </c>
      <c r="AB193" s="81">
        <v>-7.5434273005950653E-2</v>
      </c>
      <c r="AC193" s="83">
        <v>2.3584767805475957E-3</v>
      </c>
      <c r="AD193" s="81">
        <v>-9.0252707581222312E-4</v>
      </c>
      <c r="AE193" s="83">
        <v>2.3584767805475957E-3</v>
      </c>
      <c r="AF193" s="86">
        <v>-9.5956134338588076E-3</v>
      </c>
      <c r="AG193" s="87">
        <v>2.3584767805475957E-3</v>
      </c>
      <c r="AH193" s="86">
        <v>2.9955802913733835E-2</v>
      </c>
      <c r="AI193" s="87">
        <v>2.3584767805475957E-3</v>
      </c>
    </row>
    <row r="194" spans="1:35" x14ac:dyDescent="0.25">
      <c r="A194" s="9">
        <v>42551</v>
      </c>
      <c r="B194" s="10">
        <v>174.9</v>
      </c>
      <c r="C194">
        <f t="shared" si="31"/>
        <v>5.9357964869775966E-2</v>
      </c>
      <c r="D194" s="10">
        <v>707.22</v>
      </c>
      <c r="E194">
        <f t="shared" si="26"/>
        <v>0.14942790274346648</v>
      </c>
      <c r="F194" s="10">
        <v>410</v>
      </c>
      <c r="G194">
        <f t="shared" si="27"/>
        <v>-7.4074074074074098E-2</v>
      </c>
      <c r="H194" s="10">
        <v>1604.5</v>
      </c>
      <c r="I194">
        <f t="shared" si="28"/>
        <v>0.11038062283737024</v>
      </c>
      <c r="J194" s="10">
        <v>3579</v>
      </c>
      <c r="K194">
        <f t="shared" si="29"/>
        <v>0.13763509218054673</v>
      </c>
      <c r="M194" s="65">
        <v>3395.19</v>
      </c>
      <c r="N194" s="66">
        <f t="shared" si="32"/>
        <v>1.4749659278387462E-2</v>
      </c>
      <c r="V194" s="10">
        <v>3515.4500000000003</v>
      </c>
      <c r="W194" s="10">
        <v>0.49000000000000005</v>
      </c>
      <c r="Z194" s="81">
        <v>5.9357964869775966E-2</v>
      </c>
      <c r="AA194" s="83">
        <v>2.4981266965423424E-2</v>
      </c>
      <c r="AB194" s="81">
        <v>0.14942790274346648</v>
      </c>
      <c r="AC194" s="83">
        <v>2.4981266965423424E-2</v>
      </c>
      <c r="AD194" s="81">
        <v>-7.4074074074074098E-2</v>
      </c>
      <c r="AE194" s="83">
        <v>2.4981266965423424E-2</v>
      </c>
      <c r="AF194" s="86">
        <v>0.11038062283737024</v>
      </c>
      <c r="AG194" s="87">
        <v>2.4981266965423424E-2</v>
      </c>
      <c r="AH194" s="86">
        <v>0.13763509218054673</v>
      </c>
      <c r="AI194" s="87">
        <v>2.4981266965423424E-2</v>
      </c>
    </row>
    <row r="195" spans="1:35" x14ac:dyDescent="0.25">
      <c r="A195" s="9">
        <v>42580</v>
      </c>
      <c r="B195" s="10">
        <v>156</v>
      </c>
      <c r="C195">
        <f t="shared" si="31"/>
        <v>-0.10806174957118356</v>
      </c>
      <c r="D195" s="10">
        <v>786.25</v>
      </c>
      <c r="E195">
        <f t="shared" si="26"/>
        <v>0.11174740533355954</v>
      </c>
      <c r="F195" s="10">
        <v>413.35</v>
      </c>
      <c r="G195">
        <f t="shared" si="27"/>
        <v>8.170731707317129E-3</v>
      </c>
      <c r="H195" s="10">
        <v>1688</v>
      </c>
      <c r="I195">
        <f t="shared" si="28"/>
        <v>5.2041134309753816E-2</v>
      </c>
      <c r="J195" s="10">
        <v>3533.5</v>
      </c>
      <c r="K195">
        <f t="shared" si="29"/>
        <v>-1.2713048337524449E-2</v>
      </c>
      <c r="M195" s="65">
        <v>3421.7000000000003</v>
      </c>
      <c r="N195" s="66">
        <f t="shared" si="32"/>
        <v>7.8081049955967758E-3</v>
      </c>
      <c r="V195" s="10">
        <v>3653.83</v>
      </c>
      <c r="W195" s="10">
        <v>0.45500000000000002</v>
      </c>
      <c r="Z195" s="81">
        <v>-0.10806174957118356</v>
      </c>
      <c r="AA195" s="83">
        <v>3.9363381643886169E-2</v>
      </c>
      <c r="AB195" s="81">
        <v>0.11174740533355954</v>
      </c>
      <c r="AC195" s="83">
        <v>3.9363381643886169E-2</v>
      </c>
      <c r="AD195" s="81">
        <v>8.170731707317129E-3</v>
      </c>
      <c r="AE195" s="83">
        <v>3.9363381643886169E-2</v>
      </c>
      <c r="AF195" s="86">
        <v>5.2041134309753816E-2</v>
      </c>
      <c r="AG195" s="87">
        <v>3.9363381643886169E-2</v>
      </c>
      <c r="AH195" s="86">
        <v>-1.2713048337524449E-2</v>
      </c>
      <c r="AI195" s="87">
        <v>3.9363381643886169E-2</v>
      </c>
    </row>
    <row r="196" spans="1:35" x14ac:dyDescent="0.25">
      <c r="A196" s="9">
        <v>42613</v>
      </c>
      <c r="B196" s="10">
        <v>166.35</v>
      </c>
      <c r="C196">
        <f t="shared" si="31"/>
        <v>6.6346153846153805E-2</v>
      </c>
      <c r="D196" s="10">
        <v>765.37</v>
      </c>
      <c r="E196">
        <f t="shared" si="26"/>
        <v>-2.6556438791732903E-2</v>
      </c>
      <c r="F196" s="10">
        <v>386.35</v>
      </c>
      <c r="G196">
        <f t="shared" si="27"/>
        <v>-6.5319946776339663E-2</v>
      </c>
      <c r="H196" s="10">
        <v>1639</v>
      </c>
      <c r="I196">
        <f t="shared" si="28"/>
        <v>-2.9028436018957347E-2</v>
      </c>
      <c r="J196" s="10">
        <v>3529</v>
      </c>
      <c r="K196">
        <f t="shared" si="29"/>
        <v>-1.2735248337342579E-3</v>
      </c>
      <c r="M196" s="65">
        <v>3429.77</v>
      </c>
      <c r="N196" s="66">
        <f t="shared" si="32"/>
        <v>2.3584767805475957E-3</v>
      </c>
      <c r="V196" s="10">
        <v>3697.19</v>
      </c>
      <c r="W196" s="10">
        <v>0.3</v>
      </c>
      <c r="Z196" s="81">
        <v>6.6346153846153805E-2</v>
      </c>
      <c r="AA196" s="83">
        <v>1.1866999833051929E-2</v>
      </c>
      <c r="AB196" s="81">
        <v>-2.6556438791732903E-2</v>
      </c>
      <c r="AC196" s="83">
        <v>1.1866999833051929E-2</v>
      </c>
      <c r="AD196" s="81">
        <v>-6.5319946776339663E-2</v>
      </c>
      <c r="AE196" s="83">
        <v>1.1866999833051929E-2</v>
      </c>
      <c r="AF196" s="86">
        <v>-2.9028436018957347E-2</v>
      </c>
      <c r="AG196" s="87">
        <v>1.1866999833051929E-2</v>
      </c>
      <c r="AH196" s="86">
        <v>-1.2735248337342579E-3</v>
      </c>
      <c r="AI196" s="87">
        <v>1.1866999833051929E-2</v>
      </c>
    </row>
    <row r="197" spans="1:35" x14ac:dyDescent="0.25">
      <c r="A197" s="9">
        <v>42643</v>
      </c>
      <c r="B197" s="10">
        <v>182.95000000000002</v>
      </c>
      <c r="C197">
        <f t="shared" si="31"/>
        <v>9.9789600240457008E-2</v>
      </c>
      <c r="D197" s="10">
        <v>715.67</v>
      </c>
      <c r="E197">
        <f t="shared" si="26"/>
        <v>-6.4935913349099192E-2</v>
      </c>
      <c r="F197" s="10">
        <v>389.05</v>
      </c>
      <c r="G197">
        <f t="shared" si="27"/>
        <v>6.988481946421609E-3</v>
      </c>
      <c r="H197" s="10">
        <v>1643</v>
      </c>
      <c r="I197">
        <f t="shared" si="28"/>
        <v>2.4405125076266015E-3</v>
      </c>
      <c r="J197" s="10">
        <v>3654.5</v>
      </c>
      <c r="K197">
        <f t="shared" si="29"/>
        <v>3.5562482289600454E-2</v>
      </c>
      <c r="M197" s="65">
        <v>3515.4500000000003</v>
      </c>
      <c r="N197" s="66">
        <f t="shared" si="32"/>
        <v>2.4981266965423424E-2</v>
      </c>
      <c r="V197" s="10">
        <v>3755.34</v>
      </c>
      <c r="W197" s="10">
        <v>0.31</v>
      </c>
      <c r="Z197" s="81">
        <v>9.9789600240457008E-2</v>
      </c>
      <c r="AA197" s="83">
        <v>1.5728161116956414E-2</v>
      </c>
      <c r="AB197" s="81">
        <v>-6.4935913349099192E-2</v>
      </c>
      <c r="AC197" s="83">
        <v>1.5728161116956414E-2</v>
      </c>
      <c r="AD197" s="81">
        <v>6.988481946421609E-3</v>
      </c>
      <c r="AE197" s="83">
        <v>1.5728161116956414E-2</v>
      </c>
      <c r="AF197" s="86">
        <v>2.4405125076266015E-3</v>
      </c>
      <c r="AG197" s="87">
        <v>1.5728161116956414E-2</v>
      </c>
      <c r="AH197" s="86">
        <v>3.5562482289600454E-2</v>
      </c>
      <c r="AI197" s="87">
        <v>1.5728161116956414E-2</v>
      </c>
    </row>
    <row r="198" spans="1:35" x14ac:dyDescent="0.25">
      <c r="A198" s="9">
        <v>42674</v>
      </c>
      <c r="B198" s="10">
        <v>210.75</v>
      </c>
      <c r="C198">
        <f t="shared" si="31"/>
        <v>0.15195408581579656</v>
      </c>
      <c r="D198" s="10">
        <v>726.5</v>
      </c>
      <c r="E198">
        <f t="shared" si="26"/>
        <v>1.5132672879958698E-2</v>
      </c>
      <c r="F198" s="10">
        <v>375.95</v>
      </c>
      <c r="G198">
        <f t="shared" si="27"/>
        <v>-3.3671764554684548E-2</v>
      </c>
      <c r="H198" s="10">
        <v>1618.5</v>
      </c>
      <c r="I198">
        <f t="shared" si="28"/>
        <v>-1.4911746804625686E-2</v>
      </c>
      <c r="J198" s="10">
        <v>3418</v>
      </c>
      <c r="K198">
        <f t="shared" si="29"/>
        <v>-6.4714735257901224E-2</v>
      </c>
      <c r="M198" s="65">
        <v>3653.83</v>
      </c>
      <c r="N198" s="66">
        <f t="shared" si="32"/>
        <v>3.9363381643886169E-2</v>
      </c>
      <c r="V198" s="10">
        <v>3768.14</v>
      </c>
      <c r="W198" s="10">
        <v>0.31</v>
      </c>
      <c r="Z198" s="81">
        <v>0.15195408581579656</v>
      </c>
      <c r="AA198" s="83">
        <v>3.4084796582998416E-3</v>
      </c>
      <c r="AB198" s="81">
        <v>1.5132672879958698E-2</v>
      </c>
      <c r="AC198" s="83">
        <v>3.4084796582998416E-3</v>
      </c>
      <c r="AD198" s="81">
        <v>-3.3671764554684548E-2</v>
      </c>
      <c r="AE198" s="83">
        <v>3.4084796582998416E-3</v>
      </c>
      <c r="AF198" s="86">
        <v>-1.4911746804625686E-2</v>
      </c>
      <c r="AG198" s="87">
        <v>3.4084796582998416E-3</v>
      </c>
      <c r="AH198" s="86">
        <v>-6.4714735257901224E-2</v>
      </c>
      <c r="AI198" s="87">
        <v>3.4084796582998416E-3</v>
      </c>
    </row>
    <row r="199" spans="1:35" x14ac:dyDescent="0.25">
      <c r="A199" s="9">
        <v>42704</v>
      </c>
      <c r="B199" s="10">
        <v>208.70000000000002</v>
      </c>
      <c r="C199">
        <f t="shared" si="31"/>
        <v>-9.7271648873071548E-3</v>
      </c>
      <c r="D199" s="10">
        <v>676.5</v>
      </c>
      <c r="E199">
        <f t="shared" si="26"/>
        <v>-6.8823124569855468E-2</v>
      </c>
      <c r="F199" s="10">
        <v>357.1</v>
      </c>
      <c r="G199">
        <f t="shared" si="27"/>
        <v>-5.0139646229551714E-2</v>
      </c>
      <c r="H199" s="10">
        <v>1495.5</v>
      </c>
      <c r="I199">
        <f t="shared" si="28"/>
        <v>-7.5996292863762749E-2</v>
      </c>
      <c r="J199" s="10">
        <v>3196</v>
      </c>
      <c r="K199">
        <f t="shared" si="29"/>
        <v>-6.4950263311878295E-2</v>
      </c>
      <c r="M199" s="65">
        <v>3697.19</v>
      </c>
      <c r="N199" s="66">
        <f t="shared" si="32"/>
        <v>1.1866999833051929E-2</v>
      </c>
      <c r="V199" s="10">
        <v>3692.4</v>
      </c>
      <c r="W199" s="10">
        <v>0.31</v>
      </c>
      <c r="Z199" s="81">
        <v>-9.7271648873071548E-3</v>
      </c>
      <c r="AA199" s="83">
        <v>-2.0100102437807455E-2</v>
      </c>
      <c r="AB199" s="81">
        <v>-6.8823124569855468E-2</v>
      </c>
      <c r="AC199" s="83">
        <v>-2.0100102437807455E-2</v>
      </c>
      <c r="AD199" s="81">
        <v>-5.0139646229551714E-2</v>
      </c>
      <c r="AE199" s="83">
        <v>-2.0100102437807455E-2</v>
      </c>
      <c r="AF199" s="86">
        <v>-7.5996292863762749E-2</v>
      </c>
      <c r="AG199" s="87">
        <v>-2.0100102437807455E-2</v>
      </c>
      <c r="AH199" s="86">
        <v>-6.4950263311878295E-2</v>
      </c>
      <c r="AI199" s="87">
        <v>-2.0100102437807455E-2</v>
      </c>
    </row>
    <row r="200" spans="1:35" x14ac:dyDescent="0.25">
      <c r="A200" s="9">
        <v>42734</v>
      </c>
      <c r="B200" s="10">
        <v>206.85</v>
      </c>
      <c r="C200">
        <f t="shared" si="31"/>
        <v>-8.8643986583613922E-3</v>
      </c>
      <c r="D200" s="10">
        <v>668</v>
      </c>
      <c r="E200">
        <f t="shared" si="26"/>
        <v>-1.2564671101256468E-2</v>
      </c>
      <c r="F200" s="10">
        <v>366.90000000000003</v>
      </c>
      <c r="G200">
        <f t="shared" si="27"/>
        <v>2.7443293195183453E-2</v>
      </c>
      <c r="H200" s="10">
        <v>1562</v>
      </c>
      <c r="I200">
        <f t="shared" si="28"/>
        <v>4.446673353393514E-2</v>
      </c>
      <c r="J200" s="10">
        <v>3292.5</v>
      </c>
      <c r="K200">
        <f t="shared" si="29"/>
        <v>3.0193992490613268E-2</v>
      </c>
      <c r="M200" s="65">
        <v>3755.34</v>
      </c>
      <c r="N200" s="66">
        <f t="shared" si="32"/>
        <v>1.5728161116956414E-2</v>
      </c>
      <c r="V200" s="10">
        <v>3873.2200000000003</v>
      </c>
      <c r="W200" s="10">
        <v>0.3</v>
      </c>
      <c r="Z200" s="81">
        <v>-8.8643986583613922E-3</v>
      </c>
      <c r="AA200" s="83">
        <v>4.8970859061856831E-2</v>
      </c>
      <c r="AB200" s="81">
        <v>-1.2564671101256468E-2</v>
      </c>
      <c r="AC200" s="83">
        <v>4.8970859061856831E-2</v>
      </c>
      <c r="AD200" s="81">
        <v>2.7443293195183453E-2</v>
      </c>
      <c r="AE200" s="83">
        <v>4.8970859061856831E-2</v>
      </c>
      <c r="AF200" s="86">
        <v>4.446673353393514E-2</v>
      </c>
      <c r="AG200" s="87">
        <v>4.8970859061856831E-2</v>
      </c>
      <c r="AH200" s="86">
        <v>3.0193992490613268E-2</v>
      </c>
      <c r="AI200" s="87">
        <v>4.8970859061856831E-2</v>
      </c>
    </row>
    <row r="201" spans="1:35" x14ac:dyDescent="0.25">
      <c r="A201" s="9">
        <v>42766</v>
      </c>
      <c r="B201" s="10">
        <v>194.6</v>
      </c>
      <c r="C201">
        <f t="shared" si="31"/>
        <v>-5.9221658206429779E-2</v>
      </c>
      <c r="D201" s="10">
        <v>667.5</v>
      </c>
      <c r="E201">
        <f t="shared" ref="E201:E203" si="33">(D201-D200)/D200</f>
        <v>-7.4850299401197609E-4</v>
      </c>
      <c r="F201" s="10">
        <v>303.85000000000002</v>
      </c>
      <c r="G201">
        <f t="shared" ref="G201:G203" si="34">(F201-F200)/F200</f>
        <v>-0.17184518942491145</v>
      </c>
      <c r="H201" s="10">
        <v>1528</v>
      </c>
      <c r="I201">
        <f t="shared" ref="I201:I203" si="35">(H201-H200)/H200</f>
        <v>-2.176696542893726E-2</v>
      </c>
      <c r="J201" s="10">
        <v>3227.5</v>
      </c>
      <c r="K201">
        <f t="shared" ref="K201:K203" si="36" xml:space="preserve"> (J201-J200)/J200</f>
        <v>-1.9741837509491267E-2</v>
      </c>
      <c r="M201" s="65">
        <v>3768.14</v>
      </c>
      <c r="N201" s="66">
        <f t="shared" si="32"/>
        <v>3.4084796582998416E-3</v>
      </c>
      <c r="V201" s="10">
        <v>3858.26</v>
      </c>
      <c r="W201" s="10">
        <v>0.3</v>
      </c>
      <c r="Z201" s="81">
        <v>-5.9221658206429779E-2</v>
      </c>
      <c r="AA201" s="83">
        <v>-3.8624193823227279E-3</v>
      </c>
      <c r="AB201" s="81">
        <v>-7.4850299401197609E-4</v>
      </c>
      <c r="AC201" s="83">
        <v>-3.8624193823227279E-3</v>
      </c>
      <c r="AD201" s="81">
        <v>-0.17184518942491145</v>
      </c>
      <c r="AE201" s="83">
        <v>-3.8624193823227279E-3</v>
      </c>
      <c r="AF201" s="86">
        <v>-2.176696542893726E-2</v>
      </c>
      <c r="AG201" s="87">
        <v>-3.8624193823227279E-3</v>
      </c>
      <c r="AH201" s="86">
        <v>-1.9741837509491267E-2</v>
      </c>
      <c r="AI201" s="87">
        <v>-3.8624193823227279E-3</v>
      </c>
    </row>
    <row r="202" spans="1:35" x14ac:dyDescent="0.25">
      <c r="A202" s="9">
        <v>42794</v>
      </c>
      <c r="B202" s="10">
        <v>188.4</v>
      </c>
      <c r="C202">
        <f t="shared" si="31"/>
        <v>-3.1860226104830365E-2</v>
      </c>
      <c r="D202" s="10">
        <v>787</v>
      </c>
      <c r="E202">
        <f t="shared" si="33"/>
        <v>0.17902621722846443</v>
      </c>
      <c r="F202" s="10">
        <v>327.10000000000002</v>
      </c>
      <c r="G202">
        <f t="shared" si="34"/>
        <v>7.6518018759256207E-2</v>
      </c>
      <c r="H202" s="10">
        <v>1648</v>
      </c>
      <c r="I202">
        <f t="shared" si="35"/>
        <v>7.8534031413612565E-2</v>
      </c>
      <c r="J202" s="10">
        <v>3819</v>
      </c>
      <c r="K202">
        <f t="shared" si="36"/>
        <v>0.18326878388845855</v>
      </c>
      <c r="M202" s="65">
        <v>3692.4</v>
      </c>
      <c r="N202" s="66">
        <f t="shared" si="32"/>
        <v>-2.0100102437807455E-2</v>
      </c>
      <c r="V202" s="10">
        <v>3953.42</v>
      </c>
      <c r="W202" s="10">
        <v>0.3</v>
      </c>
      <c r="Z202" s="81">
        <v>-3.1860226104830365E-2</v>
      </c>
      <c r="AA202" s="83">
        <v>2.4663967695282289E-2</v>
      </c>
      <c r="AB202" s="81">
        <v>0.17902621722846443</v>
      </c>
      <c r="AC202" s="83">
        <v>2.4663967695282289E-2</v>
      </c>
      <c r="AD202" s="81">
        <v>7.6518018759256207E-2</v>
      </c>
      <c r="AE202" s="83">
        <v>2.4663967695282289E-2</v>
      </c>
      <c r="AF202" s="86">
        <v>7.8534031413612565E-2</v>
      </c>
      <c r="AG202" s="87">
        <v>2.4663967695282289E-2</v>
      </c>
      <c r="AH202" s="86">
        <v>0.18326878388845855</v>
      </c>
      <c r="AI202" s="87">
        <v>2.4663967695282289E-2</v>
      </c>
    </row>
    <row r="203" spans="1:35" ht="15.75" thickBot="1" x14ac:dyDescent="0.3">
      <c r="A203" s="9">
        <v>42825</v>
      </c>
      <c r="B203" s="10">
        <v>185.6</v>
      </c>
      <c r="C203">
        <f t="shared" si="31"/>
        <v>-1.4861995753715558E-2</v>
      </c>
      <c r="D203" s="10">
        <v>754</v>
      </c>
      <c r="E203">
        <f t="shared" si="33"/>
        <v>-4.1931385006353239E-2</v>
      </c>
      <c r="F203" s="10">
        <v>318.2</v>
      </c>
      <c r="G203">
        <f t="shared" si="34"/>
        <v>-2.7208804646897077E-2</v>
      </c>
      <c r="H203" s="10">
        <v>1659.5</v>
      </c>
      <c r="I203">
        <f t="shared" si="35"/>
        <v>6.9781553398058256E-3</v>
      </c>
      <c r="J203" s="10">
        <v>3939.5</v>
      </c>
      <c r="K203">
        <f t="shared" si="36"/>
        <v>3.1552762503273109E-2</v>
      </c>
      <c r="M203" s="65">
        <v>3873.2200000000003</v>
      </c>
      <c r="N203" s="66">
        <f t="shared" si="32"/>
        <v>4.8970859061856831E-2</v>
      </c>
      <c r="V203" s="10">
        <v>3990</v>
      </c>
      <c r="W203" s="10">
        <v>0.28000000000000003</v>
      </c>
      <c r="Z203" s="84">
        <v>-1.4861995753715558E-2</v>
      </c>
      <c r="AA203" s="85">
        <v>9.2527482534109518E-3</v>
      </c>
      <c r="AB203" s="84">
        <v>-4.1931385006353239E-2</v>
      </c>
      <c r="AC203" s="85">
        <v>9.2527482534109518E-3</v>
      </c>
      <c r="AD203" s="84">
        <v>-2.94258133882223E-2</v>
      </c>
      <c r="AE203" s="85">
        <v>1.10637695037801E-2</v>
      </c>
      <c r="AF203" s="88">
        <v>6.9781553398058256E-3</v>
      </c>
      <c r="AG203" s="89">
        <v>9.2527482534109518E-3</v>
      </c>
      <c r="AH203" s="88">
        <v>3.1552762503273109E-2</v>
      </c>
      <c r="AI203" s="89">
        <v>9.2527482534109518E-3</v>
      </c>
    </row>
    <row r="204" spans="1:35" x14ac:dyDescent="0.25">
      <c r="M204" s="65">
        <v>3858.26</v>
      </c>
      <c r="N204" s="66">
        <f t="shared" si="32"/>
        <v>-3.8624193823227279E-3</v>
      </c>
    </row>
    <row r="205" spans="1:35" x14ac:dyDescent="0.25">
      <c r="M205" s="65">
        <v>3953.42</v>
      </c>
      <c r="N205" s="66">
        <f t="shared" si="32"/>
        <v>2.4663967695282289E-2</v>
      </c>
    </row>
    <row r="206" spans="1:35" x14ac:dyDescent="0.25">
      <c r="M206" s="65">
        <v>3990</v>
      </c>
      <c r="N206" s="66">
        <f t="shared" si="32"/>
        <v>9.2527482534109518E-3</v>
      </c>
    </row>
  </sheetData>
  <mergeCells count="39">
    <mergeCell ref="Z166:AI166"/>
    <mergeCell ref="AK168:AO168"/>
    <mergeCell ref="B4:C4"/>
    <mergeCell ref="B5:C5"/>
    <mergeCell ref="D4:E4"/>
    <mergeCell ref="F4:G4"/>
    <mergeCell ref="H4:I4"/>
    <mergeCell ref="M27:T27"/>
    <mergeCell ref="M168:N168"/>
    <mergeCell ref="AH82:AM82"/>
    <mergeCell ref="AH84:AM84"/>
    <mergeCell ref="AH85:AM85"/>
    <mergeCell ref="F5:G5"/>
    <mergeCell ref="H5:I5"/>
    <mergeCell ref="J5:K5"/>
    <mergeCell ref="M4:P4"/>
    <mergeCell ref="N11:R11"/>
    <mergeCell ref="P181:T181"/>
    <mergeCell ref="A1:W1"/>
    <mergeCell ref="B3:C3"/>
    <mergeCell ref="D3:E3"/>
    <mergeCell ref="F3:G3"/>
    <mergeCell ref="H3:I3"/>
    <mergeCell ref="J3:K3"/>
    <mergeCell ref="Q22:R22"/>
    <mergeCell ref="Q23:R23"/>
    <mergeCell ref="Q24:R24"/>
    <mergeCell ref="Q25:R25"/>
    <mergeCell ref="M44:N44"/>
    <mergeCell ref="M77:P77"/>
    <mergeCell ref="P176:T176"/>
    <mergeCell ref="J4:K4"/>
    <mergeCell ref="D5:E5"/>
    <mergeCell ref="Y6:AB6"/>
    <mergeCell ref="Z7:AA7"/>
    <mergeCell ref="M63:T63"/>
    <mergeCell ref="N69:R69"/>
    <mergeCell ref="M3:R3"/>
    <mergeCell ref="N22:O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93" workbookViewId="0">
      <selection activeCell="B101" sqref="B101:B102"/>
    </sheetView>
  </sheetViews>
  <sheetFormatPr defaultRowHeight="15" x14ac:dyDescent="0.25"/>
  <cols>
    <col min="1" max="1" width="13.85546875" customWidth="1"/>
    <col min="2" max="2" width="10.28515625" customWidth="1"/>
    <col min="3" max="3" width="12.7109375" customWidth="1"/>
    <col min="5" max="5" width="13.42578125" customWidth="1"/>
    <col min="6" max="6" width="13.85546875" customWidth="1"/>
    <col min="7" max="7" width="10.7109375" customWidth="1"/>
    <col min="8" max="8" width="12" customWidth="1"/>
    <col min="9" max="9" width="12.42578125" customWidth="1"/>
  </cols>
  <sheetData>
    <row r="1" spans="1:9" x14ac:dyDescent="0.25">
      <c r="A1" t="s">
        <v>131</v>
      </c>
    </row>
    <row r="2" spans="1:9" ht="15.75" thickBot="1" x14ac:dyDescent="0.3"/>
    <row r="3" spans="1:9" x14ac:dyDescent="0.25">
      <c r="A3" s="95" t="s">
        <v>109</v>
      </c>
      <c r="B3" s="95"/>
    </row>
    <row r="4" spans="1:9" x14ac:dyDescent="0.25">
      <c r="A4" s="92" t="s">
        <v>110</v>
      </c>
      <c r="B4" s="92">
        <v>0.23605909233688596</v>
      </c>
    </row>
    <row r="5" spans="1:9" x14ac:dyDescent="0.25">
      <c r="A5" s="92" t="s">
        <v>111</v>
      </c>
      <c r="B5" s="92">
        <v>5.5723895074914452E-2</v>
      </c>
    </row>
    <row r="6" spans="1:9" x14ac:dyDescent="0.25">
      <c r="A6" s="92" t="s">
        <v>112</v>
      </c>
      <c r="B6" s="92">
        <v>2.7951068459470759E-2</v>
      </c>
    </row>
    <row r="7" spans="1:9" x14ac:dyDescent="0.25">
      <c r="A7" s="92" t="s">
        <v>113</v>
      </c>
      <c r="B7" s="92">
        <v>8.4495356156364443E-2</v>
      </c>
    </row>
    <row r="8" spans="1:9" ht="15.75" thickBot="1" x14ac:dyDescent="0.3">
      <c r="A8" s="93" t="s">
        <v>114</v>
      </c>
      <c r="B8" s="93">
        <v>36</v>
      </c>
    </row>
    <row r="10" spans="1:9" ht="15.75" thickBot="1" x14ac:dyDescent="0.3">
      <c r="A10" t="s">
        <v>115</v>
      </c>
    </row>
    <row r="11" spans="1:9" x14ac:dyDescent="0.25">
      <c r="A11" s="94"/>
      <c r="B11" s="94" t="s">
        <v>119</v>
      </c>
      <c r="C11" s="94" t="s">
        <v>120</v>
      </c>
      <c r="D11" s="94" t="s">
        <v>121</v>
      </c>
      <c r="E11" s="94" t="s">
        <v>122</v>
      </c>
      <c r="F11" s="94" t="s">
        <v>123</v>
      </c>
    </row>
    <row r="12" spans="1:9" x14ac:dyDescent="0.25">
      <c r="A12" s="92" t="s">
        <v>116</v>
      </c>
      <c r="B12" s="92">
        <v>1</v>
      </c>
      <c r="C12" s="92">
        <v>1.4324750443037521E-2</v>
      </c>
      <c r="D12" s="92">
        <v>1.4324750443037521E-2</v>
      </c>
      <c r="E12" s="92">
        <v>2.006417850314449</v>
      </c>
      <c r="F12" s="92">
        <v>0.16573222687740724</v>
      </c>
    </row>
    <row r="13" spans="1:9" x14ac:dyDescent="0.25">
      <c r="A13" s="92" t="s">
        <v>117</v>
      </c>
      <c r="B13" s="92">
        <v>34</v>
      </c>
      <c r="C13" s="92">
        <v>0.2427418172076897</v>
      </c>
      <c r="D13" s="92">
        <v>7.1394652119908739E-3</v>
      </c>
      <c r="E13" s="92"/>
      <c r="F13" s="92"/>
    </row>
    <row r="14" spans="1:9" ht="15.75" thickBot="1" x14ac:dyDescent="0.3">
      <c r="A14" s="93" t="s">
        <v>65</v>
      </c>
      <c r="B14" s="93">
        <v>35</v>
      </c>
      <c r="C14" s="93">
        <v>0.25706656765072722</v>
      </c>
      <c r="D14" s="93"/>
      <c r="E14" s="93"/>
      <c r="F14" s="93"/>
    </row>
    <row r="15" spans="1:9" ht="15.75" thickBot="1" x14ac:dyDescent="0.3"/>
    <row r="16" spans="1:9" x14ac:dyDescent="0.25">
      <c r="A16" s="96"/>
      <c r="B16" s="96" t="s">
        <v>124</v>
      </c>
      <c r="C16" s="96" t="s">
        <v>113</v>
      </c>
      <c r="D16" s="96" t="s">
        <v>125</v>
      </c>
      <c r="E16" s="96" t="s">
        <v>126</v>
      </c>
      <c r="F16" s="96" t="s">
        <v>127</v>
      </c>
      <c r="G16" s="96" t="s">
        <v>128</v>
      </c>
      <c r="H16" s="96" t="s">
        <v>129</v>
      </c>
      <c r="I16" s="96" t="s">
        <v>130</v>
      </c>
    </row>
    <row r="17" spans="1:13" x14ac:dyDescent="0.25">
      <c r="A17" s="92" t="s">
        <v>118</v>
      </c>
      <c r="B17" s="92">
        <v>-1.2039676996864885E-2</v>
      </c>
      <c r="C17" s="92">
        <v>1.4217441662278412E-2</v>
      </c>
      <c r="D17" s="92">
        <v>-0.84682443458223911</v>
      </c>
      <c r="E17" s="92">
        <v>0.40301439056914456</v>
      </c>
      <c r="F17" s="92">
        <v>-4.093299475157517E-2</v>
      </c>
      <c r="G17" s="92">
        <v>1.6853640757845401E-2</v>
      </c>
      <c r="H17" s="92">
        <v>-4.093299475157517E-2</v>
      </c>
      <c r="I17" s="92">
        <v>1.6853640757845401E-2</v>
      </c>
    </row>
    <row r="18" spans="1:13" ht="15.75" thickBot="1" x14ac:dyDescent="0.3">
      <c r="A18" s="93" t="s">
        <v>99</v>
      </c>
      <c r="B18" s="104">
        <v>0.7830979361162721</v>
      </c>
      <c r="C18" s="93">
        <v>0.55284754821653648</v>
      </c>
      <c r="D18" s="93">
        <v>1.416480797721748</v>
      </c>
      <c r="E18" s="93">
        <v>0.16573222687740807</v>
      </c>
      <c r="F18" s="93">
        <v>-0.34042345823654718</v>
      </c>
      <c r="G18" s="93">
        <v>1.9066193304690913</v>
      </c>
      <c r="H18" s="93">
        <v>-0.34042345823654718</v>
      </c>
      <c r="I18" s="93">
        <v>1.9066193304690913</v>
      </c>
    </row>
    <row r="20" spans="1:13" x14ac:dyDescent="0.2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</row>
    <row r="22" spans="1:13" x14ac:dyDescent="0.25">
      <c r="A22" t="s">
        <v>132</v>
      </c>
    </row>
    <row r="23" spans="1:13" ht="15.75" thickBot="1" x14ac:dyDescent="0.3"/>
    <row r="24" spans="1:13" x14ac:dyDescent="0.25">
      <c r="A24" s="95" t="s">
        <v>109</v>
      </c>
      <c r="B24" s="95"/>
    </row>
    <row r="25" spans="1:13" x14ac:dyDescent="0.25">
      <c r="A25" s="92" t="s">
        <v>110</v>
      </c>
      <c r="B25" s="92">
        <v>0.46705957902003192</v>
      </c>
    </row>
    <row r="26" spans="1:13" x14ac:dyDescent="0.25">
      <c r="A26" s="92" t="s">
        <v>111</v>
      </c>
      <c r="B26" s="92">
        <v>0.21814465035436945</v>
      </c>
    </row>
    <row r="27" spans="1:13" x14ac:dyDescent="0.25">
      <c r="A27" s="92" t="s">
        <v>112</v>
      </c>
      <c r="B27" s="92">
        <v>0.19514890477655678</v>
      </c>
    </row>
    <row r="28" spans="1:13" x14ac:dyDescent="0.25">
      <c r="A28" s="92" t="s">
        <v>113</v>
      </c>
      <c r="B28" s="92">
        <v>7.2325030994309647E-2</v>
      </c>
    </row>
    <row r="29" spans="1:13" ht="15.75" thickBot="1" x14ac:dyDescent="0.3">
      <c r="A29" s="93" t="s">
        <v>114</v>
      </c>
      <c r="B29" s="93">
        <v>36</v>
      </c>
    </row>
    <row r="31" spans="1:13" ht="15.75" thickBot="1" x14ac:dyDescent="0.3">
      <c r="A31" t="s">
        <v>115</v>
      </c>
    </row>
    <row r="32" spans="1:13" x14ac:dyDescent="0.25">
      <c r="A32" s="94"/>
      <c r="B32" s="94" t="s">
        <v>119</v>
      </c>
      <c r="C32" s="94" t="s">
        <v>120</v>
      </c>
      <c r="D32" s="94" t="s">
        <v>121</v>
      </c>
      <c r="E32" s="94" t="s">
        <v>122</v>
      </c>
      <c r="F32" s="94" t="s">
        <v>123</v>
      </c>
    </row>
    <row r="33" spans="1:13" x14ac:dyDescent="0.25">
      <c r="A33" s="92" t="s">
        <v>116</v>
      </c>
      <c r="B33" s="92">
        <v>1</v>
      </c>
      <c r="C33" s="92">
        <v>4.9622007373281096E-2</v>
      </c>
      <c r="D33" s="92">
        <v>4.9622007373281096E-2</v>
      </c>
      <c r="E33" s="92">
        <v>9.4863047434672136</v>
      </c>
      <c r="F33" s="92">
        <v>4.0812595426689335E-3</v>
      </c>
    </row>
    <row r="34" spans="1:13" x14ac:dyDescent="0.25">
      <c r="A34" s="92" t="s">
        <v>117</v>
      </c>
      <c r="B34" s="92">
        <v>34</v>
      </c>
      <c r="C34" s="92">
        <v>0.17785094368314697</v>
      </c>
      <c r="D34" s="92">
        <v>5.230910108327852E-3</v>
      </c>
      <c r="E34" s="92"/>
      <c r="F34" s="92"/>
    </row>
    <row r="35" spans="1:13" ht="15.75" thickBot="1" x14ac:dyDescent="0.3">
      <c r="A35" s="93" t="s">
        <v>65</v>
      </c>
      <c r="B35" s="93">
        <v>35</v>
      </c>
      <c r="C35" s="93">
        <v>0.22747295105642806</v>
      </c>
      <c r="D35" s="93"/>
      <c r="E35" s="93"/>
      <c r="F35" s="93"/>
    </row>
    <row r="36" spans="1:13" ht="15.75" thickBot="1" x14ac:dyDescent="0.3"/>
    <row r="37" spans="1:13" x14ac:dyDescent="0.25">
      <c r="A37" s="96"/>
      <c r="B37" s="96" t="s">
        <v>124</v>
      </c>
      <c r="C37" s="96" t="s">
        <v>113</v>
      </c>
      <c r="D37" s="96" t="s">
        <v>125</v>
      </c>
      <c r="E37" s="96" t="s">
        <v>126</v>
      </c>
      <c r="F37" s="96" t="s">
        <v>127</v>
      </c>
      <c r="G37" s="96" t="s">
        <v>128</v>
      </c>
      <c r="H37" s="96" t="s">
        <v>129</v>
      </c>
      <c r="I37" s="96" t="s">
        <v>130</v>
      </c>
    </row>
    <row r="38" spans="1:13" x14ac:dyDescent="0.25">
      <c r="A38" s="92" t="s">
        <v>118</v>
      </c>
      <c r="B38" s="92">
        <v>-1.0024543611320585E-2</v>
      </c>
      <c r="C38" s="92">
        <v>1.2169626304446587E-2</v>
      </c>
      <c r="D38" s="92">
        <v>-0.82373471136560505</v>
      </c>
      <c r="E38" s="92">
        <v>0.41583132574313919</v>
      </c>
      <c r="F38" s="92">
        <v>-3.4756199848980644E-2</v>
      </c>
      <c r="G38" s="92">
        <v>1.4707112626339475E-2</v>
      </c>
      <c r="H38" s="92">
        <v>-3.4756199848980644E-2</v>
      </c>
      <c r="I38" s="92">
        <v>1.4707112626339475E-2</v>
      </c>
    </row>
    <row r="39" spans="1:13" ht="15.75" thickBot="1" x14ac:dyDescent="0.3">
      <c r="A39" s="93" t="s">
        <v>99</v>
      </c>
      <c r="B39" s="104">
        <v>1.4575038529033109</v>
      </c>
      <c r="C39" s="93">
        <v>0.47321791254296447</v>
      </c>
      <c r="D39" s="93">
        <v>3.0799845362383254</v>
      </c>
      <c r="E39" s="93">
        <v>4.0812595426689248E-3</v>
      </c>
      <c r="F39" s="93">
        <v>0.49580934842707869</v>
      </c>
      <c r="G39" s="93">
        <v>2.419198357379543</v>
      </c>
      <c r="H39" s="93">
        <v>0.49580934842707869</v>
      </c>
      <c r="I39" s="93">
        <v>2.419198357379543</v>
      </c>
    </row>
    <row r="41" spans="1:13" x14ac:dyDescent="0.25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</row>
    <row r="43" spans="1:13" x14ac:dyDescent="0.25">
      <c r="A43" t="s">
        <v>133</v>
      </c>
    </row>
    <row r="44" spans="1:13" ht="15.75" thickBot="1" x14ac:dyDescent="0.3"/>
    <row r="45" spans="1:13" x14ac:dyDescent="0.25">
      <c r="A45" s="95" t="s">
        <v>109</v>
      </c>
      <c r="B45" s="95"/>
    </row>
    <row r="46" spans="1:13" x14ac:dyDescent="0.25">
      <c r="A46" s="92" t="s">
        <v>110</v>
      </c>
      <c r="B46" s="92">
        <v>0.40520805964540962</v>
      </c>
    </row>
    <row r="47" spans="1:13" x14ac:dyDescent="0.25">
      <c r="A47" s="92" t="s">
        <v>111</v>
      </c>
      <c r="B47" s="92">
        <v>0.16419357160159787</v>
      </c>
    </row>
    <row r="48" spans="1:13" x14ac:dyDescent="0.25">
      <c r="A48" s="92" t="s">
        <v>112</v>
      </c>
      <c r="B48" s="92">
        <v>0.13961102958988014</v>
      </c>
    </row>
    <row r="49" spans="1:13" x14ac:dyDescent="0.25">
      <c r="A49" s="92" t="s">
        <v>113</v>
      </c>
      <c r="B49" s="92">
        <v>5.4623255220667036E-2</v>
      </c>
    </row>
    <row r="50" spans="1:13" ht="15.75" thickBot="1" x14ac:dyDescent="0.3">
      <c r="A50" s="93" t="s">
        <v>114</v>
      </c>
      <c r="B50" s="93">
        <v>36</v>
      </c>
    </row>
    <row r="52" spans="1:13" ht="15.75" thickBot="1" x14ac:dyDescent="0.3">
      <c r="A52" t="s">
        <v>115</v>
      </c>
    </row>
    <row r="53" spans="1:13" x14ac:dyDescent="0.25">
      <c r="A53" s="94"/>
      <c r="B53" s="94" t="s">
        <v>119</v>
      </c>
      <c r="C53" s="94" t="s">
        <v>120</v>
      </c>
      <c r="D53" s="94" t="s">
        <v>121</v>
      </c>
      <c r="E53" s="94" t="s">
        <v>122</v>
      </c>
      <c r="F53" s="94" t="s">
        <v>123</v>
      </c>
    </row>
    <row r="54" spans="1:13" x14ac:dyDescent="0.25">
      <c r="A54" s="92" t="s">
        <v>116</v>
      </c>
      <c r="B54" s="92">
        <v>1</v>
      </c>
      <c r="C54" s="92">
        <v>1.992895450536504E-2</v>
      </c>
      <c r="D54" s="92">
        <v>1.992895450536504E-2</v>
      </c>
      <c r="E54" s="92">
        <v>6.6792755412899147</v>
      </c>
      <c r="F54" s="92">
        <v>1.4220925045701891E-2</v>
      </c>
    </row>
    <row r="55" spans="1:13" x14ac:dyDescent="0.25">
      <c r="A55" s="92" t="s">
        <v>117</v>
      </c>
      <c r="B55" s="92">
        <v>34</v>
      </c>
      <c r="C55" s="92">
        <v>0.10144580037067238</v>
      </c>
      <c r="D55" s="92">
        <v>2.9837000109021287E-3</v>
      </c>
      <c r="E55" s="92"/>
      <c r="F55" s="92"/>
    </row>
    <row r="56" spans="1:13" ht="15.75" thickBot="1" x14ac:dyDescent="0.3">
      <c r="A56" s="93" t="s">
        <v>65</v>
      </c>
      <c r="B56" s="93">
        <v>35</v>
      </c>
      <c r="C56" s="93">
        <v>0.12137475487603742</v>
      </c>
      <c r="D56" s="93"/>
      <c r="E56" s="93"/>
      <c r="F56" s="93"/>
    </row>
    <row r="57" spans="1:13" ht="15.75" thickBot="1" x14ac:dyDescent="0.3"/>
    <row r="58" spans="1:13" x14ac:dyDescent="0.25">
      <c r="A58" s="94"/>
      <c r="B58" s="96" t="s">
        <v>124</v>
      </c>
      <c r="C58" s="96" t="s">
        <v>113</v>
      </c>
      <c r="D58" s="96" t="s">
        <v>125</v>
      </c>
      <c r="E58" s="96" t="s">
        <v>126</v>
      </c>
      <c r="F58" s="96" t="s">
        <v>127</v>
      </c>
      <c r="G58" s="96" t="s">
        <v>128</v>
      </c>
      <c r="H58" s="96" t="s">
        <v>129</v>
      </c>
      <c r="I58" s="96" t="s">
        <v>130</v>
      </c>
    </row>
    <row r="59" spans="1:13" x14ac:dyDescent="0.25">
      <c r="A59" s="92" t="s">
        <v>118</v>
      </c>
      <c r="B59" s="92">
        <v>-6.5420570474082028E-3</v>
      </c>
      <c r="C59" s="92">
        <v>9.1934692228329423E-3</v>
      </c>
      <c r="D59" s="92">
        <v>-0.71159829753498494</v>
      </c>
      <c r="E59" s="92">
        <v>0.48156775718303446</v>
      </c>
      <c r="F59" s="92">
        <v>-2.5225434397091889E-2</v>
      </c>
      <c r="G59" s="92">
        <v>1.2141320302275483E-2</v>
      </c>
      <c r="H59" s="92">
        <v>-2.5225434397091889E-2</v>
      </c>
      <c r="I59" s="92">
        <v>1.2141320302275483E-2</v>
      </c>
    </row>
    <row r="60" spans="1:13" ht="15.75" thickBot="1" x14ac:dyDescent="0.3">
      <c r="A60" s="93" t="s">
        <v>99</v>
      </c>
      <c r="B60" s="104">
        <v>0.92319346425585203</v>
      </c>
      <c r="C60" s="93">
        <v>0.35721364615743906</v>
      </c>
      <c r="D60" s="93">
        <v>2.5844294421186866</v>
      </c>
      <c r="E60" s="93">
        <v>1.422092504570195E-2</v>
      </c>
      <c r="F60" s="93">
        <v>0.19724799319903408</v>
      </c>
      <c r="G60" s="93">
        <v>1.6491389353126702</v>
      </c>
      <c r="H60" s="93">
        <v>0.19724799319903408</v>
      </c>
      <c r="I60" s="93">
        <v>1.6491389353126702</v>
      </c>
    </row>
    <row r="62" spans="1:13" x14ac:dyDescent="0.25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</row>
    <row r="64" spans="1:13" x14ac:dyDescent="0.25">
      <c r="A64" t="s">
        <v>134</v>
      </c>
    </row>
    <row r="65" spans="1:9" ht="15.75" thickBot="1" x14ac:dyDescent="0.3"/>
    <row r="66" spans="1:9" x14ac:dyDescent="0.25">
      <c r="A66" s="95" t="s">
        <v>109</v>
      </c>
      <c r="B66" s="95"/>
    </row>
    <row r="67" spans="1:9" x14ac:dyDescent="0.25">
      <c r="A67" s="92" t="s">
        <v>110</v>
      </c>
      <c r="B67" s="92">
        <v>0.67942030467886283</v>
      </c>
    </row>
    <row r="68" spans="1:9" x14ac:dyDescent="0.25">
      <c r="A68" s="92" t="s">
        <v>111</v>
      </c>
      <c r="B68" s="92">
        <v>0.46161195040991887</v>
      </c>
    </row>
    <row r="69" spans="1:9" x14ac:dyDescent="0.25">
      <c r="A69" s="92" t="s">
        <v>112</v>
      </c>
      <c r="B69" s="92">
        <v>0.44577700777491647</v>
      </c>
    </row>
    <row r="70" spans="1:9" x14ac:dyDescent="0.25">
      <c r="A70" s="92" t="s">
        <v>113</v>
      </c>
      <c r="B70" s="92">
        <v>3.7996632247520798E-2</v>
      </c>
    </row>
    <row r="71" spans="1:9" ht="15.75" thickBot="1" x14ac:dyDescent="0.3">
      <c r="A71" s="93" t="s">
        <v>114</v>
      </c>
      <c r="B71" s="93">
        <v>36</v>
      </c>
    </row>
    <row r="73" spans="1:9" ht="15.75" thickBot="1" x14ac:dyDescent="0.3">
      <c r="A73" t="s">
        <v>115</v>
      </c>
    </row>
    <row r="74" spans="1:9" x14ac:dyDescent="0.25">
      <c r="A74" s="94"/>
      <c r="B74" s="94" t="s">
        <v>119</v>
      </c>
      <c r="C74" s="94" t="s">
        <v>120</v>
      </c>
      <c r="D74" s="94" t="s">
        <v>121</v>
      </c>
      <c r="E74" s="94" t="s">
        <v>122</v>
      </c>
      <c r="F74" s="94" t="s">
        <v>123</v>
      </c>
    </row>
    <row r="75" spans="1:9" x14ac:dyDescent="0.25">
      <c r="A75" s="92" t="s">
        <v>116</v>
      </c>
      <c r="B75" s="92">
        <v>1</v>
      </c>
      <c r="C75" s="92">
        <v>4.2087270398453253E-2</v>
      </c>
      <c r="D75" s="92">
        <v>4.2087270398453253E-2</v>
      </c>
      <c r="E75" s="92">
        <v>29.151476014162981</v>
      </c>
      <c r="F75" s="92">
        <v>5.2042841181511349E-6</v>
      </c>
    </row>
    <row r="76" spans="1:9" x14ac:dyDescent="0.25">
      <c r="A76" s="92" t="s">
        <v>117</v>
      </c>
      <c r="B76" s="92">
        <v>34</v>
      </c>
      <c r="C76" s="92">
        <v>4.9087298113213482E-2</v>
      </c>
      <c r="D76" s="92">
        <v>1.4437440621533377E-3</v>
      </c>
      <c r="E76" s="92"/>
      <c r="F76" s="92"/>
    </row>
    <row r="77" spans="1:9" ht="15.75" thickBot="1" x14ac:dyDescent="0.3">
      <c r="A77" s="93" t="s">
        <v>65</v>
      </c>
      <c r="B77" s="93">
        <v>35</v>
      </c>
      <c r="C77" s="93">
        <v>9.1174568511666734E-2</v>
      </c>
      <c r="D77" s="93"/>
      <c r="E77" s="93"/>
      <c r="F77" s="93"/>
    </row>
    <row r="78" spans="1:9" ht="15.75" thickBot="1" x14ac:dyDescent="0.3"/>
    <row r="79" spans="1:9" x14ac:dyDescent="0.25">
      <c r="A79" s="96"/>
      <c r="B79" s="96" t="s">
        <v>124</v>
      </c>
      <c r="C79" s="96" t="s">
        <v>113</v>
      </c>
      <c r="D79" s="96" t="s">
        <v>125</v>
      </c>
      <c r="E79" s="96" t="s">
        <v>126</v>
      </c>
      <c r="F79" s="96" t="s">
        <v>127</v>
      </c>
      <c r="G79" s="96" t="s">
        <v>128</v>
      </c>
      <c r="H79" s="96" t="s">
        <v>129</v>
      </c>
      <c r="I79" s="96" t="s">
        <v>130</v>
      </c>
    </row>
    <row r="80" spans="1:9" x14ac:dyDescent="0.25">
      <c r="A80" s="92" t="s">
        <v>118</v>
      </c>
      <c r="B80" s="92">
        <v>-2.3235885103959158E-3</v>
      </c>
      <c r="C80" s="92">
        <v>6.3934271292077757E-3</v>
      </c>
      <c r="D80" s="92">
        <v>-0.36343395544164697</v>
      </c>
      <c r="E80" s="92">
        <v>0.71853079242983275</v>
      </c>
      <c r="F80" s="92">
        <v>-1.5316595689451365E-2</v>
      </c>
      <c r="G80" s="92">
        <v>1.0669418668659532E-2</v>
      </c>
      <c r="H80" s="92">
        <v>-1.5316595689451365E-2</v>
      </c>
      <c r="I80" s="92">
        <v>1.0669418668659532E-2</v>
      </c>
    </row>
    <row r="81" spans="1:13" ht="15.75" thickBot="1" x14ac:dyDescent="0.3">
      <c r="A81" s="93" t="s">
        <v>99</v>
      </c>
      <c r="B81" s="104">
        <v>1.3422948598220923</v>
      </c>
      <c r="C81" s="93">
        <v>0.24860946132534886</v>
      </c>
      <c r="D81" s="93">
        <v>5.3992106843651664</v>
      </c>
      <c r="E81" s="93">
        <v>5.2042841181511654E-6</v>
      </c>
      <c r="F81" s="93">
        <v>0.83705964707921621</v>
      </c>
      <c r="G81" s="93">
        <v>1.8475300725649684</v>
      </c>
      <c r="H81" s="93">
        <v>0.83705964707921621</v>
      </c>
      <c r="I81" s="93">
        <v>1.8475300725649684</v>
      </c>
    </row>
    <row r="83" spans="1:13" x14ac:dyDescent="0.25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</row>
    <row r="85" spans="1:13" x14ac:dyDescent="0.25">
      <c r="A85" t="s">
        <v>135</v>
      </c>
    </row>
    <row r="86" spans="1:13" ht="15.75" thickBot="1" x14ac:dyDescent="0.3"/>
    <row r="87" spans="1:13" x14ac:dyDescent="0.25">
      <c r="A87" s="95" t="s">
        <v>109</v>
      </c>
      <c r="B87" s="95"/>
    </row>
    <row r="88" spans="1:13" x14ac:dyDescent="0.25">
      <c r="A88" s="92" t="s">
        <v>110</v>
      </c>
      <c r="B88" s="92">
        <v>0.55342840298962659</v>
      </c>
    </row>
    <row r="89" spans="1:13" x14ac:dyDescent="0.25">
      <c r="A89" s="92" t="s">
        <v>111</v>
      </c>
      <c r="B89" s="92">
        <v>0.30628299723564856</v>
      </c>
    </row>
    <row r="90" spans="1:13" x14ac:dyDescent="0.25">
      <c r="A90" s="92" t="s">
        <v>112</v>
      </c>
      <c r="B90" s="92">
        <v>0.28587955597787351</v>
      </c>
    </row>
    <row r="91" spans="1:13" x14ac:dyDescent="0.25">
      <c r="A91" s="92" t="s">
        <v>113</v>
      </c>
      <c r="B91" s="92">
        <v>4.8227233771212706E-2</v>
      </c>
    </row>
    <row r="92" spans="1:13" ht="15.75" thickBot="1" x14ac:dyDescent="0.3">
      <c r="A92" s="93" t="s">
        <v>114</v>
      </c>
      <c r="B92" s="93">
        <v>36</v>
      </c>
    </row>
    <row r="94" spans="1:13" ht="15.75" thickBot="1" x14ac:dyDescent="0.3">
      <c r="A94" t="s">
        <v>115</v>
      </c>
    </row>
    <row r="95" spans="1:13" x14ac:dyDescent="0.25">
      <c r="A95" s="94"/>
      <c r="B95" s="94" t="s">
        <v>119</v>
      </c>
      <c r="C95" s="94" t="s">
        <v>120</v>
      </c>
      <c r="D95" s="94" t="s">
        <v>121</v>
      </c>
      <c r="E95" s="94" t="s">
        <v>122</v>
      </c>
      <c r="F95" s="94" t="s">
        <v>123</v>
      </c>
    </row>
    <row r="96" spans="1:13" x14ac:dyDescent="0.25">
      <c r="A96" s="92" t="s">
        <v>116</v>
      </c>
      <c r="B96" s="92">
        <v>1</v>
      </c>
      <c r="C96" s="92">
        <v>3.4914366860991225E-2</v>
      </c>
      <c r="D96" s="92">
        <v>3.4914366860991225E-2</v>
      </c>
      <c r="E96" s="92">
        <v>15.011340163950765</v>
      </c>
      <c r="F96" s="92">
        <v>4.6337241108736096E-4</v>
      </c>
    </row>
    <row r="97" spans="1:9" x14ac:dyDescent="0.25">
      <c r="A97" s="92" t="s">
        <v>117</v>
      </c>
      <c r="B97" s="92">
        <v>34</v>
      </c>
      <c r="C97" s="92">
        <v>7.9079446625588787E-2</v>
      </c>
      <c r="D97" s="92">
        <v>2.3258660772231994E-3</v>
      </c>
      <c r="E97" s="92"/>
      <c r="F97" s="92"/>
    </row>
    <row r="98" spans="1:9" ht="15.75" thickBot="1" x14ac:dyDescent="0.3">
      <c r="A98" s="93" t="s">
        <v>65</v>
      </c>
      <c r="B98" s="93">
        <v>35</v>
      </c>
      <c r="C98" s="93">
        <v>0.11399381348658001</v>
      </c>
      <c r="D98" s="93"/>
      <c r="E98" s="93"/>
      <c r="F98" s="93"/>
    </row>
    <row r="99" spans="1:9" ht="15.75" thickBot="1" x14ac:dyDescent="0.3"/>
    <row r="100" spans="1:9" x14ac:dyDescent="0.25">
      <c r="A100" s="96"/>
      <c r="B100" s="96" t="s">
        <v>124</v>
      </c>
      <c r="C100" s="96" t="s">
        <v>113</v>
      </c>
      <c r="D100" s="96" t="s">
        <v>125</v>
      </c>
      <c r="E100" s="96" t="s">
        <v>126</v>
      </c>
      <c r="F100" s="96" t="s">
        <v>127</v>
      </c>
      <c r="G100" s="96" t="s">
        <v>128</v>
      </c>
      <c r="H100" s="96" t="s">
        <v>129</v>
      </c>
      <c r="I100" s="96" t="s">
        <v>130</v>
      </c>
    </row>
    <row r="101" spans="1:9" x14ac:dyDescent="0.25">
      <c r="A101" s="92" t="s">
        <v>118</v>
      </c>
      <c r="B101" s="92">
        <v>9.2357547222493182E-3</v>
      </c>
      <c r="C101" s="92">
        <v>8.1148587788233556E-3</v>
      </c>
      <c r="D101" s="92">
        <v>1.1381288293458744</v>
      </c>
      <c r="E101" s="92">
        <v>0.2630233018936165</v>
      </c>
      <c r="F101" s="92">
        <v>-7.2556224749031374E-3</v>
      </c>
      <c r="G101" s="92">
        <v>2.5727131919401774E-2</v>
      </c>
      <c r="H101" s="92">
        <v>-7.2556224749031374E-3</v>
      </c>
      <c r="I101" s="92">
        <v>2.5727131919401774E-2</v>
      </c>
    </row>
    <row r="102" spans="1:9" ht="15.75" thickBot="1" x14ac:dyDescent="0.3">
      <c r="A102" s="93" t="s">
        <v>99</v>
      </c>
      <c r="B102" s="104">
        <v>1.2225725274450361</v>
      </c>
      <c r="C102" s="93">
        <v>0.31554761303497281</v>
      </c>
      <c r="D102" s="93">
        <v>3.8744470784811034</v>
      </c>
      <c r="E102" s="93">
        <v>4.6337241108736221E-4</v>
      </c>
      <c r="F102" s="93">
        <v>0.58130262342640027</v>
      </c>
      <c r="G102" s="93">
        <v>1.8638424314636719</v>
      </c>
      <c r="H102" s="93">
        <v>0.58130262342640027</v>
      </c>
      <c r="I102" s="93">
        <v>1.8638424314636719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opLeftCell="A91" workbookViewId="0">
      <selection activeCell="B101" sqref="B101:B102"/>
    </sheetView>
  </sheetViews>
  <sheetFormatPr defaultRowHeight="15" x14ac:dyDescent="0.25"/>
  <cols>
    <col min="3" max="3" width="11.42578125" customWidth="1"/>
    <col min="6" max="6" width="12" customWidth="1"/>
    <col min="7" max="7" width="10.7109375" customWidth="1"/>
    <col min="8" max="8" width="11.140625" customWidth="1"/>
    <col min="9" max="9" width="12.7109375" customWidth="1"/>
    <col min="11" max="11" width="18" customWidth="1"/>
    <col min="12" max="12" width="17.7109375" customWidth="1"/>
    <col min="13" max="13" width="16.85546875" customWidth="1"/>
    <col min="14" max="14" width="15.42578125" customWidth="1"/>
    <col min="15" max="15" width="15.85546875" customWidth="1"/>
  </cols>
  <sheetData>
    <row r="1" spans="1:15" ht="15.75" thickBot="1" x14ac:dyDescent="0.3">
      <c r="A1" t="s">
        <v>146</v>
      </c>
    </row>
    <row r="2" spans="1:15" ht="15.75" thickBot="1" x14ac:dyDescent="0.3">
      <c r="K2" s="165" t="s">
        <v>152</v>
      </c>
      <c r="L2" s="166"/>
      <c r="M2" s="166"/>
      <c r="N2" s="166"/>
      <c r="O2" s="167"/>
    </row>
    <row r="3" spans="1:15" x14ac:dyDescent="0.25">
      <c r="A3" s="95" t="s">
        <v>109</v>
      </c>
      <c r="B3" s="95"/>
      <c r="K3" s="111" t="s">
        <v>38</v>
      </c>
      <c r="L3" s="112" t="s">
        <v>60</v>
      </c>
      <c r="M3" s="112" t="s">
        <v>71</v>
      </c>
      <c r="N3" s="112" t="s">
        <v>43</v>
      </c>
      <c r="O3" s="113" t="s">
        <v>47</v>
      </c>
    </row>
    <row r="4" spans="1:15" ht="15.75" thickBot="1" x14ac:dyDescent="0.3">
      <c r="A4" s="92" t="s">
        <v>110</v>
      </c>
      <c r="B4" s="92">
        <v>0.24179775501442749</v>
      </c>
      <c r="K4" s="108">
        <v>7.1407379902979776E-3</v>
      </c>
      <c r="L4" s="109">
        <v>6.3186930849007776E-3</v>
      </c>
      <c r="M4" s="109">
        <v>3.3684276205031617E-3</v>
      </c>
      <c r="N4" s="109">
        <v>2.5326269031018538E-3</v>
      </c>
      <c r="O4" s="110">
        <v>3.166494819071667E-3</v>
      </c>
    </row>
    <row r="5" spans="1:15" x14ac:dyDescent="0.25">
      <c r="A5" s="92" t="s">
        <v>111</v>
      </c>
      <c r="B5" s="92">
        <v>5.8466154330017096E-2</v>
      </c>
    </row>
    <row r="6" spans="1:15" x14ac:dyDescent="0.25">
      <c r="A6" s="92" t="s">
        <v>112</v>
      </c>
      <c r="B6" s="92">
        <v>3.0773982398547013E-2</v>
      </c>
    </row>
    <row r="7" spans="1:15" x14ac:dyDescent="0.25">
      <c r="A7" s="92" t="s">
        <v>113</v>
      </c>
      <c r="B7" s="92">
        <v>8.4518597409857718E-2</v>
      </c>
    </row>
    <row r="8" spans="1:15" ht="15.75" thickBot="1" x14ac:dyDescent="0.3">
      <c r="A8" s="93" t="s">
        <v>114</v>
      </c>
      <c r="B8" s="93">
        <v>36</v>
      </c>
    </row>
    <row r="10" spans="1:15" ht="15.75" thickBot="1" x14ac:dyDescent="0.3">
      <c r="A10" t="s">
        <v>115</v>
      </c>
      <c r="K10" t="s">
        <v>151</v>
      </c>
    </row>
    <row r="11" spans="1:15" x14ac:dyDescent="0.25">
      <c r="A11" s="94"/>
      <c r="B11" s="94" t="s">
        <v>119</v>
      </c>
      <c r="C11" s="94" t="s">
        <v>120</v>
      </c>
      <c r="D11" s="94" t="s">
        <v>121</v>
      </c>
      <c r="E11" s="94" t="s">
        <v>122</v>
      </c>
      <c r="F11" s="94" t="s">
        <v>123</v>
      </c>
    </row>
    <row r="12" spans="1:15" x14ac:dyDescent="0.25">
      <c r="A12" s="92" t="s">
        <v>116</v>
      </c>
      <c r="B12" s="92">
        <v>1</v>
      </c>
      <c r="C12" s="92">
        <v>1.5081761612150496E-2</v>
      </c>
      <c r="D12" s="92">
        <v>1.5081761612150496E-2</v>
      </c>
      <c r="E12" s="92">
        <v>2.1112881457873183</v>
      </c>
      <c r="F12" s="92">
        <v>0.15538410933495458</v>
      </c>
      <c r="K12" s="114" t="s">
        <v>155</v>
      </c>
      <c r="L12" s="115" t="s">
        <v>157</v>
      </c>
      <c r="M12" s="115" t="s">
        <v>153</v>
      </c>
      <c r="N12" s="115" t="s">
        <v>154</v>
      </c>
    </row>
    <row r="13" spans="1:15" x14ac:dyDescent="0.25">
      <c r="A13" s="92" t="s">
        <v>117</v>
      </c>
      <c r="B13" s="92">
        <v>34</v>
      </c>
      <c r="C13" s="92">
        <v>0.24287537247640664</v>
      </c>
      <c r="D13" s="92">
        <v>7.1433933081296074E-3</v>
      </c>
      <c r="E13" s="92"/>
      <c r="F13" s="92"/>
      <c r="K13" s="40">
        <v>6.4886209612390565E-4</v>
      </c>
      <c r="L13">
        <f>K4</f>
        <v>7.1407379902979776E-3</v>
      </c>
      <c r="M13">
        <f>(B18)^2 * K13</f>
        <v>4.1328237124997814E-4</v>
      </c>
      <c r="N13">
        <f>L13-M13</f>
        <v>6.7274556190479997E-3</v>
      </c>
    </row>
    <row r="14" spans="1:15" ht="15.75" thickBot="1" x14ac:dyDescent="0.3">
      <c r="A14" s="93" t="s">
        <v>65</v>
      </c>
      <c r="B14" s="93">
        <v>35</v>
      </c>
      <c r="C14" s="93">
        <v>0.25795713408855714</v>
      </c>
      <c r="D14" s="93"/>
      <c r="E14" s="93"/>
      <c r="F14" s="93"/>
    </row>
    <row r="15" spans="1:15" ht="15.75" thickBot="1" x14ac:dyDescent="0.3"/>
    <row r="16" spans="1:15" x14ac:dyDescent="0.25">
      <c r="A16" s="96"/>
      <c r="B16" s="96" t="s">
        <v>124</v>
      </c>
      <c r="C16" s="96" t="s">
        <v>113</v>
      </c>
      <c r="D16" s="96" t="s">
        <v>125</v>
      </c>
      <c r="E16" s="96" t="s">
        <v>126</v>
      </c>
      <c r="F16" s="96" t="s">
        <v>127</v>
      </c>
      <c r="G16" s="96" t="s">
        <v>128</v>
      </c>
      <c r="H16" s="96" t="s">
        <v>129</v>
      </c>
      <c r="I16" s="96" t="s">
        <v>130</v>
      </c>
    </row>
    <row r="17" spans="1:15" x14ac:dyDescent="0.25">
      <c r="A17" s="92" t="s">
        <v>118</v>
      </c>
      <c r="B17" s="92">
        <v>-1.2985837692648642E-2</v>
      </c>
      <c r="C17" s="92">
        <v>1.4094905087190315E-2</v>
      </c>
      <c r="D17" s="92">
        <v>-0.92131430558197847</v>
      </c>
      <c r="E17" s="92">
        <v>0.36337784137054074</v>
      </c>
      <c r="F17" s="92">
        <v>-4.1630131165445547E-2</v>
      </c>
      <c r="G17" s="92">
        <v>1.565845578014826E-2</v>
      </c>
      <c r="H17" s="92">
        <v>-4.1630131165445547E-2</v>
      </c>
      <c r="I17" s="92">
        <v>1.565845578014826E-2</v>
      </c>
    </row>
    <row r="18" spans="1:15" ht="15.75" thickBot="1" x14ac:dyDescent="0.3">
      <c r="A18" s="93" t="s">
        <v>142</v>
      </c>
      <c r="B18" s="104">
        <v>0.79808148898482301</v>
      </c>
      <c r="C18" s="93">
        <v>0.5492543221044307</v>
      </c>
      <c r="D18" s="93">
        <v>1.4530272350466507</v>
      </c>
      <c r="E18" s="93">
        <v>0.15538410933495492</v>
      </c>
      <c r="F18" s="93">
        <v>-0.31813759133093178</v>
      </c>
      <c r="G18" s="93">
        <v>1.9143005693005786</v>
      </c>
      <c r="H18" s="93">
        <v>-0.31813759133093178</v>
      </c>
      <c r="I18" s="93">
        <v>1.9143005693005786</v>
      </c>
    </row>
    <row r="20" spans="1:15" ht="15.75" thickBot="1" x14ac:dyDescent="0.3">
      <c r="A20" s="105"/>
      <c r="B20" s="105"/>
      <c r="C20" s="105"/>
      <c r="D20" s="105"/>
      <c r="E20" s="105"/>
      <c r="F20" s="105"/>
      <c r="G20" s="105"/>
      <c r="H20" s="105"/>
      <c r="I20" s="105"/>
    </row>
    <row r="21" spans="1:15" x14ac:dyDescent="0.25">
      <c r="K21" s="165" t="s">
        <v>152</v>
      </c>
      <c r="L21" s="166"/>
      <c r="M21" s="166"/>
      <c r="N21" s="166"/>
      <c r="O21" s="167"/>
    </row>
    <row r="22" spans="1:15" x14ac:dyDescent="0.25">
      <c r="A22" t="s">
        <v>147</v>
      </c>
      <c r="K22" s="111" t="s">
        <v>38</v>
      </c>
      <c r="L22" s="112" t="s">
        <v>60</v>
      </c>
      <c r="M22" s="112" t="s">
        <v>71</v>
      </c>
      <c r="N22" s="112" t="s">
        <v>43</v>
      </c>
      <c r="O22" s="113" t="s">
        <v>47</v>
      </c>
    </row>
    <row r="23" spans="1:15" ht="15.75" thickBot="1" x14ac:dyDescent="0.3">
      <c r="K23" s="108">
        <v>7.1407379902979776E-3</v>
      </c>
      <c r="L23" s="109">
        <v>6.3186930849007776E-3</v>
      </c>
      <c r="M23" s="109">
        <v>3.3684276205031617E-3</v>
      </c>
      <c r="N23" s="109">
        <v>2.5326269031018538E-3</v>
      </c>
      <c r="O23" s="110">
        <v>3.166494819071667E-3</v>
      </c>
    </row>
    <row r="24" spans="1:15" x14ac:dyDescent="0.25">
      <c r="A24" s="95" t="s">
        <v>109</v>
      </c>
      <c r="B24" s="95"/>
    </row>
    <row r="25" spans="1:15" x14ac:dyDescent="0.25">
      <c r="A25" s="92" t="s">
        <v>110</v>
      </c>
      <c r="B25" s="92">
        <v>0.46782216741609722</v>
      </c>
    </row>
    <row r="26" spans="1:15" x14ac:dyDescent="0.25">
      <c r="A26" s="92" t="s">
        <v>111</v>
      </c>
      <c r="B26" s="92">
        <v>0.21885758032589489</v>
      </c>
    </row>
    <row r="27" spans="1:15" x14ac:dyDescent="0.25">
      <c r="A27" s="92" t="s">
        <v>112</v>
      </c>
      <c r="B27" s="92">
        <v>0.1958828032766565</v>
      </c>
    </row>
    <row r="28" spans="1:15" x14ac:dyDescent="0.25">
      <c r="A28" s="92" t="s">
        <v>113</v>
      </c>
      <c r="B28" s="92">
        <v>7.2340051564391328E-2</v>
      </c>
    </row>
    <row r="29" spans="1:15" ht="15.75" thickBot="1" x14ac:dyDescent="0.3">
      <c r="A29" s="93" t="s">
        <v>114</v>
      </c>
      <c r="B29" s="93">
        <v>36</v>
      </c>
      <c r="K29" t="s">
        <v>151</v>
      </c>
    </row>
    <row r="31" spans="1:15" ht="15.75" thickBot="1" x14ac:dyDescent="0.3">
      <c r="A31" t="s">
        <v>115</v>
      </c>
      <c r="K31" s="114" t="s">
        <v>155</v>
      </c>
      <c r="L31" s="97" t="s">
        <v>156</v>
      </c>
      <c r="M31" s="97" t="s">
        <v>153</v>
      </c>
      <c r="N31" s="97" t="s">
        <v>154</v>
      </c>
    </row>
    <row r="32" spans="1:15" x14ac:dyDescent="0.25">
      <c r="A32" s="94"/>
      <c r="B32" s="94" t="s">
        <v>119</v>
      </c>
      <c r="C32" s="94" t="s">
        <v>120</v>
      </c>
      <c r="D32" s="94" t="s">
        <v>121</v>
      </c>
      <c r="E32" s="94" t="s">
        <v>122</v>
      </c>
      <c r="F32" s="94" t="s">
        <v>123</v>
      </c>
      <c r="K32" s="40">
        <v>6.4886209612390565E-4</v>
      </c>
      <c r="L32">
        <f>L23</f>
        <v>6.3186930849007776E-3</v>
      </c>
      <c r="M32">
        <f>(B39)^2 * K32</f>
        <v>1.3660378236431644E-3</v>
      </c>
      <c r="N32">
        <f>L32-M32</f>
        <v>4.952655261257613E-3</v>
      </c>
    </row>
    <row r="33" spans="1:15" x14ac:dyDescent="0.25">
      <c r="A33" s="92" t="s">
        <v>116</v>
      </c>
      <c r="B33" s="92">
        <v>1</v>
      </c>
      <c r="C33" s="92">
        <v>4.9850316012887919E-2</v>
      </c>
      <c r="D33" s="92">
        <v>4.9850316012887919E-2</v>
      </c>
      <c r="E33" s="92">
        <v>9.525993651944928</v>
      </c>
      <c r="F33" s="92">
        <v>4.0130829790228058E-3</v>
      </c>
    </row>
    <row r="34" spans="1:15" x14ac:dyDescent="0.25">
      <c r="A34" s="92" t="s">
        <v>117</v>
      </c>
      <c r="B34" s="92">
        <v>34</v>
      </c>
      <c r="C34" s="92">
        <v>0.1779248240515191</v>
      </c>
      <c r="D34" s="92">
        <v>5.2330830603387968E-3</v>
      </c>
      <c r="E34" s="92"/>
      <c r="F34" s="92"/>
    </row>
    <row r="35" spans="1:15" ht="15.75" thickBot="1" x14ac:dyDescent="0.3">
      <c r="A35" s="93" t="s">
        <v>65</v>
      </c>
      <c r="B35" s="93">
        <v>35</v>
      </c>
      <c r="C35" s="93">
        <v>0.22777514006440702</v>
      </c>
      <c r="D35" s="93"/>
      <c r="E35" s="93"/>
      <c r="F35" s="93"/>
    </row>
    <row r="36" spans="1:15" ht="15.75" thickBot="1" x14ac:dyDescent="0.3"/>
    <row r="37" spans="1:15" x14ac:dyDescent="0.25">
      <c r="A37" s="94"/>
      <c r="B37" s="96" t="s">
        <v>124</v>
      </c>
      <c r="C37" s="96" t="s">
        <v>113</v>
      </c>
      <c r="D37" s="96" t="s">
        <v>125</v>
      </c>
      <c r="E37" s="96" t="s">
        <v>126</v>
      </c>
      <c r="F37" s="96" t="s">
        <v>127</v>
      </c>
      <c r="G37" s="96" t="s">
        <v>128</v>
      </c>
      <c r="H37" s="96" t="s">
        <v>129</v>
      </c>
      <c r="I37" s="96" t="s">
        <v>130</v>
      </c>
    </row>
    <row r="38" spans="1:15" x14ac:dyDescent="0.25">
      <c r="A38" s="92" t="s">
        <v>118</v>
      </c>
      <c r="B38" s="92">
        <v>-8.0065468667311519E-3</v>
      </c>
      <c r="C38" s="92">
        <v>1.2063926662886462E-2</v>
      </c>
      <c r="D38" s="92">
        <v>-0.66367668591376161</v>
      </c>
      <c r="E38" s="92">
        <v>0.51137275377536207</v>
      </c>
      <c r="F38" s="92">
        <v>-3.2523395588193796E-2</v>
      </c>
      <c r="G38" s="92">
        <v>1.6510301854731492E-2</v>
      </c>
      <c r="H38" s="92">
        <v>-3.2523395588193796E-2</v>
      </c>
      <c r="I38" s="92">
        <v>1.6510301854731492E-2</v>
      </c>
    </row>
    <row r="39" spans="1:15" ht="15.75" thickBot="1" x14ac:dyDescent="0.3">
      <c r="A39" s="93" t="s">
        <v>142</v>
      </c>
      <c r="B39" s="104">
        <v>1.4509590634224601</v>
      </c>
      <c r="C39" s="93">
        <v>0.47011056975213256</v>
      </c>
      <c r="D39" s="93">
        <v>3.0864208481580921</v>
      </c>
      <c r="E39" s="93">
        <v>4.0130829790228275E-3</v>
      </c>
      <c r="F39" s="93">
        <v>0.49557943927146497</v>
      </c>
      <c r="G39" s="93">
        <v>2.4063386875734567</v>
      </c>
      <c r="H39" s="93">
        <v>0.49557943927146497</v>
      </c>
      <c r="I39" s="93">
        <v>2.4063386875734567</v>
      </c>
    </row>
    <row r="41" spans="1:15" ht="15.75" thickBot="1" x14ac:dyDescent="0.3">
      <c r="A41" s="105"/>
      <c r="B41" s="105"/>
      <c r="C41" s="105"/>
      <c r="D41" s="105"/>
      <c r="E41" s="105"/>
      <c r="F41" s="105"/>
      <c r="G41" s="105"/>
      <c r="H41" s="105"/>
      <c r="I41" s="105"/>
    </row>
    <row r="42" spans="1:15" x14ac:dyDescent="0.25">
      <c r="K42" s="165" t="s">
        <v>152</v>
      </c>
      <c r="L42" s="166"/>
      <c r="M42" s="166"/>
      <c r="N42" s="166"/>
      <c r="O42" s="167"/>
    </row>
    <row r="43" spans="1:15" x14ac:dyDescent="0.25">
      <c r="A43" t="s">
        <v>148</v>
      </c>
      <c r="K43" s="111" t="s">
        <v>38</v>
      </c>
      <c r="L43" s="112" t="s">
        <v>60</v>
      </c>
      <c r="M43" s="112" t="s">
        <v>71</v>
      </c>
      <c r="N43" s="112" t="s">
        <v>43</v>
      </c>
      <c r="O43" s="113" t="s">
        <v>47</v>
      </c>
    </row>
    <row r="44" spans="1:15" ht="15.75" thickBot="1" x14ac:dyDescent="0.3">
      <c r="K44" s="108">
        <v>7.1407379902979776E-3</v>
      </c>
      <c r="L44" s="109">
        <v>6.3186930849007776E-3</v>
      </c>
      <c r="M44" s="109">
        <v>3.3684276205031617E-3</v>
      </c>
      <c r="N44" s="109">
        <v>2.5326269031018538E-3</v>
      </c>
      <c r="O44" s="110">
        <v>3.166494819071667E-3</v>
      </c>
    </row>
    <row r="45" spans="1:15" x14ac:dyDescent="0.25">
      <c r="A45" s="95" t="s">
        <v>109</v>
      </c>
      <c r="B45" s="95"/>
    </row>
    <row r="46" spans="1:15" x14ac:dyDescent="0.25">
      <c r="A46" s="92" t="s">
        <v>110</v>
      </c>
      <c r="B46" s="92">
        <v>0.40143353571880253</v>
      </c>
    </row>
    <row r="47" spans="1:15" x14ac:dyDescent="0.25">
      <c r="A47" s="92" t="s">
        <v>111</v>
      </c>
      <c r="B47" s="92">
        <v>0.16114888359969909</v>
      </c>
    </row>
    <row r="48" spans="1:15" x14ac:dyDescent="0.25">
      <c r="A48" s="92" t="s">
        <v>112</v>
      </c>
      <c r="B48" s="92">
        <v>0.1364767919408667</v>
      </c>
    </row>
    <row r="49" spans="1:15" x14ac:dyDescent="0.25">
      <c r="A49" s="92" t="s">
        <v>113</v>
      </c>
      <c r="B49" s="92">
        <v>5.4534903470445706E-2</v>
      </c>
    </row>
    <row r="50" spans="1:15" ht="15.75" thickBot="1" x14ac:dyDescent="0.3">
      <c r="A50" s="93" t="s">
        <v>114</v>
      </c>
      <c r="B50" s="93">
        <v>36</v>
      </c>
      <c r="K50" t="s">
        <v>151</v>
      </c>
    </row>
    <row r="52" spans="1:15" ht="15.75" thickBot="1" x14ac:dyDescent="0.3">
      <c r="A52" t="s">
        <v>115</v>
      </c>
      <c r="K52" s="114" t="s">
        <v>155</v>
      </c>
      <c r="L52" s="97" t="s">
        <v>159</v>
      </c>
      <c r="M52" s="97" t="s">
        <v>153</v>
      </c>
      <c r="N52" s="97" t="s">
        <v>154</v>
      </c>
    </row>
    <row r="53" spans="1:15" x14ac:dyDescent="0.25">
      <c r="A53" s="94"/>
      <c r="B53" s="94" t="s">
        <v>119</v>
      </c>
      <c r="C53" s="94" t="s">
        <v>120</v>
      </c>
      <c r="D53" s="94" t="s">
        <v>121</v>
      </c>
      <c r="E53" s="94" t="s">
        <v>122</v>
      </c>
      <c r="F53" s="94" t="s">
        <v>123</v>
      </c>
      <c r="K53" s="40">
        <v>6.4886209612390565E-4</v>
      </c>
      <c r="L53">
        <f>M44</f>
        <v>3.3684276205031617E-3</v>
      </c>
      <c r="M53">
        <f>(B60^2)*K53</f>
        <v>5.3231075096557199E-4</v>
      </c>
      <c r="N53">
        <f>L53-M53</f>
        <v>2.8361168695375896E-3</v>
      </c>
    </row>
    <row r="54" spans="1:15" x14ac:dyDescent="0.25">
      <c r="A54" s="92" t="s">
        <v>116</v>
      </c>
      <c r="B54" s="92">
        <v>1</v>
      </c>
      <c r="C54" s="92">
        <v>1.9425420506967689E-2</v>
      </c>
      <c r="D54" s="92">
        <v>1.9425420506967689E-2</v>
      </c>
      <c r="E54" s="92">
        <v>6.531626334243505</v>
      </c>
      <c r="F54" s="92">
        <v>1.5238958806712522E-2</v>
      </c>
    </row>
    <row r="55" spans="1:15" x14ac:dyDescent="0.25">
      <c r="A55" s="92" t="s">
        <v>117</v>
      </c>
      <c r="B55" s="92">
        <v>34</v>
      </c>
      <c r="C55" s="92">
        <v>0.10111789368204827</v>
      </c>
      <c r="D55" s="92">
        <v>2.9740556965308315E-3</v>
      </c>
      <c r="E55" s="92"/>
      <c r="F55" s="92"/>
    </row>
    <row r="56" spans="1:15" ht="15.75" thickBot="1" x14ac:dyDescent="0.3">
      <c r="A56" s="93" t="s">
        <v>65</v>
      </c>
      <c r="B56" s="93">
        <v>35</v>
      </c>
      <c r="C56" s="93">
        <v>0.12054331418901595</v>
      </c>
      <c r="D56" s="93"/>
      <c r="E56" s="93"/>
      <c r="F56" s="93"/>
    </row>
    <row r="57" spans="1:15" ht="15.75" thickBot="1" x14ac:dyDescent="0.3"/>
    <row r="58" spans="1:15" x14ac:dyDescent="0.25">
      <c r="A58" s="96"/>
      <c r="B58" s="96" t="s">
        <v>124</v>
      </c>
      <c r="C58" s="96" t="s">
        <v>113</v>
      </c>
      <c r="D58" s="96" t="s">
        <v>125</v>
      </c>
      <c r="E58" s="96" t="s">
        <v>126</v>
      </c>
      <c r="F58" s="96" t="s">
        <v>127</v>
      </c>
      <c r="G58" s="96" t="s">
        <v>128</v>
      </c>
      <c r="H58" s="96" t="s">
        <v>129</v>
      </c>
      <c r="I58" s="96" t="s">
        <v>130</v>
      </c>
    </row>
    <row r="59" spans="1:15" x14ac:dyDescent="0.25">
      <c r="A59" s="92" t="s">
        <v>118</v>
      </c>
      <c r="B59" s="92">
        <v>-6.7893150584549854E-3</v>
      </c>
      <c r="C59" s="92">
        <v>9.0946171838077131E-3</v>
      </c>
      <c r="D59" s="92">
        <v>-0.74652015815936201</v>
      </c>
      <c r="E59" s="92">
        <v>0.46048440399620016</v>
      </c>
      <c r="F59" s="92">
        <v>-2.5271800894594788E-2</v>
      </c>
      <c r="G59" s="92">
        <v>1.1693170777684819E-2</v>
      </c>
      <c r="H59" s="92">
        <v>-2.5271800894594788E-2</v>
      </c>
      <c r="I59" s="92">
        <v>1.1693170777684819E-2</v>
      </c>
    </row>
    <row r="60" spans="1:15" ht="15.75" thickBot="1" x14ac:dyDescent="0.3">
      <c r="A60" s="93" t="s">
        <v>142</v>
      </c>
      <c r="B60" s="104">
        <v>0.905745982177804</v>
      </c>
      <c r="C60" s="93">
        <v>0.35440166252920607</v>
      </c>
      <c r="D60" s="93">
        <v>2.5557046649101491</v>
      </c>
      <c r="E60" s="93">
        <v>1.5238958806712579E-2</v>
      </c>
      <c r="F60" s="93">
        <v>0.18551514940975411</v>
      </c>
      <c r="G60" s="93">
        <v>1.6259768149458544</v>
      </c>
      <c r="H60" s="93">
        <v>0.18551514940975411</v>
      </c>
      <c r="I60" s="93">
        <v>1.6259768149458544</v>
      </c>
    </row>
    <row r="62" spans="1:15" ht="15.75" thickBot="1" x14ac:dyDescent="0.3">
      <c r="A62" s="105"/>
      <c r="B62" s="105"/>
      <c r="C62" s="105"/>
      <c r="D62" s="105"/>
      <c r="E62" s="105"/>
      <c r="F62" s="105"/>
      <c r="G62" s="105"/>
      <c r="H62" s="105"/>
      <c r="I62" s="105"/>
    </row>
    <row r="63" spans="1:15" x14ac:dyDescent="0.25">
      <c r="K63" s="165" t="s">
        <v>152</v>
      </c>
      <c r="L63" s="166"/>
      <c r="M63" s="166"/>
      <c r="N63" s="166"/>
      <c r="O63" s="167"/>
    </row>
    <row r="64" spans="1:15" x14ac:dyDescent="0.25">
      <c r="A64" t="s">
        <v>149</v>
      </c>
      <c r="K64" s="111" t="s">
        <v>38</v>
      </c>
      <c r="L64" s="112" t="s">
        <v>60</v>
      </c>
      <c r="M64" s="112" t="s">
        <v>71</v>
      </c>
      <c r="N64" s="112" t="s">
        <v>43</v>
      </c>
      <c r="O64" s="113" t="s">
        <v>47</v>
      </c>
    </row>
    <row r="65" spans="1:15" ht="15.75" thickBot="1" x14ac:dyDescent="0.3">
      <c r="K65" s="108">
        <v>7.1407379902979776E-3</v>
      </c>
      <c r="L65" s="109">
        <v>6.3186930849007776E-3</v>
      </c>
      <c r="M65" s="109">
        <v>3.3684276205031617E-3</v>
      </c>
      <c r="N65" s="109">
        <v>2.5326269031018538E-3</v>
      </c>
      <c r="O65" s="110">
        <v>3.166494819071667E-3</v>
      </c>
    </row>
    <row r="66" spans="1:15" x14ac:dyDescent="0.25">
      <c r="A66" s="95" t="s">
        <v>109</v>
      </c>
      <c r="B66" s="95"/>
    </row>
    <row r="67" spans="1:15" x14ac:dyDescent="0.25">
      <c r="A67" s="92" t="s">
        <v>110</v>
      </c>
      <c r="B67" s="92">
        <v>0.67775297022792003</v>
      </c>
    </row>
    <row r="68" spans="1:15" x14ac:dyDescent="0.25">
      <c r="A68" s="92" t="s">
        <v>111</v>
      </c>
      <c r="B68" s="92">
        <v>0.45934908865276791</v>
      </c>
    </row>
    <row r="69" spans="1:15" x14ac:dyDescent="0.25">
      <c r="A69" s="92" t="s">
        <v>112</v>
      </c>
      <c r="B69" s="92">
        <v>0.44344759126020228</v>
      </c>
    </row>
    <row r="70" spans="1:15" x14ac:dyDescent="0.25">
      <c r="A70" s="92" t="s">
        <v>113</v>
      </c>
      <c r="B70" s="92">
        <v>3.8061407001003002E-2</v>
      </c>
    </row>
    <row r="71" spans="1:15" ht="15.75" thickBot="1" x14ac:dyDescent="0.3">
      <c r="A71" s="93" t="s">
        <v>114</v>
      </c>
      <c r="B71" s="93">
        <v>36</v>
      </c>
      <c r="K71" t="s">
        <v>151</v>
      </c>
    </row>
    <row r="73" spans="1:15" ht="15.75" thickBot="1" x14ac:dyDescent="0.3">
      <c r="A73" t="s">
        <v>115</v>
      </c>
      <c r="K73" s="114" t="s">
        <v>155</v>
      </c>
      <c r="L73" s="97" t="s">
        <v>158</v>
      </c>
      <c r="M73" s="97" t="s">
        <v>153</v>
      </c>
      <c r="N73" s="97" t="s">
        <v>154</v>
      </c>
    </row>
    <row r="74" spans="1:15" x14ac:dyDescent="0.25">
      <c r="A74" s="94"/>
      <c r="B74" s="94" t="s">
        <v>119</v>
      </c>
      <c r="C74" s="94" t="s">
        <v>120</v>
      </c>
      <c r="D74" s="94" t="s">
        <v>121</v>
      </c>
      <c r="E74" s="94" t="s">
        <v>122</v>
      </c>
      <c r="F74" s="94" t="s">
        <v>123</v>
      </c>
      <c r="K74" s="40">
        <v>6.4886209612390565E-4</v>
      </c>
      <c r="L74">
        <f>N65</f>
        <v>2.5326269031018538E-3</v>
      </c>
      <c r="M74">
        <f>(B81^2)*K74</f>
        <v>1.1467515155209396E-3</v>
      </c>
      <c r="N74">
        <f>L74-M74</f>
        <v>1.3858753875809141E-3</v>
      </c>
    </row>
    <row r="75" spans="1:15" x14ac:dyDescent="0.25">
      <c r="A75" s="92" t="s">
        <v>116</v>
      </c>
      <c r="B75" s="92">
        <v>1</v>
      </c>
      <c r="C75" s="92">
        <v>4.1847981401069503E-2</v>
      </c>
      <c r="D75" s="92">
        <v>4.1847981401069503E-2</v>
      </c>
      <c r="E75" s="92">
        <v>28.887159322965726</v>
      </c>
      <c r="F75" s="92">
        <v>5.6012067025753063E-6</v>
      </c>
    </row>
    <row r="76" spans="1:15" x14ac:dyDescent="0.25">
      <c r="A76" s="92" t="s">
        <v>117</v>
      </c>
      <c r="B76" s="92">
        <v>34</v>
      </c>
      <c r="C76" s="92">
        <v>4.9254803898464011E-2</v>
      </c>
      <c r="D76" s="92">
        <v>1.4486707028960003E-3</v>
      </c>
      <c r="E76" s="92"/>
      <c r="F76" s="92"/>
    </row>
    <row r="77" spans="1:15" ht="15.75" thickBot="1" x14ac:dyDescent="0.3">
      <c r="A77" s="93" t="s">
        <v>65</v>
      </c>
      <c r="B77" s="93">
        <v>35</v>
      </c>
      <c r="C77" s="93">
        <v>9.1102785299533515E-2</v>
      </c>
      <c r="D77" s="93"/>
      <c r="E77" s="93"/>
      <c r="F77" s="93"/>
    </row>
    <row r="78" spans="1:15" ht="15.75" thickBot="1" x14ac:dyDescent="0.3"/>
    <row r="79" spans="1:15" x14ac:dyDescent="0.25">
      <c r="A79" s="96"/>
      <c r="B79" s="96" t="s">
        <v>124</v>
      </c>
      <c r="C79" s="96" t="s">
        <v>113</v>
      </c>
      <c r="D79" s="96" t="s">
        <v>125</v>
      </c>
      <c r="E79" s="96" t="s">
        <v>126</v>
      </c>
      <c r="F79" s="96" t="s">
        <v>127</v>
      </c>
      <c r="G79" s="96" t="s">
        <v>128</v>
      </c>
      <c r="H79" s="96" t="s">
        <v>129</v>
      </c>
      <c r="I79" s="96" t="s">
        <v>130</v>
      </c>
    </row>
    <row r="80" spans="1:15" x14ac:dyDescent="0.25">
      <c r="A80" s="92" t="s">
        <v>118</v>
      </c>
      <c r="B80" s="92">
        <v>-8.2087312164163357E-4</v>
      </c>
      <c r="C80" s="92">
        <v>6.3473831275563455E-3</v>
      </c>
      <c r="D80" s="92">
        <v>-0.12932465319100067</v>
      </c>
      <c r="E80" s="92">
        <v>0.89786280579063016</v>
      </c>
      <c r="F80" s="92">
        <v>-1.3720307631153948E-2</v>
      </c>
      <c r="G80" s="92">
        <v>1.207856138787068E-2</v>
      </c>
      <c r="H80" s="92">
        <v>-1.3720307631153948E-2</v>
      </c>
      <c r="I80" s="92">
        <v>1.207856138787068E-2</v>
      </c>
    </row>
    <row r="81" spans="1:15" ht="15.75" thickBot="1" x14ac:dyDescent="0.3">
      <c r="A81" s="93" t="s">
        <v>142</v>
      </c>
      <c r="B81" s="104">
        <v>1.3294085230708399</v>
      </c>
      <c r="C81" s="93">
        <v>0.24734665436175901</v>
      </c>
      <c r="D81" s="93">
        <v>5.3746776017697773</v>
      </c>
      <c r="E81" s="93">
        <v>5.6012067025752859E-6</v>
      </c>
      <c r="F81" s="93">
        <v>0.82673964284604462</v>
      </c>
      <c r="G81" s="93">
        <v>1.8320774032956293</v>
      </c>
      <c r="H81" s="93">
        <v>0.82673964284604462</v>
      </c>
      <c r="I81" s="93">
        <v>1.8320774032956293</v>
      </c>
    </row>
    <row r="83" spans="1:15" ht="15.75" thickBot="1" x14ac:dyDescent="0.3">
      <c r="A83" s="105"/>
      <c r="B83" s="105"/>
      <c r="C83" s="105"/>
      <c r="D83" s="105"/>
      <c r="E83" s="105"/>
      <c r="F83" s="105"/>
      <c r="G83" s="105"/>
      <c r="H83" s="105"/>
      <c r="I83" s="105"/>
    </row>
    <row r="84" spans="1:15" x14ac:dyDescent="0.25">
      <c r="K84" s="165" t="s">
        <v>152</v>
      </c>
      <c r="L84" s="166"/>
      <c r="M84" s="166"/>
      <c r="N84" s="166"/>
      <c r="O84" s="167"/>
    </row>
    <row r="85" spans="1:15" x14ac:dyDescent="0.25">
      <c r="A85" t="s">
        <v>150</v>
      </c>
      <c r="K85" s="111" t="s">
        <v>38</v>
      </c>
      <c r="L85" s="112" t="s">
        <v>60</v>
      </c>
      <c r="M85" s="112" t="s">
        <v>71</v>
      </c>
      <c r="N85" s="112" t="s">
        <v>43</v>
      </c>
      <c r="O85" s="113" t="s">
        <v>47</v>
      </c>
    </row>
    <row r="86" spans="1:15" ht="15.75" thickBot="1" x14ac:dyDescent="0.3">
      <c r="K86" s="108">
        <v>7.1407379902979776E-3</v>
      </c>
      <c r="L86" s="109">
        <v>6.3186930849007776E-3</v>
      </c>
      <c r="M86" s="109">
        <v>3.3684276205031617E-3</v>
      </c>
      <c r="N86" s="109">
        <v>2.5326269031018538E-3</v>
      </c>
      <c r="O86" s="110">
        <v>3.166494819071667E-3</v>
      </c>
    </row>
    <row r="87" spans="1:15" x14ac:dyDescent="0.25">
      <c r="A87" s="95" t="s">
        <v>109</v>
      </c>
      <c r="B87" s="95"/>
    </row>
    <row r="88" spans="1:15" x14ac:dyDescent="0.25">
      <c r="A88" s="92" t="s">
        <v>110</v>
      </c>
      <c r="B88" s="92">
        <v>0.55352494244270412</v>
      </c>
    </row>
    <row r="89" spans="1:15" x14ac:dyDescent="0.25">
      <c r="A89" s="92" t="s">
        <v>111</v>
      </c>
      <c r="B89" s="92">
        <v>0.30638986190619888</v>
      </c>
    </row>
    <row r="90" spans="1:15" x14ac:dyDescent="0.25">
      <c r="A90" s="92" t="s">
        <v>112</v>
      </c>
      <c r="B90" s="92">
        <v>0.28598956372696943</v>
      </c>
    </row>
    <row r="91" spans="1:15" x14ac:dyDescent="0.25">
      <c r="A91" s="92" t="s">
        <v>113</v>
      </c>
      <c r="B91" s="92">
        <v>4.8246099760671006E-2</v>
      </c>
    </row>
    <row r="92" spans="1:15" ht="15.75" thickBot="1" x14ac:dyDescent="0.3">
      <c r="A92" s="93" t="s">
        <v>114</v>
      </c>
      <c r="B92" s="93">
        <v>36</v>
      </c>
      <c r="K92" t="s">
        <v>151</v>
      </c>
    </row>
    <row r="94" spans="1:15" ht="15.75" thickBot="1" x14ac:dyDescent="0.3">
      <c r="A94" t="s">
        <v>115</v>
      </c>
      <c r="K94" s="114" t="s">
        <v>155</v>
      </c>
      <c r="L94" s="97" t="s">
        <v>160</v>
      </c>
      <c r="M94" s="97" t="s">
        <v>153</v>
      </c>
      <c r="N94" s="97" t="s">
        <v>154</v>
      </c>
    </row>
    <row r="95" spans="1:15" x14ac:dyDescent="0.25">
      <c r="A95" s="94"/>
      <c r="B95" s="94" t="s">
        <v>119</v>
      </c>
      <c r="C95" s="94" t="s">
        <v>120</v>
      </c>
      <c r="D95" s="94" t="s">
        <v>121</v>
      </c>
      <c r="E95" s="94" t="s">
        <v>122</v>
      </c>
      <c r="F95" s="94" t="s">
        <v>123</v>
      </c>
      <c r="K95" s="40">
        <v>6.4886209612390565E-4</v>
      </c>
      <c r="L95">
        <f>O86</f>
        <v>3.166494819071667E-3</v>
      </c>
      <c r="M95">
        <f>(B102^2)*K95</f>
        <v>9.5798146262244762E-4</v>
      </c>
      <c r="N95">
        <f>L95-M95</f>
        <v>2.2085133564492196E-3</v>
      </c>
    </row>
    <row r="96" spans="1:15" x14ac:dyDescent="0.25">
      <c r="A96" s="92" t="s">
        <v>116</v>
      </c>
      <c r="B96" s="92">
        <v>1</v>
      </c>
      <c r="C96" s="92">
        <v>3.495926527045605E-2</v>
      </c>
      <c r="D96" s="92">
        <v>3.495926527045605E-2</v>
      </c>
      <c r="E96" s="92">
        <v>15.018891352193549</v>
      </c>
      <c r="F96" s="92">
        <v>4.6209133836912355E-4</v>
      </c>
    </row>
    <row r="97" spans="1:9" x14ac:dyDescent="0.25">
      <c r="A97" s="92" t="s">
        <v>117</v>
      </c>
      <c r="B97" s="92">
        <v>34</v>
      </c>
      <c r="C97" s="92">
        <v>7.9141328831965035E-2</v>
      </c>
      <c r="D97" s="92">
        <v>2.3276861421166186E-3</v>
      </c>
      <c r="E97" s="92"/>
      <c r="F97" s="92"/>
    </row>
    <row r="98" spans="1:9" ht="15.75" thickBot="1" x14ac:dyDescent="0.3">
      <c r="A98" s="93" t="s">
        <v>65</v>
      </c>
      <c r="B98" s="93">
        <v>35</v>
      </c>
      <c r="C98" s="93">
        <v>0.11410059410242109</v>
      </c>
      <c r="D98" s="93"/>
      <c r="E98" s="93"/>
      <c r="F98" s="93"/>
    </row>
    <row r="99" spans="1:9" ht="15.75" thickBot="1" x14ac:dyDescent="0.3"/>
    <row r="100" spans="1:9" x14ac:dyDescent="0.25">
      <c r="A100" s="94"/>
      <c r="B100" s="96" t="s">
        <v>124</v>
      </c>
      <c r="C100" s="96" t="s">
        <v>113</v>
      </c>
      <c r="D100" s="96" t="s">
        <v>125</v>
      </c>
      <c r="E100" s="96" t="s">
        <v>126</v>
      </c>
      <c r="F100" s="96" t="s">
        <v>127</v>
      </c>
      <c r="G100" s="96" t="s">
        <v>128</v>
      </c>
      <c r="H100" s="96" t="s">
        <v>129</v>
      </c>
      <c r="I100" s="96" t="s">
        <v>130</v>
      </c>
    </row>
    <row r="101" spans="1:9" x14ac:dyDescent="0.25">
      <c r="A101" s="92" t="s">
        <v>118</v>
      </c>
      <c r="B101" s="92">
        <v>1.0213657239238901E-2</v>
      </c>
      <c r="C101" s="92">
        <v>8.0458528394185044E-3</v>
      </c>
      <c r="D101" s="92">
        <v>1.2694312763464697</v>
      </c>
      <c r="E101" s="92">
        <v>0.21290800805634089</v>
      </c>
      <c r="F101" s="92">
        <v>-6.1374830164477364E-3</v>
      </c>
      <c r="G101" s="92">
        <v>2.6564797494925532E-2</v>
      </c>
      <c r="H101" s="92">
        <v>-6.1374830164477364E-3</v>
      </c>
      <c r="I101" s="92">
        <v>2.6564797494925532E-2</v>
      </c>
    </row>
    <row r="102" spans="1:9" ht="15.75" thickBot="1" x14ac:dyDescent="0.3">
      <c r="A102" s="93" t="s">
        <v>142</v>
      </c>
      <c r="B102" s="104">
        <v>1.21507294271221</v>
      </c>
      <c r="C102" s="93">
        <v>0.31353311141364693</v>
      </c>
      <c r="D102" s="93">
        <v>3.8754214418813282</v>
      </c>
      <c r="E102" s="93">
        <v>4.6209133836912355E-4</v>
      </c>
      <c r="F102" s="93">
        <v>0.57789699855253007</v>
      </c>
      <c r="G102" s="93">
        <v>1.8522488868718994</v>
      </c>
      <c r="H102" s="93">
        <v>0.57789699855253007</v>
      </c>
      <c r="I102" s="93">
        <v>1.8522488868718994</v>
      </c>
    </row>
    <row r="104" spans="1:9" x14ac:dyDescent="0.25">
      <c r="A104" s="105"/>
      <c r="B104" s="105"/>
      <c r="C104" s="105"/>
      <c r="D104" s="105"/>
      <c r="E104" s="105"/>
      <c r="F104" s="105"/>
      <c r="G104" s="105"/>
      <c r="H104" s="105"/>
      <c r="I104" s="105"/>
    </row>
  </sheetData>
  <mergeCells count="5">
    <mergeCell ref="K2:O2"/>
    <mergeCell ref="K21:O21"/>
    <mergeCell ref="K42:O42"/>
    <mergeCell ref="K63:O63"/>
    <mergeCell ref="K84:O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opLeftCell="A28" workbookViewId="0">
      <selection activeCell="J41" sqref="J41"/>
    </sheetView>
  </sheetViews>
  <sheetFormatPr defaultRowHeight="15" x14ac:dyDescent="0.25"/>
  <cols>
    <col min="8" max="8" width="10.5703125" bestFit="1" customWidth="1"/>
  </cols>
  <sheetData>
    <row r="1" spans="1:11" ht="28.5" x14ac:dyDescent="0.45">
      <c r="A1" s="1" t="s">
        <v>161</v>
      </c>
    </row>
    <row r="3" spans="1:11" ht="275.25" x14ac:dyDescent="0.25">
      <c r="B3" s="2" t="s">
        <v>0</v>
      </c>
      <c r="C3" s="2" t="s">
        <v>1</v>
      </c>
      <c r="D3" s="2" t="s">
        <v>2</v>
      </c>
      <c r="E3" s="2" t="s">
        <v>3</v>
      </c>
      <c r="G3" s="2" t="s">
        <v>4</v>
      </c>
      <c r="H3" s="2" t="s">
        <v>5</v>
      </c>
      <c r="K3" s="2" t="s">
        <v>6</v>
      </c>
    </row>
    <row r="5" spans="1:11" x14ac:dyDescent="0.25">
      <c r="A5" t="s">
        <v>7</v>
      </c>
      <c r="B5" s="3" t="s">
        <v>38</v>
      </c>
      <c r="C5" s="3">
        <v>3</v>
      </c>
      <c r="D5" s="148">
        <v>0</v>
      </c>
      <c r="E5" s="149">
        <v>0.11600000000000001</v>
      </c>
      <c r="G5" s="148">
        <v>0</v>
      </c>
      <c r="H5" s="149">
        <v>0.10390000000000001</v>
      </c>
      <c r="K5" s="3"/>
    </row>
    <row r="6" spans="1:11" x14ac:dyDescent="0.25">
      <c r="A6" t="s">
        <v>8</v>
      </c>
      <c r="B6" s="3" t="s">
        <v>41</v>
      </c>
      <c r="C6" s="3">
        <v>5</v>
      </c>
      <c r="D6" s="148">
        <v>1</v>
      </c>
      <c r="E6" s="149">
        <v>3.6999999999999998E-2</v>
      </c>
      <c r="G6" s="148">
        <v>0</v>
      </c>
      <c r="H6" s="149">
        <v>0.1031</v>
      </c>
      <c r="K6" s="3"/>
    </row>
    <row r="7" spans="1:11" x14ac:dyDescent="0.25">
      <c r="A7" t="s">
        <v>9</v>
      </c>
      <c r="B7" s="3" t="s">
        <v>45</v>
      </c>
      <c r="C7" s="3">
        <v>16</v>
      </c>
      <c r="D7" s="148">
        <v>0</v>
      </c>
      <c r="E7" s="149">
        <v>9.5000000000000001E-2</v>
      </c>
      <c r="G7" s="148">
        <v>0</v>
      </c>
      <c r="H7" s="149">
        <v>0.33510000000000001</v>
      </c>
      <c r="K7" s="3"/>
    </row>
    <row r="8" spans="1:11" x14ac:dyDescent="0.25">
      <c r="A8" t="s">
        <v>10</v>
      </c>
      <c r="B8" s="3" t="s">
        <v>43</v>
      </c>
      <c r="C8" s="3">
        <v>12</v>
      </c>
      <c r="D8" s="148">
        <v>0</v>
      </c>
      <c r="E8" s="149">
        <v>0.439</v>
      </c>
      <c r="G8" s="148">
        <v>0</v>
      </c>
      <c r="H8" s="149">
        <v>0.36680000000000001</v>
      </c>
      <c r="K8" s="3"/>
    </row>
    <row r="9" spans="1:11" x14ac:dyDescent="0.25">
      <c r="A9" t="s">
        <v>11</v>
      </c>
      <c r="B9" s="3" t="s">
        <v>47</v>
      </c>
      <c r="C9" s="3">
        <v>17</v>
      </c>
      <c r="D9" s="148">
        <v>0</v>
      </c>
      <c r="E9" s="149">
        <v>0.313</v>
      </c>
      <c r="G9" s="148">
        <v>1</v>
      </c>
      <c r="H9" s="149">
        <v>9.11E-2</v>
      </c>
      <c r="K9" s="3"/>
    </row>
    <row r="12" spans="1:11" x14ac:dyDescent="0.25">
      <c r="A12" s="4" t="s">
        <v>12</v>
      </c>
      <c r="D12" t="s">
        <v>13</v>
      </c>
    </row>
    <row r="14" spans="1:11" x14ac:dyDescent="0.25">
      <c r="B14" t="s">
        <v>14</v>
      </c>
      <c r="H14" s="150">
        <v>1815.95</v>
      </c>
    </row>
    <row r="15" spans="1:11" x14ac:dyDescent="0.25">
      <c r="B15" t="s">
        <v>15</v>
      </c>
      <c r="H15" s="150">
        <v>1102.51</v>
      </c>
    </row>
    <row r="16" spans="1:11" x14ac:dyDescent="0.25">
      <c r="B16" t="s">
        <v>16</v>
      </c>
      <c r="H16" s="150">
        <v>1213.3399999999999</v>
      </c>
    </row>
    <row r="17" spans="1:16" x14ac:dyDescent="0.25">
      <c r="B17" t="s">
        <v>17</v>
      </c>
      <c r="H17" s="150">
        <v>1222.05</v>
      </c>
    </row>
    <row r="18" spans="1:16" x14ac:dyDescent="0.25">
      <c r="B18" t="s">
        <v>18</v>
      </c>
      <c r="H18" s="150">
        <v>1077.95</v>
      </c>
    </row>
    <row r="19" spans="1:16" x14ac:dyDescent="0.25">
      <c r="B19" t="s">
        <v>19</v>
      </c>
      <c r="H19" s="150">
        <v>1229.3599999999999</v>
      </c>
    </row>
    <row r="21" spans="1:16" x14ac:dyDescent="0.25">
      <c r="B21" t="s">
        <v>20</v>
      </c>
      <c r="H21" s="150">
        <v>1623.77</v>
      </c>
      <c r="J21" t="s">
        <v>21</v>
      </c>
    </row>
    <row r="22" spans="1:16" x14ac:dyDescent="0.25">
      <c r="B22" t="s">
        <v>22</v>
      </c>
      <c r="H22" s="150">
        <v>985.53</v>
      </c>
      <c r="J22" t="s">
        <v>21</v>
      </c>
    </row>
    <row r="26" spans="1:16" ht="21" x14ac:dyDescent="0.35">
      <c r="A26" s="5" t="s">
        <v>23</v>
      </c>
    </row>
    <row r="29" spans="1:16" x14ac:dyDescent="0.25">
      <c r="B29" s="4" t="s">
        <v>24</v>
      </c>
    </row>
    <row r="31" spans="1:16" x14ac:dyDescent="0.25">
      <c r="C31" t="s">
        <v>7</v>
      </c>
      <c r="D31" t="s">
        <v>8</v>
      </c>
      <c r="E31" t="s">
        <v>9</v>
      </c>
      <c r="F31" t="s">
        <v>10</v>
      </c>
      <c r="G31" t="s">
        <v>11</v>
      </c>
      <c r="L31" t="s">
        <v>7</v>
      </c>
      <c r="M31" t="s">
        <v>8</v>
      </c>
      <c r="N31" t="s">
        <v>9</v>
      </c>
      <c r="O31" t="s">
        <v>10</v>
      </c>
      <c r="P31" t="s">
        <v>11</v>
      </c>
    </row>
    <row r="32" spans="1:16" x14ac:dyDescent="0.25">
      <c r="B32" s="6" t="s">
        <v>25</v>
      </c>
      <c r="C32" s="3">
        <v>3</v>
      </c>
      <c r="D32" s="3">
        <v>5</v>
      </c>
      <c r="E32" s="3">
        <v>16</v>
      </c>
      <c r="F32" s="3">
        <v>12</v>
      </c>
      <c r="G32" s="3">
        <v>17</v>
      </c>
      <c r="K32" s="6" t="s">
        <v>25</v>
      </c>
      <c r="L32" s="3">
        <v>3</v>
      </c>
      <c r="M32" s="3">
        <v>5</v>
      </c>
      <c r="N32" s="3">
        <v>16</v>
      </c>
      <c r="O32" s="3">
        <v>12</v>
      </c>
      <c r="P32" s="3">
        <v>17</v>
      </c>
    </row>
    <row r="34" spans="2:16" ht="15.75" thickBot="1" x14ac:dyDescent="0.3"/>
    <row r="35" spans="2:16" ht="15.75" thickBot="1" x14ac:dyDescent="0.3">
      <c r="B35" t="s">
        <v>26</v>
      </c>
      <c r="C35" s="151">
        <v>0.78309793599999999</v>
      </c>
      <c r="D35" s="152">
        <v>1.457503853</v>
      </c>
      <c r="E35" s="152">
        <v>0.92671161499999999</v>
      </c>
      <c r="F35" s="152">
        <v>1.34229486</v>
      </c>
      <c r="G35" s="152">
        <v>1.2225725270000001</v>
      </c>
      <c r="K35" s="6" t="s">
        <v>27</v>
      </c>
      <c r="L35" s="154">
        <v>7.1407379999999998E-3</v>
      </c>
      <c r="M35" s="154">
        <v>6.3186930000000002E-3</v>
      </c>
      <c r="N35" s="154">
        <v>3.3684280000000001E-3</v>
      </c>
      <c r="O35" s="154">
        <v>2.532627E-3</v>
      </c>
      <c r="P35" s="154">
        <v>3.1664950000000001E-3</v>
      </c>
    </row>
    <row r="36" spans="2:16" x14ac:dyDescent="0.25">
      <c r="K36" s="6" t="s">
        <v>28</v>
      </c>
      <c r="L36" s="154">
        <v>4.13282E-4</v>
      </c>
      <c r="M36" s="154">
        <v>1.366038E-3</v>
      </c>
      <c r="N36" s="154">
        <v>5.3231100000000005E-4</v>
      </c>
      <c r="O36" s="154">
        <v>1.146752E-3</v>
      </c>
      <c r="P36" s="154">
        <v>9.57981E-4</v>
      </c>
    </row>
    <row r="37" spans="2:16" x14ac:dyDescent="0.25">
      <c r="K37" s="7" t="s">
        <v>29</v>
      </c>
      <c r="L37" s="155">
        <v>6.7274559999999997E-3</v>
      </c>
      <c r="M37" s="155">
        <v>4.9526550000000003E-3</v>
      </c>
      <c r="N37" s="155">
        <v>2.836117E-3</v>
      </c>
      <c r="O37" s="156">
        <v>1.385875E-3</v>
      </c>
      <c r="P37" s="155">
        <v>2.2085130000000001E-3</v>
      </c>
    </row>
    <row r="38" spans="2:16" x14ac:dyDescent="0.25">
      <c r="B38" s="4" t="s">
        <v>30</v>
      </c>
    </row>
    <row r="41" spans="2:16" x14ac:dyDescent="0.25">
      <c r="B41" t="s">
        <v>31</v>
      </c>
      <c r="C41" s="153">
        <v>-1.2039676996864885E-2</v>
      </c>
      <c r="D41" s="153">
        <v>-1.0024543611320585E-2</v>
      </c>
      <c r="E41" s="153">
        <v>-6.5420570474082028E-3</v>
      </c>
      <c r="F41" s="153">
        <v>-2.3235885103959158E-3</v>
      </c>
      <c r="G41" s="153">
        <v>9.2357547222493182E-3</v>
      </c>
    </row>
    <row r="42" spans="2:16" x14ac:dyDescent="0.25">
      <c r="B42" t="s">
        <v>32</v>
      </c>
      <c r="C42" s="153">
        <v>0.7830979361162721</v>
      </c>
      <c r="D42" s="153">
        <v>1.4575038529033109</v>
      </c>
      <c r="E42" s="153">
        <v>0.92319346425585203</v>
      </c>
      <c r="F42" s="153">
        <v>1.3422948598220923</v>
      </c>
      <c r="G42" s="153">
        <v>1.2225725274450361</v>
      </c>
    </row>
    <row r="45" spans="2:16" x14ac:dyDescent="0.25">
      <c r="B45" s="4" t="s">
        <v>33</v>
      </c>
    </row>
    <row r="48" spans="2:16" x14ac:dyDescent="0.25">
      <c r="B48" t="s">
        <v>31</v>
      </c>
      <c r="C48" s="153">
        <v>-1.2985837692648642E-2</v>
      </c>
      <c r="D48" s="153">
        <v>-8.0065468667311519E-3</v>
      </c>
      <c r="E48" s="153">
        <v>-6.7893150584549854E-3</v>
      </c>
      <c r="F48" s="153">
        <v>-8.2087312164163357E-4</v>
      </c>
      <c r="G48" s="153">
        <v>1.0213657239238901E-2</v>
      </c>
    </row>
    <row r="49" spans="2:7" x14ac:dyDescent="0.25">
      <c r="B49" t="s">
        <v>32</v>
      </c>
      <c r="C49" s="153">
        <v>0.79808148898482301</v>
      </c>
      <c r="D49" s="153">
        <v>1.4509590634224601</v>
      </c>
      <c r="E49" s="153">
        <v>0.905745982177804</v>
      </c>
      <c r="F49" s="153">
        <v>1.3294085230708399</v>
      </c>
      <c r="G49" s="153">
        <v>1.21507294271221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Model 1 - Regression Results</vt:lpstr>
      <vt:lpstr>Model 2 - Regression Results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Yero Niamadio</dc:creator>
  <cp:lastModifiedBy>Yero Niamadio</cp:lastModifiedBy>
  <dcterms:created xsi:type="dcterms:W3CDTF">2017-04-11T21:06:45Z</dcterms:created>
  <dcterms:modified xsi:type="dcterms:W3CDTF">2017-04-14T11:05:42Z</dcterms:modified>
</cp:coreProperties>
</file>