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2402\mysite\"/>
    </mc:Choice>
  </mc:AlternateContent>
  <xr:revisionPtr revIDLastSave="0" documentId="13_ncr:1_{AE612DA4-244E-403A-BF24-2E2E26C87E09}" xr6:coauthVersionLast="31" xr6:coauthVersionMax="31" xr10:uidLastSave="{00000000-0000-0000-0000-000000000000}"/>
  <bookViews>
    <workbookView xWindow="11610" yWindow="-15" windowWidth="11445" windowHeight="9705" tabRatio="466" firstSheet="3" activeTab="8" xr2:uid="{00000000-000D-0000-FFFF-FFFF00000000}"/>
  </bookViews>
  <sheets>
    <sheet name="Serdang" sheetId="14" r:id="rId1"/>
    <sheet name="Meteorology" sheetId="9" r:id="rId2"/>
    <sheet name="Photosynthesis" sheetId="15" r:id="rId3"/>
    <sheet name="ET" sheetId="16" r:id="rId4"/>
    <sheet name="Water" sheetId="17" r:id="rId5"/>
    <sheet name="Growth" sheetId="19" r:id="rId6"/>
    <sheet name="Tables" sheetId="18" r:id="rId7"/>
    <sheet name="Control" sheetId="10" r:id="rId8"/>
    <sheet name="Output" sheetId="11" r:id="rId9"/>
  </sheets>
  <externalReferences>
    <externalReference r:id="rId10"/>
  </externalReferences>
  <definedNames>
    <definedName name="_criteria">Control!$B$8</definedName>
    <definedName name="_operation">Control!$G$2</definedName>
    <definedName name="_option">Control!$G$32</definedName>
    <definedName name="_prerun">Control!$G$21</definedName>
    <definedName name="_read">Output!$A$3</definedName>
    <definedName name="_step">Control!$B$7</definedName>
    <definedName name="_stepsize">Control!$B$6</definedName>
    <definedName name="_write">Output!$A$8</definedName>
    <definedName name="A">ET!$E$13</definedName>
    <definedName name="Ac">ET!$E$11</definedName>
    <definedName name="AETc">Water!$E$14</definedName>
    <definedName name="AETs">Water!$E$6</definedName>
    <definedName name="alpha">Photosynthesis!$B$14</definedName>
    <definedName name="As">ET!$E$12</definedName>
    <definedName name="assim">Photosynthesis!$J$19</definedName>
    <definedName name="Ci">Photosynthesis!$B$12</definedName>
    <definedName name="co2pt">Photosynthesis!$J$14</definedName>
    <definedName name="d">ET!$E$17</definedName>
    <definedName name="date">Control!$E$2</definedName>
    <definedName name="dayassim">Photosynthesis!$J$21</definedName>
    <definedName name="dayassim_c">Growth!$E$7</definedName>
    <definedName name="decl">Meteorology!$E$20</definedName>
    <definedName name="dg">Growth!$B$20</definedName>
    <definedName name="DL">Meteorology!$E$17</definedName>
    <definedName name="dm">Growth!$B$19</definedName>
    <definedName name="Dmv">ET!$B$19</definedName>
    <definedName name="doy">Control!$E$3</definedName>
    <definedName name="droot">Water!$E$2</definedName>
    <definedName name="dvr">Growth!$E$5</definedName>
    <definedName name="dvr_dvr0">Tables!$H$4:$H$6</definedName>
    <definedName name="dvr_dvr1">Tables!$I$4:$I$6</definedName>
    <definedName name="dvr_Ta">Tables!$G$4:$G$6</definedName>
    <definedName name="dvs">Growth!$E$2</definedName>
    <definedName name="ea">Meteorology!$E$42</definedName>
    <definedName name="eage">Growth!$H$20</definedName>
    <definedName name="eL">Growth!$H$24</definedName>
    <definedName name="em">Photosynthesis!$B$15</definedName>
    <definedName name="es">Meteorology!$E$41</definedName>
    <definedName name="esh">Growth!$H$23</definedName>
    <definedName name="FGL">Growth!$J$2</definedName>
    <definedName name="FO">Growth!$J$6</definedName>
    <definedName name="FR">Growth!$J$5</definedName>
    <definedName name="frac_dvs">Tables!$G$13:$G$20</definedName>
    <definedName name="frac_FGL">Tables!$H$13:$H$20</definedName>
    <definedName name="frac_FO">Tables!$K$13:$K$20</definedName>
    <definedName name="frac_FR">Tables!$J$13:$J$20</definedName>
    <definedName name="frac_FS">Tables!$I$13:$I$20</definedName>
    <definedName name="frac_SLA">Tables!$L$13:$L$20</definedName>
    <definedName name="FS">Growth!$J$4</definedName>
    <definedName name="G">ET!$E$10</definedName>
    <definedName name="GGL">Growth!$B$39</definedName>
    <definedName name="GO">Growth!$B$42</definedName>
    <definedName name="GR">Growth!$B$41</definedName>
    <definedName name="GS">Growth!$B$40</definedName>
    <definedName name="GT">Growth!$K$7</definedName>
    <definedName name="h">ET!$E$2</definedName>
    <definedName name="h_b0">Growth!$B$24</definedName>
    <definedName name="h_b1">Growth!$B$25</definedName>
    <definedName name="ha">Meteorology!$E$21</definedName>
    <definedName name="Hc">ET!$H$38</definedName>
    <definedName name="hm">Growth!$B$23</definedName>
    <definedName name="Hs">ET!$H$34</definedName>
    <definedName name="hydraulic_K">Tables!#REF!</definedName>
    <definedName name="hydraulic_vwc">Tables!$D$4:$D$12</definedName>
    <definedName name="Ic">Meteorology!$H$2</definedName>
    <definedName name="Idf">Meteorology!$H$36</definedName>
    <definedName name="Idfd">Meteorology!$H$15</definedName>
    <definedName name="Idr">Meteorology!$H$37</definedName>
    <definedName name="Idrd">Meteorology!$H$16</definedName>
    <definedName name="Iet">Meteorology!$H$18</definedName>
    <definedName name="Ietd">Meteorology!$H$4</definedName>
    <definedName name="It">Meteorology!$H$24</definedName>
    <definedName name="Itd">Meteorology!$H$5</definedName>
    <definedName name="k">ET!$B$17</definedName>
    <definedName name="Kc">Photosynthesis!$D$6</definedName>
    <definedName name="kdf">Photosynthesis!$G$14</definedName>
    <definedName name="kdr">Photosynthesis!$G$11</definedName>
    <definedName name="Kh">ET!$E$20</definedName>
    <definedName name="kmGL">Growth!$B$33</definedName>
    <definedName name="kmO">Growth!$B$36</definedName>
    <definedName name="kmR">Growth!$B$35</definedName>
    <definedName name="kmS">Growth!$B$34</definedName>
    <definedName name="Ko">Photosynthesis!$D$7</definedName>
    <definedName name="kRn">ET!$B$4</definedName>
    <definedName name="L">Photosynthesis!$G$4</definedName>
    <definedName name="lat">Meteorology!$E$2</definedName>
    <definedName name="leafwidth">ET!$E$3</definedName>
    <definedName name="LET">ET!$H$13</definedName>
    <definedName name="LETc">ET!$H$25</definedName>
    <definedName name="LETs">ET!$H$19</definedName>
    <definedName name="Lmax">Photosynthesis!$B$2</definedName>
    <definedName name="Lsh">Photosynthesis!$G$18</definedName>
    <definedName name="Lsl">Photosynthesis!$G$17</definedName>
    <definedName name="m">Water!$B$3</definedName>
    <definedName name="matric_Hm">Tables!$B$4:$B$13</definedName>
    <definedName name="matric_vwc">Tables!$A$4:$A$13</definedName>
    <definedName name="nK">ET!$B$8</definedName>
    <definedName name="nu">ET!$B$7</definedName>
    <definedName name="Oa">Photosynthesis!$B$11</definedName>
    <definedName name="p">Meteorology!$B$5</definedName>
    <definedName name="pcp">ET!$B$18</definedName>
    <definedName name="PET">ET!$H$29</definedName>
    <definedName name="PETc">ET!$H$27</definedName>
    <definedName name="PETs">ET!$H$21</definedName>
    <definedName name="Pg">Meteorology!$E$12</definedName>
    <definedName name="Pn">Water!$E$17</definedName>
    <definedName name="pp">Photosynthesis!$B$13</definedName>
    <definedName name="pRn">ET!$E$9</definedName>
    <definedName name="psycho">ET!$B$16</definedName>
    <definedName name="Qdf">Photosynthesis!$G$22</definedName>
    <definedName name="Qdr">Photosynthesis!$G$21</definedName>
    <definedName name="Qsh">Photosynthesis!$J$11</definedName>
    <definedName name="Qsl">Photosynthesis!$J$10</definedName>
    <definedName name="raa">ET!$E$31</definedName>
    <definedName name="rca">ET!$E$35</definedName>
    <definedName name="rcs">ET!$E$39</definedName>
    <definedName name="RDT">Water!$E$13</definedName>
    <definedName name="RH">Meteorology!$E$47</definedName>
    <definedName name="RHd">Meteorology!$E$10</definedName>
    <definedName name="RM">Growth!$I$7</definedName>
    <definedName name="RM_c">Growth!$H$11</definedName>
    <definedName name="Rn">Meteorology!$H$41</definedName>
    <definedName name="RnL">Meteorology!$H$40</definedName>
    <definedName name="rsa">ET!$E$26</definedName>
    <definedName name="rss">ET!$E$42</definedName>
    <definedName name="rst">ET!$E$38</definedName>
    <definedName name="SB">Meteorology!$B$9</definedName>
    <definedName name="site">Meteorology!$B$2</definedName>
    <definedName name="SLA">Growth!$H$27</definedName>
    <definedName name="slopesvp">Meteorology!$E$44</definedName>
    <definedName name="solver_adj" localSheetId="6" hidden="1">Tables!#REF!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Tables!#REF!</definedName>
    <definedName name="solver_pre" localSheetId="6" hidden="1">0.000001</definedName>
    <definedName name="solver_rbv" localSheetId="6" hidden="1">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3</definedName>
    <definedName name="solver_val" localSheetId="6" hidden="1">0</definedName>
    <definedName name="solver_ver" localSheetId="6" hidden="1">3</definedName>
    <definedName name="stom_a1">ET!$B$5</definedName>
    <definedName name="stom_a2">ET!$B$6</definedName>
    <definedName name="sunazi">Meteorology!$E$29</definedName>
    <definedName name="sunhgt">Meteorology!$E$26</definedName>
    <definedName name="sunhr">Meteorology!$E$6</definedName>
    <definedName name="suninc">Meteorology!$E$25</definedName>
    <definedName name="Ta">Meteorology!$E$36</definedName>
    <definedName name="Tak">Meteorology!$E$37</definedName>
    <definedName name="tau">Photosynthesis!$D$8</definedName>
    <definedName name="Tb">Growth!$E$15</definedName>
    <definedName name="Tdcal">Meteorology!$E$40</definedName>
    <definedName name="Tdmax">Meteorology!$B$6</definedName>
    <definedName name="Tf">Photosynthesis!$G$3</definedName>
    <definedName name="th">Control!$E$4</definedName>
    <definedName name="Tmax">Meteorology!$E$8</definedName>
    <definedName name="Tmean">Meteorology!$E$9</definedName>
    <definedName name="Tmin">Meteorology!$E$7</definedName>
    <definedName name="Tset">Meteorology!$E$32</definedName>
    <definedName name="tsr">Meteorology!$E$15</definedName>
    <definedName name="tss">Meteorology!$E$16</definedName>
    <definedName name="Tts">Growth!$E$16</definedName>
    <definedName name="Tts_total">Growth!$E$17</definedName>
    <definedName name="u">Meteorology!$E$53</definedName>
    <definedName name="ud">Meteorology!$E$11</definedName>
    <definedName name="uh">ET!$E$19</definedName>
    <definedName name="umax">Meteorology!$E$51</definedName>
    <definedName name="umin">Meteorology!$E$50</definedName>
    <definedName name="ustar">ET!$E$18</definedName>
    <definedName name="vc">Photosynthesis!$J$15</definedName>
    <definedName name="Vcmax">Photosynthesis!$D$9</definedName>
    <definedName name="vpd">Meteorology!$E$43</definedName>
    <definedName name="vpd0">ET!$H$15</definedName>
    <definedName name="vqsh">Photosynthesis!$J$18</definedName>
    <definedName name="vqsl">Photosynthesis!$J$17</definedName>
    <definedName name="vs">Photosynthesis!$J$16</definedName>
    <definedName name="WDL">Growth!$H$3</definedName>
    <definedName name="wg">Growth!$B$29</definedName>
    <definedName name="WGL">Growth!$H$2</definedName>
    <definedName name="wm">Growth!$B$28</definedName>
    <definedName name="WO">Growth!$H$6</definedName>
    <definedName name="WR">Growth!$H$5</definedName>
    <definedName name="WS">Growth!$H$4</definedName>
    <definedName name="WT">Growth!$H$7</definedName>
    <definedName name="z0">ET!$E$16</definedName>
    <definedName name="zr">ET!$B$2</definedName>
    <definedName name="zs0">ET!$B$3</definedName>
  </definedNames>
  <calcPr calcId="179017"/>
</workbook>
</file>

<file path=xl/calcChain.xml><?xml version="1.0" encoding="utf-8"?>
<calcChain xmlns="http://schemas.openxmlformats.org/spreadsheetml/2006/main">
  <c r="E12" i="18" l="1"/>
  <c r="E11" i="18"/>
  <c r="E10" i="18"/>
  <c r="E9" i="18"/>
  <c r="E8" i="18"/>
  <c r="E7" i="18"/>
  <c r="E6" i="18"/>
  <c r="E5" i="18"/>
  <c r="E4" i="18"/>
  <c r="B2" i="10"/>
  <c r="B8" i="10"/>
  <c r="D30" i="14" l="1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E21" i="19" l="1"/>
  <c r="G3" i="11"/>
  <c r="F3" i="11"/>
  <c r="E3" i="11"/>
  <c r="D3" i="11"/>
  <c r="C3" i="11"/>
  <c r="B3" i="11"/>
  <c r="I8" i="10"/>
  <c r="H27" i="19"/>
  <c r="J6" i="19"/>
  <c r="J5" i="19"/>
  <c r="J4" i="19"/>
  <c r="J2" i="19"/>
  <c r="J3" i="17"/>
  <c r="I3" i="17"/>
  <c r="H3" i="17"/>
  <c r="J2" i="17"/>
  <c r="I2" i="17"/>
  <c r="H2" i="17"/>
  <c r="H11" i="10" l="1"/>
  <c r="H10" i="10"/>
  <c r="H9" i="10"/>
  <c r="H7" i="10"/>
  <c r="H6" i="10"/>
  <c r="E26" i="19"/>
  <c r="E2" i="17" s="1"/>
  <c r="I3" i="11" s="1"/>
  <c r="I26" i="10"/>
  <c r="H26" i="10"/>
  <c r="I25" i="10"/>
  <c r="H25" i="10"/>
  <c r="I24" i="10"/>
  <c r="H24" i="10"/>
  <c r="I23" i="10"/>
  <c r="H23" i="10"/>
  <c r="I22" i="10"/>
  <c r="H22" i="10"/>
  <c r="E19" i="19"/>
  <c r="E2" i="16" s="1"/>
  <c r="H3" i="11" s="1"/>
  <c r="E11" i="19"/>
  <c r="E3" i="16" s="1"/>
  <c r="E27" i="19" l="1"/>
  <c r="E20" i="19"/>
  <c r="H16" i="19"/>
  <c r="I6" i="19"/>
  <c r="I5" i="19"/>
  <c r="I4" i="19"/>
  <c r="I2" i="19"/>
  <c r="E15" i="19"/>
  <c r="H28" i="19" l="1"/>
  <c r="G4" i="15" s="1"/>
  <c r="J3" i="11" s="1"/>
  <c r="I7" i="19"/>
  <c r="K2" i="19"/>
  <c r="K4" i="19"/>
  <c r="K5" i="19"/>
  <c r="K6" i="19"/>
  <c r="H22" i="19" l="1"/>
  <c r="H23" i="19" s="1"/>
  <c r="K7" i="19"/>
  <c r="H5" i="10"/>
  <c r="H21" i="10"/>
  <c r="H7" i="17"/>
  <c r="I7" i="17"/>
  <c r="I21" i="10" s="1"/>
  <c r="J7" i="17"/>
  <c r="E4" i="16" l="1"/>
  <c r="E2" i="10" l="1"/>
  <c r="E3" i="10" s="1"/>
  <c r="A3" i="11" l="1"/>
  <c r="I9" i="17"/>
  <c r="J9" i="17"/>
  <c r="H9" i="17"/>
  <c r="E5" i="16"/>
  <c r="I10" i="17"/>
  <c r="I11" i="17"/>
  <c r="J10" i="17"/>
  <c r="J11" i="17"/>
  <c r="H10" i="17"/>
  <c r="H11" i="17"/>
  <c r="E6" i="16" l="1"/>
  <c r="E5" i="17"/>
  <c r="E9" i="17" l="1"/>
  <c r="E10" i="17"/>
  <c r="H6" i="17"/>
  <c r="H5" i="17"/>
  <c r="H18" i="17" s="1"/>
  <c r="I14" i="17" l="1"/>
  <c r="E11" i="17"/>
  <c r="H15" i="17"/>
  <c r="H16" i="17" s="1"/>
  <c r="I6" i="17"/>
  <c r="H12" i="17"/>
  <c r="H13" i="17" s="1"/>
  <c r="I5" i="17"/>
  <c r="H19" i="17"/>
  <c r="I15" i="17" l="1"/>
  <c r="I16" i="17" s="1"/>
  <c r="I18" i="17"/>
  <c r="I19" i="17" s="1"/>
  <c r="J6" i="17"/>
  <c r="I12" i="17"/>
  <c r="I13" i="17" s="1"/>
  <c r="J5" i="17"/>
  <c r="J18" i="17" s="1"/>
  <c r="J14" i="17"/>
  <c r="J19" i="17" l="1"/>
  <c r="J15" i="17"/>
  <c r="J16" i="17" s="1"/>
  <c r="E12" i="17" s="1"/>
  <c r="K3" i="11" s="1"/>
  <c r="J12" i="17"/>
  <c r="J13" i="17" s="1"/>
  <c r="E13" i="17" l="1"/>
  <c r="E28" i="19"/>
  <c r="E12" i="19" l="1"/>
  <c r="I7" i="10" s="1"/>
  <c r="E29" i="19"/>
  <c r="I10" i="10" s="1"/>
  <c r="E9" i="16"/>
  <c r="H21" i="16" l="1"/>
  <c r="E6" i="17" s="1"/>
  <c r="H27" i="16"/>
  <c r="E14" i="17" s="1"/>
  <c r="H17" i="17" l="1"/>
  <c r="H20" i="17"/>
  <c r="I20" i="17"/>
  <c r="I21" i="17" s="1"/>
  <c r="J20" i="17"/>
  <c r="J21" i="17" l="1"/>
  <c r="J22" i="17" s="1"/>
  <c r="J4" i="10"/>
  <c r="H4" i="10"/>
  <c r="J3" i="10"/>
  <c r="H3" i="10"/>
  <c r="I22" i="17" l="1"/>
  <c r="I5" i="10" s="1"/>
  <c r="B19" i="16"/>
  <c r="E41" i="16" s="1"/>
  <c r="E42" i="16" s="1"/>
  <c r="E33" i="16"/>
  <c r="E24" i="16" l="1"/>
  <c r="E17" i="16"/>
  <c r="E16" i="16"/>
  <c r="H29" i="16" l="1"/>
  <c r="E30" i="16"/>
  <c r="E25" i="16"/>
  <c r="J2" i="10"/>
  <c r="G13" i="15" l="1"/>
  <c r="G12" i="15" l="1"/>
  <c r="G7" i="15"/>
  <c r="G8" i="15" s="1"/>
  <c r="J21" i="15"/>
  <c r="E7" i="19" s="1"/>
  <c r="G14" i="15" l="1"/>
  <c r="J6" i="15" s="1"/>
  <c r="E3" i="9" l="1"/>
  <c r="E2" i="9"/>
  <c r="H2" i="10" l="1"/>
  <c r="E21" i="9" l="1"/>
  <c r="H2" i="9"/>
  <c r="B9" i="9" l="1"/>
  <c r="E20" i="9" l="1"/>
  <c r="E22" i="9" s="1"/>
  <c r="E23" i="9" l="1"/>
  <c r="E25" i="9" s="1"/>
  <c r="G9" i="15" l="1"/>
  <c r="E24" i="9"/>
  <c r="H20" i="9" s="1"/>
  <c r="E16" i="9"/>
  <c r="L2" i="10" s="1"/>
  <c r="G10" i="15" l="1"/>
  <c r="G11" i="15" s="1"/>
  <c r="H3" i="9"/>
  <c r="H4" i="9" s="1"/>
  <c r="E26" i="9"/>
  <c r="H18" i="9" s="1"/>
  <c r="E15" i="9"/>
  <c r="K2" i="10" s="1"/>
  <c r="G17" i="15" l="1"/>
  <c r="G18" i="15" s="1"/>
  <c r="E17" i="9"/>
  <c r="E27" i="9"/>
  <c r="E28" i="9" s="1"/>
  <c r="E29" i="9" s="1"/>
  <c r="H27" i="9"/>
  <c r="H28" i="9" s="1"/>
  <c r="E12" i="9"/>
  <c r="E6" i="9"/>
  <c r="E10" i="9"/>
  <c r="E11" i="9"/>
  <c r="E8" i="9"/>
  <c r="E17" i="17" l="1"/>
  <c r="E50" i="9"/>
  <c r="H5" i="9"/>
  <c r="H19" i="9" s="1"/>
  <c r="H21" i="9" s="1"/>
  <c r="E7" i="9"/>
  <c r="H21" i="17" l="1"/>
  <c r="H22" i="17" s="1"/>
  <c r="E51" i="9"/>
  <c r="E52" i="9" s="1"/>
  <c r="E53" i="9" s="1"/>
  <c r="E9" i="9"/>
  <c r="E32" i="9"/>
  <c r="H23" i="9"/>
  <c r="H22" i="9"/>
  <c r="H7" i="9"/>
  <c r="H10" i="9" s="1"/>
  <c r="H11" i="9"/>
  <c r="H8" i="9"/>
  <c r="E35" i="9"/>
  <c r="E3" i="19"/>
  <c r="E4" i="19"/>
  <c r="E16" i="19" l="1"/>
  <c r="H8" i="10" s="1"/>
  <c r="H10" i="19"/>
  <c r="H11" i="19" s="1"/>
  <c r="H12" i="19" s="1"/>
  <c r="H13" i="19" s="1"/>
  <c r="L6" i="19" s="1"/>
  <c r="E5" i="19"/>
  <c r="E18" i="16"/>
  <c r="E29" i="16" s="1"/>
  <c r="H24" i="9"/>
  <c r="E37" i="16" s="1"/>
  <c r="H12" i="9"/>
  <c r="H14" i="9"/>
  <c r="H13" i="9"/>
  <c r="E34" i="9"/>
  <c r="E33" i="9"/>
  <c r="H9" i="9"/>
  <c r="H18" i="19" l="1"/>
  <c r="I11" i="10"/>
  <c r="E22" i="19"/>
  <c r="I9" i="10" s="1"/>
  <c r="L4" i="19"/>
  <c r="L5" i="19"/>
  <c r="I6" i="10" s="1"/>
  <c r="H19" i="19"/>
  <c r="E36" i="9"/>
  <c r="E44" i="9" s="1"/>
  <c r="H32" i="9"/>
  <c r="H26" i="9"/>
  <c r="H30" i="9" s="1"/>
  <c r="H29" i="9"/>
  <c r="H15" i="9"/>
  <c r="H20" i="19" l="1"/>
  <c r="E40" i="9"/>
  <c r="E42" i="9" s="1"/>
  <c r="E37" i="9"/>
  <c r="E41" i="9"/>
  <c r="H35" i="9"/>
  <c r="H31" i="9"/>
  <c r="H33" i="9"/>
  <c r="H34" i="9"/>
  <c r="H16" i="9"/>
  <c r="H40" i="9" l="1"/>
  <c r="H41" i="9" s="1"/>
  <c r="E10" i="16" s="1"/>
  <c r="E47" i="9"/>
  <c r="E43" i="9"/>
  <c r="H36" i="9"/>
  <c r="G22" i="15" s="1"/>
  <c r="J7" i="15" s="1"/>
  <c r="E11" i="16" l="1"/>
  <c r="H37" i="9"/>
  <c r="G21" i="15" s="1"/>
  <c r="J4" i="15" s="1"/>
  <c r="E12" i="16" l="1"/>
  <c r="J3" i="15"/>
  <c r="J5" i="15" s="1"/>
  <c r="J10" i="15" l="1"/>
  <c r="J11" i="15"/>
  <c r="E38" i="16" l="1"/>
  <c r="E39" i="16" l="1"/>
  <c r="E13" i="16"/>
  <c r="E28" i="16" l="1"/>
  <c r="E20" i="16"/>
  <c r="E19" i="16"/>
  <c r="E34" i="16" s="1"/>
  <c r="E35" i="16" s="1"/>
  <c r="E31" i="16" l="1"/>
  <c r="E23" i="16"/>
  <c r="E26" i="16" s="1"/>
  <c r="H37" i="16"/>
  <c r="H3" i="16"/>
  <c r="H24" i="16"/>
  <c r="H7" i="16" l="1"/>
  <c r="H2" i="16"/>
  <c r="H8" i="16"/>
  <c r="H11" i="16"/>
  <c r="H4" i="16"/>
  <c r="H18" i="16"/>
  <c r="H33" i="16"/>
  <c r="H10" i="16"/>
  <c r="H6" i="16" l="1"/>
  <c r="H5" i="16"/>
  <c r="H12" i="16"/>
  <c r="H9" i="16"/>
  <c r="H13" i="16" l="1"/>
  <c r="H15" i="16" s="1"/>
  <c r="H23" i="16" l="1"/>
  <c r="H25" i="16" s="1"/>
  <c r="H17" i="16"/>
  <c r="H19" i="16" s="1"/>
  <c r="H32" i="16"/>
  <c r="H34" i="16" s="1"/>
  <c r="H36" i="16"/>
  <c r="H38" i="16" s="1"/>
  <c r="I4" i="10" l="1"/>
  <c r="I3" i="10"/>
  <c r="K2" i="16"/>
  <c r="G3" i="15" s="1"/>
  <c r="D8" i="15" l="1"/>
  <c r="J14" i="15" s="1"/>
  <c r="D6" i="15"/>
  <c r="D9" i="15"/>
  <c r="D7" i="15"/>
  <c r="J16" i="15" l="1"/>
  <c r="J15" i="15"/>
  <c r="J18" i="15"/>
  <c r="J17" i="15"/>
  <c r="J19" i="15" l="1"/>
  <c r="I2" i="10" l="1"/>
  <c r="H24" i="19" l="1"/>
  <c r="L3" i="19" s="1"/>
  <c r="L2" i="19" l="1"/>
</calcChain>
</file>

<file path=xl/sharedStrings.xml><?xml version="1.0" encoding="utf-8"?>
<sst xmlns="http://schemas.openxmlformats.org/spreadsheetml/2006/main" count="446" uniqueCount="377">
  <si>
    <t>CONTROL</t>
  </si>
  <si>
    <t>year</t>
  </si>
  <si>
    <t>month</t>
  </si>
  <si>
    <t>day</t>
  </si>
  <si>
    <t>date</t>
  </si>
  <si>
    <t>sunhr</t>
  </si>
  <si>
    <t>tmax</t>
  </si>
  <si>
    <t>tmin</t>
  </si>
  <si>
    <t>rh</t>
  </si>
  <si>
    <t>wind</t>
  </si>
  <si>
    <t>rain</t>
  </si>
  <si>
    <t>*Feb 1991 weather data not collected due to faulty equipment</t>
  </si>
  <si>
    <t>INPUT</t>
  </si>
  <si>
    <t>SOLAR RADIATION</t>
  </si>
  <si>
    <t>DAILY WEATHER</t>
  </si>
  <si>
    <t>n1</t>
  </si>
  <si>
    <t>n2</t>
  </si>
  <si>
    <t>n3</t>
  </si>
  <si>
    <t>n4</t>
  </si>
  <si>
    <t>SOLAR POSITION</t>
  </si>
  <si>
    <t>a</t>
  </si>
  <si>
    <t>b</t>
  </si>
  <si>
    <t>R</t>
  </si>
  <si>
    <t>SUNRISE/SET</t>
  </si>
  <si>
    <t>K</t>
  </si>
  <si>
    <t>Stefan-Boltzmann</t>
  </si>
  <si>
    <t>WIND SPEED</t>
  </si>
  <si>
    <t>CONSTANTS</t>
  </si>
  <si>
    <t>DL</t>
  </si>
  <si>
    <t>RH</t>
  </si>
  <si>
    <t>u</t>
  </si>
  <si>
    <r>
      <t>T</t>
    </r>
    <r>
      <rPr>
        <vertAlign val="subscript"/>
        <sz val="12"/>
        <rFont val="Arial"/>
        <family val="2"/>
      </rPr>
      <t>max</t>
    </r>
  </si>
  <si>
    <r>
      <t>T</t>
    </r>
    <r>
      <rPr>
        <vertAlign val="subscript"/>
        <sz val="12"/>
        <rFont val="Arial"/>
        <family val="2"/>
      </rPr>
      <t>min</t>
    </r>
  </si>
  <si>
    <r>
      <t>T</t>
    </r>
    <r>
      <rPr>
        <vertAlign val="subscript"/>
        <sz val="12"/>
        <rFont val="Arial"/>
        <family val="2"/>
      </rPr>
      <t>mean</t>
    </r>
  </si>
  <si>
    <t>surface albedo, p</t>
  </si>
  <si>
    <r>
      <t xml:space="preserve">latitude, </t>
    </r>
    <r>
      <rPr>
        <sz val="11"/>
        <rFont val="Symbol"/>
        <family val="1"/>
        <charset val="2"/>
      </rPr>
      <t xml:space="preserve"> l</t>
    </r>
    <r>
      <rPr>
        <sz val="9"/>
        <rFont val="Arial"/>
        <family val="2"/>
      </rPr>
      <t xml:space="preserve"> (rad)</t>
    </r>
  </si>
  <si>
    <t>d</t>
  </si>
  <si>
    <t>t</t>
  </si>
  <si>
    <r>
      <t>t</t>
    </r>
    <r>
      <rPr>
        <vertAlign val="subscript"/>
        <sz val="12"/>
        <rFont val="Arial"/>
        <family val="2"/>
      </rPr>
      <t>sr</t>
    </r>
  </si>
  <si>
    <r>
      <t>t</t>
    </r>
    <r>
      <rPr>
        <vertAlign val="subscript"/>
        <sz val="12"/>
        <rFont val="Arial"/>
        <family val="2"/>
      </rPr>
      <t>ss</t>
    </r>
  </si>
  <si>
    <r>
      <t>T</t>
    </r>
    <r>
      <rPr>
        <vertAlign val="subscript"/>
        <sz val="12"/>
        <rFont val="Arial"/>
        <family val="2"/>
      </rPr>
      <t>set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</si>
  <si>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°</t>
    </r>
    <r>
      <rPr>
        <sz val="9"/>
        <rFont val="Arial"/>
        <family val="2"/>
      </rPr>
      <t>C)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</si>
  <si>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(K)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</si>
  <si>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(1)</t>
    </r>
  </si>
  <si>
    <r>
      <t>T</t>
    </r>
    <r>
      <rPr>
        <vertAlign val="subscript"/>
        <sz val="12"/>
        <rFont val="Arial"/>
        <family val="2"/>
      </rPr>
      <t xml:space="preserve">a </t>
    </r>
    <r>
      <rPr>
        <sz val="9"/>
        <rFont val="Arial"/>
        <family val="2"/>
      </rPr>
      <t>(2)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</si>
  <si>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(3)</t>
    </r>
  </si>
  <si>
    <r>
      <t>e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>[T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>]</t>
    </r>
  </si>
  <si>
    <r>
      <t>e</t>
    </r>
    <r>
      <rPr>
        <vertAlign val="subscript"/>
        <sz val="12"/>
        <rFont val="Arial"/>
        <family val="2"/>
      </rPr>
      <t>a</t>
    </r>
  </si>
  <si>
    <r>
      <rPr>
        <sz val="11"/>
        <rFont val="Symbol"/>
        <family val="1"/>
        <charset val="2"/>
      </rPr>
      <t>q</t>
    </r>
    <r>
      <rPr>
        <sz val="9"/>
        <rFont val="Arial"/>
        <family val="2"/>
      </rPr>
      <t xml:space="preserve"> (rad)</t>
    </r>
  </si>
  <si>
    <r>
      <rPr>
        <sz val="11"/>
        <rFont val="Symbol"/>
        <family val="1"/>
        <charset val="2"/>
      </rPr>
      <t>f</t>
    </r>
    <r>
      <rPr>
        <sz val="9"/>
        <rFont val="Arial"/>
        <family val="2"/>
      </rPr>
      <t xml:space="preserve"> (rad)</t>
    </r>
  </si>
  <si>
    <r>
      <t>Angstrom, b</t>
    </r>
    <r>
      <rPr>
        <vertAlign val="subscript"/>
        <sz val="12"/>
        <rFont val="Arial"/>
        <family val="2"/>
      </rPr>
      <t>0</t>
    </r>
  </si>
  <si>
    <r>
      <t>Angstrom, b</t>
    </r>
    <r>
      <rPr>
        <vertAlign val="subscript"/>
        <sz val="12"/>
        <rFont val="Arial"/>
        <family val="2"/>
      </rPr>
      <t>1</t>
    </r>
  </si>
  <si>
    <r>
      <t>I</t>
    </r>
    <r>
      <rPr>
        <vertAlign val="subscript"/>
        <sz val="12"/>
        <rFont val="Arial"/>
        <family val="2"/>
      </rPr>
      <t>c</t>
    </r>
  </si>
  <si>
    <r>
      <t>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</si>
  <si>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t,d</t>
    </r>
  </si>
  <si>
    <r>
      <t>I</t>
    </r>
    <r>
      <rPr>
        <vertAlign val="subscript"/>
        <sz val="12"/>
        <rFont val="Arial"/>
        <family val="2"/>
      </rPr>
      <t>t,d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</si>
  <si>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df,d</t>
    </r>
  </si>
  <si>
    <r>
      <t>I</t>
    </r>
    <r>
      <rPr>
        <vertAlign val="subscript"/>
        <sz val="12"/>
        <rFont val="Arial"/>
        <family val="2"/>
      </rPr>
      <t>dr,d</t>
    </r>
  </si>
  <si>
    <t>s</t>
  </si>
  <si>
    <r>
      <t>I</t>
    </r>
    <r>
      <rPr>
        <vertAlign val="subscript"/>
        <sz val="12"/>
        <rFont val="Arial"/>
        <family val="2"/>
      </rPr>
      <t>et</t>
    </r>
  </si>
  <si>
    <t>y</t>
  </si>
  <si>
    <t>D</t>
  </si>
  <si>
    <r>
      <t>I</t>
    </r>
    <r>
      <rPr>
        <vertAlign val="subscript"/>
        <sz val="12"/>
        <rFont val="Arial"/>
        <family val="2"/>
      </rPr>
      <t>t</t>
    </r>
  </si>
  <si>
    <r>
      <rPr>
        <sz val="9"/>
        <rFont val="Arial"/>
        <family val="2"/>
      </rPr>
      <t>b</t>
    </r>
    <r>
      <rPr>
        <sz val="11"/>
        <rFont val="Symbol"/>
        <family val="1"/>
        <charset val="2"/>
      </rPr>
      <t>y</t>
    </r>
  </si>
  <si>
    <r>
      <rPr>
        <sz val="9"/>
        <rFont val="Arial"/>
        <family val="2"/>
      </rPr>
      <t>a</t>
    </r>
    <r>
      <rPr>
        <sz val="11"/>
        <rFont val="Symbol"/>
        <family val="1"/>
        <charset val="2"/>
      </rPr>
      <t>y</t>
    </r>
  </si>
  <si>
    <r>
      <t>I</t>
    </r>
    <r>
      <rPr>
        <vertAlign val="subscript"/>
        <sz val="12"/>
        <rFont val="Arial"/>
        <family val="2"/>
      </rPr>
      <t>t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</t>
    </r>
  </si>
  <si>
    <r>
      <t>I</t>
    </r>
    <r>
      <rPr>
        <vertAlign val="subscript"/>
        <sz val="12"/>
        <rFont val="Arial"/>
        <family val="2"/>
      </rPr>
      <t>dr</t>
    </r>
  </si>
  <si>
    <r>
      <t>I</t>
    </r>
    <r>
      <rPr>
        <vertAlign val="subscript"/>
        <sz val="12"/>
        <rFont val="Arial"/>
        <family val="2"/>
      </rPr>
      <t>df</t>
    </r>
  </si>
  <si>
    <r>
      <t>R</t>
    </r>
    <r>
      <rPr>
        <vertAlign val="subscript"/>
        <sz val="12"/>
        <rFont val="Arial"/>
        <family val="2"/>
      </rPr>
      <t>n</t>
    </r>
  </si>
  <si>
    <t>NET RADIATION</t>
  </si>
  <si>
    <r>
      <t>RH</t>
    </r>
    <r>
      <rPr>
        <vertAlign val="subscript"/>
        <sz val="12"/>
        <rFont val="Arial"/>
        <family val="2"/>
      </rPr>
      <t>d</t>
    </r>
  </si>
  <si>
    <t>n5</t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</si>
  <si>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</si>
  <si>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</si>
  <si>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</si>
  <si>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(4)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</si>
  <si>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</si>
  <si>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</si>
  <si>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</si>
  <si>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(4)</t>
    </r>
  </si>
  <si>
    <t>Serdang</t>
  </si>
  <si>
    <t>Weather ref.</t>
  </si>
  <si>
    <r>
      <t>u</t>
    </r>
    <r>
      <rPr>
        <vertAlign val="subscript"/>
        <sz val="12"/>
        <rFont val="Arial"/>
        <family val="2"/>
      </rPr>
      <t>min</t>
    </r>
  </si>
  <si>
    <r>
      <t>u</t>
    </r>
    <r>
      <rPr>
        <vertAlign val="subscript"/>
        <sz val="12"/>
        <rFont val="Arial"/>
        <family val="2"/>
      </rPr>
      <t>max</t>
    </r>
  </si>
  <si>
    <r>
      <rPr>
        <sz val="9"/>
        <rFont val="Symbol"/>
        <family val="1"/>
        <charset val="2"/>
      </rPr>
      <t>D</t>
    </r>
    <r>
      <rPr>
        <sz val="9"/>
        <rFont val="Arial"/>
        <family val="2"/>
      </rPr>
      <t>u</t>
    </r>
  </si>
  <si>
    <r>
      <t>u</t>
    </r>
    <r>
      <rPr>
        <vertAlign val="subscript"/>
        <sz val="12"/>
        <rFont val="Arial"/>
        <family val="2"/>
      </rPr>
      <t>d</t>
    </r>
  </si>
  <si>
    <t>site</t>
  </si>
  <si>
    <t>stepsize</t>
  </si>
  <si>
    <t>step</t>
  </si>
  <si>
    <t>criteria</t>
  </si>
  <si>
    <t>doy</t>
  </si>
  <si>
    <t>TO OUTPUT</t>
  </si>
  <si>
    <t>f</t>
  </si>
  <si>
    <t>hour</t>
  </si>
  <si>
    <t>OUTPUT</t>
  </si>
  <si>
    <t>Lat (deg)</t>
  </si>
  <si>
    <r>
      <t>T</t>
    </r>
    <r>
      <rPr>
        <vertAlign val="subscript"/>
        <sz val="12"/>
        <rFont val="Arial"/>
        <family val="2"/>
      </rPr>
      <t>d(cal)</t>
    </r>
  </si>
  <si>
    <r>
      <t>T</t>
    </r>
    <r>
      <rPr>
        <vertAlign val="subscript"/>
        <sz val="12"/>
        <rFont val="Arial"/>
        <family val="2"/>
      </rPr>
      <t>d(max)</t>
    </r>
  </si>
  <si>
    <r>
      <t>b</t>
    </r>
    <r>
      <rPr>
        <sz val="9"/>
        <rFont val="Arial"/>
        <family val="2"/>
      </rPr>
      <t xml:space="preserve"> (rad)</t>
    </r>
  </si>
  <si>
    <t>a/b</t>
  </si>
  <si>
    <t xml:space="preserve"> case (1) true?</t>
  </si>
  <si>
    <t>case (2) true?</t>
  </si>
  <si>
    <t>case (3) true?</t>
  </si>
  <si>
    <r>
      <t>R</t>
    </r>
    <r>
      <rPr>
        <vertAlign val="subscript"/>
        <sz val="12"/>
        <rFont val="Arial"/>
        <family val="2"/>
      </rPr>
      <t>nL</t>
    </r>
  </si>
  <si>
    <t>AIR TEMP.</t>
  </si>
  <si>
    <t>PARAMETERS</t>
  </si>
  <si>
    <r>
      <t>L</t>
    </r>
    <r>
      <rPr>
        <vertAlign val="subscript"/>
        <sz val="12"/>
        <rFont val="Arial"/>
        <family val="2"/>
      </rPr>
      <t>max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</si>
  <si>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(25)</t>
    </r>
  </si>
  <si>
    <r>
      <t>Q</t>
    </r>
    <r>
      <rPr>
        <b/>
        <vertAlign val="subscript"/>
        <sz val="12"/>
        <rFont val="Arial"/>
        <family val="2"/>
      </rPr>
      <t>10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</si>
  <si>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(Tf)</t>
    </r>
  </si>
  <si>
    <r>
      <t>O</t>
    </r>
    <r>
      <rPr>
        <vertAlign val="subscript"/>
        <sz val="12"/>
        <rFont val="Arial"/>
        <family val="2"/>
      </rPr>
      <t>a</t>
    </r>
  </si>
  <si>
    <r>
      <t>C</t>
    </r>
    <r>
      <rPr>
        <vertAlign val="subscript"/>
        <sz val="12"/>
        <rFont val="Arial"/>
        <family val="2"/>
      </rPr>
      <t>i</t>
    </r>
  </si>
  <si>
    <r>
      <t>p</t>
    </r>
    <r>
      <rPr>
        <vertAlign val="subscript"/>
        <sz val="12"/>
        <rFont val="Arial"/>
        <family val="2"/>
      </rPr>
      <t>p</t>
    </r>
  </si>
  <si>
    <r>
      <t>e</t>
    </r>
    <r>
      <rPr>
        <vertAlign val="subscript"/>
        <sz val="12"/>
        <rFont val="Arial"/>
        <family val="2"/>
      </rPr>
      <t>m</t>
    </r>
  </si>
  <si>
    <r>
      <t>V</t>
    </r>
    <r>
      <rPr>
        <vertAlign val="subscript"/>
        <sz val="12"/>
        <rFont val="Arial"/>
        <family val="2"/>
      </rPr>
      <t>c,max</t>
    </r>
  </si>
  <si>
    <r>
      <t>K</t>
    </r>
    <r>
      <rPr>
        <vertAlign val="subscript"/>
        <sz val="12"/>
        <rFont val="Arial"/>
        <family val="2"/>
      </rPr>
      <t>c</t>
    </r>
  </si>
  <si>
    <r>
      <t>K</t>
    </r>
    <r>
      <rPr>
        <vertAlign val="subscript"/>
        <sz val="12"/>
        <rFont val="Arial"/>
        <family val="2"/>
      </rPr>
      <t>o</t>
    </r>
  </si>
  <si>
    <r>
      <t>T</t>
    </r>
    <r>
      <rPr>
        <vertAlign val="subscript"/>
        <sz val="12"/>
        <rFont val="Arial"/>
        <family val="2"/>
      </rPr>
      <t>f</t>
    </r>
  </si>
  <si>
    <t>c</t>
  </si>
  <si>
    <t>e</t>
  </si>
  <si>
    <t>g</t>
  </si>
  <si>
    <t>h</t>
  </si>
  <si>
    <t>i</t>
  </si>
  <si>
    <t>j</t>
  </si>
  <si>
    <t>k</t>
  </si>
  <si>
    <r>
      <t>Q</t>
    </r>
    <r>
      <rPr>
        <vertAlign val="subscript"/>
        <sz val="12"/>
        <rFont val="Arial"/>
        <family val="2"/>
      </rPr>
      <t>df</t>
    </r>
  </si>
  <si>
    <r>
      <t>Q</t>
    </r>
    <r>
      <rPr>
        <vertAlign val="subscript"/>
        <sz val="12"/>
        <rFont val="Arial"/>
        <family val="2"/>
      </rPr>
      <t>dr</t>
    </r>
  </si>
  <si>
    <r>
      <t>t</t>
    </r>
    <r>
      <rPr>
        <vertAlign val="subscript"/>
        <sz val="12"/>
        <rFont val="Arial"/>
        <family val="2"/>
      </rPr>
      <t>b</t>
    </r>
  </si>
  <si>
    <r>
      <rPr>
        <sz val="9"/>
        <rFont val="Symbol"/>
        <family val="1"/>
        <charset val="2"/>
      </rPr>
      <t>w</t>
    </r>
    <r>
      <rPr>
        <vertAlign val="subscript"/>
        <sz val="12"/>
        <rFont val="Arial"/>
        <family val="2"/>
      </rPr>
      <t>0</t>
    </r>
    <r>
      <rPr>
        <sz val="9"/>
        <rFont val="Arial"/>
        <family val="2"/>
      </rPr>
      <t xml:space="preserve"> </t>
    </r>
  </si>
  <si>
    <r>
      <rPr>
        <sz val="9"/>
        <rFont val="Symbol"/>
        <family val="1"/>
        <charset val="2"/>
      </rPr>
      <t>w</t>
    </r>
    <r>
      <rPr>
        <sz val="9"/>
        <rFont val="Arial"/>
        <family val="2"/>
      </rPr>
      <t/>
    </r>
  </si>
  <si>
    <r>
      <rPr>
        <sz val="9"/>
        <rFont val="Arial"/>
        <family val="2"/>
      </rPr>
      <t xml:space="preserve">1 - </t>
    </r>
    <r>
      <rPr>
        <sz val="9"/>
        <rFont val="Symbol"/>
        <family val="1"/>
        <charset val="2"/>
      </rPr>
      <t>t</t>
    </r>
    <r>
      <rPr>
        <vertAlign val="subscript"/>
        <sz val="12"/>
        <rFont val="Arial"/>
        <family val="2"/>
      </rPr>
      <t>b</t>
    </r>
  </si>
  <si>
    <r>
      <t>k</t>
    </r>
    <r>
      <rPr>
        <vertAlign val="subscript"/>
        <sz val="12"/>
        <rFont val="Arial"/>
        <family val="2"/>
      </rPr>
      <t>dr</t>
    </r>
  </si>
  <si>
    <r>
      <t>k</t>
    </r>
    <r>
      <rPr>
        <vertAlign val="subscript"/>
        <sz val="12"/>
        <rFont val="Arial"/>
        <family val="2"/>
      </rPr>
      <t>df</t>
    </r>
  </si>
  <si>
    <r>
      <t>L</t>
    </r>
    <r>
      <rPr>
        <vertAlign val="subscript"/>
        <sz val="12"/>
        <rFont val="Arial"/>
        <family val="2"/>
      </rPr>
      <t>sl</t>
    </r>
  </si>
  <si>
    <r>
      <t>L</t>
    </r>
    <r>
      <rPr>
        <vertAlign val="subscript"/>
        <sz val="12"/>
        <rFont val="Arial"/>
        <family val="2"/>
      </rPr>
      <t>sh</t>
    </r>
  </si>
  <si>
    <r>
      <t>Q</t>
    </r>
    <r>
      <rPr>
        <vertAlign val="subscript"/>
        <sz val="12"/>
        <rFont val="Arial"/>
        <family val="2"/>
      </rPr>
      <t>p,dr</t>
    </r>
  </si>
  <si>
    <r>
      <t>Q</t>
    </r>
    <r>
      <rPr>
        <vertAlign val="subscript"/>
        <sz val="12"/>
        <rFont val="Arial"/>
        <family val="2"/>
      </rPr>
      <t>p,dr,dr</t>
    </r>
  </si>
  <si>
    <r>
      <t>Q</t>
    </r>
    <r>
      <rPr>
        <vertAlign val="subscript"/>
        <sz val="12"/>
        <rFont val="Arial"/>
        <family val="2"/>
      </rPr>
      <t>p,dr,</t>
    </r>
    <r>
      <rPr>
        <vertAlign val="subscript"/>
        <sz val="12"/>
        <rFont val="Symbol"/>
        <family val="1"/>
        <charset val="2"/>
      </rPr>
      <t>a</t>
    </r>
  </si>
  <si>
    <r>
      <t>Q</t>
    </r>
    <r>
      <rPr>
        <vertAlign val="subscript"/>
        <sz val="12"/>
        <rFont val="Arial"/>
        <family val="2"/>
      </rPr>
      <t>p,df</t>
    </r>
  </si>
  <si>
    <r>
      <t>Q</t>
    </r>
    <r>
      <rPr>
        <vertAlign val="subscript"/>
        <sz val="12"/>
        <rFont val="Arial"/>
        <family val="2"/>
      </rPr>
      <t>sl</t>
    </r>
  </si>
  <si>
    <r>
      <t>Q</t>
    </r>
    <r>
      <rPr>
        <vertAlign val="subscript"/>
        <sz val="12"/>
        <rFont val="Arial"/>
        <family val="2"/>
      </rPr>
      <t>sh</t>
    </r>
  </si>
  <si>
    <r>
      <rPr>
        <sz val="9"/>
        <rFont val="Symbol"/>
        <family val="1"/>
        <charset val="2"/>
      </rPr>
      <t>G</t>
    </r>
    <r>
      <rPr>
        <sz val="9"/>
        <rFont val="Arial"/>
        <family val="2"/>
      </rPr>
      <t>*</t>
    </r>
  </si>
  <si>
    <r>
      <t>v</t>
    </r>
    <r>
      <rPr>
        <vertAlign val="subscript"/>
        <sz val="12"/>
        <rFont val="Arial"/>
        <family val="2"/>
      </rPr>
      <t>c</t>
    </r>
  </si>
  <si>
    <r>
      <t>v</t>
    </r>
    <r>
      <rPr>
        <vertAlign val="subscript"/>
        <sz val="12"/>
        <rFont val="Arial"/>
        <family val="2"/>
      </rPr>
      <t>s</t>
    </r>
  </si>
  <si>
    <r>
      <t>v</t>
    </r>
    <r>
      <rPr>
        <vertAlign val="subscript"/>
        <sz val="12"/>
        <rFont val="Arial"/>
        <family val="2"/>
      </rPr>
      <t>q,sl</t>
    </r>
  </si>
  <si>
    <r>
      <t>v</t>
    </r>
    <r>
      <rPr>
        <vertAlign val="subscript"/>
        <sz val="12"/>
        <rFont val="Arial"/>
        <family val="2"/>
      </rPr>
      <t>q,sh</t>
    </r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</si>
  <si>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</t>
    </r>
  </si>
  <si>
    <t>L</t>
  </si>
  <si>
    <t>EXT. COEF.</t>
  </si>
  <si>
    <t>PAR ABSORBED</t>
  </si>
  <si>
    <r>
      <t>CO</t>
    </r>
    <r>
      <rPr>
        <b/>
        <vertAlign val="subscript"/>
        <sz val="12"/>
        <rFont val="Arial"/>
        <family val="2"/>
      </rPr>
      <t>2</t>
    </r>
    <r>
      <rPr>
        <b/>
        <sz val="9"/>
        <rFont val="Arial"/>
        <family val="2"/>
      </rPr>
      <t xml:space="preserve"> ASSIM.</t>
    </r>
  </si>
  <si>
    <r>
      <rPr>
        <sz val="12"/>
        <rFont val="Symbol"/>
        <family val="1"/>
        <charset val="2"/>
      </rPr>
      <t>ò</t>
    </r>
    <r>
      <rPr>
        <sz val="9"/>
        <rFont val="Symbol"/>
        <family val="1"/>
        <charset val="2"/>
      </rPr>
      <t xml:space="preserve"> L</t>
    </r>
    <r>
      <rPr>
        <vertAlign val="subscript"/>
        <sz val="12"/>
        <rFont val="Arial"/>
        <family val="2"/>
      </rPr>
      <t>canopy</t>
    </r>
    <r>
      <rPr>
        <sz val="9"/>
        <rFont val="Arial"/>
        <family val="2"/>
      </rPr>
      <t xml:space="preserve"> dt</t>
    </r>
  </si>
  <si>
    <t>OPERATION</t>
  </si>
  <si>
    <t>current date</t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</si>
  <si>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canopy,d</t>
    </r>
    <r>
      <rPr>
        <sz val="9"/>
        <rFont val="Arial"/>
        <family val="2"/>
      </rPr>
      <t xml:space="preserve"> (g CH</t>
    </r>
    <r>
      <rPr>
        <vertAlign val="subscript"/>
        <sz val="12"/>
        <rFont val="Arial"/>
        <family val="2"/>
      </rPr>
      <t>2</t>
    </r>
    <r>
      <rPr>
        <sz val="9"/>
        <rFont val="Arial"/>
        <family val="2"/>
      </rPr>
      <t>O m</t>
    </r>
    <r>
      <rPr>
        <vertAlign val="superscript"/>
        <sz val="12"/>
        <rFont val="Arial"/>
        <family val="2"/>
      </rPr>
      <t>-2</t>
    </r>
    <r>
      <rPr>
        <sz val="9"/>
        <rFont val="Arial"/>
        <family val="2"/>
      </rPr>
      <t>)</t>
    </r>
  </si>
  <si>
    <t>param.</t>
  </si>
  <si>
    <r>
      <t>k</t>
    </r>
    <r>
      <rPr>
        <b/>
        <vertAlign val="subscript"/>
        <sz val="12"/>
        <rFont val="Arial"/>
        <family val="2"/>
      </rPr>
      <t>df</t>
    </r>
    <r>
      <rPr>
        <b/>
        <sz val="9"/>
        <rFont val="Arial"/>
        <family val="2"/>
      </rPr>
      <t xml:space="preserve"> coef.</t>
    </r>
  </si>
  <si>
    <t>PROVISIONAL</t>
  </si>
  <si>
    <t>PAR ABOVE</t>
  </si>
  <si>
    <t>PAR CANOPIES</t>
  </si>
  <si>
    <t>SUNLIT/SHADED</t>
  </si>
  <si>
    <t>Ra</t>
  </si>
  <si>
    <t>Rc</t>
  </si>
  <si>
    <t>Rs</t>
  </si>
  <si>
    <t>SOIL</t>
  </si>
  <si>
    <t>RESISTANCES</t>
  </si>
  <si>
    <t>rsa</t>
  </si>
  <si>
    <t>raa</t>
  </si>
  <si>
    <t>rca</t>
  </si>
  <si>
    <t>SENSIBLE HEAT</t>
  </si>
  <si>
    <t>total PAR</t>
  </si>
  <si>
    <t>rst</t>
  </si>
  <si>
    <t>rcs</t>
  </si>
  <si>
    <t>rss</t>
  </si>
  <si>
    <t>w</t>
  </si>
  <si>
    <r>
      <t>z</t>
    </r>
    <r>
      <rPr>
        <vertAlign val="subscript"/>
        <sz val="12"/>
        <rFont val="Arial"/>
        <family val="2"/>
      </rPr>
      <t>s0</t>
    </r>
  </si>
  <si>
    <t>l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</si>
  <si>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</si>
  <si>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v,1</t>
    </r>
  </si>
  <si>
    <r>
      <t>stomata, a</t>
    </r>
    <r>
      <rPr>
        <vertAlign val="subscript"/>
        <sz val="12"/>
        <rFont val="Arial"/>
        <family val="2"/>
      </rPr>
      <t>1</t>
    </r>
  </si>
  <si>
    <r>
      <t>stomata, a</t>
    </r>
    <r>
      <rPr>
        <vertAlign val="subscript"/>
        <sz val="12"/>
        <rFont val="Arial"/>
        <family val="2"/>
      </rPr>
      <t>2</t>
    </r>
  </si>
  <si>
    <r>
      <t>n</t>
    </r>
    <r>
      <rPr>
        <vertAlign val="subscript"/>
        <sz val="12"/>
        <rFont val="Arial"/>
        <family val="2"/>
      </rPr>
      <t>K</t>
    </r>
  </si>
  <si>
    <r>
      <t>n</t>
    </r>
    <r>
      <rPr>
        <vertAlign val="subscript"/>
        <sz val="12"/>
        <rFont val="Arial"/>
        <family val="2"/>
      </rPr>
      <t>u</t>
    </r>
  </si>
  <si>
    <r>
      <t>z</t>
    </r>
    <r>
      <rPr>
        <vertAlign val="subscript"/>
        <sz val="12"/>
        <rFont val="Arial"/>
        <family val="2"/>
      </rPr>
      <t>r</t>
    </r>
  </si>
  <si>
    <r>
      <rPr>
        <sz val="10"/>
        <rFont val="Symbol"/>
        <family val="1"/>
        <charset val="2"/>
      </rPr>
      <t>f</t>
    </r>
    <r>
      <rPr>
        <vertAlign val="subscript"/>
        <sz val="10"/>
        <rFont val="Arial"/>
        <family val="2"/>
      </rPr>
      <t>p</t>
    </r>
  </si>
  <si>
    <t>G</t>
  </si>
  <si>
    <t>A</t>
  </si>
  <si>
    <r>
      <t>A</t>
    </r>
    <r>
      <rPr>
        <vertAlign val="subscript"/>
        <sz val="12"/>
        <rFont val="Arial"/>
        <family val="2"/>
      </rPr>
      <t>c</t>
    </r>
  </si>
  <si>
    <r>
      <t>A</t>
    </r>
    <r>
      <rPr>
        <vertAlign val="subscript"/>
        <sz val="12"/>
        <rFont val="Arial"/>
        <family val="2"/>
      </rPr>
      <t>s</t>
    </r>
  </si>
  <si>
    <t>AVAIL. ENERGY</t>
  </si>
  <si>
    <r>
      <rPr>
        <sz val="9"/>
        <rFont val="Symbol"/>
        <family val="1"/>
        <charset val="2"/>
      </rPr>
      <t>r</t>
    </r>
    <r>
      <rPr>
        <sz val="9"/>
        <rFont val="Arial"/>
        <family val="2"/>
      </rPr>
      <t>c</t>
    </r>
    <r>
      <rPr>
        <vertAlign val="subscript"/>
        <sz val="9"/>
        <rFont val="Arial"/>
        <family val="2"/>
      </rPr>
      <t>p</t>
    </r>
  </si>
  <si>
    <r>
      <t>z</t>
    </r>
    <r>
      <rPr>
        <vertAlign val="subscript"/>
        <sz val="12"/>
        <rFont val="Arial"/>
        <family val="2"/>
      </rPr>
      <t>0</t>
    </r>
  </si>
  <si>
    <t>u*</t>
  </si>
  <si>
    <t>u[h]</t>
  </si>
  <si>
    <r>
      <t>K</t>
    </r>
    <r>
      <rPr>
        <vertAlign val="subscript"/>
        <sz val="12"/>
        <rFont val="Arial"/>
        <family val="2"/>
      </rPr>
      <t>h</t>
    </r>
  </si>
  <si>
    <t>n6</t>
  </si>
  <si>
    <t>n7</t>
  </si>
  <si>
    <t>n8</t>
  </si>
  <si>
    <t>rss (dry)</t>
  </si>
  <si>
    <r>
      <t>D</t>
    </r>
    <r>
      <rPr>
        <vertAlign val="subscript"/>
        <sz val="12"/>
        <rFont val="Arial"/>
        <family val="2"/>
      </rPr>
      <t>m,v</t>
    </r>
  </si>
  <si>
    <t>PROFILE</t>
  </si>
  <si>
    <t>n9</t>
  </si>
  <si>
    <t>n10</t>
  </si>
  <si>
    <t>n11</t>
  </si>
  <si>
    <t>n12</t>
  </si>
  <si>
    <r>
      <t>PM</t>
    </r>
    <r>
      <rPr>
        <vertAlign val="subscript"/>
        <sz val="12"/>
        <rFont val="Arial"/>
        <family val="2"/>
      </rPr>
      <t>c</t>
    </r>
  </si>
  <si>
    <r>
      <t>PM</t>
    </r>
    <r>
      <rPr>
        <vertAlign val="subscript"/>
        <sz val="12"/>
        <rFont val="Arial"/>
        <family val="2"/>
      </rPr>
      <t>s</t>
    </r>
  </si>
  <si>
    <r>
      <t>C</t>
    </r>
    <r>
      <rPr>
        <vertAlign val="subscript"/>
        <sz val="12"/>
        <rFont val="Arial"/>
        <family val="2"/>
      </rPr>
      <t>c</t>
    </r>
  </si>
  <si>
    <r>
      <t>C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</si>
  <si>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</si>
  <si>
    <r>
      <t>D</t>
    </r>
    <r>
      <rPr>
        <vertAlign val="subscript"/>
        <sz val="12"/>
        <rFont val="Arial"/>
        <family val="2"/>
      </rPr>
      <t>0</t>
    </r>
  </si>
  <si>
    <t>n13</t>
  </si>
  <si>
    <t>n14</t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</si>
  <si>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</si>
  <si>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</si>
  <si>
    <t>n15</t>
  </si>
  <si>
    <t>n16</t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</si>
  <si>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 xml:space="preserve"> dt</t>
    </r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</si>
  <si>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  <r>
      <rPr>
        <sz val="9"/>
        <rFont val="Arial"/>
        <family val="2"/>
      </rPr>
      <t xml:space="preserve"> dt</t>
    </r>
  </si>
  <si>
    <r>
      <t>E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</si>
  <si>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</si>
  <si>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ET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</si>
  <si>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t>LATENT HEAT</t>
  </si>
  <si>
    <t>n17</t>
  </si>
  <si>
    <t>n18</t>
  </si>
  <si>
    <r>
      <t>H</t>
    </r>
    <r>
      <rPr>
        <vertAlign val="subscript"/>
        <sz val="12"/>
        <rFont val="Arial"/>
        <family val="2"/>
      </rPr>
      <t>s</t>
    </r>
  </si>
  <si>
    <t>n19</t>
  </si>
  <si>
    <t>n20</t>
  </si>
  <si>
    <r>
      <t>H</t>
    </r>
    <r>
      <rPr>
        <vertAlign val="subscript"/>
        <sz val="12"/>
        <rFont val="Arial"/>
        <family val="2"/>
      </rPr>
      <t>c</t>
    </r>
  </si>
  <si>
    <t>CANOPY TEMP.</t>
  </si>
  <si>
    <r>
      <t>k</t>
    </r>
    <r>
      <rPr>
        <vertAlign val="subscript"/>
        <sz val="10"/>
        <rFont val="Arial"/>
        <family val="2"/>
      </rPr>
      <t>Rn</t>
    </r>
  </si>
  <si>
    <r>
      <t>p</t>
    </r>
    <r>
      <rPr>
        <vertAlign val="subscript"/>
        <sz val="12"/>
        <rFont val="Arial"/>
        <family val="2"/>
      </rPr>
      <t>Rn</t>
    </r>
  </si>
  <si>
    <t>ITG</t>
  </si>
  <si>
    <t>SOIL SUCTION</t>
  </si>
  <si>
    <r>
      <t>s</t>
    </r>
    <r>
      <rPr>
        <vertAlign val="subscript"/>
        <sz val="12"/>
        <rFont val="Arial"/>
        <family val="2"/>
      </rPr>
      <t>i</t>
    </r>
  </si>
  <si>
    <r>
      <t>z</t>
    </r>
    <r>
      <rPr>
        <vertAlign val="subscript"/>
        <sz val="12"/>
        <rFont val="Arial"/>
        <family val="2"/>
      </rPr>
      <t>i</t>
    </r>
  </si>
  <si>
    <r>
      <rPr>
        <sz val="9"/>
        <rFont val="Arial"/>
        <family val="2"/>
      </rPr>
      <t>S</t>
    </r>
    <r>
      <rPr>
        <vertAlign val="subscript"/>
        <sz val="12"/>
        <rFont val="Arial"/>
        <family val="2"/>
      </rPr>
      <t>i</t>
    </r>
  </si>
  <si>
    <t>ACTUAL E</t>
  </si>
  <si>
    <t>ACTUAL T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</si>
  <si>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v,sat,i</t>
    </r>
  </si>
  <si>
    <t>HYDRAULIC COND.</t>
  </si>
  <si>
    <r>
      <t>H</t>
    </r>
    <r>
      <rPr>
        <vertAlign val="subscript"/>
        <sz val="12"/>
        <rFont val="Arial"/>
        <family val="2"/>
      </rPr>
      <t>m,i</t>
    </r>
  </si>
  <si>
    <r>
      <t>H</t>
    </r>
    <r>
      <rPr>
        <vertAlign val="subscript"/>
        <sz val="12"/>
        <rFont val="Arial"/>
        <family val="2"/>
      </rPr>
      <t>g,i</t>
    </r>
  </si>
  <si>
    <r>
      <t>H</t>
    </r>
    <r>
      <rPr>
        <vertAlign val="subscript"/>
        <sz val="12"/>
        <rFont val="Arial"/>
        <family val="2"/>
      </rPr>
      <t>i</t>
    </r>
  </si>
  <si>
    <r>
      <t>d</t>
    </r>
    <r>
      <rPr>
        <vertAlign val="subscript"/>
        <sz val="12"/>
        <rFont val="Arial"/>
        <family val="2"/>
      </rPr>
      <t>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</si>
  <si>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</si>
  <si>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v,cr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</si>
  <si>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</si>
  <si>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t>R</t>
    </r>
    <r>
      <rPr>
        <vertAlign val="subscript"/>
        <sz val="12"/>
        <rFont val="Arial"/>
        <family val="2"/>
      </rPr>
      <t>D,T</t>
    </r>
  </si>
  <si>
    <r>
      <t>R</t>
    </r>
    <r>
      <rPr>
        <vertAlign val="subscript"/>
        <sz val="12"/>
        <rFont val="Arial"/>
        <family val="2"/>
      </rPr>
      <t>D,E</t>
    </r>
  </si>
  <si>
    <r>
      <t>c</t>
    </r>
    <r>
      <rPr>
        <vertAlign val="subscript"/>
        <sz val="12"/>
        <rFont val="Arial"/>
        <family val="2"/>
      </rPr>
      <t>j</t>
    </r>
  </si>
  <si>
    <r>
      <rPr>
        <sz val="9"/>
        <rFont val="Symbol"/>
        <family val="1"/>
        <charset val="2"/>
      </rPr>
      <t xml:space="preserve"> j</t>
    </r>
    <r>
      <rPr>
        <vertAlign val="subscript"/>
        <sz val="12"/>
        <rFont val="Arial"/>
        <family val="2"/>
      </rPr>
      <t>j</t>
    </r>
  </si>
  <si>
    <r>
      <t>E</t>
    </r>
    <r>
      <rPr>
        <vertAlign val="subscript"/>
        <sz val="12"/>
        <rFont val="Arial"/>
        <family val="2"/>
      </rPr>
      <t>a,i</t>
    </r>
  </si>
  <si>
    <r>
      <t>q</t>
    </r>
    <r>
      <rPr>
        <vertAlign val="subscript"/>
        <sz val="12"/>
        <rFont val="Arial"/>
        <family val="2"/>
      </rPr>
      <t>i</t>
    </r>
  </si>
  <si>
    <r>
      <t>net q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</si>
  <si>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 (initial)</t>
    </r>
  </si>
  <si>
    <t>LAYER NO.</t>
  </si>
  <si>
    <t>PRERUN</t>
  </si>
  <si>
    <t>INI</t>
  </si>
  <si>
    <t>UPD</t>
  </si>
  <si>
    <r>
      <t>H</t>
    </r>
    <r>
      <rPr>
        <b/>
        <vertAlign val="subscript"/>
        <sz val="12"/>
        <rFont val="Arial"/>
        <family val="2"/>
      </rPr>
      <t>m</t>
    </r>
    <r>
      <rPr>
        <b/>
        <sz val="9"/>
        <rFont val="Arial"/>
        <family val="2"/>
      </rPr>
      <t xml:space="preserve"> (m)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</si>
  <si>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v,i</t>
    </r>
  </si>
  <si>
    <t>NET RAIN</t>
  </si>
  <si>
    <t>m</t>
  </si>
  <si>
    <r>
      <rPr>
        <sz val="9"/>
        <rFont val="Arial"/>
        <family val="2"/>
      </rPr>
      <t>n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</si>
  <si>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 xml:space="preserve">v,i </t>
    </r>
    <r>
      <rPr>
        <sz val="9"/>
        <rFont val="Arial"/>
        <family val="2"/>
      </rPr>
      <t>(s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 xml:space="preserve"> - n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>)</t>
    </r>
  </si>
  <si>
    <r>
      <t>mean K</t>
    </r>
    <r>
      <rPr>
        <vertAlign val="subscript"/>
        <sz val="12"/>
        <rFont val="Arial"/>
        <family val="2"/>
      </rPr>
      <t>i</t>
    </r>
  </si>
  <si>
    <r>
      <t>K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</si>
  <si>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(initial)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</si>
  <si>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(current)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</si>
  <si>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v,i (current)</t>
    </r>
  </si>
  <si>
    <r>
      <t>K (mm day</t>
    </r>
    <r>
      <rPr>
        <b/>
        <vertAlign val="superscript"/>
        <sz val="12"/>
        <rFont val="Arial"/>
        <family val="2"/>
      </rPr>
      <t>-1</t>
    </r>
    <r>
      <rPr>
        <b/>
        <sz val="9"/>
        <rFont val="Arial"/>
        <family val="2"/>
      </rPr>
      <t>)</t>
    </r>
  </si>
  <si>
    <r>
      <t>P</t>
    </r>
    <r>
      <rPr>
        <vertAlign val="subscript"/>
        <sz val="12"/>
        <rFont val="Arial"/>
        <family val="2"/>
      </rPr>
      <t>n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</si>
  <si>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</si>
  <si>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v,wp,i</t>
    </r>
  </si>
  <si>
    <t>Maintenance</t>
  </si>
  <si>
    <t>Growth</t>
  </si>
  <si>
    <t>Plant height</t>
  </si>
  <si>
    <r>
      <t>T</t>
    </r>
    <r>
      <rPr>
        <vertAlign val="subscript"/>
        <sz val="12"/>
        <rFont val="Arial"/>
        <family val="2"/>
      </rPr>
      <t>b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>&lt;1)</t>
    </r>
  </si>
  <si>
    <r>
      <t>d</t>
    </r>
    <r>
      <rPr>
        <vertAlign val="subscript"/>
        <sz val="12"/>
        <rFont val="Arial"/>
        <family val="2"/>
      </rPr>
      <t>m</t>
    </r>
  </si>
  <si>
    <r>
      <t>d</t>
    </r>
    <r>
      <rPr>
        <vertAlign val="subscript"/>
        <sz val="12"/>
        <rFont val="Arial"/>
        <family val="2"/>
      </rPr>
      <t>g</t>
    </r>
  </si>
  <si>
    <r>
      <t>h</t>
    </r>
    <r>
      <rPr>
        <vertAlign val="subscript"/>
        <sz val="12"/>
        <rFont val="Arial"/>
        <family val="2"/>
      </rPr>
      <t>m</t>
    </r>
  </si>
  <si>
    <t>Roots</t>
  </si>
  <si>
    <r>
      <t>intercept, b</t>
    </r>
    <r>
      <rPr>
        <vertAlign val="subscript"/>
        <sz val="12"/>
        <rFont val="Arial"/>
        <family val="2"/>
      </rPr>
      <t>0</t>
    </r>
  </si>
  <si>
    <r>
      <t>slope, b</t>
    </r>
    <r>
      <rPr>
        <vertAlign val="subscript"/>
        <sz val="12"/>
        <rFont val="Arial"/>
        <family val="2"/>
      </rPr>
      <t>1</t>
    </r>
  </si>
  <si>
    <r>
      <t>k</t>
    </r>
    <r>
      <rPr>
        <vertAlign val="subscript"/>
        <sz val="12"/>
        <rFont val="Arial"/>
        <family val="2"/>
      </rPr>
      <t>GL</t>
    </r>
  </si>
  <si>
    <r>
      <t>k</t>
    </r>
    <r>
      <rPr>
        <vertAlign val="subscript"/>
        <sz val="12"/>
        <rFont val="Arial"/>
        <family val="2"/>
      </rPr>
      <t>S</t>
    </r>
  </si>
  <si>
    <r>
      <t>k</t>
    </r>
    <r>
      <rPr>
        <vertAlign val="subscript"/>
        <sz val="12"/>
        <rFont val="Arial"/>
        <family val="2"/>
      </rPr>
      <t>R</t>
    </r>
  </si>
  <si>
    <r>
      <t>k</t>
    </r>
    <r>
      <rPr>
        <vertAlign val="subscript"/>
        <sz val="12"/>
        <rFont val="Arial"/>
        <family val="2"/>
      </rPr>
      <t>O</t>
    </r>
  </si>
  <si>
    <r>
      <t>G</t>
    </r>
    <r>
      <rPr>
        <vertAlign val="subscript"/>
        <sz val="12"/>
        <rFont val="Arial"/>
        <family val="2"/>
      </rPr>
      <t>GL</t>
    </r>
  </si>
  <si>
    <r>
      <t>G</t>
    </r>
    <r>
      <rPr>
        <vertAlign val="subscript"/>
        <sz val="12"/>
        <rFont val="Arial"/>
        <family val="2"/>
      </rPr>
      <t>S</t>
    </r>
  </si>
  <si>
    <r>
      <t>G</t>
    </r>
    <r>
      <rPr>
        <vertAlign val="subscript"/>
        <sz val="12"/>
        <rFont val="Arial"/>
        <family val="2"/>
      </rPr>
      <t>R</t>
    </r>
  </si>
  <si>
    <r>
      <t>G</t>
    </r>
    <r>
      <rPr>
        <vertAlign val="subscript"/>
        <sz val="12"/>
        <rFont val="Arial"/>
        <family val="2"/>
      </rPr>
      <t>O</t>
    </r>
  </si>
  <si>
    <r>
      <t>T</t>
    </r>
    <r>
      <rPr>
        <vertAlign val="subscript"/>
        <sz val="12"/>
        <rFont val="Arial"/>
        <family val="2"/>
      </rPr>
      <t>b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s</t>
    </r>
    <r>
      <rPr>
        <sz val="9"/>
        <rFont val="Symbol"/>
        <family val="1"/>
        <charset val="2"/>
      </rPr>
      <t>³</t>
    </r>
    <r>
      <rPr>
        <sz val="9"/>
        <rFont val="Arial"/>
        <family val="2"/>
      </rPr>
      <t>1)</t>
    </r>
  </si>
  <si>
    <r>
      <t>x</t>
    </r>
    <r>
      <rPr>
        <b/>
        <vertAlign val="subscript"/>
        <sz val="14"/>
        <rFont val="Calibri"/>
        <family val="2"/>
      </rPr>
      <t>s</t>
    </r>
  </si>
  <si>
    <r>
      <t>F</t>
    </r>
    <r>
      <rPr>
        <b/>
        <vertAlign val="subscript"/>
        <sz val="14"/>
        <rFont val="Calibri"/>
        <family val="2"/>
      </rPr>
      <t>GL</t>
    </r>
  </si>
  <si>
    <r>
      <t>F</t>
    </r>
    <r>
      <rPr>
        <b/>
        <vertAlign val="subscript"/>
        <sz val="14"/>
        <rFont val="Calibri"/>
        <family val="2"/>
      </rPr>
      <t>S</t>
    </r>
  </si>
  <si>
    <r>
      <t>F</t>
    </r>
    <r>
      <rPr>
        <b/>
        <vertAlign val="subscript"/>
        <sz val="14"/>
        <rFont val="Calibri"/>
        <family val="2"/>
      </rPr>
      <t>R</t>
    </r>
  </si>
  <si>
    <r>
      <t>F</t>
    </r>
    <r>
      <rPr>
        <b/>
        <vertAlign val="subscript"/>
        <sz val="14"/>
        <rFont val="Calibri"/>
        <family val="2"/>
      </rPr>
      <t>O</t>
    </r>
  </si>
  <si>
    <t>SLA</t>
  </si>
  <si>
    <t>FRACTION OF PLANT PARTS AND SLA</t>
  </si>
  <si>
    <r>
      <t>x</t>
    </r>
    <r>
      <rPr>
        <b/>
        <vertAlign val="subscript"/>
        <sz val="14"/>
        <rFont val="Calibri"/>
        <family val="2"/>
      </rPr>
      <t>r</t>
    </r>
  </si>
  <si>
    <r>
      <rPr>
        <b/>
        <sz val="9"/>
        <rFont val="Symbol"/>
        <family val="1"/>
        <charset val="2"/>
      </rPr>
      <t>x</t>
    </r>
    <r>
      <rPr>
        <b/>
        <vertAlign val="subscript"/>
        <sz val="12"/>
        <rFont val="Arial"/>
        <family val="2"/>
      </rPr>
      <t xml:space="preserve">s </t>
    </r>
    <r>
      <rPr>
        <b/>
        <sz val="9"/>
        <rFont val="Symbol"/>
        <family val="1"/>
        <charset val="2"/>
      </rPr>
      <t xml:space="preserve">³ </t>
    </r>
    <r>
      <rPr>
        <b/>
        <sz val="9"/>
        <rFont val="Cambria"/>
        <family val="1"/>
      </rPr>
      <t>1</t>
    </r>
  </si>
  <si>
    <r>
      <rPr>
        <b/>
        <sz val="9"/>
        <rFont val="Symbol"/>
        <family val="1"/>
        <charset val="2"/>
      </rPr>
      <t>x</t>
    </r>
    <r>
      <rPr>
        <b/>
        <vertAlign val="subscript"/>
        <sz val="12"/>
        <rFont val="Arial"/>
        <family val="2"/>
      </rPr>
      <t xml:space="preserve">s </t>
    </r>
    <r>
      <rPr>
        <b/>
        <sz val="9"/>
        <rFont val="Arial"/>
        <family val="2"/>
      </rPr>
      <t>&lt; 1</t>
    </r>
  </si>
  <si>
    <r>
      <t>T</t>
    </r>
    <r>
      <rPr>
        <b/>
        <vertAlign val="subscript"/>
        <sz val="12"/>
        <rFont val="Arial"/>
        <family val="2"/>
      </rPr>
      <t>a</t>
    </r>
    <r>
      <rPr>
        <b/>
        <sz val="9"/>
        <rFont val="Arial"/>
        <family val="2"/>
      </rPr>
      <t xml:space="preserve"> (</t>
    </r>
    <r>
      <rPr>
        <b/>
        <sz val="9"/>
        <rFont val="Symbol"/>
        <family val="1"/>
        <charset val="2"/>
      </rPr>
      <t>°</t>
    </r>
    <r>
      <rPr>
        <b/>
        <sz val="9"/>
        <rFont val="Arial"/>
        <family val="2"/>
      </rPr>
      <t>C)</t>
    </r>
  </si>
  <si>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</si>
  <si>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r</t>
    </r>
  </si>
  <si>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r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s</t>
    </r>
    <r>
      <rPr>
        <sz val="9"/>
        <rFont val="Symbol"/>
        <family val="1"/>
        <charset val="2"/>
      </rPr>
      <t>³</t>
    </r>
    <r>
      <rPr>
        <sz val="9"/>
        <rFont val="Arial"/>
        <family val="2"/>
      </rPr>
      <t>1)</t>
    </r>
  </si>
  <si>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r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s</t>
    </r>
    <r>
      <rPr>
        <sz val="9"/>
        <rFont val="Symbol"/>
        <family val="1"/>
        <charset val="2"/>
      </rPr>
      <t>&lt;</t>
    </r>
    <r>
      <rPr>
        <sz val="9"/>
        <rFont val="Arial"/>
        <family val="2"/>
      </rPr>
      <t>1)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</si>
  <si>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'</t>
    </r>
    <r>
      <rPr>
        <vertAlign val="subscript"/>
        <sz val="12"/>
        <rFont val="Arial"/>
        <family val="2"/>
      </rPr>
      <t>canopy</t>
    </r>
  </si>
  <si>
    <t>Initial weights</t>
  </si>
  <si>
    <r>
      <t>W</t>
    </r>
    <r>
      <rPr>
        <vertAlign val="subscript"/>
        <sz val="12"/>
        <rFont val="Arial"/>
        <family val="2"/>
      </rPr>
      <t>GL</t>
    </r>
  </si>
  <si>
    <r>
      <t>W</t>
    </r>
    <r>
      <rPr>
        <vertAlign val="subscript"/>
        <sz val="12"/>
        <rFont val="Arial"/>
        <family val="2"/>
      </rPr>
      <t>S</t>
    </r>
  </si>
  <si>
    <r>
      <t>W</t>
    </r>
    <r>
      <rPr>
        <vertAlign val="subscript"/>
        <sz val="12"/>
        <rFont val="Arial"/>
        <family val="2"/>
      </rPr>
      <t>R</t>
    </r>
  </si>
  <si>
    <r>
      <t>W</t>
    </r>
    <r>
      <rPr>
        <vertAlign val="subscript"/>
        <sz val="12"/>
        <rFont val="Arial"/>
        <family val="2"/>
      </rPr>
      <t>O</t>
    </r>
  </si>
  <si>
    <r>
      <t>W</t>
    </r>
    <r>
      <rPr>
        <vertAlign val="subscript"/>
        <sz val="12"/>
        <rFont val="Arial"/>
        <family val="2"/>
      </rPr>
      <t>DL</t>
    </r>
  </si>
  <si>
    <t>Total</t>
  </si>
  <si>
    <r>
      <t>R'</t>
    </r>
    <r>
      <rPr>
        <vertAlign val="subscript"/>
        <sz val="12"/>
        <rFont val="Arial"/>
        <family val="2"/>
      </rPr>
      <t>M</t>
    </r>
  </si>
  <si>
    <r>
      <t>(2-</t>
    </r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>)</t>
    </r>
  </si>
  <si>
    <r>
      <rPr>
        <sz val="9"/>
        <rFont val="Symbol"/>
        <family val="1"/>
        <charset val="2"/>
      </rPr>
      <t>e</t>
    </r>
    <r>
      <rPr>
        <vertAlign val="subscript"/>
        <sz val="12"/>
        <rFont val="Arial"/>
        <family val="2"/>
      </rPr>
      <t>age</t>
    </r>
  </si>
  <si>
    <r>
      <rPr>
        <sz val="9"/>
        <rFont val="Symbol"/>
        <family val="1"/>
        <charset val="2"/>
      </rPr>
      <t>e</t>
    </r>
    <r>
      <rPr>
        <vertAlign val="subscript"/>
        <sz val="12"/>
        <rFont val="Arial"/>
        <family val="2"/>
      </rPr>
      <t>sh</t>
    </r>
  </si>
  <si>
    <r>
      <rPr>
        <sz val="9"/>
        <rFont val="Symbol"/>
        <family val="1"/>
        <charset val="2"/>
      </rPr>
      <t>e</t>
    </r>
    <r>
      <rPr>
        <vertAlign val="subscript"/>
        <sz val="12"/>
        <rFont val="Arial"/>
        <family val="2"/>
      </rPr>
      <t>L</t>
    </r>
  </si>
  <si>
    <t>RESPIRATION</t>
  </si>
  <si>
    <t>LEAF DEATH</t>
  </si>
  <si>
    <t>LEAF AREA</t>
  </si>
  <si>
    <t>Growth rate</t>
  </si>
  <si>
    <t>Initial height</t>
  </si>
  <si>
    <t>PLANT HEIGHT</t>
  </si>
  <si>
    <r>
      <t>T</t>
    </r>
    <r>
      <rPr>
        <vertAlign val="subscript"/>
        <sz val="12"/>
        <rFont val="Arial"/>
        <family val="2"/>
      </rPr>
      <t>b</t>
    </r>
  </si>
  <si>
    <r>
      <t>T</t>
    </r>
    <r>
      <rPr>
        <vertAlign val="subscript"/>
        <sz val="12"/>
        <rFont val="Arial"/>
        <family val="2"/>
      </rPr>
      <t>ts</t>
    </r>
  </si>
  <si>
    <r>
      <t>T</t>
    </r>
    <r>
      <rPr>
        <vertAlign val="subscript"/>
        <sz val="12"/>
        <rFont val="Symbol"/>
        <family val="1"/>
        <charset val="2"/>
      </rPr>
      <t>S</t>
    </r>
    <r>
      <rPr>
        <vertAlign val="subscript"/>
        <sz val="12"/>
        <rFont val="Arial"/>
        <family val="2"/>
      </rPr>
      <t>ts</t>
    </r>
  </si>
  <si>
    <t>dh'/dt</t>
  </si>
  <si>
    <t>Initial rooting depth</t>
  </si>
  <si>
    <r>
      <rPr>
        <sz val="9"/>
        <rFont val="Symbol"/>
        <family val="1"/>
        <charset val="2"/>
      </rPr>
      <t>(x</t>
    </r>
    <r>
      <rPr>
        <vertAlign val="subscript"/>
        <sz val="12"/>
        <rFont val="Arial"/>
        <family val="2"/>
      </rPr>
      <t>s</t>
    </r>
    <r>
      <rPr>
        <sz val="9"/>
        <rFont val="Symbol"/>
        <family val="1"/>
        <charset val="2"/>
      </rPr>
      <t>&lt;</t>
    </r>
    <r>
      <rPr>
        <sz val="9"/>
        <rFont val="Arial"/>
        <family val="2"/>
      </rPr>
      <t>1)?</t>
    </r>
  </si>
  <si>
    <r>
      <rPr>
        <sz val="9"/>
        <rFont val="Symbol"/>
        <family val="1"/>
        <charset val="2"/>
      </rPr>
      <t>(Q</t>
    </r>
    <r>
      <rPr>
        <vertAlign val="subscript"/>
        <sz val="12"/>
        <rFont val="Arial"/>
        <family val="2"/>
      </rPr>
      <t>v</t>
    </r>
    <r>
      <rPr>
        <sz val="9"/>
        <rFont val="Arial"/>
        <family val="2"/>
      </rPr>
      <t xml:space="preserve"> </t>
    </r>
    <r>
      <rPr>
        <sz val="9"/>
        <rFont val="Symbol"/>
        <family val="1"/>
        <charset val="2"/>
      </rPr>
      <t>&gt; Q</t>
    </r>
    <r>
      <rPr>
        <vertAlign val="subscript"/>
        <sz val="12"/>
        <rFont val="Arial"/>
        <family val="2"/>
      </rPr>
      <t>wp</t>
    </r>
    <r>
      <rPr>
        <sz val="9"/>
        <rFont val="Arial"/>
        <family val="2"/>
      </rPr>
      <t>) ?</t>
    </r>
  </si>
  <si>
    <r>
      <t>d'</t>
    </r>
    <r>
      <rPr>
        <vertAlign val="subscript"/>
        <sz val="12"/>
        <rFont val="Arial"/>
        <family val="2"/>
      </rPr>
      <t>g</t>
    </r>
  </si>
  <si>
    <t>DEV. STAGE</t>
  </si>
  <si>
    <r>
      <rPr>
        <sz val="9"/>
        <rFont val="Symbol"/>
        <family val="1"/>
        <charset val="2"/>
      </rPr>
      <t>(L</t>
    </r>
    <r>
      <rPr>
        <sz val="9"/>
        <rFont val="Arial"/>
        <family val="2"/>
      </rPr>
      <t>'</t>
    </r>
    <r>
      <rPr>
        <vertAlign val="subscript"/>
        <sz val="12"/>
        <rFont val="Arial"/>
        <family val="2"/>
      </rPr>
      <t>canopy</t>
    </r>
    <r>
      <rPr>
        <sz val="9"/>
        <rFont val="Arial"/>
        <family val="2"/>
      </rPr>
      <t>-R'</t>
    </r>
    <r>
      <rPr>
        <vertAlign val="subscript"/>
        <sz val="12"/>
        <rFont val="Arial"/>
        <family val="2"/>
      </rPr>
      <t>M</t>
    </r>
    <r>
      <rPr>
        <sz val="9"/>
        <rFont val="Arial"/>
        <family val="2"/>
      </rPr>
      <t>) / G</t>
    </r>
    <r>
      <rPr>
        <vertAlign val="subscript"/>
        <sz val="12"/>
        <rFont val="Arial"/>
        <family val="2"/>
      </rPr>
      <t>T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</si>
  <si>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'</t>
    </r>
    <r>
      <rPr>
        <vertAlign val="subscript"/>
        <sz val="12"/>
        <rFont val="Arial"/>
        <family val="2"/>
      </rPr>
      <t xml:space="preserve">canopy </t>
    </r>
    <r>
      <rPr>
        <sz val="9"/>
        <rFont val="Arial"/>
        <family val="2"/>
      </rPr>
      <t>- R'</t>
    </r>
    <r>
      <rPr>
        <vertAlign val="subscript"/>
        <sz val="12"/>
        <rFont val="Arial"/>
        <family val="2"/>
      </rPr>
      <t>M</t>
    </r>
  </si>
  <si>
    <r>
      <t>W</t>
    </r>
    <r>
      <rPr>
        <b/>
        <vertAlign val="subscript"/>
        <sz val="12"/>
        <rFont val="Arial"/>
        <family val="2"/>
      </rPr>
      <t>i</t>
    </r>
  </si>
  <si>
    <r>
      <t>k</t>
    </r>
    <r>
      <rPr>
        <b/>
        <vertAlign val="subscript"/>
        <sz val="12"/>
        <rFont val="Arial"/>
        <family val="2"/>
      </rPr>
      <t>i</t>
    </r>
    <r>
      <rPr>
        <b/>
        <sz val="9"/>
        <rFont val="Arial"/>
        <family val="2"/>
      </rPr>
      <t>W</t>
    </r>
    <r>
      <rPr>
        <b/>
        <vertAlign val="subscript"/>
        <sz val="12"/>
        <rFont val="Arial"/>
        <family val="2"/>
      </rPr>
      <t>i</t>
    </r>
  </si>
  <si>
    <r>
      <t>F</t>
    </r>
    <r>
      <rPr>
        <b/>
        <vertAlign val="subscript"/>
        <sz val="12"/>
        <rFont val="Arial"/>
        <family val="2"/>
      </rPr>
      <t>i</t>
    </r>
  </si>
  <si>
    <r>
      <t>F</t>
    </r>
    <r>
      <rPr>
        <b/>
        <vertAlign val="subscript"/>
        <sz val="12"/>
        <rFont val="Arial"/>
        <family val="2"/>
      </rPr>
      <t>i</t>
    </r>
    <r>
      <rPr>
        <b/>
        <sz val="9"/>
        <rFont val="Arial"/>
        <family val="2"/>
      </rPr>
      <t>G</t>
    </r>
    <r>
      <rPr>
        <b/>
        <vertAlign val="subscript"/>
        <sz val="12"/>
        <rFont val="Arial"/>
        <family val="2"/>
      </rPr>
      <t>i</t>
    </r>
  </si>
  <si>
    <t>ROOT DEPTH</t>
  </si>
  <si>
    <t>days</t>
  </si>
  <si>
    <t>Initial mean leaf width</t>
  </si>
  <si>
    <t>Base temperature</t>
  </si>
  <si>
    <t>LEAF WIDTH</t>
  </si>
  <si>
    <r>
      <t>w'</t>
    </r>
    <r>
      <rPr>
        <vertAlign val="subscript"/>
        <sz val="12"/>
        <rFont val="Arial"/>
        <family val="2"/>
      </rPr>
      <t>g</t>
    </r>
  </si>
  <si>
    <t>Leaf width</t>
  </si>
  <si>
    <r>
      <t>w</t>
    </r>
    <r>
      <rPr>
        <vertAlign val="subscript"/>
        <sz val="12"/>
        <rFont val="Arial"/>
        <family val="2"/>
      </rPr>
      <t>m</t>
    </r>
  </si>
  <si>
    <r>
      <t>w</t>
    </r>
    <r>
      <rPr>
        <vertAlign val="subscript"/>
        <sz val="12"/>
        <rFont val="Arial"/>
        <family val="2"/>
      </rPr>
      <t>g</t>
    </r>
  </si>
  <si>
    <t>Initial growth stage</t>
  </si>
  <si>
    <r>
      <t xml:space="preserve">Part </t>
    </r>
    <r>
      <rPr>
        <b/>
        <i/>
        <sz val="9"/>
        <rFont val="Arial"/>
        <family val="2"/>
      </rPr>
      <t>i</t>
    </r>
  </si>
  <si>
    <t>h  (UPD)</t>
  </si>
  <si>
    <r>
      <t>d</t>
    </r>
    <r>
      <rPr>
        <vertAlign val="subscript"/>
        <sz val="12"/>
        <rFont val="Arial"/>
        <family val="2"/>
      </rPr>
      <t>root</t>
    </r>
    <r>
      <rPr>
        <sz val="9"/>
        <rFont val="Arial"/>
        <family val="2"/>
      </rPr>
      <t xml:space="preserve"> (UPD)</t>
    </r>
  </si>
  <si>
    <t>w (UPD)</t>
  </si>
  <si>
    <t>ACC</t>
  </si>
  <si>
    <t>+</t>
  </si>
  <si>
    <r>
      <rPr>
        <b/>
        <sz val="9"/>
        <rFont val="Symbol"/>
        <family val="1"/>
        <charset val="2"/>
      </rPr>
      <t>x</t>
    </r>
    <r>
      <rPr>
        <b/>
        <vertAlign val="subscript"/>
        <sz val="12"/>
        <rFont val="Arial"/>
        <family val="2"/>
      </rPr>
      <t>s</t>
    </r>
  </si>
  <si>
    <r>
      <t>W</t>
    </r>
    <r>
      <rPr>
        <b/>
        <vertAlign val="subscript"/>
        <sz val="12"/>
        <rFont val="Arial"/>
        <family val="2"/>
      </rPr>
      <t>GL</t>
    </r>
  </si>
  <si>
    <r>
      <t>W</t>
    </r>
    <r>
      <rPr>
        <b/>
        <vertAlign val="subscript"/>
        <sz val="12"/>
        <rFont val="Arial"/>
        <family val="2"/>
      </rPr>
      <t>DL</t>
    </r>
  </si>
  <si>
    <r>
      <t>W</t>
    </r>
    <r>
      <rPr>
        <b/>
        <vertAlign val="subscript"/>
        <sz val="12"/>
        <rFont val="Arial"/>
        <family val="2"/>
      </rPr>
      <t>S</t>
    </r>
  </si>
  <si>
    <r>
      <t>W</t>
    </r>
    <r>
      <rPr>
        <b/>
        <vertAlign val="subscript"/>
        <sz val="12"/>
        <rFont val="Arial"/>
        <family val="2"/>
      </rPr>
      <t>R</t>
    </r>
  </si>
  <si>
    <r>
      <t>W</t>
    </r>
    <r>
      <rPr>
        <b/>
        <vertAlign val="subscript"/>
        <sz val="12"/>
        <rFont val="Arial"/>
        <family val="2"/>
      </rPr>
      <t>O</t>
    </r>
  </si>
  <si>
    <t>OPTION</t>
  </si>
  <si>
    <t>RUN</t>
  </si>
  <si>
    <t>ClearOutput</t>
  </si>
  <si>
    <r>
      <rPr>
        <b/>
        <sz val="9"/>
        <rFont val="Symbol"/>
        <family val="1"/>
        <charset val="2"/>
      </rPr>
      <t>Q</t>
    </r>
    <r>
      <rPr>
        <b/>
        <vertAlign val="subscript"/>
        <sz val="12"/>
        <rFont val="Arial"/>
        <family val="2"/>
      </rPr>
      <t>v,root</t>
    </r>
  </si>
  <si>
    <t>CRITICAL POINT (WATER)</t>
  </si>
  <si>
    <t>critical pt.</t>
  </si>
  <si>
    <r>
      <t>d</t>
    </r>
    <r>
      <rPr>
        <b/>
        <vertAlign val="subscript"/>
        <sz val="12"/>
        <rFont val="Arial"/>
        <family val="2"/>
      </rPr>
      <t>root</t>
    </r>
  </si>
  <si>
    <r>
      <t>AET</t>
    </r>
    <r>
      <rPr>
        <vertAlign val="subscript"/>
        <sz val="12"/>
        <rFont val="Arial"/>
        <family val="2"/>
      </rPr>
      <t>s</t>
    </r>
  </si>
  <si>
    <r>
      <t>AET</t>
    </r>
    <r>
      <rPr>
        <vertAlign val="subscript"/>
        <sz val="12"/>
        <rFont val="Arial"/>
        <family val="2"/>
      </rPr>
      <t>c</t>
    </r>
  </si>
  <si>
    <r>
      <t>AET</t>
    </r>
    <r>
      <rPr>
        <vertAlign val="subscript"/>
        <sz val="12"/>
        <rFont val="Arial"/>
        <family val="2"/>
      </rPr>
      <t>c,i</t>
    </r>
  </si>
  <si>
    <t>VAP. PRESS.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</si>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</sst>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#,##0.00_ "/>
  </numFmts>
  <fonts count="28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Symbol"/>
      <family val="1"/>
      <charset val="2"/>
    </font>
    <font>
      <vertAlign val="subscript"/>
      <sz val="12"/>
      <name val="Arial"/>
      <family val="2"/>
    </font>
    <font>
      <sz val="11"/>
      <name val="Symbol"/>
      <family val="1"/>
      <charset val="2"/>
    </font>
    <font>
      <b/>
      <vertAlign val="subscript"/>
      <sz val="12"/>
      <name val="Arial"/>
      <family val="2"/>
    </font>
    <font>
      <b/>
      <sz val="9"/>
      <name val="Symbol"/>
      <family val="1"/>
      <charset val="2"/>
    </font>
    <font>
      <i/>
      <sz val="9"/>
      <name val="Arial"/>
      <family val="2"/>
    </font>
    <font>
      <vertAlign val="subscript"/>
      <sz val="12"/>
      <name val="Symbol"/>
      <family val="1"/>
      <charset val="2"/>
    </font>
    <font>
      <sz val="12"/>
      <name val="Symbol"/>
      <family val="1"/>
      <charset val="2"/>
    </font>
    <font>
      <b/>
      <i/>
      <sz val="9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vertAlign val="subscript"/>
      <sz val="9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vertAlign val="superscript"/>
      <sz val="12"/>
      <name val="Arial"/>
      <family val="2"/>
    </font>
    <font>
      <b/>
      <sz val="11"/>
      <name val="Calibri"/>
      <family val="2"/>
    </font>
    <font>
      <b/>
      <sz val="11"/>
      <name val="Symbol"/>
      <family val="1"/>
      <charset val="2"/>
    </font>
    <font>
      <b/>
      <vertAlign val="subscript"/>
      <sz val="14"/>
      <name val="Calibri"/>
      <family val="2"/>
    </font>
    <font>
      <b/>
      <sz val="9"/>
      <name val="Cambria"/>
      <family val="1"/>
    </font>
    <font>
      <b/>
      <i/>
      <strike/>
      <sz val="9"/>
      <name val="Arial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2" fillId="0" borderId="0" xfId="0" applyNumberFormat="1" applyFont="1"/>
    <xf numFmtId="0" fontId="1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1"/>
    <xf numFmtId="14" fontId="1" fillId="0" borderId="0" xfId="1" applyNumberFormat="1"/>
    <xf numFmtId="0" fontId="2" fillId="0" borderId="0" xfId="1" applyFont="1"/>
    <xf numFmtId="0" fontId="1" fillId="0" borderId="0" xfId="1" applyNumberFormat="1"/>
    <xf numFmtId="0" fontId="2" fillId="0" borderId="0" xfId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1" applyFont="1"/>
    <xf numFmtId="0" fontId="1" fillId="0" borderId="0" xfId="1" applyFont="1" applyFill="1"/>
    <xf numFmtId="0" fontId="4" fillId="0" borderId="0" xfId="1" applyFont="1"/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9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 applyFont="1" applyAlignment="1">
      <alignment wrapText="1"/>
    </xf>
    <xf numFmtId="0" fontId="2" fillId="0" borderId="0" xfId="1" applyFont="1" applyFill="1"/>
    <xf numFmtId="0" fontId="1" fillId="0" borderId="0" xfId="1" applyFill="1"/>
    <xf numFmtId="0" fontId="12" fillId="0" borderId="0" xfId="1" applyFont="1"/>
    <xf numFmtId="0" fontId="14" fillId="0" borderId="0" xfId="1" applyFont="1" applyFill="1"/>
    <xf numFmtId="0" fontId="15" fillId="0" borderId="0" xfId="1" applyFont="1" applyFill="1"/>
    <xf numFmtId="0" fontId="0" fillId="0" borderId="0" xfId="0" applyNumberFormat="1" applyFill="1"/>
    <xf numFmtId="0" fontId="1" fillId="0" borderId="0" xfId="1" applyAlignment="1">
      <alignment horizontal="left"/>
    </xf>
    <xf numFmtId="0" fontId="1" fillId="0" borderId="0" xfId="1" applyAlignment="1">
      <alignment wrapText="1"/>
    </xf>
    <xf numFmtId="0" fontId="1" fillId="0" borderId="0" xfId="1" applyBorder="1"/>
    <xf numFmtId="0" fontId="5" fillId="0" borderId="0" xfId="1" applyFont="1"/>
    <xf numFmtId="0" fontId="1" fillId="0" borderId="0" xfId="1" applyBorder="1" applyAlignment="1">
      <alignment wrapText="1"/>
    </xf>
    <xf numFmtId="0" fontId="18" fillId="0" borderId="1" xfId="1" applyFont="1" applyBorder="1" applyAlignment="1">
      <alignment horizontal="center" wrapText="1"/>
    </xf>
    <xf numFmtId="11" fontId="1" fillId="0" borderId="0" xfId="1" applyNumberFormat="1"/>
    <xf numFmtId="0" fontId="1" fillId="0" borderId="0" xfId="1" applyAlignment="1"/>
    <xf numFmtId="0" fontId="12" fillId="0" borderId="0" xfId="1" applyFont="1" applyAlignment="1"/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/>
    </xf>
    <xf numFmtId="0" fontId="1" fillId="0" borderId="0" xfId="1" applyFont="1" applyFill="1" applyAlignment="1">
      <alignment horizontal="right"/>
    </xf>
    <xf numFmtId="0" fontId="26" fillId="0" borderId="0" xfId="1" applyFont="1"/>
    <xf numFmtId="0" fontId="26" fillId="0" borderId="0" xfId="1" applyFont="1" applyAlignment="1">
      <alignment wrapText="1"/>
    </xf>
    <xf numFmtId="0" fontId="2" fillId="0" borderId="0" xfId="1" applyFont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1" applyFont="1" applyAlignment="1">
      <alignment horizontal="center" wrapText="1"/>
    </xf>
    <xf numFmtId="0" fontId="0" fillId="0" borderId="0" xfId="0" applyNumberFormat="1" applyAlignment="1"/>
    <xf numFmtId="0" fontId="0" fillId="0" borderId="0" xfId="0" applyAlignment="1"/>
    <xf numFmtId="0" fontId="1" fillId="0" borderId="0" xfId="0" applyFont="1" applyAlignment="1"/>
    <xf numFmtId="0" fontId="1" fillId="0" borderId="3" xfId="1" applyBorder="1"/>
    <xf numFmtId="14" fontId="1" fillId="0" borderId="3" xfId="1" applyNumberFormat="1" applyBorder="1"/>
    <xf numFmtId="176" fontId="0" fillId="0" borderId="3" xfId="0" applyNumberFormat="1" applyBorder="1" applyAlignment="1">
      <alignment vertical="center"/>
    </xf>
    <xf numFmtId="176" fontId="0" fillId="0" borderId="3" xfId="0" applyNumberFormat="1" applyFont="1" applyBorder="1"/>
    <xf numFmtId="177" fontId="0" fillId="0" borderId="3" xfId="0" applyNumberFormat="1" applyBorder="1"/>
    <xf numFmtId="178" fontId="0" fillId="0" borderId="3" xfId="0" applyNumberFormat="1" applyFont="1" applyBorder="1"/>
    <xf numFmtId="11" fontId="1" fillId="0" borderId="0" xfId="0" applyNumberFormat="1" applyFont="1"/>
    <xf numFmtId="0" fontId="23" fillId="0" borderId="1" xfId="0" applyFont="1" applyBorder="1" applyAlignment="1">
      <alignment horizontal="center" vertical="center" wrapText="1"/>
    </xf>
  </cellXfs>
  <cellStyles count="2">
    <cellStyle name="Normal 2" xfId="1" xr:uid="{00000000-0005-0000-0000-000001000000}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leaves (green)</c:v>
          </c:tx>
          <c:spPr>
            <a:ln w="3175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60</c:v>
                </c:pt>
              </c:numCache>
            </c:numRef>
          </c:xVal>
          <c:yVal>
            <c:numRef>
              <c:f>Output!$C$8:$C$120</c:f>
              <c:numCache>
                <c:formatCode>General</c:formatCode>
                <c:ptCount val="113"/>
                <c:pt idx="0">
                  <c:v>1.44</c:v>
                </c:pt>
                <c:pt idx="1">
                  <c:v>1.7029402535310951</c:v>
                </c:pt>
                <c:pt idx="2">
                  <c:v>2.332266856733229</c:v>
                </c:pt>
                <c:pt idx="3">
                  <c:v>3.0996957096807787</c:v>
                </c:pt>
                <c:pt idx="4">
                  <c:v>4.1651064280899046</c:v>
                </c:pt>
                <c:pt idx="5">
                  <c:v>5.4904925466236998</c:v>
                </c:pt>
                <c:pt idx="6">
                  <c:v>6.9762481620759758</c:v>
                </c:pt>
                <c:pt idx="7">
                  <c:v>8.8769877675084299</c:v>
                </c:pt>
                <c:pt idx="8">
                  <c:v>11.632659708235369</c:v>
                </c:pt>
                <c:pt idx="9">
                  <c:v>14.969887160843836</c:v>
                </c:pt>
                <c:pt idx="10">
                  <c:v>19.141131162390533</c:v>
                </c:pt>
                <c:pt idx="11">
                  <c:v>21.518545706281166</c:v>
                </c:pt>
                <c:pt idx="12">
                  <c:v>26.362062741310016</c:v>
                </c:pt>
                <c:pt idx="13">
                  <c:v>32.857500861763349</c:v>
                </c:pt>
                <c:pt idx="14">
                  <c:v>36.666152733310597</c:v>
                </c:pt>
                <c:pt idx="15">
                  <c:v>40.827546685842997</c:v>
                </c:pt>
                <c:pt idx="16">
                  <c:v>47.970848552214385</c:v>
                </c:pt>
                <c:pt idx="17">
                  <c:v>56.15861320179242</c:v>
                </c:pt>
                <c:pt idx="18">
                  <c:v>64.784798711753425</c:v>
                </c:pt>
                <c:pt idx="19">
                  <c:v>73.789552581069316</c:v>
                </c:pt>
                <c:pt idx="20">
                  <c:v>83.314543437892667</c:v>
                </c:pt>
                <c:pt idx="21">
                  <c:v>92.884011065968252</c:v>
                </c:pt>
                <c:pt idx="22">
                  <c:v>100.84365184916244</c:v>
                </c:pt>
                <c:pt idx="23">
                  <c:v>107.09505315834834</c:v>
                </c:pt>
                <c:pt idx="24">
                  <c:v>113.90997144271684</c:v>
                </c:pt>
                <c:pt idx="25">
                  <c:v>120.43942674802271</c:v>
                </c:pt>
                <c:pt idx="26">
                  <c:v>130.0604167870772</c:v>
                </c:pt>
                <c:pt idx="27">
                  <c:v>138.01583376196805</c:v>
                </c:pt>
                <c:pt idx="28">
                  <c:v>146.6182670086032</c:v>
                </c:pt>
                <c:pt idx="29">
                  <c:v>153.29525038722485</c:v>
                </c:pt>
                <c:pt idx="30">
                  <c:v>153.29525038722485</c:v>
                </c:pt>
                <c:pt idx="31">
                  <c:v>153.29525038722485</c:v>
                </c:pt>
                <c:pt idx="32">
                  <c:v>153.29525038722485</c:v>
                </c:pt>
                <c:pt idx="33">
                  <c:v>153.29525038722485</c:v>
                </c:pt>
                <c:pt idx="34">
                  <c:v>153.29525038722485</c:v>
                </c:pt>
                <c:pt idx="35">
                  <c:v>153.29525038722485</c:v>
                </c:pt>
                <c:pt idx="36">
                  <c:v>153.29525038722485</c:v>
                </c:pt>
                <c:pt idx="37">
                  <c:v>153.29525038722485</c:v>
                </c:pt>
                <c:pt idx="38">
                  <c:v>153.29525038722485</c:v>
                </c:pt>
                <c:pt idx="39">
                  <c:v>153.29525038722485</c:v>
                </c:pt>
                <c:pt idx="40">
                  <c:v>153.29525038722485</c:v>
                </c:pt>
                <c:pt idx="41">
                  <c:v>153.29525038722485</c:v>
                </c:pt>
                <c:pt idx="42">
                  <c:v>153.29525038722485</c:v>
                </c:pt>
                <c:pt idx="43">
                  <c:v>153.29525038722485</c:v>
                </c:pt>
                <c:pt idx="44">
                  <c:v>153.29525038722485</c:v>
                </c:pt>
                <c:pt idx="45">
                  <c:v>153.29525038722485</c:v>
                </c:pt>
                <c:pt idx="46">
                  <c:v>153.29525038722485</c:v>
                </c:pt>
                <c:pt idx="47">
                  <c:v>153.29525038722485</c:v>
                </c:pt>
                <c:pt idx="48">
                  <c:v>153.29525038722485</c:v>
                </c:pt>
                <c:pt idx="49">
                  <c:v>153.29525038722485</c:v>
                </c:pt>
                <c:pt idx="50">
                  <c:v>153.29525038722485</c:v>
                </c:pt>
                <c:pt idx="51">
                  <c:v>153.29525038722485</c:v>
                </c:pt>
                <c:pt idx="52">
                  <c:v>153.29525038722485</c:v>
                </c:pt>
                <c:pt idx="53">
                  <c:v>153.29525038722485</c:v>
                </c:pt>
                <c:pt idx="54">
                  <c:v>153.29525038722485</c:v>
                </c:pt>
                <c:pt idx="55">
                  <c:v>153.29525038722485</c:v>
                </c:pt>
                <c:pt idx="56">
                  <c:v>153.29525038722485</c:v>
                </c:pt>
                <c:pt idx="57">
                  <c:v>153.29525038722485</c:v>
                </c:pt>
                <c:pt idx="58">
                  <c:v>153.29525038722485</c:v>
                </c:pt>
                <c:pt idx="59">
                  <c:v>153.29525038722485</c:v>
                </c:pt>
                <c:pt idx="60">
                  <c:v>153.29525038722485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A-4415-8142-09AA093785F9}"/>
            </c:ext>
          </c:extLst>
        </c:ser>
        <c:ser>
          <c:idx val="2"/>
          <c:order val="1"/>
          <c:tx>
            <c:v>leaves (dead)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60</c:v>
                </c:pt>
              </c:numCache>
            </c:numRef>
          </c:xVal>
          <c:yVal>
            <c:numRef>
              <c:f>Output!$D$8:$D$120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3.1139475493807984E-2</c:v>
                </c:pt>
                <c:pt idx="25">
                  <c:v>0.26239653842942628</c:v>
                </c:pt>
                <c:pt idx="26">
                  <c:v>0.70121266841680241</c:v>
                </c:pt>
                <c:pt idx="27">
                  <c:v>1.4837456541587626</c:v>
                </c:pt>
                <c:pt idx="28">
                  <c:v>2.5720387834081118</c:v>
                </c:pt>
                <c:pt idx="29">
                  <c:v>4.0262089379978923</c:v>
                </c:pt>
                <c:pt idx="30">
                  <c:v>4.0262089379978923</c:v>
                </c:pt>
                <c:pt idx="31">
                  <c:v>4.0262089379978923</c:v>
                </c:pt>
                <c:pt idx="32">
                  <c:v>4.0262089379978923</c:v>
                </c:pt>
                <c:pt idx="33">
                  <c:v>4.0262089379978923</c:v>
                </c:pt>
                <c:pt idx="34">
                  <c:v>4.0262089379978923</c:v>
                </c:pt>
                <c:pt idx="35">
                  <c:v>4.0262089379978923</c:v>
                </c:pt>
                <c:pt idx="36">
                  <c:v>4.0262089379978923</c:v>
                </c:pt>
                <c:pt idx="37">
                  <c:v>4.0262089379978923</c:v>
                </c:pt>
                <c:pt idx="38">
                  <c:v>4.0262089379978923</c:v>
                </c:pt>
                <c:pt idx="39">
                  <c:v>4.0262089379978923</c:v>
                </c:pt>
                <c:pt idx="40">
                  <c:v>4.0262089379978923</c:v>
                </c:pt>
                <c:pt idx="41">
                  <c:v>4.0262089379978923</c:v>
                </c:pt>
                <c:pt idx="42">
                  <c:v>4.0262089379978923</c:v>
                </c:pt>
                <c:pt idx="43">
                  <c:v>4.0262089379978923</c:v>
                </c:pt>
                <c:pt idx="44">
                  <c:v>4.0262089379978923</c:v>
                </c:pt>
                <c:pt idx="45">
                  <c:v>4.0262089379978923</c:v>
                </c:pt>
                <c:pt idx="46">
                  <c:v>4.0262089379978923</c:v>
                </c:pt>
                <c:pt idx="47">
                  <c:v>4.0262089379978923</c:v>
                </c:pt>
                <c:pt idx="48">
                  <c:v>4.0262089379978923</c:v>
                </c:pt>
                <c:pt idx="49">
                  <c:v>4.0262089379978923</c:v>
                </c:pt>
                <c:pt idx="50">
                  <c:v>4.0262089379978923</c:v>
                </c:pt>
                <c:pt idx="51">
                  <c:v>4.0262089379978923</c:v>
                </c:pt>
                <c:pt idx="52">
                  <c:v>4.0262089379978923</c:v>
                </c:pt>
                <c:pt idx="53">
                  <c:v>4.0262089379978923</c:v>
                </c:pt>
                <c:pt idx="54">
                  <c:v>4.0262089379978923</c:v>
                </c:pt>
                <c:pt idx="55">
                  <c:v>4.0262089379978923</c:v>
                </c:pt>
                <c:pt idx="56">
                  <c:v>4.0262089379978923</c:v>
                </c:pt>
                <c:pt idx="57">
                  <c:v>4.0262089379978923</c:v>
                </c:pt>
                <c:pt idx="58">
                  <c:v>4.0262089379978923</c:v>
                </c:pt>
                <c:pt idx="59">
                  <c:v>4.0262089379978923</c:v>
                </c:pt>
                <c:pt idx="60">
                  <c:v>4.0262089379978923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A-4415-8142-09AA093785F9}"/>
            </c:ext>
          </c:extLst>
        </c:ser>
        <c:ser>
          <c:idx val="3"/>
          <c:order val="2"/>
          <c:tx>
            <c:v>stem</c:v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60</c:v>
                </c:pt>
              </c:numCache>
            </c:numRef>
          </c:xVal>
          <c:yVal>
            <c:numRef>
              <c:f>Output!$E$8:$E$120</c:f>
              <c:numCache>
                <c:formatCode>General</c:formatCode>
                <c:ptCount val="113"/>
                <c:pt idx="0">
                  <c:v>0.28999999999999998</c:v>
                </c:pt>
                <c:pt idx="1">
                  <c:v>0.35619474914069527</c:v>
                </c:pt>
                <c:pt idx="2">
                  <c:v>0.52175226179723977</c:v>
                </c:pt>
                <c:pt idx="3">
                  <c:v>0.73361779992239029</c:v>
                </c:pt>
                <c:pt idx="4">
                  <c:v>1.0418118671294718</c:v>
                </c:pt>
                <c:pt idx="5">
                  <c:v>1.4435099790929371</c:v>
                </c:pt>
                <c:pt idx="6">
                  <c:v>1.9141649191798722</c:v>
                </c:pt>
                <c:pt idx="7">
                  <c:v>2.5419173151365664</c:v>
                </c:pt>
                <c:pt idx="8">
                  <c:v>3.4912563774820464</c:v>
                </c:pt>
                <c:pt idx="9">
                  <c:v>4.6798587932294051</c:v>
                </c:pt>
                <c:pt idx="10">
                  <c:v>6.2161731937915583</c:v>
                </c:pt>
                <c:pt idx="11">
                  <c:v>7.1195473877238662</c:v>
                </c:pt>
                <c:pt idx="12">
                  <c:v>9.0241233049171523</c:v>
                </c:pt>
                <c:pt idx="13">
                  <c:v>11.666210468404726</c:v>
                </c:pt>
                <c:pt idx="14">
                  <c:v>13.262678502256733</c:v>
                </c:pt>
                <c:pt idx="15">
                  <c:v>15.054253188339523</c:v>
                </c:pt>
                <c:pt idx="16">
                  <c:v>18.209840405534067</c:v>
                </c:pt>
                <c:pt idx="17">
                  <c:v>21.909404754693789</c:v>
                </c:pt>
                <c:pt idx="18">
                  <c:v>25.901032617546704</c:v>
                </c:pt>
                <c:pt idx="19">
                  <c:v>30.168703655991852</c:v>
                </c:pt>
                <c:pt idx="20">
                  <c:v>34.795200653342384</c:v>
                </c:pt>
                <c:pt idx="21">
                  <c:v>39.558825138047787</c:v>
                </c:pt>
                <c:pt idx="22">
                  <c:v>43.615339729952602</c:v>
                </c:pt>
                <c:pt idx="23">
                  <c:v>46.872193263845269</c:v>
                </c:pt>
                <c:pt idx="24">
                  <c:v>50.514714406055603</c:v>
                </c:pt>
                <c:pt idx="25">
                  <c:v>54.17576620999111</c:v>
                </c:pt>
                <c:pt idx="26">
                  <c:v>59.808356115768632</c:v>
                </c:pt>
                <c:pt idx="27">
                  <c:v>65.084295055618028</c:v>
                </c:pt>
                <c:pt idx="28">
                  <c:v>71.390654747689197</c:v>
                </c:pt>
                <c:pt idx="29">
                  <c:v>77.058886205949605</c:v>
                </c:pt>
                <c:pt idx="30">
                  <c:v>77.058886205949605</c:v>
                </c:pt>
                <c:pt idx="31">
                  <c:v>77.058886205949605</c:v>
                </c:pt>
                <c:pt idx="32">
                  <c:v>77.058886205949605</c:v>
                </c:pt>
                <c:pt idx="33">
                  <c:v>77.058886205949605</c:v>
                </c:pt>
                <c:pt idx="34">
                  <c:v>77.058886205949605</c:v>
                </c:pt>
                <c:pt idx="35">
                  <c:v>77.058886205949605</c:v>
                </c:pt>
                <c:pt idx="36">
                  <c:v>77.058886205949605</c:v>
                </c:pt>
                <c:pt idx="37">
                  <c:v>77.058886205949605</c:v>
                </c:pt>
                <c:pt idx="38">
                  <c:v>77.058886205949605</c:v>
                </c:pt>
                <c:pt idx="39">
                  <c:v>77.058886205949605</c:v>
                </c:pt>
                <c:pt idx="40">
                  <c:v>77.058886205949605</c:v>
                </c:pt>
                <c:pt idx="41">
                  <c:v>77.058886205949605</c:v>
                </c:pt>
                <c:pt idx="42">
                  <c:v>77.058886205949605</c:v>
                </c:pt>
                <c:pt idx="43">
                  <c:v>77.058886205949605</c:v>
                </c:pt>
                <c:pt idx="44">
                  <c:v>77.058886205949605</c:v>
                </c:pt>
                <c:pt idx="45">
                  <c:v>77.058886205949605</c:v>
                </c:pt>
                <c:pt idx="46">
                  <c:v>77.058886205949605</c:v>
                </c:pt>
                <c:pt idx="47">
                  <c:v>77.058886205949605</c:v>
                </c:pt>
                <c:pt idx="48">
                  <c:v>77.058886205949605</c:v>
                </c:pt>
                <c:pt idx="49">
                  <c:v>77.058886205949605</c:v>
                </c:pt>
                <c:pt idx="50">
                  <c:v>77.058886205949605</c:v>
                </c:pt>
                <c:pt idx="51">
                  <c:v>77.058886205949605</c:v>
                </c:pt>
                <c:pt idx="52">
                  <c:v>77.058886205949605</c:v>
                </c:pt>
                <c:pt idx="53">
                  <c:v>77.058886205949605</c:v>
                </c:pt>
                <c:pt idx="54">
                  <c:v>77.058886205949605</c:v>
                </c:pt>
                <c:pt idx="55">
                  <c:v>77.058886205949605</c:v>
                </c:pt>
                <c:pt idx="56">
                  <c:v>77.058886205949605</c:v>
                </c:pt>
                <c:pt idx="57">
                  <c:v>77.058886205949605</c:v>
                </c:pt>
                <c:pt idx="58">
                  <c:v>77.058886205949605</c:v>
                </c:pt>
                <c:pt idx="59">
                  <c:v>77.058886205949605</c:v>
                </c:pt>
                <c:pt idx="60">
                  <c:v>77.058886205949605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8A-4415-8142-09AA093785F9}"/>
            </c:ext>
          </c:extLst>
        </c:ser>
        <c:ser>
          <c:idx val="4"/>
          <c:order val="3"/>
          <c:tx>
            <c:v>roots</c:v>
          </c:tx>
          <c:spPr>
            <a:ln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60</c:v>
                </c:pt>
              </c:numCache>
            </c:numRef>
          </c:xVal>
          <c:yVal>
            <c:numRef>
              <c:f>Output!$F$8:$F$120</c:f>
              <c:numCache>
                <c:formatCode>General</c:formatCode>
                <c:ptCount val="113"/>
                <c:pt idx="0">
                  <c:v>0.16</c:v>
                </c:pt>
                <c:pt idx="1">
                  <c:v>0.19861360366540559</c:v>
                </c:pt>
                <c:pt idx="2">
                  <c:v>0.29475778444322531</c:v>
                </c:pt>
                <c:pt idx="3">
                  <c:v>0.41721685543679465</c:v>
                </c:pt>
                <c:pt idx="4">
                  <c:v>0.59457838374926553</c:v>
                </c:pt>
                <c:pt idx="5">
                  <c:v>0.82478682988042451</c:v>
                </c:pt>
                <c:pt idx="6">
                  <c:v>1.0868143109130524</c:v>
                </c:pt>
                <c:pt idx="7">
                  <c:v>1.4009918318607673</c:v>
                </c:pt>
                <c:pt idx="8">
                  <c:v>1.8242958356395134</c:v>
                </c:pt>
                <c:pt idx="9">
                  <c:v>2.3050049325646738</c:v>
                </c:pt>
                <c:pt idx="10">
                  <c:v>2.8642807159020944</c:v>
                </c:pt>
                <c:pt idx="11">
                  <c:v>3.1602766360786809</c:v>
                </c:pt>
                <c:pt idx="12">
                  <c:v>3.7106957480260396</c:v>
                </c:pt>
                <c:pt idx="13">
                  <c:v>4.3766879016280829</c:v>
                </c:pt>
                <c:pt idx="14">
                  <c:v>4.7284231140439079</c:v>
                </c:pt>
                <c:pt idx="15">
                  <c:v>5.0739690726175848</c:v>
                </c:pt>
                <c:pt idx="16">
                  <c:v>5.6133890026469704</c:v>
                </c:pt>
                <c:pt idx="17">
                  <c:v>6.2231632874359093</c:v>
                </c:pt>
                <c:pt idx="18">
                  <c:v>6.8558967758813347</c:v>
                </c:pt>
                <c:pt idx="19">
                  <c:v>7.50599507447905</c:v>
                </c:pt>
                <c:pt idx="20">
                  <c:v>8.1820727524842898</c:v>
                </c:pt>
                <c:pt idx="21">
                  <c:v>8.8493923166538693</c:v>
                </c:pt>
                <c:pt idx="22">
                  <c:v>9.3947307271132061</c:v>
                </c:pt>
                <c:pt idx="23">
                  <c:v>9.815718189303734</c:v>
                </c:pt>
                <c:pt idx="24">
                  <c:v>10.268927037938015</c:v>
                </c:pt>
                <c:pt idx="25">
                  <c:v>10.709891353866283</c:v>
                </c:pt>
                <c:pt idx="26">
                  <c:v>11.382514082981498</c:v>
                </c:pt>
                <c:pt idx="27">
                  <c:v>12.044832996361324</c:v>
                </c:pt>
                <c:pt idx="28">
                  <c:v>12.872041499695202</c:v>
                </c:pt>
                <c:pt idx="29">
                  <c:v>13.642840667163533</c:v>
                </c:pt>
                <c:pt idx="30">
                  <c:v>13.642840667163533</c:v>
                </c:pt>
                <c:pt idx="31">
                  <c:v>13.642840667163533</c:v>
                </c:pt>
                <c:pt idx="32">
                  <c:v>13.642840667163533</c:v>
                </c:pt>
                <c:pt idx="33">
                  <c:v>13.642840667163533</c:v>
                </c:pt>
                <c:pt idx="34">
                  <c:v>13.642840667163533</c:v>
                </c:pt>
                <c:pt idx="35">
                  <c:v>13.642840667163533</c:v>
                </c:pt>
                <c:pt idx="36">
                  <c:v>13.642840667163533</c:v>
                </c:pt>
                <c:pt idx="37">
                  <c:v>13.642840667163533</c:v>
                </c:pt>
                <c:pt idx="38">
                  <c:v>13.642840667163533</c:v>
                </c:pt>
                <c:pt idx="39">
                  <c:v>13.642840667163533</c:v>
                </c:pt>
                <c:pt idx="40">
                  <c:v>13.642840667163533</c:v>
                </c:pt>
                <c:pt idx="41">
                  <c:v>13.642840667163533</c:v>
                </c:pt>
                <c:pt idx="42">
                  <c:v>13.642840667163533</c:v>
                </c:pt>
                <c:pt idx="43">
                  <c:v>13.642840667163533</c:v>
                </c:pt>
                <c:pt idx="44">
                  <c:v>13.642840667163533</c:v>
                </c:pt>
                <c:pt idx="45">
                  <c:v>13.642840667163533</c:v>
                </c:pt>
                <c:pt idx="46">
                  <c:v>13.642840667163533</c:v>
                </c:pt>
                <c:pt idx="47">
                  <c:v>13.642840667163533</c:v>
                </c:pt>
                <c:pt idx="48">
                  <c:v>13.642840667163533</c:v>
                </c:pt>
                <c:pt idx="49">
                  <c:v>13.642840667163533</c:v>
                </c:pt>
                <c:pt idx="50">
                  <c:v>13.642840667163533</c:v>
                </c:pt>
                <c:pt idx="51">
                  <c:v>13.642840667163533</c:v>
                </c:pt>
                <c:pt idx="52">
                  <c:v>13.642840667163533</c:v>
                </c:pt>
                <c:pt idx="53">
                  <c:v>13.642840667163533</c:v>
                </c:pt>
                <c:pt idx="54">
                  <c:v>13.642840667163533</c:v>
                </c:pt>
                <c:pt idx="55">
                  <c:v>13.642840667163533</c:v>
                </c:pt>
                <c:pt idx="56">
                  <c:v>13.642840667163533</c:v>
                </c:pt>
                <c:pt idx="57">
                  <c:v>13.642840667163533</c:v>
                </c:pt>
                <c:pt idx="58">
                  <c:v>13.642840667163533</c:v>
                </c:pt>
                <c:pt idx="59">
                  <c:v>13.642840667163533</c:v>
                </c:pt>
                <c:pt idx="60">
                  <c:v>13.642840667163533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8A-4415-8142-09AA093785F9}"/>
            </c:ext>
          </c:extLst>
        </c:ser>
        <c:ser>
          <c:idx val="5"/>
          <c:order val="4"/>
          <c:tx>
            <c:v>storage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60</c:v>
                </c:pt>
              </c:numCache>
            </c:numRef>
          </c:xVal>
          <c:yVal>
            <c:numRef>
              <c:f>Output!$G$8:$G$120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8A-4415-8142-09AA09378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0560"/>
        <c:axId val="28052480"/>
      </c:scatterChart>
      <c:valAx>
        <c:axId val="2805056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no. of 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28052480"/>
        <c:crosses val="autoZero"/>
        <c:crossBetween val="midCat"/>
        <c:majorUnit val="10"/>
      </c:valAx>
      <c:valAx>
        <c:axId val="28052480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dry weight (g m</a:t>
                </a:r>
                <a:r>
                  <a:rPr lang="en-US" b="0" baseline="30000"/>
                  <a:t>-2</a:t>
                </a:r>
                <a:r>
                  <a:rPr lang="en-US" b="0" baseline="0"/>
                  <a:t> ground)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28050560"/>
        <c:crosses val="autoZero"/>
        <c:crossBetween val="midCat"/>
        <c:majorUnit val="100"/>
      </c:valAx>
    </c:plotArea>
    <c:legend>
      <c:legendPos val="l"/>
      <c:layout>
        <c:manualLayout>
          <c:xMode val="edge"/>
          <c:yMode val="edge"/>
          <c:x val="0.21166666666666667"/>
          <c:y val="2.8410648148148147E-2"/>
          <c:w val="0.47539097222222232"/>
          <c:h val="0.33169675925925923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plant height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60</c:v>
                </c:pt>
              </c:numCache>
            </c:numRef>
          </c:xVal>
          <c:yVal>
            <c:numRef>
              <c:f>Output!$H$8:$H$120</c:f>
              <c:numCache>
                <c:formatCode>General</c:formatCode>
                <c:ptCount val="11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5-4C80-BDD3-6521CB7D5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69536"/>
        <c:axId val="98775808"/>
      </c:scatterChart>
      <c:scatterChart>
        <c:scatterStyle val="lineMarker"/>
        <c:varyColors val="0"/>
        <c:ser>
          <c:idx val="0"/>
          <c:order val="1"/>
          <c:tx>
            <c:v>rooting depth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60</c:v>
                </c:pt>
              </c:numCache>
            </c:numRef>
          </c:xVal>
          <c:yVal>
            <c:numRef>
              <c:f>Output!$I$8:$I$120</c:f>
              <c:numCache>
                <c:formatCode>General</c:formatCode>
                <c:ptCount val="11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5-4C80-BDD3-6521CB7D5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91808"/>
        <c:axId val="98777728"/>
      </c:scatterChart>
      <c:valAx>
        <c:axId val="9876953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no. of 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98775808"/>
        <c:crosses val="autoZero"/>
        <c:crossBetween val="midCat"/>
        <c:majorUnit val="10"/>
      </c:valAx>
      <c:valAx>
        <c:axId val="98775808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height or depth 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98769536"/>
        <c:crosses val="autoZero"/>
        <c:crossBetween val="midCat"/>
        <c:majorUnit val="0.1"/>
      </c:valAx>
      <c:valAx>
        <c:axId val="98777728"/>
        <c:scaling>
          <c:orientation val="minMax"/>
          <c:max val="0.60000000000000009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98791808"/>
        <c:crosses val="max"/>
        <c:crossBetween val="midCat"/>
      </c:valAx>
      <c:valAx>
        <c:axId val="9879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77772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33072916666666669"/>
          <c:y val="0.56370092592592591"/>
          <c:w val="0.39308368055555554"/>
          <c:h val="0.13130185185185184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60</c:v>
                </c:pt>
              </c:numCache>
            </c:numRef>
          </c:xVal>
          <c:yVal>
            <c:numRef>
              <c:f>Output!$J$8:$J$120</c:f>
              <c:numCache>
                <c:formatCode>General</c:formatCode>
                <c:ptCount val="113"/>
                <c:pt idx="0">
                  <c:v>4.8960000000000004E-2</c:v>
                </c:pt>
                <c:pt idx="1">
                  <c:v>5.7570449680998975E-2</c:v>
                </c:pt>
                <c:pt idx="2">
                  <c:v>7.8340960331012011E-2</c:v>
                </c:pt>
                <c:pt idx="3">
                  <c:v>0.10345637391501859</c:v>
                </c:pt>
                <c:pt idx="4">
                  <c:v>0.13811055579371173</c:v>
                </c:pt>
                <c:pt idx="5">
                  <c:v>0.18074234771618758</c:v>
                </c:pt>
                <c:pt idx="6">
                  <c:v>0.22738243734507194</c:v>
                </c:pt>
                <c:pt idx="7">
                  <c:v>0.28629683675788065</c:v>
                </c:pt>
                <c:pt idx="8">
                  <c:v>0.37192085027416483</c:v>
                </c:pt>
                <c:pt idx="9">
                  <c:v>0.47427409379395929</c:v>
                </c:pt>
                <c:pt idx="10">
                  <c:v>0.60110377626920075</c:v>
                </c:pt>
                <c:pt idx="11">
                  <c:v>0.66899490913535908</c:v>
                </c:pt>
                <c:pt idx="12">
                  <c:v>0.81112376366227135</c:v>
                </c:pt>
                <c:pt idx="13">
                  <c:v>1.0013536961377982</c:v>
                </c:pt>
                <c:pt idx="14">
                  <c:v>1.107623974921303</c:v>
                </c:pt>
                <c:pt idx="15">
                  <c:v>1.2229462920504068</c:v>
                </c:pt>
                <c:pt idx="16">
                  <c:v>1.4275476922683545</c:v>
                </c:pt>
                <c:pt idx="17">
                  <c:v>1.6595038676969267</c:v>
                </c:pt>
                <c:pt idx="18">
                  <c:v>1.9007082524443915</c:v>
                </c:pt>
                <c:pt idx="19">
                  <c:v>2.1486927395186739</c:v>
                </c:pt>
                <c:pt idx="20">
                  <c:v>2.4075695218149877</c:v>
                </c:pt>
                <c:pt idx="21">
                  <c:v>2.6641642242018477</c:v>
                </c:pt>
                <c:pt idx="22">
                  <c:v>2.872001993751184</c:v>
                </c:pt>
                <c:pt idx="23">
                  <c:v>3.0290764835307247</c:v>
                </c:pt>
                <c:pt idx="24">
                  <c:v>3.2030174005020386</c:v>
                </c:pt>
                <c:pt idx="25">
                  <c:v>3.3643459138222611</c:v>
                </c:pt>
                <c:pt idx="26">
                  <c:v>3.6016688282823592</c:v>
                </c:pt>
                <c:pt idx="27">
                  <c:v>3.7885277359743355</c:v>
                </c:pt>
                <c:pt idx="28">
                  <c:v>3.9918069448361804</c:v>
                </c:pt>
                <c:pt idx="29">
                  <c:v>4.1353080039708177</c:v>
                </c:pt>
                <c:pt idx="30">
                  <c:v>4.1353080039708177</c:v>
                </c:pt>
                <c:pt idx="31">
                  <c:v>4.1353080039708177</c:v>
                </c:pt>
                <c:pt idx="32">
                  <c:v>4.1353080039708177</c:v>
                </c:pt>
                <c:pt idx="33">
                  <c:v>4.1353080039708177</c:v>
                </c:pt>
                <c:pt idx="34">
                  <c:v>4.1353080039708177</c:v>
                </c:pt>
                <c:pt idx="35">
                  <c:v>4.1353080039708177</c:v>
                </c:pt>
                <c:pt idx="36">
                  <c:v>4.1353080039708177</c:v>
                </c:pt>
                <c:pt idx="37">
                  <c:v>4.1353080039708177</c:v>
                </c:pt>
                <c:pt idx="38">
                  <c:v>4.1353080039708177</c:v>
                </c:pt>
                <c:pt idx="39">
                  <c:v>4.1353080039708177</c:v>
                </c:pt>
                <c:pt idx="40">
                  <c:v>4.1353080039708177</c:v>
                </c:pt>
                <c:pt idx="41">
                  <c:v>4.1353080039708177</c:v>
                </c:pt>
                <c:pt idx="42">
                  <c:v>4.1353080039708177</c:v>
                </c:pt>
                <c:pt idx="43">
                  <c:v>4.1353080039708177</c:v>
                </c:pt>
                <c:pt idx="44">
                  <c:v>4.1353080039708177</c:v>
                </c:pt>
                <c:pt idx="45">
                  <c:v>4.1353080039708177</c:v>
                </c:pt>
                <c:pt idx="46">
                  <c:v>4.1353080039708177</c:v>
                </c:pt>
                <c:pt idx="47">
                  <c:v>4.1353080039708177</c:v>
                </c:pt>
                <c:pt idx="48">
                  <c:v>4.1353080039708177</c:v>
                </c:pt>
                <c:pt idx="49">
                  <c:v>4.1353080039708177</c:v>
                </c:pt>
                <c:pt idx="50">
                  <c:v>4.1353080039708177</c:v>
                </c:pt>
                <c:pt idx="51">
                  <c:v>4.1353080039708177</c:v>
                </c:pt>
                <c:pt idx="52">
                  <c:v>4.1353080039708177</c:v>
                </c:pt>
                <c:pt idx="53">
                  <c:v>4.1353080039708177</c:v>
                </c:pt>
                <c:pt idx="54">
                  <c:v>4.1353080039708177</c:v>
                </c:pt>
                <c:pt idx="55">
                  <c:v>4.1353080039708177</c:v>
                </c:pt>
                <c:pt idx="56">
                  <c:v>4.1353080039708177</c:v>
                </c:pt>
                <c:pt idx="57">
                  <c:v>4.1353080039708177</c:v>
                </c:pt>
                <c:pt idx="58">
                  <c:v>4.1353080039708177</c:v>
                </c:pt>
                <c:pt idx="59">
                  <c:v>4.1353080039708177</c:v>
                </c:pt>
                <c:pt idx="60">
                  <c:v>4.1353080039708177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B-402A-A399-5855204E0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3824"/>
        <c:axId val="106575744"/>
      </c:scatterChart>
      <c:valAx>
        <c:axId val="1065738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no. of 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106575744"/>
        <c:crosses val="autoZero"/>
        <c:crossBetween val="midCat"/>
        <c:majorUnit val="10"/>
      </c:valAx>
      <c:valAx>
        <c:axId val="106575744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leaf area index  (m</a:t>
                </a:r>
                <a:r>
                  <a:rPr lang="en-US" b="0" baseline="30000"/>
                  <a:t>2</a:t>
                </a:r>
                <a:r>
                  <a:rPr lang="en-US" b="0"/>
                  <a:t> m</a:t>
                </a:r>
                <a:r>
                  <a:rPr lang="en-US" b="0" baseline="30000"/>
                  <a:t>-2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106573824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root zone water content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60</c:v>
                </c:pt>
              </c:numCache>
            </c:numRef>
          </c:xVal>
          <c:yVal>
            <c:numRef>
              <c:f>Output!$K$8:$K$120</c:f>
              <c:numCache>
                <c:formatCode>General</c:formatCode>
                <c:ptCount val="113"/>
                <c:pt idx="0">
                  <c:v>0.26350000000000001</c:v>
                </c:pt>
                <c:pt idx="1">
                  <c:v>0.26350000000000001</c:v>
                </c:pt>
                <c:pt idx="2">
                  <c:v>0.26350000000000001</c:v>
                </c:pt>
                <c:pt idx="3">
                  <c:v>0.26350000000000001</c:v>
                </c:pt>
                <c:pt idx="4">
                  <c:v>0.26350000000000001</c:v>
                </c:pt>
                <c:pt idx="5">
                  <c:v>0.26350000000000001</c:v>
                </c:pt>
                <c:pt idx="6">
                  <c:v>0.26350000000000001</c:v>
                </c:pt>
                <c:pt idx="7">
                  <c:v>0.26350000000000001</c:v>
                </c:pt>
                <c:pt idx="8">
                  <c:v>0.26350000000000001</c:v>
                </c:pt>
                <c:pt idx="9">
                  <c:v>0.26350000000000001</c:v>
                </c:pt>
                <c:pt idx="10">
                  <c:v>0.26350000000000001</c:v>
                </c:pt>
                <c:pt idx="11">
                  <c:v>0.26350000000000001</c:v>
                </c:pt>
                <c:pt idx="12">
                  <c:v>0.26350000000000001</c:v>
                </c:pt>
                <c:pt idx="13">
                  <c:v>0.26350000000000001</c:v>
                </c:pt>
                <c:pt idx="14">
                  <c:v>0.26350000000000001</c:v>
                </c:pt>
                <c:pt idx="15">
                  <c:v>0.26350000000000001</c:v>
                </c:pt>
                <c:pt idx="16">
                  <c:v>0.26350000000000001</c:v>
                </c:pt>
                <c:pt idx="17">
                  <c:v>0.26350000000000001</c:v>
                </c:pt>
                <c:pt idx="18">
                  <c:v>0.26350000000000001</c:v>
                </c:pt>
                <c:pt idx="19">
                  <c:v>0.26350000000000001</c:v>
                </c:pt>
                <c:pt idx="20">
                  <c:v>0.26350000000000001</c:v>
                </c:pt>
                <c:pt idx="21">
                  <c:v>0.26350000000000001</c:v>
                </c:pt>
                <c:pt idx="22">
                  <c:v>0.26350000000000001</c:v>
                </c:pt>
                <c:pt idx="23">
                  <c:v>0.26350000000000001</c:v>
                </c:pt>
                <c:pt idx="24">
                  <c:v>0.26350000000000001</c:v>
                </c:pt>
                <c:pt idx="25">
                  <c:v>0.26350000000000001</c:v>
                </c:pt>
                <c:pt idx="26">
                  <c:v>0.26350000000000001</c:v>
                </c:pt>
                <c:pt idx="27">
                  <c:v>0.26350000000000001</c:v>
                </c:pt>
                <c:pt idx="28">
                  <c:v>0.26350000000000001</c:v>
                </c:pt>
                <c:pt idx="29">
                  <c:v>0.26350000000000001</c:v>
                </c:pt>
                <c:pt idx="30">
                  <c:v>0.26350000000000001</c:v>
                </c:pt>
                <c:pt idx="31">
                  <c:v>0.26350000000000001</c:v>
                </c:pt>
                <c:pt idx="32">
                  <c:v>0.26350000000000001</c:v>
                </c:pt>
                <c:pt idx="33">
                  <c:v>0.26350000000000001</c:v>
                </c:pt>
                <c:pt idx="34">
                  <c:v>0.26350000000000001</c:v>
                </c:pt>
                <c:pt idx="35">
                  <c:v>0.26350000000000001</c:v>
                </c:pt>
                <c:pt idx="36">
                  <c:v>0.26350000000000001</c:v>
                </c:pt>
                <c:pt idx="37">
                  <c:v>0.26350000000000001</c:v>
                </c:pt>
                <c:pt idx="38">
                  <c:v>0.26350000000000001</c:v>
                </c:pt>
                <c:pt idx="39">
                  <c:v>0.26350000000000001</c:v>
                </c:pt>
                <c:pt idx="40">
                  <c:v>0.26350000000000001</c:v>
                </c:pt>
                <c:pt idx="41">
                  <c:v>0.26350000000000001</c:v>
                </c:pt>
                <c:pt idx="42">
                  <c:v>0.26350000000000001</c:v>
                </c:pt>
                <c:pt idx="43">
                  <c:v>0.26350000000000001</c:v>
                </c:pt>
                <c:pt idx="44">
                  <c:v>0.26350000000000001</c:v>
                </c:pt>
                <c:pt idx="45">
                  <c:v>0.26350000000000001</c:v>
                </c:pt>
                <c:pt idx="46">
                  <c:v>0.26350000000000001</c:v>
                </c:pt>
                <c:pt idx="47">
                  <c:v>0.26350000000000001</c:v>
                </c:pt>
                <c:pt idx="48">
                  <c:v>0.26350000000000001</c:v>
                </c:pt>
                <c:pt idx="49">
                  <c:v>0.26350000000000001</c:v>
                </c:pt>
                <c:pt idx="50">
                  <c:v>0.26350000000000001</c:v>
                </c:pt>
                <c:pt idx="51">
                  <c:v>0.26350000000000001</c:v>
                </c:pt>
                <c:pt idx="52">
                  <c:v>0.26350000000000001</c:v>
                </c:pt>
                <c:pt idx="53">
                  <c:v>0.26350000000000001</c:v>
                </c:pt>
                <c:pt idx="54">
                  <c:v>0.26350000000000001</c:v>
                </c:pt>
                <c:pt idx="55">
                  <c:v>0.26350000000000001</c:v>
                </c:pt>
                <c:pt idx="56">
                  <c:v>0.26350000000000001</c:v>
                </c:pt>
                <c:pt idx="57">
                  <c:v>0.26350000000000001</c:v>
                </c:pt>
                <c:pt idx="58">
                  <c:v>0.26350000000000001</c:v>
                </c:pt>
                <c:pt idx="59">
                  <c:v>0.26350000000000001</c:v>
                </c:pt>
                <c:pt idx="60">
                  <c:v>0.26350000000000001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E-4A3F-8172-BA91729AC149}"/>
            </c:ext>
          </c:extLst>
        </c:ser>
        <c:ser>
          <c:idx val="0"/>
          <c:order val="1"/>
          <c:tx>
            <c:v>critical point water content</c:v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Output!$Y$19:$Y$20</c:f>
              <c:numCache>
                <c:formatCode>General</c:formatCode>
                <c:ptCount val="2"/>
                <c:pt idx="0">
                  <c:v>0</c:v>
                </c:pt>
                <c:pt idx="1">
                  <c:v>71</c:v>
                </c:pt>
              </c:numCache>
            </c:numRef>
          </c:xVal>
          <c:yVal>
            <c:numRef>
              <c:f>Output!$Z$19:$Z$20</c:f>
              <c:numCache>
                <c:formatCode>General</c:formatCode>
                <c:ptCount val="2"/>
                <c:pt idx="0">
                  <c:v>0.255</c:v>
                </c:pt>
                <c:pt idx="1">
                  <c:v>0.255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E-4A3F-8172-BA91729AC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9536"/>
        <c:axId val="107495808"/>
      </c:scatterChart>
      <c:valAx>
        <c:axId val="10748953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no. of 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107495808"/>
        <c:crosses val="autoZero"/>
        <c:crossBetween val="midCat"/>
        <c:majorUnit val="10"/>
      </c:valAx>
      <c:valAx>
        <c:axId val="107495808"/>
        <c:scaling>
          <c:orientation val="minMax"/>
          <c:max val="0.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soil 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  <a:endParaRPr lang="en-US" sz="1200" b="0" baseline="-25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107489536"/>
        <c:crosses val="autoZero"/>
        <c:crossBetween val="midCat"/>
        <c:majorUnit val="0.1"/>
      </c:valAx>
    </c:plotArea>
    <c:legend>
      <c:legendPos val="l"/>
      <c:layout>
        <c:manualLayout>
          <c:xMode val="edge"/>
          <c:yMode val="edge"/>
          <c:x val="0.238125"/>
          <c:y val="0.5459018518518518"/>
          <c:w val="0.64646631944444455"/>
          <c:h val="0.1536275154304079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2</xdr:row>
      <xdr:rowOff>3810</xdr:rowOff>
    </xdr:from>
    <xdr:to>
      <xdr:col>18</xdr:col>
      <xdr:colOff>83460</xdr:colOff>
      <xdr:row>16</xdr:row>
      <xdr:rowOff>129270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83820</xdr:colOff>
      <xdr:row>2</xdr:row>
      <xdr:rowOff>3810</xdr:rowOff>
    </xdr:from>
    <xdr:to>
      <xdr:col>23</xdr:col>
      <xdr:colOff>220620</xdr:colOff>
      <xdr:row>16</xdr:row>
      <xdr:rowOff>129270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16</xdr:row>
      <xdr:rowOff>137160</xdr:rowOff>
    </xdr:from>
    <xdr:to>
      <xdr:col>18</xdr:col>
      <xdr:colOff>83460</xdr:colOff>
      <xdr:row>31</xdr:row>
      <xdr:rowOff>125460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83820</xdr:colOff>
      <xdr:row>16</xdr:row>
      <xdr:rowOff>137160</xdr:rowOff>
    </xdr:from>
    <xdr:to>
      <xdr:col>23</xdr:col>
      <xdr:colOff>220620</xdr:colOff>
      <xdr:row>31</xdr:row>
      <xdr:rowOff>125460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buildit/1a.%20Excel%202007%20and%20above/BuildIt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nterpol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224"/>
  <sheetViews>
    <sheetView workbookViewId="0">
      <pane ySplit="1" topLeftCell="A2" activePane="bottomLeft" state="frozen"/>
      <selection pane="bottomLeft" activeCell="M2" sqref="M2"/>
    </sheetView>
  </sheetViews>
  <sheetFormatPr defaultColWidth="9.140625" defaultRowHeight="12" x14ac:dyDescent="0.2"/>
  <cols>
    <col min="1" max="1" width="5" style="15" bestFit="1" customWidth="1"/>
    <col min="2" max="2" width="6.140625" style="15" bestFit="1" customWidth="1"/>
    <col min="3" max="3" width="3.85546875" style="15" bestFit="1" customWidth="1"/>
    <col min="4" max="4" width="9.85546875" style="15" bestFit="1" customWidth="1"/>
    <col min="5" max="5" width="6.5703125" style="15" customWidth="1"/>
    <col min="6" max="6" width="6" style="15" bestFit="1" customWidth="1"/>
    <col min="7" max="7" width="7" style="15" bestFit="1" customWidth="1"/>
    <col min="8" max="8" width="5.140625" style="15" customWidth="1"/>
    <col min="9" max="9" width="8.7109375" style="15" customWidth="1"/>
    <col min="10" max="10" width="6" style="15" bestFit="1" customWidth="1"/>
    <col min="11" max="11" width="3" style="15" customWidth="1"/>
    <col min="12" max="12" width="8" style="15" customWidth="1"/>
    <col min="13" max="13" width="5.85546875" style="15" customWidth="1"/>
    <col min="14" max="16384" width="9.140625" style="15"/>
  </cols>
  <sheetData>
    <row r="1" spans="1:13" x14ac:dyDescent="0.2">
      <c r="A1" s="19" t="s">
        <v>1</v>
      </c>
      <c r="B1" s="19" t="s">
        <v>2</v>
      </c>
      <c r="C1" s="19" t="s">
        <v>3</v>
      </c>
      <c r="D1" s="19" t="s">
        <v>4</v>
      </c>
      <c r="E1" s="19" t="s">
        <v>5</v>
      </c>
      <c r="F1" s="19" t="s">
        <v>7</v>
      </c>
      <c r="G1" s="19" t="s">
        <v>6</v>
      </c>
      <c r="H1" s="19" t="s">
        <v>8</v>
      </c>
      <c r="I1" s="19" t="s">
        <v>9</v>
      </c>
      <c r="J1" s="19" t="s">
        <v>10</v>
      </c>
    </row>
    <row r="2" spans="1:13" x14ac:dyDescent="0.2">
      <c r="A2" s="60">
        <v>2017</v>
      </c>
      <c r="B2" s="60">
        <v>9</v>
      </c>
      <c r="C2" s="60">
        <v>22</v>
      </c>
      <c r="D2" s="61">
        <f>DATE(A2,B2,C2)</f>
        <v>43000</v>
      </c>
      <c r="E2" s="62">
        <v>0</v>
      </c>
      <c r="F2" s="63">
        <v>20.8</v>
      </c>
      <c r="G2" s="63">
        <v>22.2</v>
      </c>
      <c r="H2" s="64">
        <v>96.9</v>
      </c>
      <c r="I2" s="65">
        <v>0.67213114754098358</v>
      </c>
      <c r="J2" s="63">
        <v>0</v>
      </c>
      <c r="L2" s="17" t="s">
        <v>95</v>
      </c>
      <c r="M2" s="40">
        <v>33.49</v>
      </c>
    </row>
    <row r="3" spans="1:13" x14ac:dyDescent="0.2">
      <c r="A3" s="60">
        <v>2017</v>
      </c>
      <c r="B3" s="60">
        <v>9</v>
      </c>
      <c r="C3" s="60">
        <v>23</v>
      </c>
      <c r="D3" s="61">
        <f t="shared" ref="D3:D30" si="0">DATE(A3,B3,C3)</f>
        <v>43001</v>
      </c>
      <c r="E3" s="62">
        <v>8.7833333333255723</v>
      </c>
      <c r="F3" s="63">
        <v>19.899999999999999</v>
      </c>
      <c r="G3" s="63">
        <v>28.2</v>
      </c>
      <c r="H3" s="64">
        <v>88.5</v>
      </c>
      <c r="I3" s="65">
        <v>0.83333333333333337</v>
      </c>
      <c r="J3" s="63">
        <v>1</v>
      </c>
    </row>
    <row r="4" spans="1:13" x14ac:dyDescent="0.2">
      <c r="A4" s="60">
        <v>2017</v>
      </c>
      <c r="B4" s="60">
        <v>9</v>
      </c>
      <c r="C4" s="60">
        <v>24</v>
      </c>
      <c r="D4" s="61">
        <f t="shared" si="0"/>
        <v>43002</v>
      </c>
      <c r="E4" s="62">
        <v>7.1166666666395031</v>
      </c>
      <c r="F4" s="63">
        <v>20.3</v>
      </c>
      <c r="G4" s="63">
        <v>27.2</v>
      </c>
      <c r="H4" s="64">
        <v>86.2</v>
      </c>
      <c r="I4" s="65">
        <v>0.78899082568807344</v>
      </c>
      <c r="J4" s="63">
        <v>0</v>
      </c>
    </row>
    <row r="5" spans="1:13" x14ac:dyDescent="0.2">
      <c r="A5" s="60">
        <v>2017</v>
      </c>
      <c r="B5" s="60">
        <v>9</v>
      </c>
      <c r="C5" s="60">
        <v>25</v>
      </c>
      <c r="D5" s="61">
        <f t="shared" si="0"/>
        <v>43003</v>
      </c>
      <c r="E5" s="62">
        <v>8.8000000000465661</v>
      </c>
      <c r="F5" s="63">
        <v>19.5</v>
      </c>
      <c r="G5" s="63">
        <v>28.8</v>
      </c>
      <c r="H5" s="64">
        <v>82.6</v>
      </c>
      <c r="I5" s="65">
        <v>1.2695652173913043</v>
      </c>
      <c r="J5" s="63">
        <v>0</v>
      </c>
    </row>
    <row r="6" spans="1:13" x14ac:dyDescent="0.2">
      <c r="A6" s="60">
        <v>2017</v>
      </c>
      <c r="B6" s="60">
        <v>9</v>
      </c>
      <c r="C6" s="60">
        <v>26</v>
      </c>
      <c r="D6" s="61">
        <f t="shared" si="0"/>
        <v>43004</v>
      </c>
      <c r="E6" s="62">
        <v>7.9333333333488554</v>
      </c>
      <c r="F6" s="63">
        <v>18.899999999999999</v>
      </c>
      <c r="G6" s="63">
        <v>28.4</v>
      </c>
      <c r="H6" s="64">
        <v>87.6</v>
      </c>
      <c r="I6" s="65">
        <v>1.0090090090090089</v>
      </c>
      <c r="J6" s="63">
        <v>0</v>
      </c>
      <c r="M6" s="16"/>
    </row>
    <row r="7" spans="1:13" x14ac:dyDescent="0.2">
      <c r="A7" s="60">
        <v>2017</v>
      </c>
      <c r="B7" s="60">
        <v>9</v>
      </c>
      <c r="C7" s="60">
        <v>27</v>
      </c>
      <c r="D7" s="61">
        <f t="shared" si="0"/>
        <v>43005</v>
      </c>
      <c r="E7" s="62">
        <v>6.1333333334187046</v>
      </c>
      <c r="F7" s="63">
        <v>20</v>
      </c>
      <c r="G7" s="63">
        <v>28.2</v>
      </c>
      <c r="H7" s="64">
        <v>89.6</v>
      </c>
      <c r="I7" s="65">
        <v>0.56818181818181823</v>
      </c>
      <c r="J7" s="63">
        <v>19</v>
      </c>
    </row>
    <row r="8" spans="1:13" x14ac:dyDescent="0.2">
      <c r="A8" s="60">
        <v>2017</v>
      </c>
      <c r="B8" s="60">
        <v>9</v>
      </c>
      <c r="C8" s="60">
        <v>28</v>
      </c>
      <c r="D8" s="61">
        <f t="shared" si="0"/>
        <v>43006</v>
      </c>
      <c r="E8" s="62">
        <v>7.6166666665230878</v>
      </c>
      <c r="F8" s="63">
        <v>19.100000000000001</v>
      </c>
      <c r="G8" s="63">
        <v>31.6</v>
      </c>
      <c r="H8" s="64">
        <v>80.8</v>
      </c>
      <c r="I8" s="65">
        <v>1.5126582278481013</v>
      </c>
      <c r="J8" s="63">
        <v>8</v>
      </c>
      <c r="L8" s="17"/>
    </row>
    <row r="9" spans="1:13" x14ac:dyDescent="0.2">
      <c r="A9" s="60">
        <v>2017</v>
      </c>
      <c r="B9" s="60">
        <v>9</v>
      </c>
      <c r="C9" s="60">
        <v>29</v>
      </c>
      <c r="D9" s="61">
        <f t="shared" si="0"/>
        <v>43007</v>
      </c>
      <c r="E9" s="62">
        <v>8.433333333407063</v>
      </c>
      <c r="F9" s="63">
        <v>14.6</v>
      </c>
      <c r="G9" s="63">
        <v>26.8</v>
      </c>
      <c r="H9" s="64">
        <v>60.5</v>
      </c>
      <c r="I9" s="65">
        <v>1.9684210526315788</v>
      </c>
      <c r="J9" s="63">
        <v>0</v>
      </c>
    </row>
    <row r="10" spans="1:13" x14ac:dyDescent="0.2">
      <c r="A10" s="60">
        <v>2017</v>
      </c>
      <c r="B10" s="60">
        <v>9</v>
      </c>
      <c r="C10" s="60">
        <v>30</v>
      </c>
      <c r="D10" s="61">
        <f t="shared" si="0"/>
        <v>43008</v>
      </c>
      <c r="E10" s="62">
        <v>8.1000000000349246</v>
      </c>
      <c r="F10" s="63">
        <v>16.399999999999999</v>
      </c>
      <c r="G10" s="63">
        <v>26.6</v>
      </c>
      <c r="H10" s="64">
        <v>68.599999999999994</v>
      </c>
      <c r="I10" s="65">
        <v>1.9243697478991597</v>
      </c>
      <c r="J10" s="63">
        <v>0</v>
      </c>
    </row>
    <row r="11" spans="1:13" x14ac:dyDescent="0.2">
      <c r="A11" s="60">
        <v>2017</v>
      </c>
      <c r="B11" s="60">
        <v>10</v>
      </c>
      <c r="C11" s="60">
        <v>1</v>
      </c>
      <c r="D11" s="61">
        <f t="shared" si="0"/>
        <v>43009</v>
      </c>
      <c r="E11" s="62">
        <v>8.433333333407063</v>
      </c>
      <c r="F11" s="63">
        <v>14.5</v>
      </c>
      <c r="G11" s="63">
        <v>26.7</v>
      </c>
      <c r="H11" s="64">
        <v>71.3</v>
      </c>
      <c r="I11" s="65">
        <v>0.97841726618705038</v>
      </c>
      <c r="J11" s="63">
        <v>0</v>
      </c>
    </row>
    <row r="12" spans="1:13" x14ac:dyDescent="0.2">
      <c r="A12" s="60">
        <v>2017</v>
      </c>
      <c r="B12" s="60">
        <v>10</v>
      </c>
      <c r="C12" s="60">
        <v>2</v>
      </c>
      <c r="D12" s="61">
        <f t="shared" si="0"/>
        <v>43010</v>
      </c>
      <c r="E12" s="62">
        <v>0.29999999993015081</v>
      </c>
      <c r="F12" s="63">
        <v>21.5</v>
      </c>
      <c r="G12" s="63">
        <v>25.1</v>
      </c>
      <c r="H12" s="64">
        <v>88.8</v>
      </c>
      <c r="I12" s="65">
        <v>0.44525547445255476</v>
      </c>
      <c r="J12" s="63">
        <v>89</v>
      </c>
    </row>
    <row r="13" spans="1:13" x14ac:dyDescent="0.2">
      <c r="A13" s="60">
        <v>2017</v>
      </c>
      <c r="B13" s="60">
        <v>10</v>
      </c>
      <c r="C13" s="60">
        <v>3</v>
      </c>
      <c r="D13" s="61">
        <f t="shared" si="0"/>
        <v>43011</v>
      </c>
      <c r="E13" s="62">
        <v>7.4166666669188999</v>
      </c>
      <c r="F13" s="63">
        <v>20.3</v>
      </c>
      <c r="G13" s="63">
        <v>27.2</v>
      </c>
      <c r="H13" s="64">
        <v>89.8</v>
      </c>
      <c r="I13" s="65">
        <v>1.5209580838323353</v>
      </c>
      <c r="J13" s="63">
        <v>5</v>
      </c>
      <c r="L13" s="17"/>
    </row>
    <row r="14" spans="1:13" x14ac:dyDescent="0.2">
      <c r="A14" s="60">
        <v>2017</v>
      </c>
      <c r="B14" s="60">
        <v>10</v>
      </c>
      <c r="C14" s="60">
        <v>4</v>
      </c>
      <c r="D14" s="61">
        <f t="shared" si="0"/>
        <v>43012</v>
      </c>
      <c r="E14" s="62">
        <v>9.2333333333954215</v>
      </c>
      <c r="F14" s="63">
        <v>18.2</v>
      </c>
      <c r="G14" s="63">
        <v>25.2</v>
      </c>
      <c r="H14" s="64">
        <v>62.3</v>
      </c>
      <c r="I14" s="65">
        <v>3.7055555555555557</v>
      </c>
      <c r="J14" s="63">
        <v>0</v>
      </c>
    </row>
    <row r="15" spans="1:13" x14ac:dyDescent="0.2">
      <c r="A15" s="60">
        <v>2017</v>
      </c>
      <c r="B15" s="60">
        <v>10</v>
      </c>
      <c r="C15" s="60">
        <v>5</v>
      </c>
      <c r="D15" s="61">
        <f t="shared" si="0"/>
        <v>43013</v>
      </c>
      <c r="E15" s="62">
        <v>0.31666666665114462</v>
      </c>
      <c r="F15" s="63">
        <v>18</v>
      </c>
      <c r="G15" s="63">
        <v>21.6</v>
      </c>
      <c r="H15" s="64">
        <v>75.599999999999994</v>
      </c>
      <c r="I15" s="65">
        <v>1.4634146341463414</v>
      </c>
      <c r="J15" s="63">
        <v>13</v>
      </c>
    </row>
    <row r="16" spans="1:13" x14ac:dyDescent="0.2">
      <c r="A16" s="60">
        <v>2017</v>
      </c>
      <c r="B16" s="60">
        <v>10</v>
      </c>
      <c r="C16" s="60">
        <v>6</v>
      </c>
      <c r="D16" s="61">
        <f t="shared" si="0"/>
        <v>43014</v>
      </c>
      <c r="E16" s="62">
        <v>0.66666666674427688</v>
      </c>
      <c r="F16" s="63">
        <v>18.3</v>
      </c>
      <c r="G16" s="63">
        <v>22.8</v>
      </c>
      <c r="H16" s="64">
        <v>90.2</v>
      </c>
      <c r="I16" s="65">
        <v>2.5337423312883436</v>
      </c>
      <c r="J16" s="63">
        <v>87</v>
      </c>
    </row>
    <row r="17" spans="1:13" x14ac:dyDescent="0.2">
      <c r="A17" s="60">
        <v>2017</v>
      </c>
      <c r="B17" s="60">
        <v>10</v>
      </c>
      <c r="C17" s="60">
        <v>7</v>
      </c>
      <c r="D17" s="61">
        <f t="shared" si="0"/>
        <v>43015</v>
      </c>
      <c r="E17" s="62">
        <v>6.6000000000349246</v>
      </c>
      <c r="F17" s="63">
        <v>18.8</v>
      </c>
      <c r="G17" s="63">
        <v>24.6</v>
      </c>
      <c r="H17" s="64">
        <v>97.4</v>
      </c>
      <c r="I17" s="65">
        <v>0.27329192546583853</v>
      </c>
      <c r="J17" s="63">
        <v>7</v>
      </c>
      <c r="M17" s="16"/>
    </row>
    <row r="18" spans="1:13" x14ac:dyDescent="0.2">
      <c r="A18" s="60">
        <v>2017</v>
      </c>
      <c r="B18" s="60">
        <v>10</v>
      </c>
      <c r="C18" s="60">
        <v>8</v>
      </c>
      <c r="D18" s="61">
        <f t="shared" si="0"/>
        <v>43016</v>
      </c>
      <c r="E18" s="62">
        <v>8.25</v>
      </c>
      <c r="F18" s="63">
        <v>19.100000000000001</v>
      </c>
      <c r="G18" s="63">
        <v>27.2</v>
      </c>
      <c r="H18" s="64">
        <v>89.9</v>
      </c>
      <c r="I18" s="65">
        <v>1.0414201183431953</v>
      </c>
      <c r="J18" s="63">
        <v>0</v>
      </c>
      <c r="M18" s="18"/>
    </row>
    <row r="19" spans="1:13" x14ac:dyDescent="0.2">
      <c r="A19" s="60">
        <v>2017</v>
      </c>
      <c r="B19" s="60">
        <v>10</v>
      </c>
      <c r="C19" s="60">
        <v>9</v>
      </c>
      <c r="D19" s="61">
        <f t="shared" si="0"/>
        <v>43017</v>
      </c>
      <c r="E19" s="62">
        <v>8.1000000000349246</v>
      </c>
      <c r="F19" s="63">
        <v>19.8</v>
      </c>
      <c r="G19" s="63">
        <v>27.2</v>
      </c>
      <c r="H19" s="64">
        <v>92.8</v>
      </c>
      <c r="I19" s="65">
        <v>0.83950617283950613</v>
      </c>
      <c r="J19" s="63">
        <v>7</v>
      </c>
    </row>
    <row r="20" spans="1:13" x14ac:dyDescent="0.2">
      <c r="A20" s="60">
        <v>2017</v>
      </c>
      <c r="B20" s="60">
        <v>10</v>
      </c>
      <c r="C20" s="60">
        <v>10</v>
      </c>
      <c r="D20" s="61">
        <f t="shared" si="0"/>
        <v>43018</v>
      </c>
      <c r="E20" s="62">
        <v>8.433333333407063</v>
      </c>
      <c r="F20" s="63">
        <v>20.5</v>
      </c>
      <c r="G20" s="63">
        <v>28.3</v>
      </c>
      <c r="H20" s="64">
        <v>89.4</v>
      </c>
      <c r="I20" s="65">
        <v>0.76984126984126988</v>
      </c>
      <c r="J20" s="63">
        <v>0</v>
      </c>
    </row>
    <row r="21" spans="1:13" x14ac:dyDescent="0.2">
      <c r="A21" s="60">
        <v>2017</v>
      </c>
      <c r="B21" s="60">
        <v>10</v>
      </c>
      <c r="C21" s="60">
        <v>11</v>
      </c>
      <c r="D21" s="61">
        <f t="shared" si="0"/>
        <v>43019</v>
      </c>
      <c r="E21" s="62">
        <v>8.9500000000116415</v>
      </c>
      <c r="F21" s="63">
        <v>20</v>
      </c>
      <c r="G21" s="63">
        <v>29.3</v>
      </c>
      <c r="H21" s="64">
        <v>90.5</v>
      </c>
      <c r="I21" s="65">
        <v>0.72121212121212119</v>
      </c>
      <c r="J21" s="63">
        <v>0</v>
      </c>
    </row>
    <row r="22" spans="1:13" x14ac:dyDescent="0.2">
      <c r="A22" s="60">
        <v>2017</v>
      </c>
      <c r="B22" s="60">
        <v>10</v>
      </c>
      <c r="C22" s="60">
        <v>12</v>
      </c>
      <c r="D22" s="61">
        <f t="shared" si="0"/>
        <v>43020</v>
      </c>
      <c r="E22" s="62">
        <v>7.7499999999417923</v>
      </c>
      <c r="F22" s="63">
        <v>19.5</v>
      </c>
      <c r="G22" s="63">
        <v>28.2</v>
      </c>
      <c r="H22" s="64">
        <v>89.4</v>
      </c>
      <c r="I22" s="65">
        <v>0.70129870129870131</v>
      </c>
      <c r="J22" s="63">
        <v>0</v>
      </c>
    </row>
    <row r="23" spans="1:13" x14ac:dyDescent="0.2">
      <c r="A23" s="60">
        <v>2017</v>
      </c>
      <c r="B23" s="60">
        <v>10</v>
      </c>
      <c r="C23" s="60">
        <v>13</v>
      </c>
      <c r="D23" s="61">
        <f t="shared" si="0"/>
        <v>43021</v>
      </c>
      <c r="E23" s="62">
        <v>3.8166666665347293</v>
      </c>
      <c r="F23" s="63">
        <v>20.3</v>
      </c>
      <c r="G23" s="63">
        <v>24.8</v>
      </c>
      <c r="H23" s="64">
        <v>92.7</v>
      </c>
      <c r="I23" s="65">
        <v>0.26347305389221559</v>
      </c>
      <c r="J23" s="63">
        <v>0</v>
      </c>
    </row>
    <row r="24" spans="1:13" x14ac:dyDescent="0.2">
      <c r="A24" s="60">
        <v>2017</v>
      </c>
      <c r="B24" s="60">
        <v>10</v>
      </c>
      <c r="C24" s="60">
        <v>14</v>
      </c>
      <c r="D24" s="61">
        <f t="shared" si="0"/>
        <v>43022</v>
      </c>
      <c r="E24" s="62">
        <v>0.9833333333954215</v>
      </c>
      <c r="F24" s="63">
        <v>19.100000000000001</v>
      </c>
      <c r="G24" s="63">
        <v>24.4</v>
      </c>
      <c r="H24" s="64">
        <v>92.8</v>
      </c>
      <c r="I24" s="65">
        <v>0.33132530120481929</v>
      </c>
      <c r="J24" s="63">
        <v>1</v>
      </c>
    </row>
    <row r="25" spans="1:13" x14ac:dyDescent="0.2">
      <c r="A25" s="60">
        <v>2017</v>
      </c>
      <c r="B25" s="60">
        <v>10</v>
      </c>
      <c r="C25" s="60">
        <v>15</v>
      </c>
      <c r="D25" s="61">
        <f t="shared" si="0"/>
        <v>43023</v>
      </c>
      <c r="E25" s="62">
        <v>0.48333333333721384</v>
      </c>
      <c r="F25" s="63">
        <v>16.899999999999999</v>
      </c>
      <c r="G25" s="63">
        <v>19.8</v>
      </c>
      <c r="H25" s="64">
        <v>99.3</v>
      </c>
      <c r="I25" s="65">
        <v>0.59876543209876543</v>
      </c>
      <c r="J25" s="63">
        <v>44</v>
      </c>
    </row>
    <row r="26" spans="1:13" x14ac:dyDescent="0.2">
      <c r="A26" s="60">
        <v>2017</v>
      </c>
      <c r="B26" s="60">
        <v>10</v>
      </c>
      <c r="C26" s="60">
        <v>16</v>
      </c>
      <c r="D26" s="61">
        <f t="shared" si="0"/>
        <v>43024</v>
      </c>
      <c r="E26" s="62">
        <v>0.16666666668606922</v>
      </c>
      <c r="F26" s="63">
        <v>16.8</v>
      </c>
      <c r="G26" s="63">
        <v>19.399999999999999</v>
      </c>
      <c r="H26" s="64">
        <v>101.8</v>
      </c>
      <c r="I26" s="65">
        <v>0.25153374233128833</v>
      </c>
      <c r="J26" s="63">
        <v>53</v>
      </c>
    </row>
    <row r="27" spans="1:13" x14ac:dyDescent="0.2">
      <c r="A27" s="60">
        <v>2017</v>
      </c>
      <c r="B27" s="60">
        <v>10</v>
      </c>
      <c r="C27" s="60">
        <v>17</v>
      </c>
      <c r="D27" s="61">
        <f t="shared" si="0"/>
        <v>43025</v>
      </c>
      <c r="E27" s="62">
        <v>3.6166666667559184</v>
      </c>
      <c r="F27" s="63">
        <v>16.100000000000001</v>
      </c>
      <c r="G27" s="63">
        <v>19.7</v>
      </c>
      <c r="H27" s="64">
        <v>99.9</v>
      </c>
      <c r="I27" s="65">
        <v>0.6875</v>
      </c>
      <c r="J27" s="63">
        <v>27</v>
      </c>
      <c r="L27" s="17"/>
    </row>
    <row r="28" spans="1:13" x14ac:dyDescent="0.2">
      <c r="A28" s="60">
        <v>2017</v>
      </c>
      <c r="B28" s="60">
        <v>10</v>
      </c>
      <c r="C28" s="60">
        <v>18</v>
      </c>
      <c r="D28" s="61">
        <f t="shared" si="0"/>
        <v>43026</v>
      </c>
      <c r="E28" s="62">
        <v>1.9833333333372138</v>
      </c>
      <c r="F28" s="63">
        <v>16</v>
      </c>
      <c r="G28" s="63">
        <v>19.899999999999999</v>
      </c>
      <c r="H28" s="64">
        <v>92.3</v>
      </c>
      <c r="I28" s="65">
        <v>1.2962962962962963</v>
      </c>
      <c r="J28" s="63">
        <v>34</v>
      </c>
    </row>
    <row r="29" spans="1:13" x14ac:dyDescent="0.2">
      <c r="A29" s="60">
        <v>2017</v>
      </c>
      <c r="B29" s="60">
        <v>10</v>
      </c>
      <c r="C29" s="60">
        <v>19</v>
      </c>
      <c r="D29" s="61">
        <f t="shared" si="0"/>
        <v>43027</v>
      </c>
      <c r="E29" s="62">
        <v>2.5999999999185093</v>
      </c>
      <c r="F29" s="63">
        <v>15.5</v>
      </c>
      <c r="G29" s="63">
        <v>17.7</v>
      </c>
      <c r="H29" s="64">
        <v>95.9</v>
      </c>
      <c r="I29" s="65">
        <v>1.524390243902439</v>
      </c>
      <c r="J29" s="63">
        <v>42</v>
      </c>
    </row>
    <row r="30" spans="1:13" x14ac:dyDescent="0.2">
      <c r="A30" s="60">
        <v>2017</v>
      </c>
      <c r="B30" s="60">
        <v>10</v>
      </c>
      <c r="C30" s="60">
        <v>20</v>
      </c>
      <c r="D30" s="61">
        <f t="shared" si="0"/>
        <v>43028</v>
      </c>
      <c r="E30" s="62">
        <v>1.4833333332790062</v>
      </c>
      <c r="F30" s="63">
        <v>17.100000000000001</v>
      </c>
      <c r="G30" s="63">
        <v>19.899999999999999</v>
      </c>
      <c r="H30" s="64">
        <v>99.6</v>
      </c>
      <c r="I30" s="65">
        <v>9.6385542168674704E-2</v>
      </c>
      <c r="J30" s="63">
        <v>6</v>
      </c>
    </row>
    <row r="2224" spans="12:12" x14ac:dyDescent="0.2">
      <c r="L2224" s="15" t="s">
        <v>11</v>
      </c>
    </row>
  </sheetData>
  <phoneticPr fontId="27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3"/>
  <sheetViews>
    <sheetView topLeftCell="A34" workbookViewId="0">
      <selection activeCell="E32" sqref="E32"/>
    </sheetView>
  </sheetViews>
  <sheetFormatPr defaultRowHeight="12" x14ac:dyDescent="0.2"/>
  <cols>
    <col min="1" max="1" width="15.5703125" bestFit="1" customWidth="1"/>
    <col min="2" max="2" width="9.28515625" bestFit="1" customWidth="1"/>
    <col min="3" max="3" width="2.42578125" customWidth="1"/>
    <col min="4" max="4" width="17.140625" bestFit="1" customWidth="1"/>
    <col min="5" max="5" width="13" style="3" bestFit="1" customWidth="1"/>
    <col min="6" max="6" width="1.7109375" style="3" customWidth="1"/>
    <col min="7" max="7" width="18.140625" style="3" bestFit="1" customWidth="1"/>
    <col min="8" max="8" width="12.42578125" style="3" bestFit="1" customWidth="1"/>
  </cols>
  <sheetData>
    <row r="1" spans="1:8" x14ac:dyDescent="0.2">
      <c r="A1" s="2" t="s">
        <v>12</v>
      </c>
      <c r="D1" s="2"/>
      <c r="G1" s="4" t="s">
        <v>13</v>
      </c>
    </row>
    <row r="2" spans="1:8" ht="19.5" x14ac:dyDescent="0.35">
      <c r="A2" s="5" t="s">
        <v>86</v>
      </c>
      <c r="B2" s="5" t="s">
        <v>80</v>
      </c>
      <c r="D2" s="5" t="s">
        <v>35</v>
      </c>
      <c r="E2" s="3">
        <f ca="1">RADIANS(INDIRECT(site&amp;"!M2"))</f>
        <v>0.58451076649290101</v>
      </c>
      <c r="G2" s="9" t="s">
        <v>52</v>
      </c>
      <c r="H2" s="3">
        <f>1370*(1+0.033*COS(2*PI()*(doy-10)/365))</f>
        <v>1398.8778613709494</v>
      </c>
    </row>
    <row r="3" spans="1:8" ht="19.5" x14ac:dyDescent="0.35">
      <c r="A3" s="5" t="s">
        <v>50</v>
      </c>
      <c r="B3">
        <v>0.28999999999999998</v>
      </c>
      <c r="D3" s="5" t="s">
        <v>81</v>
      </c>
      <c r="E3" t="str">
        <f>site&amp;"!D:J"</f>
        <v>Serdang!D:J</v>
      </c>
      <c r="G3" s="10" t="s">
        <v>17</v>
      </c>
      <c r="H3" s="3">
        <f ca="1">E22*ACOS(-E24)+E23*SQRT(1-(E24)^2)</f>
        <v>0.70864550838604079</v>
      </c>
    </row>
    <row r="4" spans="1:8" ht="19.5" x14ac:dyDescent="0.35">
      <c r="A4" s="5" t="s">
        <v>51</v>
      </c>
      <c r="B4">
        <v>0.42</v>
      </c>
      <c r="G4" s="9" t="s">
        <v>53</v>
      </c>
      <c r="H4" s="3">
        <f ca="1">3600*Ic*24/PI()*H3</f>
        <v>27262941.121972267</v>
      </c>
    </row>
    <row r="5" spans="1:8" ht="19.5" x14ac:dyDescent="0.35">
      <c r="A5" s="5" t="s">
        <v>34</v>
      </c>
      <c r="B5" s="3">
        <v>0.15</v>
      </c>
      <c r="D5" s="2" t="s">
        <v>14</v>
      </c>
      <c r="E5"/>
      <c r="G5" s="9" t="s">
        <v>54</v>
      </c>
      <c r="H5" s="3" t="e">
        <f ca="1">Ietd*(B3+B4*sunhr/DL)</f>
        <v>#N/A</v>
      </c>
    </row>
    <row r="6" spans="1:8" ht="19.5" x14ac:dyDescent="0.35">
      <c r="A6" s="5" t="s">
        <v>97</v>
      </c>
      <c r="B6">
        <v>25</v>
      </c>
      <c r="D6" s="5" t="s">
        <v>58</v>
      </c>
      <c r="E6" t="e">
        <f ca="1">VLOOKUP(date,INDIRECT($E$3),2,FALSE)</f>
        <v>#N/A</v>
      </c>
      <c r="F6"/>
    </row>
    <row r="7" spans="1:8" ht="19.5" x14ac:dyDescent="0.35">
      <c r="A7" s="5"/>
      <c r="D7" s="5" t="s">
        <v>32</v>
      </c>
      <c r="E7" t="e">
        <f ca="1">VLOOKUP(date,INDIRECT($E$3),3,FALSE)</f>
        <v>#N/A</v>
      </c>
      <c r="F7"/>
      <c r="G7" s="9" t="s">
        <v>55</v>
      </c>
      <c r="H7" s="3" t="e">
        <f ca="1">Itd/Ietd</f>
        <v>#N/A</v>
      </c>
    </row>
    <row r="8" spans="1:8" ht="19.5" x14ac:dyDescent="0.35">
      <c r="A8" s="2" t="s">
        <v>27</v>
      </c>
      <c r="D8" s="5" t="s">
        <v>31</v>
      </c>
      <c r="E8" t="e">
        <f ca="1">VLOOKUP(date,INDIRECT($E$3),4,FALSE)</f>
        <v>#N/A</v>
      </c>
      <c r="F8"/>
      <c r="G8" s="10" t="s">
        <v>72</v>
      </c>
      <c r="H8" s="3" t="e">
        <f ca="1">Itd</f>
        <v>#N/A</v>
      </c>
    </row>
    <row r="9" spans="1:8" ht="19.5" x14ac:dyDescent="0.35">
      <c r="A9" s="3" t="s">
        <v>25</v>
      </c>
      <c r="B9" s="3">
        <f>5.67*10^-8</f>
        <v>5.6699999999999998E-8</v>
      </c>
      <c r="D9" s="5" t="s">
        <v>33</v>
      </c>
      <c r="E9" s="3" t="e">
        <f ca="1">AVERAGE(E7:E8)</f>
        <v>#N/A</v>
      </c>
      <c r="F9"/>
      <c r="G9" s="10" t="s">
        <v>73</v>
      </c>
      <c r="H9" s="3" t="e">
        <f ca="1">Itd*(1-2.3*(H7-0.07)^2)</f>
        <v>#N/A</v>
      </c>
    </row>
    <row r="10" spans="1:8" ht="19.5" x14ac:dyDescent="0.35">
      <c r="D10" s="5" t="s">
        <v>70</v>
      </c>
      <c r="E10" t="e">
        <f ca="1">VLOOKUP(date,INDIRECT($E$3),5,FALSE)</f>
        <v>#N/A</v>
      </c>
      <c r="F10"/>
      <c r="G10" s="10" t="s">
        <v>74</v>
      </c>
      <c r="H10" s="3" t="e">
        <f ca="1">Itd*(1.33-1.46*H7)</f>
        <v>#N/A</v>
      </c>
    </row>
    <row r="11" spans="1:8" ht="19.5" x14ac:dyDescent="0.35">
      <c r="D11" s="5" t="s">
        <v>85</v>
      </c>
      <c r="E11" t="e">
        <f ca="1">VLOOKUP(date,INDIRECT($E$3),6,FALSE)</f>
        <v>#N/A</v>
      </c>
      <c r="F11"/>
      <c r="G11" s="10" t="s">
        <v>75</v>
      </c>
      <c r="H11" s="3" t="e">
        <f ca="1">Itd*0.23</f>
        <v>#N/A</v>
      </c>
    </row>
    <row r="12" spans="1:8" x14ac:dyDescent="0.2">
      <c r="D12" t="s">
        <v>10</v>
      </c>
      <c r="E12" t="e">
        <f ca="1">VLOOKUP(date,INDIRECT($E$3),7,FALSE)</f>
        <v>#N/A</v>
      </c>
      <c r="G12" s="10" t="s">
        <v>100</v>
      </c>
      <c r="H12" s="3" t="e">
        <f ca="1">H7&lt;0.07</f>
        <v>#N/A</v>
      </c>
    </row>
    <row r="13" spans="1:8" x14ac:dyDescent="0.2">
      <c r="G13" s="10" t="s">
        <v>101</v>
      </c>
      <c r="H13" s="3" t="e">
        <f ca="1">AND(H7&gt;=0.07,H7&lt;0.35)</f>
        <v>#N/A</v>
      </c>
    </row>
    <row r="14" spans="1:8" x14ac:dyDescent="0.2">
      <c r="D14" s="2" t="s">
        <v>23</v>
      </c>
      <c r="G14" s="10" t="s">
        <v>102</v>
      </c>
      <c r="H14" s="3" t="e">
        <f ca="1">AND(H7&gt;=0.35,H7&lt;0.75)</f>
        <v>#N/A</v>
      </c>
    </row>
    <row r="15" spans="1:8" ht="19.5" x14ac:dyDescent="0.35">
      <c r="D15" s="5" t="s">
        <v>38</v>
      </c>
      <c r="E15" s="3">
        <f ca="1">24-E16</f>
        <v>6.3561590371728798</v>
      </c>
      <c r="G15" s="9" t="s">
        <v>56</v>
      </c>
      <c r="H15" s="3" t="e">
        <f ca="1">IF(H12,H8,IF(H13,H9,IF(H14,H10,H11)))</f>
        <v>#N/A</v>
      </c>
    </row>
    <row r="16" spans="1:8" ht="19.5" x14ac:dyDescent="0.35">
      <c r="D16" s="5" t="s">
        <v>39</v>
      </c>
      <c r="E16" s="3">
        <f ca="1">12+(12/PI())*ACOS(-E22/E23)</f>
        <v>17.64384096282712</v>
      </c>
      <c r="G16" s="9" t="s">
        <v>57</v>
      </c>
      <c r="H16" s="3" t="e">
        <f ca="1">Itd-Idfd</f>
        <v>#N/A</v>
      </c>
    </row>
    <row r="17" spans="1:8" x14ac:dyDescent="0.2">
      <c r="D17" s="5" t="s">
        <v>28</v>
      </c>
      <c r="E17" s="3">
        <f ca="1">E16-E15</f>
        <v>11.28768192565424</v>
      </c>
    </row>
    <row r="18" spans="1:8" ht="19.5" x14ac:dyDescent="0.35">
      <c r="G18" s="9" t="s">
        <v>59</v>
      </c>
      <c r="H18" s="3">
        <f ca="1">MAX(0,Ic*SIN(sunhgt))</f>
        <v>0</v>
      </c>
    </row>
    <row r="19" spans="1:8" x14ac:dyDescent="0.2">
      <c r="D19" s="2" t="s">
        <v>19</v>
      </c>
      <c r="G19" s="10" t="s">
        <v>18</v>
      </c>
      <c r="H19" s="3" t="e">
        <f ca="1">PI()*Itd/86400</f>
        <v>#N/A</v>
      </c>
    </row>
    <row r="20" spans="1:8" ht="15" x14ac:dyDescent="0.25">
      <c r="D20" s="6" t="s">
        <v>36</v>
      </c>
      <c r="E20" s="3">
        <f>-0.4093*COS(2*PI()*(doy+10)/365)</f>
        <v>-0.1398049158204033</v>
      </c>
      <c r="G20" s="10" t="s">
        <v>71</v>
      </c>
      <c r="H20" s="3">
        <f ca="1">E22*ACOS(-E24)+E23*SQRT(1-E24^2)</f>
        <v>0.70864550838604079</v>
      </c>
    </row>
    <row r="21" spans="1:8" ht="15" x14ac:dyDescent="0.25">
      <c r="A21" s="2"/>
      <c r="D21" s="6" t="s">
        <v>37</v>
      </c>
      <c r="E21" s="3">
        <f>PI()/12*(th-12)</f>
        <v>-2.9942203065904467</v>
      </c>
      <c r="G21" s="12" t="s">
        <v>60</v>
      </c>
      <c r="H21" s="3" t="e">
        <f ca="1">H19/H20</f>
        <v>#N/A</v>
      </c>
    </row>
    <row r="22" spans="1:8" ht="15" x14ac:dyDescent="0.25">
      <c r="A22" s="2"/>
      <c r="D22" s="7" t="s">
        <v>20</v>
      </c>
      <c r="E22" s="3">
        <f ca="1">SIN(decl)*SIN(lat)</f>
        <v>-7.6892101628232581E-2</v>
      </c>
      <c r="G22" s="12" t="s">
        <v>64</v>
      </c>
      <c r="H22" s="3" t="e">
        <f ca="1">E22*H21</f>
        <v>#N/A</v>
      </c>
    </row>
    <row r="23" spans="1:8" ht="15" x14ac:dyDescent="0.25">
      <c r="D23" s="7" t="s">
        <v>21</v>
      </c>
      <c r="E23" s="3">
        <f ca="1">COS(decl)*COS(lat)</f>
        <v>0.8258451436134181</v>
      </c>
      <c r="G23" s="12" t="s">
        <v>63</v>
      </c>
      <c r="H23" s="3" t="e">
        <f ca="1">E23*H21</f>
        <v>#N/A</v>
      </c>
    </row>
    <row r="24" spans="1:8" ht="19.5" x14ac:dyDescent="0.35">
      <c r="D24" s="8" t="s">
        <v>99</v>
      </c>
      <c r="E24" s="3">
        <f ca="1">E22/E23</f>
        <v>-9.3107166910006228E-2</v>
      </c>
      <c r="G24" s="9" t="s">
        <v>62</v>
      </c>
      <c r="H24" s="3" t="e">
        <f ca="1">MAX(0,H22-H23*COS(PI()*th/12))</f>
        <v>#N/A</v>
      </c>
    </row>
    <row r="25" spans="1:8" ht="15" x14ac:dyDescent="0.25">
      <c r="D25" s="5" t="s">
        <v>48</v>
      </c>
      <c r="E25" s="3">
        <f ca="1">ACOS(E22+E23*COS(ha))</f>
        <v>2.6765119223817466</v>
      </c>
    </row>
    <row r="26" spans="1:8" ht="19.5" x14ac:dyDescent="0.35">
      <c r="D26" s="6" t="s">
        <v>98</v>
      </c>
      <c r="E26" s="3">
        <f ca="1">(PI()/2)-suninc</f>
        <v>-1.1057155955868501</v>
      </c>
      <c r="G26" s="9" t="s">
        <v>65</v>
      </c>
      <c r="H26" s="3">
        <f ca="1">IF(Iet&lt;=0,0,It/Iet)</f>
        <v>0</v>
      </c>
    </row>
    <row r="27" spans="1:8" x14ac:dyDescent="0.2">
      <c r="D27" s="8" t="s">
        <v>15</v>
      </c>
      <c r="E27" s="3">
        <f ca="1">(SIN(lat)*SIN(sunhgt)-SIN(decl))/(COS(lat)*COS(sunhgt))</f>
        <v>-0.94598495314115305</v>
      </c>
      <c r="G27" s="11" t="s">
        <v>22</v>
      </c>
      <c r="H27" s="3">
        <f ca="1">0.847-1.61*SIN(sunhgt)+1.04*SIN(sunhgt)^2</f>
        <v>3.1168007935384048</v>
      </c>
    </row>
    <row r="28" spans="1:8" x14ac:dyDescent="0.2">
      <c r="D28" s="8" t="s">
        <v>16</v>
      </c>
      <c r="E28" s="3">
        <f ca="1">ACOS(MAX(-1,MIN(1,E27)))</f>
        <v>2.811415592048828</v>
      </c>
      <c r="G28" s="11" t="s">
        <v>24</v>
      </c>
      <c r="H28" s="3">
        <f ca="1">(1.47-H27)/1.66</f>
        <v>-0.99204867080626802</v>
      </c>
    </row>
    <row r="29" spans="1:8" ht="19.5" x14ac:dyDescent="0.35">
      <c r="A29" s="2"/>
      <c r="D29" s="5" t="s">
        <v>49</v>
      </c>
      <c r="E29" s="3">
        <f ca="1">PI()+IF(th&lt;12,-E28,E28)</f>
        <v>0.33017706154096516</v>
      </c>
      <c r="G29" s="10" t="s">
        <v>76</v>
      </c>
      <c r="H29" s="3" t="e">
        <f ca="1">It</f>
        <v>#N/A</v>
      </c>
    </row>
    <row r="30" spans="1:8" ht="19.5" x14ac:dyDescent="0.35">
      <c r="D30" s="5"/>
      <c r="G30" s="10" t="s">
        <v>77</v>
      </c>
      <c r="H30" s="3" t="e">
        <f ca="1">It*(1-6.4*(H26-0.22)^2)</f>
        <v>#N/A</v>
      </c>
    </row>
    <row r="31" spans="1:8" ht="19.5" x14ac:dyDescent="0.35">
      <c r="D31" s="2" t="s">
        <v>104</v>
      </c>
      <c r="G31" s="10" t="s">
        <v>78</v>
      </c>
      <c r="H31" s="3" t="e">
        <f ca="1">It*(1.47-1.66*H26)</f>
        <v>#N/A</v>
      </c>
    </row>
    <row r="32" spans="1:8" ht="19.5" x14ac:dyDescent="0.35">
      <c r="D32" s="5" t="s">
        <v>40</v>
      </c>
      <c r="E32" s="3" t="e">
        <f ca="1">Tmin+(Tmax-Tmin)*SIN((PI()*(tss-tsr-1.5))/DL)</f>
        <v>#N/A</v>
      </c>
      <c r="G32" s="10" t="s">
        <v>79</v>
      </c>
      <c r="H32" s="3" t="e">
        <f ca="1">It*H27</f>
        <v>#N/A</v>
      </c>
    </row>
    <row r="33" spans="4:9" ht="19.5" x14ac:dyDescent="0.35">
      <c r="D33" s="8" t="s">
        <v>43</v>
      </c>
      <c r="E33" s="3" t="e">
        <f ca="1">Tset+((Tmin-Tset)*(th+tsr))/((tsr+1.5)+tsr)</f>
        <v>#N/A</v>
      </c>
      <c r="G33" s="10" t="s">
        <v>100</v>
      </c>
      <c r="H33" s="3" t="b">
        <f ca="1">H26&lt;=0.22</f>
        <v>1</v>
      </c>
    </row>
    <row r="34" spans="4:9" ht="19.5" x14ac:dyDescent="0.35">
      <c r="D34" s="8" t="s">
        <v>44</v>
      </c>
      <c r="E34" s="3" t="e">
        <f ca="1">Tset+((Tmin-Tset)*(th-tss))/((tsr+1.5)+tsr)</f>
        <v>#N/A</v>
      </c>
      <c r="G34" s="10" t="s">
        <v>101</v>
      </c>
      <c r="H34" s="3" t="b">
        <f ca="1">AND(H26&gt;0.22,H26&lt;=0.35)</f>
        <v>0</v>
      </c>
    </row>
    <row r="35" spans="4:9" ht="19.5" x14ac:dyDescent="0.35">
      <c r="D35" s="8" t="s">
        <v>45</v>
      </c>
      <c r="E35" s="3" t="e">
        <f ca="1">Tmin+(Tmax-Tmin)*SIN((PI()*(th-tsr-1.5))/DL)</f>
        <v>#N/A</v>
      </c>
      <c r="G35" s="10" t="s">
        <v>102</v>
      </c>
      <c r="H35" s="3" t="b">
        <f ca="1">AND(H26&gt;0.35,H26&lt;=H28)</f>
        <v>0</v>
      </c>
    </row>
    <row r="36" spans="4:9" ht="19.5" x14ac:dyDescent="0.35">
      <c r="D36" s="5" t="s">
        <v>41</v>
      </c>
      <c r="E36" s="3" t="e">
        <f ca="1">IF(th&lt;(tsr+1.5),E33,IF(th&gt;tss,E34,E35))</f>
        <v>#N/A</v>
      </c>
      <c r="G36" s="9" t="s">
        <v>67</v>
      </c>
      <c r="H36" s="3" t="e">
        <f ca="1">IF(H33,H29,IF(H34,H30,IF(H35,H31,H32)))</f>
        <v>#N/A</v>
      </c>
      <c r="I36" s="3"/>
    </row>
    <row r="37" spans="4:9" ht="19.5" x14ac:dyDescent="0.35">
      <c r="D37" s="5" t="s">
        <v>42</v>
      </c>
      <c r="E37" s="3" t="e">
        <f ca="1">Ta+273.15</f>
        <v>#N/A</v>
      </c>
      <c r="G37" s="9" t="s">
        <v>66</v>
      </c>
      <c r="H37" s="3" t="e">
        <f ca="1">It-Idf</f>
        <v>#N/A</v>
      </c>
    </row>
    <row r="39" spans="4:9" x14ac:dyDescent="0.2">
      <c r="D39" s="2" t="s">
        <v>375</v>
      </c>
      <c r="G39" s="4" t="s">
        <v>69</v>
      </c>
    </row>
    <row r="40" spans="4:9" ht="19.5" x14ac:dyDescent="0.35">
      <c r="D40" s="5" t="s">
        <v>96</v>
      </c>
      <c r="E40" s="3" t="e">
        <f ca="1">MIN(Ta,Tdmax)</f>
        <v>#N/A</v>
      </c>
      <c r="G40" s="21" t="s">
        <v>103</v>
      </c>
      <c r="H40" s="3" t="e">
        <f ca="1">0.98*SB*Tak^4*(1.31*(ea/Tak)^(1/7)-1)</f>
        <v>#N/A</v>
      </c>
    </row>
    <row r="41" spans="4:9" ht="19.5" x14ac:dyDescent="0.35">
      <c r="D41" s="5" t="s">
        <v>46</v>
      </c>
      <c r="E41" s="3" t="e">
        <f ca="1">6.1078*EXP(17.269*Ta/(Ta+237.3))</f>
        <v>#N/A</v>
      </c>
      <c r="G41" s="9" t="s">
        <v>68</v>
      </c>
      <c r="H41" s="3" t="e">
        <f ca="1">(1-p)*It+RnL</f>
        <v>#N/A</v>
      </c>
    </row>
    <row r="42" spans="4:9" ht="19.5" x14ac:dyDescent="0.35">
      <c r="D42" s="5" t="s">
        <v>47</v>
      </c>
      <c r="E42" s="3" t="e">
        <f ca="1">6.1078*EXP(17.269*Tdcal/(Tdcal+237.3))</f>
        <v>#N/A</v>
      </c>
    </row>
    <row r="43" spans="4:9" x14ac:dyDescent="0.2">
      <c r="D43" s="5" t="s">
        <v>61</v>
      </c>
      <c r="E43" t="e">
        <f ca="1">es-ea</f>
        <v>#N/A</v>
      </c>
    </row>
    <row r="44" spans="4:9" x14ac:dyDescent="0.2">
      <c r="D44" s="24" t="s">
        <v>61</v>
      </c>
      <c r="E44" s="15" t="e">
        <f ca="1">(25029.4*EXP(17.269*Ta/(Ta+237.3)))/(Ta+237.3)^2</f>
        <v>#N/A</v>
      </c>
    </row>
    <row r="45" spans="4:9" x14ac:dyDescent="0.2">
      <c r="G45" s="20"/>
    </row>
    <row r="46" spans="4:9" x14ac:dyDescent="0.2">
      <c r="D46" s="2" t="s">
        <v>376</v>
      </c>
    </row>
    <row r="47" spans="4:9" x14ac:dyDescent="0.2">
      <c r="D47" s="5" t="s">
        <v>29</v>
      </c>
      <c r="E47" s="3" t="e">
        <f ca="1">100*ea/es</f>
        <v>#N/A</v>
      </c>
    </row>
    <row r="48" spans="4:9" x14ac:dyDescent="0.2">
      <c r="G48" s="9"/>
    </row>
    <row r="49" spans="4:5" x14ac:dyDescent="0.2">
      <c r="D49" s="2" t="s">
        <v>26</v>
      </c>
    </row>
    <row r="50" spans="4:5" ht="19.5" x14ac:dyDescent="0.35">
      <c r="D50" s="5" t="s">
        <v>82</v>
      </c>
      <c r="E50" s="3" t="e">
        <f ca="1">0.5*ud</f>
        <v>#N/A</v>
      </c>
    </row>
    <row r="51" spans="4:5" ht="19.5" x14ac:dyDescent="0.35">
      <c r="D51" s="5" t="s">
        <v>83</v>
      </c>
      <c r="E51" s="3" t="e">
        <f ca="1">umin-(12*PI()*(umin-ud))/DL</f>
        <v>#N/A</v>
      </c>
    </row>
    <row r="52" spans="4:5" x14ac:dyDescent="0.2">
      <c r="D52" s="5" t="s">
        <v>84</v>
      </c>
      <c r="E52" s="3" t="e">
        <f ca="1">umax-umin</f>
        <v>#N/A</v>
      </c>
    </row>
    <row r="53" spans="4:5" x14ac:dyDescent="0.2">
      <c r="D53" s="5" t="s">
        <v>30</v>
      </c>
      <c r="E53" s="3" t="e">
        <f ca="1">umin+IF(OR(th&lt;tsr+1.5,th&gt;tss+1.5),0,E52*SIN(PI()/DL*(th-tsr-1.5)))</f>
        <v>#N/A</v>
      </c>
    </row>
  </sheetData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28"/>
  <sheetViews>
    <sheetView showFormulas="1" workbookViewId="0">
      <selection activeCell="J26" sqref="J26"/>
    </sheetView>
  </sheetViews>
  <sheetFormatPr defaultColWidth="9.140625" defaultRowHeight="12" x14ac:dyDescent="0.2"/>
  <cols>
    <col min="1" max="1" width="7" style="15" bestFit="1" customWidth="1"/>
    <col min="2" max="2" width="5.7109375" style="15" bestFit="1" customWidth="1"/>
    <col min="3" max="3" width="2.28515625" style="15" bestFit="1" customWidth="1"/>
    <col min="4" max="4" width="19" style="15" bestFit="1" customWidth="1"/>
    <col min="5" max="5" width="1.140625" style="15" customWidth="1"/>
    <col min="6" max="6" width="8.140625" style="15" bestFit="1" customWidth="1"/>
    <col min="7" max="7" width="26.42578125" style="15" bestFit="1" customWidth="1"/>
    <col min="8" max="8" width="1.140625" style="15" customWidth="1"/>
    <col min="9" max="9" width="10.42578125" style="15" bestFit="1" customWidth="1"/>
    <col min="10" max="10" width="18" style="15" bestFit="1" customWidth="1"/>
    <col min="11" max="11" width="1.140625" style="15" customWidth="1"/>
    <col min="12" max="16384" width="9.140625" style="15"/>
  </cols>
  <sheetData>
    <row r="1" spans="1:10" x14ac:dyDescent="0.2">
      <c r="A1" s="17" t="s">
        <v>12</v>
      </c>
    </row>
    <row r="2" spans="1:10" ht="18.75" customHeight="1" x14ac:dyDescent="0.35">
      <c r="A2" s="22" t="s">
        <v>106</v>
      </c>
      <c r="B2" s="15">
        <v>3</v>
      </c>
      <c r="F2" s="53" t="s">
        <v>157</v>
      </c>
      <c r="I2" s="17" t="s">
        <v>159</v>
      </c>
    </row>
    <row r="3" spans="1:10" ht="19.5" x14ac:dyDescent="0.35">
      <c r="F3" s="15" t="s">
        <v>117</v>
      </c>
      <c r="G3" s="15" t="e">
        <f ca="1">ET!K2</f>
        <v>#N/A</v>
      </c>
      <c r="I3" s="15" t="s">
        <v>135</v>
      </c>
      <c r="J3" s="15" t="e">
        <f ca="1">(1-pp)*Qdr*EXP(-kdr*L)</f>
        <v>#N/A</v>
      </c>
    </row>
    <row r="4" spans="1:10" ht="19.5" x14ac:dyDescent="0.35">
      <c r="A4" s="17" t="s">
        <v>105</v>
      </c>
      <c r="F4" s="23" t="s">
        <v>147</v>
      </c>
      <c r="G4" s="23">
        <f>Growth!H28</f>
        <v>4.1353080039708177</v>
      </c>
      <c r="I4" s="15" t="s">
        <v>136</v>
      </c>
      <c r="J4" s="15" t="e">
        <f ca="1">(1-pp)*Qdr*EXP(-SQRT(alpha)*kdr*L)</f>
        <v>#N/A</v>
      </c>
    </row>
    <row r="5" spans="1:10" ht="19.5" x14ac:dyDescent="0.35">
      <c r="A5" s="25" t="s">
        <v>155</v>
      </c>
      <c r="B5" s="26" t="s">
        <v>107</v>
      </c>
      <c r="C5" s="26" t="s">
        <v>108</v>
      </c>
      <c r="D5" s="26" t="s">
        <v>109</v>
      </c>
      <c r="I5" s="15" t="s">
        <v>137</v>
      </c>
      <c r="J5" s="15" t="e">
        <f ca="1">(J3-J4)/2</f>
        <v>#N/A</v>
      </c>
    </row>
    <row r="6" spans="1:10" ht="19.5" x14ac:dyDescent="0.35">
      <c r="A6" s="15" t="s">
        <v>115</v>
      </c>
      <c r="B6" s="15">
        <v>300</v>
      </c>
      <c r="C6" s="15">
        <v>2.1</v>
      </c>
      <c r="D6" s="15" t="e">
        <f ca="1">B6*C6^((Tf-25)/10)</f>
        <v>#N/A</v>
      </c>
      <c r="F6" s="17" t="s">
        <v>148</v>
      </c>
      <c r="I6" s="27" t="s">
        <v>17</v>
      </c>
      <c r="J6" s="15">
        <f>SQRT(alpha)*kdf*L</f>
        <v>2.4877416871904345</v>
      </c>
    </row>
    <row r="7" spans="1:10" ht="19.5" x14ac:dyDescent="0.35">
      <c r="A7" s="15" t="s">
        <v>116</v>
      </c>
      <c r="B7" s="15">
        <v>300000</v>
      </c>
      <c r="C7" s="15">
        <v>1.2</v>
      </c>
      <c r="D7" s="15" t="e">
        <f ca="1">B7*C7^((Tf-25)/10)</f>
        <v>#N/A</v>
      </c>
      <c r="F7" s="30" t="s">
        <v>127</v>
      </c>
      <c r="G7" s="15">
        <f>IF(L&lt;Lmax,1-L/Lmax,0)</f>
        <v>0</v>
      </c>
      <c r="I7" s="15" t="s">
        <v>138</v>
      </c>
      <c r="J7" s="15" t="e">
        <f ca="1">(1-pp)*Qdf*(1-EXP(-J6))/J6</f>
        <v>#N/A</v>
      </c>
    </row>
    <row r="8" spans="1:10" ht="19.5" x14ac:dyDescent="0.35">
      <c r="A8" s="24" t="s">
        <v>37</v>
      </c>
      <c r="B8" s="15">
        <v>2600</v>
      </c>
      <c r="C8" s="15">
        <v>0.56999999999999995</v>
      </c>
      <c r="D8" s="15" t="e">
        <f ca="1">B8*C8^((Tf-25)/10)</f>
        <v>#N/A</v>
      </c>
      <c r="F8" s="30" t="s">
        <v>130</v>
      </c>
      <c r="G8" s="15">
        <f>1-G7</f>
        <v>1</v>
      </c>
    </row>
    <row r="9" spans="1:10" ht="19.5" x14ac:dyDescent="0.35">
      <c r="A9" s="15" t="s">
        <v>114</v>
      </c>
      <c r="B9" s="15">
        <v>200</v>
      </c>
      <c r="C9" s="15">
        <v>2.4</v>
      </c>
      <c r="D9" s="15" t="e">
        <f ca="1">(B9*C9^((Tf-25)/10))/(1+EXP(0.29*(Tf-40)))</f>
        <v>#N/A</v>
      </c>
      <c r="F9" s="27" t="s">
        <v>128</v>
      </c>
      <c r="G9" s="15">
        <f ca="1">-2*COS(suninc)/L*LN(G7+G8*EXP(-L/(2*G8*COS(suninc))))</f>
        <v>1</v>
      </c>
      <c r="I9" s="17" t="s">
        <v>149</v>
      </c>
    </row>
    <row r="10" spans="1:10" ht="19.5" x14ac:dyDescent="0.35">
      <c r="F10" s="27" t="s">
        <v>129</v>
      </c>
      <c r="G10" s="15">
        <f ca="1">G9^(1-2*suninc/PI())</f>
        <v>1</v>
      </c>
      <c r="I10" s="15" t="s">
        <v>139</v>
      </c>
      <c r="J10" s="15" t="e">
        <f ca="1">alpha*(kdr*Qdr+J7+J5)</f>
        <v>#N/A</v>
      </c>
    </row>
    <row r="11" spans="1:10" ht="19.5" x14ac:dyDescent="0.35">
      <c r="A11" s="15" t="s">
        <v>110</v>
      </c>
      <c r="B11" s="15">
        <v>210000</v>
      </c>
      <c r="E11" s="17"/>
      <c r="F11" s="15" t="s">
        <v>131</v>
      </c>
      <c r="G11" s="15">
        <f ca="1">MAX(0,G10/(2*COS(suninc)))</f>
        <v>0</v>
      </c>
      <c r="I11" s="15" t="s">
        <v>140</v>
      </c>
      <c r="J11" s="15" t="e">
        <f ca="1">alpha*(J7+J5)</f>
        <v>#N/A</v>
      </c>
    </row>
    <row r="12" spans="1:10" ht="19.5" x14ac:dyDescent="0.35">
      <c r="A12" s="15" t="s">
        <v>111</v>
      </c>
      <c r="B12" s="15">
        <v>270</v>
      </c>
      <c r="F12" s="27" t="s">
        <v>15</v>
      </c>
      <c r="G12" s="15">
        <f>B18+B20*L+B22*L^2+B24*L^3+B26*L^4+B28*L^5</f>
        <v>20.246166155209249</v>
      </c>
    </row>
    <row r="13" spans="1:10" ht="19.5" x14ac:dyDescent="0.35">
      <c r="A13" s="15" t="s">
        <v>112</v>
      </c>
      <c r="B13" s="15">
        <v>0.04</v>
      </c>
      <c r="F13" s="27" t="s">
        <v>16</v>
      </c>
      <c r="G13" s="15">
        <f>1+B19*L+B21*L^2+B23*L^3+B25*L^4+B27*L^5</f>
        <v>30.101654621208233</v>
      </c>
      <c r="I13" s="17" t="s">
        <v>150</v>
      </c>
    </row>
    <row r="14" spans="1:10" ht="19.5" x14ac:dyDescent="0.35">
      <c r="A14" s="24" t="s">
        <v>20</v>
      </c>
      <c r="B14" s="15">
        <v>0.8</v>
      </c>
      <c r="F14" s="15" t="s">
        <v>132</v>
      </c>
      <c r="G14" s="15">
        <f>G12/G13</f>
        <v>0.6725931318388304</v>
      </c>
      <c r="I14" s="15" t="s">
        <v>141</v>
      </c>
      <c r="J14" s="15" t="e">
        <f ca="1">Oa/(2*tau)</f>
        <v>#N/A</v>
      </c>
    </row>
    <row r="15" spans="1:10" ht="19.5" x14ac:dyDescent="0.35">
      <c r="A15" s="15" t="s">
        <v>113</v>
      </c>
      <c r="B15" s="15">
        <v>0.08</v>
      </c>
      <c r="I15" s="22" t="s">
        <v>142</v>
      </c>
      <c r="J15" s="15" t="e">
        <f ca="1">Vcmax*(Ci-co2pt)/(Kc*(1+Oa/Ko)+Ci)</f>
        <v>#N/A</v>
      </c>
    </row>
    <row r="16" spans="1:10" ht="15.75" customHeight="1" x14ac:dyDescent="0.35">
      <c r="F16" s="32" t="s">
        <v>160</v>
      </c>
      <c r="I16" s="22" t="s">
        <v>143</v>
      </c>
      <c r="J16" s="15" t="e">
        <f ca="1">0.5*Vcmax</f>
        <v>#N/A</v>
      </c>
    </row>
    <row r="17" spans="1:10" ht="19.5" x14ac:dyDescent="0.35">
      <c r="A17" s="25" t="s">
        <v>156</v>
      </c>
      <c r="B17" s="28"/>
      <c r="F17" s="15" t="s">
        <v>133</v>
      </c>
      <c r="G17" s="15" t="e">
        <f ca="1">(1-EXP(-kdr*L))/kdr</f>
        <v>#DIV/0!</v>
      </c>
      <c r="I17" s="22" t="s">
        <v>144</v>
      </c>
      <c r="J17" s="15" t="e">
        <f ca="1">em*alpha*Qsl*((Ci-co2pt)/(Ci+2*co2pt))</f>
        <v>#N/A</v>
      </c>
    </row>
    <row r="18" spans="1:10" ht="19.5" x14ac:dyDescent="0.35">
      <c r="A18" s="29" t="s">
        <v>20</v>
      </c>
      <c r="B18" s="18">
        <v>1.002331825</v>
      </c>
      <c r="F18" s="15" t="s">
        <v>134</v>
      </c>
      <c r="G18" s="15" t="e">
        <f ca="1">L-Lsl</f>
        <v>#DIV/0!</v>
      </c>
      <c r="I18" s="22" t="s">
        <v>145</v>
      </c>
      <c r="J18" s="15" t="e">
        <f ca="1">em*alpha*Qsh*((Ci-co2pt)/(Ci+2*co2pt))</f>
        <v>#N/A</v>
      </c>
    </row>
    <row r="19" spans="1:10" ht="19.5" x14ac:dyDescent="0.35">
      <c r="A19" s="29" t="s">
        <v>21</v>
      </c>
      <c r="B19" s="18">
        <v>2.8618412059999998</v>
      </c>
      <c r="I19" s="15" t="s">
        <v>146</v>
      </c>
      <c r="J19" s="15" t="e">
        <f ca="1">Lsl*MIN(vc,vs,vqsl)+Lsh*MIN(vc,vs,vqsh)</f>
        <v>#DIV/0!</v>
      </c>
    </row>
    <row r="20" spans="1:10" ht="18" customHeight="1" x14ac:dyDescent="0.35">
      <c r="A20" s="29" t="s">
        <v>118</v>
      </c>
      <c r="B20" s="18">
        <v>2.1227020350000001</v>
      </c>
      <c r="F20" s="32" t="s">
        <v>158</v>
      </c>
      <c r="I20" s="27" t="s">
        <v>151</v>
      </c>
      <c r="J20" s="15">
        <v>232.69746433822164</v>
      </c>
    </row>
    <row r="21" spans="1:10" ht="20.25" x14ac:dyDescent="0.35">
      <c r="A21" s="29" t="s">
        <v>36</v>
      </c>
      <c r="B21" s="18">
        <v>9.3153495000000003E-2</v>
      </c>
      <c r="F21" s="15" t="s">
        <v>126</v>
      </c>
      <c r="G21" s="15" t="e">
        <f ca="1">0.5*Idr*4.55</f>
        <v>#N/A</v>
      </c>
      <c r="I21" s="15" t="s">
        <v>154</v>
      </c>
      <c r="J21" s="15">
        <f>J20*3600*30*10^-6</f>
        <v>25.131326148527933</v>
      </c>
    </row>
    <row r="22" spans="1:10" ht="19.5" x14ac:dyDescent="0.35">
      <c r="A22" s="29" t="s">
        <v>119</v>
      </c>
      <c r="B22" s="18">
        <v>0.47701111000000002</v>
      </c>
      <c r="F22" s="15" t="s">
        <v>125</v>
      </c>
      <c r="G22" s="15" t="e">
        <f ca="1">0.5*Idf*4.55</f>
        <v>#N/A</v>
      </c>
    </row>
    <row r="23" spans="1:10" x14ac:dyDescent="0.2">
      <c r="A23" s="29" t="s">
        <v>92</v>
      </c>
      <c r="B23" s="18">
        <v>0.14858605</v>
      </c>
    </row>
    <row r="24" spans="1:10" x14ac:dyDescent="0.2">
      <c r="A24" s="29" t="s">
        <v>120</v>
      </c>
      <c r="B24" s="18">
        <v>3.0599924000000001E-2</v>
      </c>
    </row>
    <row r="25" spans="1:10" x14ac:dyDescent="0.2">
      <c r="A25" s="29" t="s">
        <v>121</v>
      </c>
      <c r="B25" s="18">
        <v>1.5715751E-2</v>
      </c>
    </row>
    <row r="26" spans="1:10" x14ac:dyDescent="0.2">
      <c r="A26" s="29" t="s">
        <v>122</v>
      </c>
      <c r="B26" s="18">
        <v>4.9165000000000005E-4</v>
      </c>
    </row>
    <row r="27" spans="1:10" x14ac:dyDescent="0.2">
      <c r="A27" s="29" t="s">
        <v>123</v>
      </c>
      <c r="B27" s="18">
        <v>4.7187999999999999E-4</v>
      </c>
    </row>
    <row r="28" spans="1:10" x14ac:dyDescent="0.2">
      <c r="A28" s="29" t="s">
        <v>124</v>
      </c>
      <c r="B28" s="18">
        <v>6.9400000000000005E-7</v>
      </c>
    </row>
  </sheetData>
  <phoneticPr fontId="27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42"/>
  <sheetViews>
    <sheetView showFormulas="1" workbookViewId="0">
      <selection activeCell="H29" sqref="H29"/>
    </sheetView>
  </sheetViews>
  <sheetFormatPr defaultColWidth="9.140625" defaultRowHeight="12" x14ac:dyDescent="0.2"/>
  <cols>
    <col min="1" max="1" width="6.42578125" style="34" bestFit="1" customWidth="1"/>
    <col min="2" max="2" width="5.42578125" style="34" bestFit="1" customWidth="1"/>
    <col min="3" max="3" width="1.140625" style="15" customWidth="1"/>
    <col min="4" max="4" width="7.5703125" style="15" bestFit="1" customWidth="1"/>
    <col min="5" max="5" width="16.42578125" style="15" bestFit="1" customWidth="1"/>
    <col min="6" max="6" width="1.28515625" style="15" customWidth="1"/>
    <col min="7" max="7" width="8" style="15" bestFit="1" customWidth="1"/>
    <col min="8" max="8" width="23" style="15" bestFit="1" customWidth="1"/>
    <col min="9" max="9" width="1.140625" style="15" customWidth="1"/>
    <col min="10" max="10" width="7.7109375" style="15" bestFit="1" customWidth="1"/>
    <col min="11" max="11" width="14.42578125" style="15" bestFit="1" customWidth="1"/>
    <col min="12" max="16384" width="9.140625" style="15"/>
  </cols>
  <sheetData>
    <row r="1" spans="1:11" x14ac:dyDescent="0.2">
      <c r="A1" s="33" t="s">
        <v>12</v>
      </c>
      <c r="D1" s="52" t="s">
        <v>157</v>
      </c>
      <c r="G1" s="17" t="s">
        <v>222</v>
      </c>
      <c r="J1" s="17" t="s">
        <v>229</v>
      </c>
    </row>
    <row r="2" spans="1:11" ht="19.5" x14ac:dyDescent="0.35">
      <c r="A2" s="34" t="s">
        <v>183</v>
      </c>
      <c r="B2" s="34">
        <v>2</v>
      </c>
      <c r="D2" s="34" t="s">
        <v>121</v>
      </c>
      <c r="E2" s="34">
        <f>Growth!E19</f>
        <v>2.5</v>
      </c>
      <c r="G2" s="27" t="s">
        <v>161</v>
      </c>
      <c r="H2" s="15" t="e">
        <f ca="1">(slopesvp+psycho)*raa</f>
        <v>#N/A</v>
      </c>
      <c r="J2" s="15" t="s">
        <v>117</v>
      </c>
      <c r="K2" s="15" t="e">
        <f ca="1">((Hc*rca+(Hs+Hc)*raa)/pcp)+Ta</f>
        <v>#N/A</v>
      </c>
    </row>
    <row r="3" spans="1:11" ht="19.5" x14ac:dyDescent="0.35">
      <c r="A3" s="34" t="s">
        <v>175</v>
      </c>
      <c r="B3" s="34">
        <v>4.0000000000000001E-3</v>
      </c>
      <c r="D3" s="34" t="s">
        <v>174</v>
      </c>
      <c r="E3" s="34">
        <f>Growth!E11</f>
        <v>0.08</v>
      </c>
      <c r="G3" s="27" t="s">
        <v>162</v>
      </c>
      <c r="H3" s="15" t="e">
        <f ca="1">(slopesvp+psycho)*rca+psycho*rcs</f>
        <v>#N/A</v>
      </c>
    </row>
    <row r="4" spans="1:11" ht="15.75" x14ac:dyDescent="0.3">
      <c r="A4" s="39" t="s">
        <v>230</v>
      </c>
      <c r="B4" s="34">
        <v>0.3</v>
      </c>
      <c r="D4" s="23" t="s">
        <v>176</v>
      </c>
      <c r="E4" s="34">
        <f>Water!H4</f>
        <v>0.02</v>
      </c>
      <c r="G4" s="27" t="s">
        <v>163</v>
      </c>
      <c r="H4" s="15" t="e">
        <f ca="1">(slopesvp+psycho)*rsa+psycho*rss</f>
        <v>#N/A</v>
      </c>
    </row>
    <row r="5" spans="1:11" ht="19.5" x14ac:dyDescent="0.35">
      <c r="A5" s="34" t="s">
        <v>179</v>
      </c>
      <c r="B5">
        <v>51.21</v>
      </c>
      <c r="D5" s="34" t="s">
        <v>177</v>
      </c>
      <c r="E5" s="34">
        <f>Water!H3</f>
        <v>0.39</v>
      </c>
      <c r="G5" s="27" t="s">
        <v>207</v>
      </c>
      <c r="H5" s="15" t="e">
        <f ca="1">(1+(H3*H2)/(H4*(H3+H2)))^-1</f>
        <v>#N/A</v>
      </c>
    </row>
    <row r="6" spans="1:11" ht="19.5" x14ac:dyDescent="0.35">
      <c r="A6" s="34" t="s">
        <v>180</v>
      </c>
      <c r="B6">
        <v>5.0000000000000001E-3</v>
      </c>
      <c r="D6" s="34" t="s">
        <v>178</v>
      </c>
      <c r="E6" s="34">
        <f>Water!H9</f>
        <v>0.26350000000000001</v>
      </c>
      <c r="G6" s="27" t="s">
        <v>208</v>
      </c>
      <c r="H6" s="15" t="e">
        <f ca="1">(1+(H4*H2)/(H3*(H4+H2)))^-1</f>
        <v>#N/A</v>
      </c>
    </row>
    <row r="7" spans="1:11" ht="19.5" x14ac:dyDescent="0.35">
      <c r="A7" s="34" t="s">
        <v>182</v>
      </c>
      <c r="B7" s="34">
        <v>2</v>
      </c>
      <c r="G7" s="27" t="s">
        <v>201</v>
      </c>
      <c r="H7" s="15" t="e">
        <f ca="1">slopesvp*A+(pcp*vpd-slopesvp*rca*As)/(raa+rca)</f>
        <v>#N/A</v>
      </c>
    </row>
    <row r="8" spans="1:11" ht="19.5" x14ac:dyDescent="0.35">
      <c r="A8" s="34" t="s">
        <v>181</v>
      </c>
      <c r="B8" s="34">
        <v>2</v>
      </c>
      <c r="D8" s="17" t="s">
        <v>189</v>
      </c>
      <c r="G8" s="27" t="s">
        <v>202</v>
      </c>
      <c r="H8" s="15" t="e">
        <f ca="1">slopesvp+psycho*(1+rcs/(raa+rca))</f>
        <v>#N/A</v>
      </c>
    </row>
    <row r="9" spans="1:11" ht="19.5" x14ac:dyDescent="0.35">
      <c r="D9" s="15" t="s">
        <v>231</v>
      </c>
      <c r="E9" s="15">
        <f>EXP(-kRn*L)</f>
        <v>0.28921283715171925</v>
      </c>
      <c r="G9" s="27" t="s">
        <v>205</v>
      </c>
      <c r="H9" s="15" t="e">
        <f ca="1">H7/H8</f>
        <v>#N/A</v>
      </c>
    </row>
    <row r="10" spans="1:11" x14ac:dyDescent="0.2">
      <c r="A10" s="33" t="s">
        <v>164</v>
      </c>
      <c r="D10" s="15" t="s">
        <v>185</v>
      </c>
      <c r="E10" s="15" t="e">
        <f ca="1">0.3*pRn*Rn</f>
        <v>#N/A</v>
      </c>
      <c r="G10" s="27" t="s">
        <v>203</v>
      </c>
      <c r="H10" s="15" t="e">
        <f ca="1">slopesvp*A+(pcp*vpd-slopesvp*rsa*Ac)/(raa+rsa)</f>
        <v>#N/A</v>
      </c>
    </row>
    <row r="11" spans="1:11" ht="19.5" x14ac:dyDescent="0.35">
      <c r="A11" s="37" t="s">
        <v>37</v>
      </c>
      <c r="B11" s="34">
        <v>2</v>
      </c>
      <c r="D11" s="15" t="s">
        <v>187</v>
      </c>
      <c r="E11" s="15" t="e">
        <f ca="1">(1-pRn)*Rn</f>
        <v>#N/A</v>
      </c>
      <c r="G11" s="27" t="s">
        <v>204</v>
      </c>
      <c r="H11" s="15" t="e">
        <f ca="1">slopesvp+psycho*(1+rss/(raa+rsa))</f>
        <v>#N/A</v>
      </c>
    </row>
    <row r="12" spans="1:11" ht="19.5" x14ac:dyDescent="0.35">
      <c r="A12" s="36" t="s">
        <v>184</v>
      </c>
      <c r="B12" s="34">
        <v>0.42</v>
      </c>
      <c r="D12" s="15" t="s">
        <v>188</v>
      </c>
      <c r="E12" s="15" t="e">
        <f ca="1">pRn*Rn-G</f>
        <v>#N/A</v>
      </c>
      <c r="G12" s="27" t="s">
        <v>206</v>
      </c>
      <c r="H12" s="15" t="e">
        <f ca="1">H10/H11</f>
        <v>#N/A</v>
      </c>
    </row>
    <row r="13" spans="1:11" ht="12.75" x14ac:dyDescent="0.2">
      <c r="A13" s="37" t="s">
        <v>176</v>
      </c>
      <c r="B13" s="34">
        <v>0.18</v>
      </c>
      <c r="D13" s="15" t="s">
        <v>186</v>
      </c>
      <c r="E13" s="15" t="e">
        <f ca="1">Ac+As</f>
        <v>#N/A</v>
      </c>
      <c r="G13" s="15" t="s">
        <v>209</v>
      </c>
      <c r="H13" s="15" t="e">
        <f ca="1">H5*H9+H6*H12</f>
        <v>#N/A</v>
      </c>
    </row>
    <row r="15" spans="1:11" ht="19.5" x14ac:dyDescent="0.35">
      <c r="A15" s="33" t="s">
        <v>27</v>
      </c>
      <c r="D15" s="17" t="s">
        <v>200</v>
      </c>
      <c r="G15" s="15" t="s">
        <v>210</v>
      </c>
      <c r="H15" s="15" t="e">
        <f ca="1">vpd+(raa/pcp)*(slopesvp*A-(slopesvp+psycho)*LET)</f>
        <v>#N/A</v>
      </c>
    </row>
    <row r="16" spans="1:11" ht="19.5" x14ac:dyDescent="0.35">
      <c r="A16" s="37" t="s">
        <v>120</v>
      </c>
      <c r="B16" s="34">
        <v>0.65800000000000003</v>
      </c>
      <c r="D16" s="15" t="s">
        <v>191</v>
      </c>
      <c r="E16" s="15">
        <f>0.13*h</f>
        <v>0.32500000000000001</v>
      </c>
    </row>
    <row r="17" spans="1:8" x14ac:dyDescent="0.2">
      <c r="A17" s="34" t="s">
        <v>124</v>
      </c>
      <c r="B17" s="34">
        <v>0.4</v>
      </c>
      <c r="D17" s="15" t="s">
        <v>36</v>
      </c>
      <c r="E17" s="15">
        <f>0.64*h</f>
        <v>1.6</v>
      </c>
      <c r="G17" s="27" t="s">
        <v>211</v>
      </c>
      <c r="H17" s="15" t="e">
        <f ca="1">slopesvp*As+pcp*vpd0/rsa</f>
        <v>#N/A</v>
      </c>
    </row>
    <row r="18" spans="1:8" ht="13.5" x14ac:dyDescent="0.25">
      <c r="A18" s="23" t="s">
        <v>190</v>
      </c>
      <c r="B18" s="34">
        <v>1221.0899999999999</v>
      </c>
      <c r="D18" s="15" t="s">
        <v>192</v>
      </c>
      <c r="E18" s="15" t="e">
        <f ca="1">k*u/LN((zr-d)/z0)</f>
        <v>#N/A</v>
      </c>
      <c r="G18" s="27" t="s">
        <v>212</v>
      </c>
      <c r="H18" s="15" t="e">
        <f ca="1">slopesvp+psycho*(rss+rsa)/rsa</f>
        <v>#N/A</v>
      </c>
    </row>
    <row r="19" spans="1:8" ht="19.5" x14ac:dyDescent="0.35">
      <c r="A19" s="34" t="s">
        <v>199</v>
      </c>
      <c r="B19" s="34">
        <f>24.7*10^-6</f>
        <v>2.4699999999999997E-5</v>
      </c>
      <c r="D19" s="15" t="s">
        <v>193</v>
      </c>
      <c r="E19" s="15" t="e">
        <f ca="1">(ustar/k)*LN((h-d)/z0)</f>
        <v>#N/A</v>
      </c>
      <c r="G19" s="15" t="s">
        <v>213</v>
      </c>
      <c r="H19" s="15" t="e">
        <f ca="1">H17/H18</f>
        <v>#N/A</v>
      </c>
    </row>
    <row r="20" spans="1:8" ht="19.5" x14ac:dyDescent="0.35">
      <c r="D20" s="15" t="s">
        <v>194</v>
      </c>
      <c r="E20" s="15" t="e">
        <f ca="1">k*ustar*h</f>
        <v>#N/A</v>
      </c>
      <c r="G20" s="27" t="s">
        <v>217</v>
      </c>
      <c r="H20" s="15">
        <v>9.841565490943303</v>
      </c>
    </row>
    <row r="21" spans="1:8" ht="18" x14ac:dyDescent="0.2">
      <c r="G21" s="15" t="s">
        <v>219</v>
      </c>
      <c r="H21" s="15">
        <f>H20*2*3600/2454000</f>
        <v>2.8875008775383775E-2</v>
      </c>
    </row>
    <row r="22" spans="1:8" x14ac:dyDescent="0.2">
      <c r="D22" s="17" t="s">
        <v>165</v>
      </c>
    </row>
    <row r="23" spans="1:8" x14ac:dyDescent="0.2">
      <c r="D23" s="27" t="s">
        <v>15</v>
      </c>
      <c r="E23" s="15" t="e">
        <f ca="1">(h*EXP(nK))/(nK*Kh)</f>
        <v>#N/A</v>
      </c>
      <c r="G23" s="27" t="s">
        <v>215</v>
      </c>
      <c r="H23" s="15" t="e">
        <f ca="1">slopesvp*Ac+pcp*vpd0/rca</f>
        <v>#N/A</v>
      </c>
    </row>
    <row r="24" spans="1:8" x14ac:dyDescent="0.2">
      <c r="D24" s="27" t="s">
        <v>16</v>
      </c>
      <c r="E24" s="15">
        <f>EXP(-nK*zs0/h)</f>
        <v>0.99680511454303289</v>
      </c>
      <c r="G24" s="27" t="s">
        <v>216</v>
      </c>
      <c r="H24" s="15" t="e">
        <f ca="1">slopesvp+psycho*(rcs+rca)/rca</f>
        <v>#N/A</v>
      </c>
    </row>
    <row r="25" spans="1:8" ht="19.5" x14ac:dyDescent="0.35">
      <c r="D25" s="27" t="s">
        <v>17</v>
      </c>
      <c r="E25" s="15">
        <f>EXP(-nK*(z0+d)/h)</f>
        <v>0.21438110142697794</v>
      </c>
      <c r="G25" s="15" t="s">
        <v>214</v>
      </c>
      <c r="H25" s="15" t="e">
        <f ca="1">H23/H24</f>
        <v>#N/A</v>
      </c>
    </row>
    <row r="26" spans="1:8" ht="19.5" x14ac:dyDescent="0.35">
      <c r="D26" s="15" t="s">
        <v>166</v>
      </c>
      <c r="E26" s="15" t="e">
        <f ca="1">E23*(E24-E25)</f>
        <v>#N/A</v>
      </c>
      <c r="G26" s="27" t="s">
        <v>218</v>
      </c>
      <c r="H26" s="15">
        <v>63.641268647612499</v>
      </c>
    </row>
    <row r="27" spans="1:8" ht="18" x14ac:dyDescent="0.2">
      <c r="G27" s="15" t="s">
        <v>220</v>
      </c>
      <c r="H27" s="15">
        <f>H26*2*3600/2454000</f>
        <v>0.18672254859935208</v>
      </c>
    </row>
    <row r="28" spans="1:8" x14ac:dyDescent="0.2">
      <c r="D28" s="27" t="s">
        <v>18</v>
      </c>
      <c r="E28" s="15" t="e">
        <f ca="1">LN((zr-d)/(h-d))/(k*ustar)</f>
        <v>#N/A</v>
      </c>
    </row>
    <row r="29" spans="1:8" ht="18" x14ac:dyDescent="0.2">
      <c r="D29" s="27" t="s">
        <v>71</v>
      </c>
      <c r="E29" s="15" t="e">
        <f ca="1">1/(nK*k*ustar)</f>
        <v>#N/A</v>
      </c>
      <c r="G29" s="15" t="s">
        <v>221</v>
      </c>
      <c r="H29" s="15">
        <f>PETs+PETc</f>
        <v>0.21559755737473585</v>
      </c>
    </row>
    <row r="30" spans="1:8" x14ac:dyDescent="0.2">
      <c r="D30" s="27" t="s">
        <v>195</v>
      </c>
      <c r="E30" s="15">
        <f>EXP(nK*(1-(z0+d)/h))-1</f>
        <v>0.58407398499448182</v>
      </c>
    </row>
    <row r="31" spans="1:8" x14ac:dyDescent="0.2">
      <c r="D31" s="15" t="s">
        <v>167</v>
      </c>
      <c r="E31" s="15" t="e">
        <f ca="1">E28+E29*E30</f>
        <v>#N/A</v>
      </c>
      <c r="G31" s="17" t="s">
        <v>169</v>
      </c>
    </row>
    <row r="32" spans="1:8" x14ac:dyDescent="0.2">
      <c r="G32" s="27" t="s">
        <v>223</v>
      </c>
      <c r="H32" s="15" t="e">
        <f ca="1">psycho*As*(rss+rsa)-pcp*vpd0</f>
        <v>#N/A</v>
      </c>
    </row>
    <row r="33" spans="4:8" x14ac:dyDescent="0.2">
      <c r="D33" s="27" t="s">
        <v>196</v>
      </c>
      <c r="E33" s="15">
        <f>0.012*L*(1-EXP(-nu/2))</f>
        <v>3.1368158476778887E-2</v>
      </c>
      <c r="G33" s="27" t="s">
        <v>224</v>
      </c>
      <c r="H33" s="15" t="e">
        <f ca="1">slopesvp*rsa+psycho*(rss+rsa)</f>
        <v>#N/A</v>
      </c>
    </row>
    <row r="34" spans="4:8" ht="19.5" x14ac:dyDescent="0.35">
      <c r="D34" s="27" t="s">
        <v>197</v>
      </c>
      <c r="E34" s="15" t="e">
        <f ca="1">SQRT(E19/leafwidth)</f>
        <v>#N/A</v>
      </c>
      <c r="G34" s="15" t="s">
        <v>225</v>
      </c>
      <c r="H34" s="15" t="e">
        <f ca="1">H32/H33</f>
        <v>#N/A</v>
      </c>
    </row>
    <row r="35" spans="4:8" x14ac:dyDescent="0.2">
      <c r="D35" s="15" t="s">
        <v>168</v>
      </c>
      <c r="E35" s="15" t="e">
        <f ca="1">nu/(E33*E34)</f>
        <v>#N/A</v>
      </c>
      <c r="G35" s="27"/>
    </row>
    <row r="36" spans="4:8" x14ac:dyDescent="0.2">
      <c r="G36" s="27" t="s">
        <v>226</v>
      </c>
      <c r="H36" s="15" t="e">
        <f ca="1">psycho*Ac*(rcs+rca)-pcp*vpd0</f>
        <v>#N/A</v>
      </c>
    </row>
    <row r="37" spans="4:8" x14ac:dyDescent="0.2">
      <c r="D37" s="15" t="s">
        <v>170</v>
      </c>
      <c r="E37" s="15" t="e">
        <f ca="1">MAX(0.1,It*0.5)</f>
        <v>#N/A</v>
      </c>
      <c r="G37" s="27" t="s">
        <v>227</v>
      </c>
      <c r="H37" s="15" t="e">
        <f ca="1">slopesvp*rca+psycho*(rcs+rca)</f>
        <v>#N/A</v>
      </c>
    </row>
    <row r="38" spans="4:8" ht="19.5" x14ac:dyDescent="0.35">
      <c r="D38" s="15" t="s">
        <v>171</v>
      </c>
      <c r="E38" s="15" t="e">
        <f ca="1">(stom_a1+E37)/(stom_a2*E37)</f>
        <v>#N/A</v>
      </c>
      <c r="G38" s="15" t="s">
        <v>228</v>
      </c>
      <c r="H38" s="15" t="e">
        <f ca="1">H36/H37</f>
        <v>#N/A</v>
      </c>
    </row>
    <row r="39" spans="4:8" x14ac:dyDescent="0.2">
      <c r="D39" s="15" t="s">
        <v>172</v>
      </c>
      <c r="E39" s="15" t="e">
        <f ca="1">IF(L&lt;=0.5*Lmax,rst/L,rst/(0.5*Lmax))</f>
        <v>#N/A</v>
      </c>
    </row>
    <row r="41" spans="4:8" x14ac:dyDescent="0.2">
      <c r="D41" s="15" t="s">
        <v>198</v>
      </c>
      <c r="E41" s="15">
        <f>(B11*E4)/(B12*Dmv)</f>
        <v>3855.7933294775403</v>
      </c>
      <c r="G41" s="27"/>
    </row>
    <row r="42" spans="4:8" x14ac:dyDescent="0.2">
      <c r="D42" s="15" t="s">
        <v>173</v>
      </c>
      <c r="E42" s="15">
        <f>E41*EXP(-(1/B13)*E6/E5)</f>
        <v>90.357209003949279</v>
      </c>
    </row>
  </sheetData>
  <phoneticPr fontId="27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J137"/>
  <sheetViews>
    <sheetView showFormulas="1" workbookViewId="0">
      <selection activeCell="I17" sqref="I17"/>
    </sheetView>
  </sheetViews>
  <sheetFormatPr defaultColWidth="9" defaultRowHeight="12" x14ac:dyDescent="0.2"/>
  <cols>
    <col min="1" max="1" width="4.42578125" style="15" customWidth="1"/>
    <col min="2" max="2" width="4" style="15" customWidth="1"/>
    <col min="3" max="3" width="0.85546875" style="15" customWidth="1"/>
    <col min="4" max="4" width="7.28515625" style="15" bestFit="1" customWidth="1"/>
    <col min="5" max="5" width="19.140625" style="15" bestFit="1" customWidth="1"/>
    <col min="6" max="6" width="1" style="15" customWidth="1"/>
    <col min="7" max="7" width="5.42578125" style="15" bestFit="1" customWidth="1"/>
    <col min="8" max="8" width="18.42578125" style="15" bestFit="1" customWidth="1"/>
    <col min="9" max="9" width="18" style="15" bestFit="1" customWidth="1"/>
    <col min="10" max="10" width="18.28515625" style="15" bestFit="1" customWidth="1"/>
    <col min="11" max="11" width="0.85546875" style="15" customWidth="1"/>
    <col min="12" max="12" width="9" style="15" customWidth="1"/>
    <col min="13" max="14" width="9.28515625" style="15" bestFit="1" customWidth="1"/>
    <col min="15" max="15" width="9.5703125" style="15" customWidth="1"/>
    <col min="16" max="16" width="9.85546875" style="15" customWidth="1"/>
    <col min="17" max="16384" width="9" style="15"/>
  </cols>
  <sheetData>
    <row r="1" spans="1:10" x14ac:dyDescent="0.2">
      <c r="A1" s="17" t="s">
        <v>12</v>
      </c>
      <c r="D1" s="52" t="s">
        <v>157</v>
      </c>
      <c r="G1" s="25" t="s">
        <v>256</v>
      </c>
      <c r="H1" s="26">
        <v>1</v>
      </c>
      <c r="I1" s="26">
        <v>2</v>
      </c>
      <c r="J1" s="26">
        <v>3</v>
      </c>
    </row>
    <row r="2" spans="1:10" ht="18.600000000000001" customHeight="1" x14ac:dyDescent="0.35">
      <c r="A2" s="40" t="s">
        <v>255</v>
      </c>
      <c r="B2" s="40">
        <v>0.26350000000000001</v>
      </c>
      <c r="D2" s="23" t="s">
        <v>244</v>
      </c>
      <c r="E2" s="23">
        <f>Growth!E26</f>
        <v>0.25</v>
      </c>
      <c r="G2" s="40" t="s">
        <v>274</v>
      </c>
      <c r="H2" s="15">
        <f>[1]!interpolate(matric_Hm,matric_vwc,150)</f>
        <v>0.12</v>
      </c>
      <c r="I2" s="15">
        <f>[1]!interpolate(matric_Hm,matric_vwc,150)</f>
        <v>0.12</v>
      </c>
      <c r="J2" s="15">
        <f>[1]!interpolate(matric_Hm,matric_vwc,150)</f>
        <v>0.12</v>
      </c>
    </row>
    <row r="3" spans="1:10" ht="15.6" customHeight="1" x14ac:dyDescent="0.35">
      <c r="A3" s="15" t="s">
        <v>263</v>
      </c>
      <c r="B3" s="15">
        <v>0.1</v>
      </c>
      <c r="G3" s="40" t="s">
        <v>239</v>
      </c>
      <c r="H3" s="15">
        <f>[1]!interpolate(matric_Hm,matric_vwc,0)</f>
        <v>0.39</v>
      </c>
      <c r="I3" s="15">
        <f>[1]!interpolate(matric_Hm,matric_vwc,0)</f>
        <v>0.39</v>
      </c>
      <c r="J3" s="15">
        <f>[1]!interpolate(matric_Hm,matric_vwc,0)</f>
        <v>0.39</v>
      </c>
    </row>
    <row r="4" spans="1:10" ht="19.5" x14ac:dyDescent="0.35">
      <c r="D4" s="17" t="s">
        <v>237</v>
      </c>
      <c r="G4" s="15" t="s">
        <v>234</v>
      </c>
      <c r="H4" s="15">
        <v>0.02</v>
      </c>
      <c r="I4" s="15">
        <v>0.46</v>
      </c>
      <c r="J4" s="15">
        <v>0.52</v>
      </c>
    </row>
    <row r="5" spans="1:10" ht="19.5" x14ac:dyDescent="0.35">
      <c r="D5" s="15" t="s">
        <v>249</v>
      </c>
      <c r="E5" s="15">
        <f>1/(1+(3.6073*H9/H3)^-9.3172)</f>
        <v>0.99975163892935059</v>
      </c>
      <c r="G5" s="42" t="s">
        <v>236</v>
      </c>
      <c r="H5" s="15">
        <f>H4</f>
        <v>0.02</v>
      </c>
      <c r="I5" s="15">
        <f>I4+H5</f>
        <v>0.48000000000000004</v>
      </c>
      <c r="J5" s="15">
        <f>J4+I5</f>
        <v>1</v>
      </c>
    </row>
    <row r="6" spans="1:10" ht="19.5" x14ac:dyDescent="0.35">
      <c r="D6" s="15" t="s">
        <v>372</v>
      </c>
      <c r="E6" s="15">
        <f>(PETs*E5)*0.75</f>
        <v>2.165087801046698E-2</v>
      </c>
      <c r="G6" s="15" t="s">
        <v>235</v>
      </c>
      <c r="H6" s="15">
        <f>0.5*H4</f>
        <v>0.01</v>
      </c>
      <c r="I6" s="15">
        <f>H6+0.5*(H4+I4)</f>
        <v>0.25</v>
      </c>
      <c r="J6" s="15">
        <f>I6+0.5*(I4+J4)</f>
        <v>0.74</v>
      </c>
    </row>
    <row r="7" spans="1:10" ht="15.75" customHeight="1" x14ac:dyDescent="0.35">
      <c r="G7" s="40" t="s">
        <v>268</v>
      </c>
      <c r="H7" s="15">
        <f>$B$2*H4*1000</f>
        <v>5.2700000000000005</v>
      </c>
      <c r="I7" s="15">
        <f>$B$2*I4*1000</f>
        <v>121.21000000000001</v>
      </c>
      <c r="J7" s="15">
        <f>$B$2*J4*1000</f>
        <v>137.02000000000001</v>
      </c>
    </row>
    <row r="8" spans="1:10" ht="15.6" customHeight="1" x14ac:dyDescent="0.35">
      <c r="D8" s="17" t="s">
        <v>238</v>
      </c>
      <c r="G8" s="40" t="s">
        <v>269</v>
      </c>
      <c r="H8" s="15">
        <v>5.2700000000000005</v>
      </c>
      <c r="I8" s="15">
        <v>121.21000000000001</v>
      </c>
      <c r="J8" s="15">
        <v>137.02000000000001</v>
      </c>
    </row>
    <row r="9" spans="1:10" ht="18" customHeight="1" x14ac:dyDescent="0.35">
      <c r="D9" s="40" t="s">
        <v>273</v>
      </c>
      <c r="E9" s="15">
        <f>AVERAGE(H2:J2)</f>
        <v>0.12</v>
      </c>
      <c r="G9" s="40" t="s">
        <v>270</v>
      </c>
      <c r="H9" s="15">
        <f>MAX(0.01,MIN(H3,(H8/1000)/H4))</f>
        <v>0.26350000000000001</v>
      </c>
      <c r="I9" s="15">
        <f>MAX(0.01,MIN(I3,(I8/1000)/I4))</f>
        <v>0.26350000000000001</v>
      </c>
      <c r="J9" s="15">
        <f>MAX(0.01,MIN(J3,(J8/1000)/J4))</f>
        <v>0.26350000000000001</v>
      </c>
    </row>
    <row r="10" spans="1:10" ht="17.25" customHeight="1" x14ac:dyDescent="0.35">
      <c r="D10" s="40" t="s">
        <v>247</v>
      </c>
      <c r="E10" s="15">
        <f>AVERAGE(H3:J3)</f>
        <v>0.38999999999999996</v>
      </c>
      <c r="G10" s="15" t="s">
        <v>267</v>
      </c>
      <c r="H10" s="15" t="e">
        <f>[1]!interpolate(hydraulic_vwc,hydraulic_K,H9)</f>
        <v>#VALUE!</v>
      </c>
      <c r="I10" s="15" t="e">
        <f>[1]!interpolate(hydraulic_vwc,hydraulic_K,I9)</f>
        <v>#VALUE!</v>
      </c>
      <c r="J10" s="15" t="e">
        <f>[1]!interpolate(hydraulic_vwc,hydraulic_K,J9)</f>
        <v>#VALUE!</v>
      </c>
    </row>
    <row r="11" spans="1:10" ht="16.5" customHeight="1" x14ac:dyDescent="0.35">
      <c r="D11" s="40" t="s">
        <v>246</v>
      </c>
      <c r="E11" s="15">
        <f>E9+0.5*(E10-E9)</f>
        <v>0.255</v>
      </c>
      <c r="G11" s="15" t="s">
        <v>241</v>
      </c>
      <c r="H11" s="15">
        <f>[1]!interpolate(matric_vwc,matric_Hm,H9)</f>
        <v>1.3300000000000003</v>
      </c>
      <c r="I11" s="15">
        <f>[1]!interpolate(matric_vwc,matric_Hm,I9)</f>
        <v>1.3300000000000003</v>
      </c>
      <c r="J11" s="15">
        <f>[1]!interpolate(matric_vwc,matric_Hm,J9)</f>
        <v>1.3300000000000003</v>
      </c>
    </row>
    <row r="12" spans="1:10" ht="18.75" customHeight="1" x14ac:dyDescent="0.35">
      <c r="D12" s="40" t="s">
        <v>245</v>
      </c>
      <c r="E12" s="15">
        <f>SUM(H16:J16)/droot</f>
        <v>0.26350000000000001</v>
      </c>
      <c r="G12" s="15" t="s">
        <v>242</v>
      </c>
      <c r="H12" s="15">
        <f>H6</f>
        <v>0.01</v>
      </c>
      <c r="I12" s="15">
        <f>I6</f>
        <v>0.25</v>
      </c>
      <c r="J12" s="15">
        <f>J6</f>
        <v>0.74</v>
      </c>
    </row>
    <row r="13" spans="1:10" ht="18.75" customHeight="1" x14ac:dyDescent="0.35">
      <c r="D13" s="15" t="s">
        <v>248</v>
      </c>
      <c r="E13" s="15">
        <f>IF(E12&gt;=E11,1,MAX(0,(E12-E9)/(E11-E9)))</f>
        <v>1</v>
      </c>
      <c r="G13" s="15" t="s">
        <v>243</v>
      </c>
      <c r="H13" s="15">
        <f>H11+H12</f>
        <v>1.3400000000000003</v>
      </c>
      <c r="I13" s="15">
        <f>I11+I12</f>
        <v>1.5800000000000003</v>
      </c>
      <c r="J13" s="15">
        <f t="shared" ref="J13" si="0">J11+J12</f>
        <v>2.0700000000000003</v>
      </c>
    </row>
    <row r="14" spans="1:10" ht="19.5" x14ac:dyDescent="0.35">
      <c r="D14" s="15" t="s">
        <v>373</v>
      </c>
      <c r="E14" s="15">
        <f>PETc*E13</f>
        <v>0.18672254859935208</v>
      </c>
      <c r="G14" s="15" t="s">
        <v>266</v>
      </c>
      <c r="I14" s="15" t="e">
        <f>(H10*H4+I10*I4)/(I4+H4)</f>
        <v>#VALUE!</v>
      </c>
      <c r="J14" s="15" t="e">
        <f>(I10*I4+J10*J4)/(J4+I4)</f>
        <v>#VALUE!</v>
      </c>
    </row>
    <row r="15" spans="1:10" ht="18.75" customHeight="1" x14ac:dyDescent="0.35">
      <c r="G15" s="42" t="s">
        <v>264</v>
      </c>
      <c r="H15" s="15">
        <f>MAX(0,H5-droot)</f>
        <v>0</v>
      </c>
      <c r="I15" s="15">
        <f>MAX(0,I5-droot)</f>
        <v>0.23000000000000004</v>
      </c>
      <c r="J15" s="15">
        <f>MAX(0,J5-droot)</f>
        <v>0.75</v>
      </c>
    </row>
    <row r="16" spans="1:10" ht="15.75" customHeight="1" x14ac:dyDescent="0.35">
      <c r="D16" s="17" t="s">
        <v>262</v>
      </c>
      <c r="G16" s="40" t="s">
        <v>265</v>
      </c>
      <c r="H16" s="15">
        <f>MAX(0,H9*(H4-H15))</f>
        <v>5.2700000000000004E-3</v>
      </c>
      <c r="I16" s="15">
        <f t="shared" ref="I16:J16" si="1">MAX(0,I9*(I4-I15))</f>
        <v>6.0604999999999999E-2</v>
      </c>
      <c r="J16" s="15">
        <f t="shared" si="1"/>
        <v>0</v>
      </c>
    </row>
    <row r="17" spans="4:10" ht="15.75" customHeight="1" x14ac:dyDescent="0.35">
      <c r="D17" s="15" t="s">
        <v>272</v>
      </c>
      <c r="E17" s="15" t="e">
        <f ca="1">(1-MIN(m,L/Lmax*m))*Pg</f>
        <v>#N/A</v>
      </c>
      <c r="G17" s="15" t="s">
        <v>252</v>
      </c>
      <c r="H17" s="15">
        <f>E6</f>
        <v>2.165087801046698E-2</v>
      </c>
    </row>
    <row r="18" spans="4:10" ht="15" customHeight="1" x14ac:dyDescent="0.35">
      <c r="G18" s="40" t="s">
        <v>250</v>
      </c>
      <c r="H18" s="15">
        <f>MIN(1,H5/droot)</f>
        <v>0.08</v>
      </c>
      <c r="I18" s="15">
        <f>MIN(1,I5/droot)</f>
        <v>1</v>
      </c>
      <c r="J18" s="15">
        <f>MIN(1,J5/droot)</f>
        <v>1</v>
      </c>
    </row>
    <row r="19" spans="4:10" ht="19.5" x14ac:dyDescent="0.35">
      <c r="G19" s="40" t="s">
        <v>251</v>
      </c>
      <c r="H19" s="15">
        <f t="shared" ref="H19:J19" si="2">1.8*H18-0.8*H18^2</f>
        <v>0.13888</v>
      </c>
      <c r="I19" s="15">
        <f t="shared" si="2"/>
        <v>1</v>
      </c>
      <c r="J19" s="15">
        <f t="shared" si="2"/>
        <v>1</v>
      </c>
    </row>
    <row r="20" spans="4:10" ht="19.5" customHeight="1" x14ac:dyDescent="0.35">
      <c r="G20" s="15" t="s">
        <v>374</v>
      </c>
      <c r="H20" s="15">
        <f>H19*AETc</f>
        <v>2.5932027549478018E-2</v>
      </c>
      <c r="I20" s="15">
        <f>(I19-H19)*AETc</f>
        <v>0.16079052104987407</v>
      </c>
      <c r="J20" s="15">
        <f>(J19-I19)*AETc</f>
        <v>0</v>
      </c>
    </row>
    <row r="21" spans="4:10" ht="19.5" x14ac:dyDescent="0.35">
      <c r="G21" s="15" t="s">
        <v>253</v>
      </c>
      <c r="H21" s="15" t="e">
        <f ca="1">Pn-H17-H20</f>
        <v>#N/A</v>
      </c>
      <c r="I21" s="15" t="e">
        <f>I14*(I13-H13)/(I6-H6)-I20</f>
        <v>#VALUE!</v>
      </c>
      <c r="J21" s="15" t="e">
        <f>J14*(J13-I13)/(J6-I6)-J20</f>
        <v>#VALUE!</v>
      </c>
    </row>
    <row r="22" spans="4:10" ht="19.5" x14ac:dyDescent="0.35">
      <c r="G22" s="28" t="s">
        <v>254</v>
      </c>
      <c r="H22" s="28" t="e">
        <f ca="1">H21-I21</f>
        <v>#N/A</v>
      </c>
      <c r="I22" s="28" t="e">
        <f>I21-J21</f>
        <v>#VALUE!</v>
      </c>
      <c r="J22" s="28" t="e">
        <f>J21-J14</f>
        <v>#VALUE!</v>
      </c>
    </row>
    <row r="32" spans="4:10" x14ac:dyDescent="0.2">
      <c r="G32" s="41"/>
      <c r="H32" s="41"/>
      <c r="I32" s="41"/>
      <c r="J32" s="41"/>
    </row>
    <row r="42" spans="4:4" s="41" customFormat="1" x14ac:dyDescent="0.2"/>
    <row r="43" spans="4:4" s="41" customFormat="1" x14ac:dyDescent="0.2"/>
    <row r="44" spans="4:4" s="41" customFormat="1" x14ac:dyDescent="0.2"/>
    <row r="45" spans="4:4" s="41" customFormat="1" x14ac:dyDescent="0.2"/>
    <row r="46" spans="4:4" s="41" customFormat="1" x14ac:dyDescent="0.2"/>
    <row r="47" spans="4:4" s="41" customFormat="1" x14ac:dyDescent="0.2"/>
    <row r="48" spans="4:4" s="41" customFormat="1" x14ac:dyDescent="0.2">
      <c r="D48" s="43"/>
    </row>
    <row r="49" s="41" customFormat="1" x14ac:dyDescent="0.2"/>
    <row r="50" s="41" customFormat="1" x14ac:dyDescent="0.2"/>
    <row r="51" s="41" customFormat="1" x14ac:dyDescent="0.2"/>
    <row r="52" s="41" customFormat="1" x14ac:dyDescent="0.2"/>
    <row r="53" s="41" customFormat="1" x14ac:dyDescent="0.2"/>
    <row r="54" s="41" customFormat="1" x14ac:dyDescent="0.2"/>
    <row r="55" s="41" customFormat="1" x14ac:dyDescent="0.2"/>
    <row r="56" s="41" customFormat="1" x14ac:dyDescent="0.2"/>
    <row r="57" s="41" customFormat="1" x14ac:dyDescent="0.2"/>
    <row r="58" s="41" customFormat="1" x14ac:dyDescent="0.2"/>
    <row r="59" s="41" customFormat="1" x14ac:dyDescent="0.2"/>
    <row r="60" s="41" customFormat="1" x14ac:dyDescent="0.2"/>
    <row r="61" s="41" customFormat="1" x14ac:dyDescent="0.2"/>
    <row r="62" s="41" customFormat="1" x14ac:dyDescent="0.2"/>
    <row r="63" s="41" customFormat="1" x14ac:dyDescent="0.2"/>
    <row r="64" s="41" customFormat="1" x14ac:dyDescent="0.2"/>
    <row r="65" s="41" customFormat="1" x14ac:dyDescent="0.2"/>
    <row r="66" s="41" customFormat="1" x14ac:dyDescent="0.2"/>
    <row r="67" s="41" customFormat="1" x14ac:dyDescent="0.2"/>
    <row r="68" s="41" customFormat="1" x14ac:dyDescent="0.2"/>
    <row r="69" s="41" customFormat="1" x14ac:dyDescent="0.2"/>
    <row r="70" s="41" customFormat="1" x14ac:dyDescent="0.2"/>
    <row r="71" s="41" customFormat="1" x14ac:dyDescent="0.2"/>
    <row r="72" s="41" customFormat="1" x14ac:dyDescent="0.2"/>
    <row r="73" s="41" customFormat="1" x14ac:dyDescent="0.2"/>
    <row r="74" s="41" customFormat="1" x14ac:dyDescent="0.2"/>
    <row r="75" s="41" customFormat="1" x14ac:dyDescent="0.2"/>
    <row r="76" s="41" customFormat="1" x14ac:dyDescent="0.2"/>
    <row r="77" s="41" customFormat="1" x14ac:dyDescent="0.2"/>
    <row r="78" s="41" customFormat="1" x14ac:dyDescent="0.2"/>
    <row r="79" s="41" customFormat="1" x14ac:dyDescent="0.2"/>
    <row r="80" s="41" customFormat="1" x14ac:dyDescent="0.2"/>
    <row r="81" s="41" customFormat="1" x14ac:dyDescent="0.2"/>
    <row r="82" s="41" customFormat="1" x14ac:dyDescent="0.2"/>
    <row r="83" s="41" customFormat="1" x14ac:dyDescent="0.2"/>
    <row r="84" s="41" customFormat="1" x14ac:dyDescent="0.2"/>
    <row r="85" s="41" customFormat="1" x14ac:dyDescent="0.2"/>
    <row r="86" s="41" customFormat="1" x14ac:dyDescent="0.2"/>
    <row r="87" s="41" customFormat="1" x14ac:dyDescent="0.2"/>
    <row r="88" s="41" customFormat="1" x14ac:dyDescent="0.2"/>
    <row r="89" s="41" customFormat="1" x14ac:dyDescent="0.2"/>
    <row r="90" s="41" customFormat="1" x14ac:dyDescent="0.2"/>
    <row r="91" s="41" customFormat="1" x14ac:dyDescent="0.2"/>
    <row r="92" s="41" customFormat="1" x14ac:dyDescent="0.2"/>
    <row r="93" s="41" customFormat="1" x14ac:dyDescent="0.2"/>
    <row r="94" s="41" customFormat="1" x14ac:dyDescent="0.2"/>
    <row r="95" s="41" customFormat="1" x14ac:dyDescent="0.2"/>
    <row r="96" s="41" customFormat="1" x14ac:dyDescent="0.2"/>
    <row r="97" s="41" customFormat="1" x14ac:dyDescent="0.2"/>
    <row r="98" s="41" customFormat="1" x14ac:dyDescent="0.2"/>
    <row r="99" s="41" customFormat="1" x14ac:dyDescent="0.2"/>
    <row r="100" s="41" customFormat="1" x14ac:dyDescent="0.2"/>
    <row r="101" s="41" customFormat="1" x14ac:dyDescent="0.2"/>
    <row r="102" s="41" customFormat="1" x14ac:dyDescent="0.2"/>
    <row r="103" s="41" customFormat="1" x14ac:dyDescent="0.2"/>
    <row r="104" s="41" customFormat="1" x14ac:dyDescent="0.2"/>
    <row r="105" s="41" customFormat="1" x14ac:dyDescent="0.2"/>
    <row r="106" s="41" customFormat="1" x14ac:dyDescent="0.2"/>
    <row r="107" s="41" customFormat="1" x14ac:dyDescent="0.2"/>
    <row r="108" s="41" customFormat="1" x14ac:dyDescent="0.2"/>
    <row r="109" s="41" customFormat="1" x14ac:dyDescent="0.2"/>
    <row r="110" s="41" customFormat="1" x14ac:dyDescent="0.2"/>
    <row r="111" s="41" customFormat="1" x14ac:dyDescent="0.2"/>
    <row r="112" s="41" customFormat="1" x14ac:dyDescent="0.2"/>
    <row r="113" s="41" customFormat="1" x14ac:dyDescent="0.2"/>
    <row r="114" s="41" customFormat="1" x14ac:dyDescent="0.2"/>
    <row r="115" s="41" customFormat="1" x14ac:dyDescent="0.2"/>
    <row r="116" s="41" customFormat="1" x14ac:dyDescent="0.2"/>
    <row r="117" s="41" customFormat="1" x14ac:dyDescent="0.2"/>
    <row r="118" s="41" customFormat="1" x14ac:dyDescent="0.2"/>
    <row r="119" s="41" customFormat="1" x14ac:dyDescent="0.2"/>
    <row r="120" s="41" customFormat="1" x14ac:dyDescent="0.2"/>
    <row r="121" s="41" customFormat="1" x14ac:dyDescent="0.2"/>
    <row r="122" s="41" customFormat="1" x14ac:dyDescent="0.2"/>
    <row r="123" s="41" customFormat="1" x14ac:dyDescent="0.2"/>
    <row r="124" s="41" customFormat="1" x14ac:dyDescent="0.2"/>
    <row r="125" s="41" customFormat="1" x14ac:dyDescent="0.2"/>
    <row r="126" s="41" customFormat="1" x14ac:dyDescent="0.2"/>
    <row r="127" s="41" customFormat="1" x14ac:dyDescent="0.2"/>
    <row r="128" s="41" customFormat="1" x14ac:dyDescent="0.2"/>
    <row r="129" s="41" customFormat="1" x14ac:dyDescent="0.2"/>
    <row r="130" s="41" customFormat="1" x14ac:dyDescent="0.2"/>
    <row r="131" s="41" customFormat="1" x14ac:dyDescent="0.2"/>
    <row r="132" s="41" customFormat="1" x14ac:dyDescent="0.2"/>
    <row r="133" s="41" customFormat="1" x14ac:dyDescent="0.2"/>
    <row r="134" s="41" customFormat="1" x14ac:dyDescent="0.2"/>
    <row r="135" s="41" customFormat="1" x14ac:dyDescent="0.2"/>
    <row r="136" s="41" customFormat="1" x14ac:dyDescent="0.2"/>
    <row r="137" s="41" customFormat="1" x14ac:dyDescent="0.2"/>
  </sheetData>
  <phoneticPr fontId="27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L42"/>
  <sheetViews>
    <sheetView showFormulas="1" zoomScaleNormal="100" workbookViewId="0">
      <selection activeCell="B20" sqref="B20"/>
    </sheetView>
  </sheetViews>
  <sheetFormatPr defaultColWidth="9.140625" defaultRowHeight="12" x14ac:dyDescent="0.2"/>
  <cols>
    <col min="1" max="1" width="9.28515625" style="15" bestFit="1" customWidth="1"/>
    <col min="2" max="2" width="3.28515625" style="15" bestFit="1" customWidth="1"/>
    <col min="3" max="3" width="1.85546875" style="15" customWidth="1"/>
    <col min="4" max="4" width="7.42578125" style="15" bestFit="1" customWidth="1"/>
    <col min="5" max="5" width="16.42578125" style="15" bestFit="1" customWidth="1"/>
    <col min="6" max="6" width="1.5703125" style="15" customWidth="1"/>
    <col min="7" max="7" width="7.85546875" style="15" bestFit="1" customWidth="1"/>
    <col min="8" max="8" width="17.85546875" style="15" bestFit="1" customWidth="1"/>
    <col min="9" max="9" width="5.7109375" style="15" bestFit="1" customWidth="1"/>
    <col min="10" max="10" width="14.28515625" style="15" customWidth="1"/>
    <col min="11" max="11" width="5.7109375" style="15" customWidth="1"/>
    <col min="12" max="12" width="8.28515625" style="15" customWidth="1"/>
    <col min="13" max="16384" width="9.140625" style="15"/>
  </cols>
  <sheetData>
    <row r="1" spans="1:12" ht="18.75" x14ac:dyDescent="0.35">
      <c r="A1" s="17" t="s">
        <v>12</v>
      </c>
      <c r="D1" s="17" t="s">
        <v>336</v>
      </c>
      <c r="G1" s="25" t="s">
        <v>353</v>
      </c>
      <c r="H1" s="26" t="s">
        <v>339</v>
      </c>
      <c r="I1" s="26" t="s">
        <v>340</v>
      </c>
      <c r="J1" s="26" t="s">
        <v>341</v>
      </c>
      <c r="K1" s="26" t="s">
        <v>342</v>
      </c>
      <c r="L1" s="26" t="s">
        <v>325</v>
      </c>
    </row>
    <row r="2" spans="1:12" ht="19.5" x14ac:dyDescent="0.35">
      <c r="A2" s="35" t="s">
        <v>310</v>
      </c>
      <c r="D2" s="46" t="s">
        <v>305</v>
      </c>
      <c r="E2" s="15">
        <v>0.66825999999999963</v>
      </c>
      <c r="G2" s="15" t="s">
        <v>311</v>
      </c>
      <c r="H2" s="15">
        <v>153.29525038722485</v>
      </c>
      <c r="I2" s="15">
        <f>WGL*kmGL</f>
        <v>4.5988575116167452</v>
      </c>
      <c r="J2" s="15">
        <f>[1]!interpolate(frac_dvs,frac_FGL,dvs)</f>
        <v>0.53808800000000045</v>
      </c>
      <c r="K2" s="15">
        <f>FGL*GGL</f>
        <v>0.7872227440000007</v>
      </c>
      <c r="L2" s="15" t="e">
        <f ca="1">FGL*H13-WGL*eL</f>
        <v>#N/A</v>
      </c>
    </row>
    <row r="3" spans="1:12" ht="19.5" x14ac:dyDescent="0.35">
      <c r="A3" s="15" t="s">
        <v>311</v>
      </c>
      <c r="B3" s="15">
        <v>1.44</v>
      </c>
      <c r="D3" s="27" t="s">
        <v>308</v>
      </c>
      <c r="E3" s="15" t="e">
        <f ca="1">[1]!interpolate(dvr_Ta,dvr_dvr0,Tmean)</f>
        <v>#VALUE!</v>
      </c>
      <c r="G3" s="15" t="s">
        <v>315</v>
      </c>
      <c r="H3" s="15">
        <v>4.0262089379978923</v>
      </c>
      <c r="L3" s="15">
        <f>WGL*eL</f>
        <v>1.7403732473532696</v>
      </c>
    </row>
    <row r="4" spans="1:12" ht="19.5" x14ac:dyDescent="0.35">
      <c r="A4" s="15" t="s">
        <v>315</v>
      </c>
      <c r="B4" s="15">
        <v>0</v>
      </c>
      <c r="D4" s="27" t="s">
        <v>307</v>
      </c>
      <c r="E4" s="15" t="e">
        <f ca="1">[1]!interpolate(dvr_Ta,dvr_dvr1,Tmean)</f>
        <v>#VALUE!</v>
      </c>
      <c r="G4" s="15" t="s">
        <v>312</v>
      </c>
      <c r="H4" s="15">
        <v>77.058886205949605</v>
      </c>
      <c r="I4" s="15">
        <f>WS*kmS</f>
        <v>1.155883293089244</v>
      </c>
      <c r="J4" s="15">
        <f>[1]!interpolate(frac_dvs,frac_FS,dvs)</f>
        <v>0.40484699999999968</v>
      </c>
      <c r="K4" s="15">
        <f>FS*GS</f>
        <v>0.61253351099999942</v>
      </c>
      <c r="L4" s="15" t="e">
        <f ca="1">FS*H13</f>
        <v>#N/A</v>
      </c>
    </row>
    <row r="5" spans="1:12" ht="15" customHeight="1" x14ac:dyDescent="0.35">
      <c r="A5" s="15" t="s">
        <v>312</v>
      </c>
      <c r="B5" s="15">
        <v>0.28999999999999998</v>
      </c>
      <c r="D5" s="46" t="s">
        <v>306</v>
      </c>
      <c r="E5" s="15" t="e">
        <f ca="1">IF(dvs&lt;=1,E3,E4)</f>
        <v>#VALUE!</v>
      </c>
      <c r="G5" s="15" t="s">
        <v>313</v>
      </c>
      <c r="H5" s="15">
        <v>13.642840667163533</v>
      </c>
      <c r="I5" s="15">
        <f>WR*kmR</f>
        <v>0.20464261000745299</v>
      </c>
      <c r="J5" s="15">
        <f>[1]!interpolate(frac_dvs,frac_FR,dvs)</f>
        <v>5.7064999999999907E-2</v>
      </c>
      <c r="K5" s="15">
        <f>FR*GR</f>
        <v>8.2401859999999869E-2</v>
      </c>
      <c r="L5" s="15" t="e">
        <f ca="1">FR*H13</f>
        <v>#N/A</v>
      </c>
    </row>
    <row r="6" spans="1:12" ht="19.5" x14ac:dyDescent="0.35">
      <c r="A6" s="15" t="s">
        <v>313</v>
      </c>
      <c r="B6" s="15">
        <v>0.16</v>
      </c>
      <c r="G6" s="28" t="s">
        <v>314</v>
      </c>
      <c r="H6" s="28">
        <v>0</v>
      </c>
      <c r="I6" s="28">
        <f>WO*kmO</f>
        <v>0</v>
      </c>
      <c r="J6" s="28">
        <f>[1]!interpolate(frac_dvs,frac_FO,dvs)</f>
        <v>0</v>
      </c>
      <c r="K6" s="28">
        <f>FO*GO</f>
        <v>0</v>
      </c>
      <c r="L6" s="28" t="e">
        <f ca="1">FO*H13</f>
        <v>#N/A</v>
      </c>
    </row>
    <row r="7" spans="1:12" ht="19.5" x14ac:dyDescent="0.35">
      <c r="A7" s="15" t="s">
        <v>314</v>
      </c>
      <c r="B7" s="41">
        <v>0</v>
      </c>
      <c r="D7" s="15" t="s">
        <v>309</v>
      </c>
      <c r="E7" s="15">
        <f>dayassim*RDT</f>
        <v>25.131326148527933</v>
      </c>
      <c r="G7" s="41" t="s">
        <v>316</v>
      </c>
      <c r="I7" s="15">
        <f>SUM(I2:I6)</f>
        <v>5.9593834147134421</v>
      </c>
      <c r="K7" s="15">
        <f>SUM(K2:K6)</f>
        <v>1.4821581150000001</v>
      </c>
    </row>
    <row r="9" spans="1:12" x14ac:dyDescent="0.2">
      <c r="A9" s="15" t="s">
        <v>352</v>
      </c>
      <c r="B9" s="15">
        <v>0.1</v>
      </c>
      <c r="D9" s="17" t="s">
        <v>347</v>
      </c>
      <c r="G9" s="17" t="s">
        <v>322</v>
      </c>
    </row>
    <row r="10" spans="1:12" x14ac:dyDescent="0.2">
      <c r="A10" s="15" t="s">
        <v>345</v>
      </c>
      <c r="B10" s="15">
        <v>8.0000000000000002E-3</v>
      </c>
      <c r="D10" s="27" t="s">
        <v>356</v>
      </c>
      <c r="E10" s="15">
        <v>0.14599999999999982</v>
      </c>
      <c r="G10" s="27" t="s">
        <v>15</v>
      </c>
      <c r="H10" s="15" t="e">
        <f ca="1">RM*2^((Tmean-25)/10)*WGL/(WGL+WDL)</f>
        <v>#N/A</v>
      </c>
    </row>
    <row r="11" spans="1:12" ht="19.5" x14ac:dyDescent="0.35">
      <c r="A11" s="15" t="s">
        <v>326</v>
      </c>
      <c r="B11" s="15">
        <v>2.5</v>
      </c>
      <c r="D11" s="46" t="s">
        <v>174</v>
      </c>
      <c r="E11" s="15">
        <f>MIN(wm,E10)</f>
        <v>0.08</v>
      </c>
      <c r="G11" s="15" t="s">
        <v>317</v>
      </c>
      <c r="H11" s="15" t="e">
        <f ca="1">MIN(dayassim_c,H10)</f>
        <v>#N/A</v>
      </c>
    </row>
    <row r="12" spans="1:12" ht="19.5" x14ac:dyDescent="0.35">
      <c r="A12" s="15" t="s">
        <v>332</v>
      </c>
      <c r="B12" s="15">
        <v>0.25</v>
      </c>
      <c r="D12" s="15" t="s">
        <v>348</v>
      </c>
      <c r="E12" s="15">
        <f>wg*RDT</f>
        <v>2.3E-3</v>
      </c>
      <c r="G12" s="27" t="s">
        <v>338</v>
      </c>
      <c r="H12" s="15" t="e">
        <f ca="1">dayassim_c-RM_c</f>
        <v>#N/A</v>
      </c>
    </row>
    <row r="13" spans="1:12" ht="19.5" x14ac:dyDescent="0.35">
      <c r="G13" s="27" t="s">
        <v>337</v>
      </c>
      <c r="H13" s="15" t="e">
        <f ca="1">IF(GT&gt;0,H12/GT,0)</f>
        <v>#N/A</v>
      </c>
    </row>
    <row r="14" spans="1:12" x14ac:dyDescent="0.2">
      <c r="A14" s="47" t="s">
        <v>346</v>
      </c>
      <c r="D14" s="17" t="s">
        <v>327</v>
      </c>
    </row>
    <row r="15" spans="1:12" ht="19.5" x14ac:dyDescent="0.35">
      <c r="A15" s="46" t="s">
        <v>278</v>
      </c>
      <c r="B15" s="15">
        <v>0</v>
      </c>
      <c r="D15" s="15" t="s">
        <v>328</v>
      </c>
      <c r="E15" s="15">
        <f>IF(dvs&lt;=1,B15,B16)</f>
        <v>0</v>
      </c>
      <c r="G15" s="17" t="s">
        <v>323</v>
      </c>
    </row>
    <row r="16" spans="1:12" ht="19.5" x14ac:dyDescent="0.35">
      <c r="A16" s="46" t="s">
        <v>293</v>
      </c>
      <c r="B16" s="15">
        <v>0</v>
      </c>
      <c r="D16" s="15" t="s">
        <v>329</v>
      </c>
      <c r="E16" s="15" t="e">
        <f ca="1">MAX(0,Tmean-Tb)</f>
        <v>#N/A</v>
      </c>
      <c r="G16" s="27" t="s">
        <v>318</v>
      </c>
      <c r="H16" s="15">
        <f>2-dvs</f>
        <v>1.3317400000000004</v>
      </c>
    </row>
    <row r="17" spans="1:8" ht="19.5" x14ac:dyDescent="0.35">
      <c r="D17" s="15" t="s">
        <v>330</v>
      </c>
      <c r="E17" s="15">
        <v>631.40000000000009</v>
      </c>
      <c r="G17" s="27" t="s">
        <v>16</v>
      </c>
      <c r="H17" s="15">
        <v>0</v>
      </c>
    </row>
    <row r="18" spans="1:8" x14ac:dyDescent="0.2">
      <c r="A18" s="47" t="s">
        <v>282</v>
      </c>
      <c r="D18" s="27" t="s">
        <v>354</v>
      </c>
      <c r="E18" s="15">
        <v>4.6185811272451653</v>
      </c>
      <c r="G18" s="27" t="s">
        <v>17</v>
      </c>
      <c r="H18" s="15" t="e">
        <f ca="1">dvr/H16</f>
        <v>#VALUE!</v>
      </c>
    </row>
    <row r="19" spans="1:8" ht="19.5" x14ac:dyDescent="0.35">
      <c r="A19" s="46" t="s">
        <v>279</v>
      </c>
      <c r="B19" s="15">
        <v>0.25</v>
      </c>
      <c r="D19" s="15" t="s">
        <v>121</v>
      </c>
      <c r="E19" s="15">
        <f>MIN(hm,E18)</f>
        <v>2.5</v>
      </c>
      <c r="G19" s="27" t="s">
        <v>18</v>
      </c>
      <c r="H19" s="15" t="e">
        <f ca="1">dvr/0.1</f>
        <v>#VALUE!</v>
      </c>
    </row>
    <row r="20" spans="1:8" ht="19.5" x14ac:dyDescent="0.35">
      <c r="A20" s="46" t="s">
        <v>280</v>
      </c>
      <c r="B20" s="15">
        <v>1.2E-2</v>
      </c>
      <c r="D20" s="27" t="s">
        <v>196</v>
      </c>
      <c r="E20" s="15">
        <f>h_b0*h_b1*hm*EXP(-h_b1*Tts_total)</f>
        <v>1.2803293717991236E-3</v>
      </c>
      <c r="G20" s="15" t="s">
        <v>319</v>
      </c>
      <c r="H20" s="15">
        <f>IF(H16&gt;=1,H17,IF(H16&lt;=0.1,H19,H18))</f>
        <v>0</v>
      </c>
    </row>
    <row r="21" spans="1:8" x14ac:dyDescent="0.2">
      <c r="D21" s="27" t="s">
        <v>197</v>
      </c>
      <c r="E21" s="15">
        <f>(1+h_b0*EXP(-h_b1*Tts_total))^2</f>
        <v>1.1321310454306412</v>
      </c>
      <c r="G21" s="27" t="s">
        <v>71</v>
      </c>
      <c r="H21" s="15">
        <v>0</v>
      </c>
    </row>
    <row r="22" spans="1:8" x14ac:dyDescent="0.2">
      <c r="A22" s="47" t="s">
        <v>277</v>
      </c>
      <c r="D22" s="15" t="s">
        <v>331</v>
      </c>
      <c r="E22" s="15" t="e">
        <f ca="1">Tts*E20/E21*RDT</f>
        <v>#N/A</v>
      </c>
      <c r="G22" s="27" t="s">
        <v>195</v>
      </c>
      <c r="H22" s="15">
        <f>0.03*MIN(1,(L-Lmax)/Lmax)</f>
        <v>1.1353080039708176E-2</v>
      </c>
    </row>
    <row r="23" spans="1:8" ht="19.5" x14ac:dyDescent="0.35">
      <c r="A23" s="46" t="s">
        <v>281</v>
      </c>
      <c r="B23" s="15">
        <v>2.5</v>
      </c>
      <c r="G23" s="15" t="s">
        <v>320</v>
      </c>
      <c r="H23" s="15">
        <f>IF(L&lt;=Lmax,H21,H22)</f>
        <v>1.1353080039708176E-2</v>
      </c>
    </row>
    <row r="24" spans="1:8" ht="19.5" x14ac:dyDescent="0.35">
      <c r="A24" s="46" t="s">
        <v>283</v>
      </c>
      <c r="B24" s="15">
        <v>10</v>
      </c>
      <c r="D24" s="17" t="s">
        <v>343</v>
      </c>
      <c r="G24" s="15" t="s">
        <v>321</v>
      </c>
      <c r="H24" s="15">
        <f>MAX(eage,esh)</f>
        <v>1.1353080039708176E-2</v>
      </c>
    </row>
    <row r="25" spans="1:8" ht="19.5" x14ac:dyDescent="0.35">
      <c r="A25" s="46" t="s">
        <v>284</v>
      </c>
      <c r="B25" s="15">
        <v>8.0000000000000002E-3</v>
      </c>
      <c r="D25" s="51" t="s">
        <v>355</v>
      </c>
      <c r="E25" s="15">
        <v>0.97000000000000064</v>
      </c>
    </row>
    <row r="26" spans="1:8" ht="19.5" x14ac:dyDescent="0.35">
      <c r="D26" s="23" t="s">
        <v>244</v>
      </c>
      <c r="E26" s="15">
        <f>MIN(dm,E25)</f>
        <v>0.25</v>
      </c>
      <c r="G26" s="17" t="s">
        <v>324</v>
      </c>
    </row>
    <row r="27" spans="1:8" ht="19.5" x14ac:dyDescent="0.35">
      <c r="A27" s="35" t="s">
        <v>349</v>
      </c>
      <c r="D27" s="27" t="s">
        <v>333</v>
      </c>
      <c r="E27" s="15" t="b">
        <f>dvs&lt;1</f>
        <v>1</v>
      </c>
      <c r="G27" s="15" t="s">
        <v>299</v>
      </c>
      <c r="H27" s="15">
        <f>[1]!interpolate(frac_dvs,frac_SLA,dvs)</f>
        <v>2.6976100000000006E-2</v>
      </c>
    </row>
    <row r="28" spans="1:8" ht="19.5" x14ac:dyDescent="0.35">
      <c r="A28" s="15" t="s">
        <v>350</v>
      </c>
      <c r="B28" s="15">
        <v>0.08</v>
      </c>
      <c r="D28" s="27" t="s">
        <v>334</v>
      </c>
      <c r="E28" s="15" t="b">
        <f>Water!E12&gt;Water!E9</f>
        <v>1</v>
      </c>
      <c r="G28" s="15" t="s">
        <v>147</v>
      </c>
      <c r="H28" s="15">
        <f>WGL*SLA</f>
        <v>4.1353080039708177</v>
      </c>
    </row>
    <row r="29" spans="1:8" ht="19.5" x14ac:dyDescent="0.35">
      <c r="A29" s="15" t="s">
        <v>351</v>
      </c>
      <c r="B29" s="15">
        <v>2.3E-3</v>
      </c>
      <c r="D29" s="15" t="s">
        <v>335</v>
      </c>
      <c r="E29" s="15">
        <f>IF(AND(E27,E28),dg,0)*RDT</f>
        <v>1.2E-2</v>
      </c>
    </row>
    <row r="31" spans="1:8" x14ac:dyDescent="0.2">
      <c r="A31" s="17" t="s">
        <v>27</v>
      </c>
    </row>
    <row r="32" spans="1:8" x14ac:dyDescent="0.2">
      <c r="A32" s="35" t="s">
        <v>275</v>
      </c>
    </row>
    <row r="33" spans="1:2" ht="19.5" x14ac:dyDescent="0.35">
      <c r="A33" s="15" t="s">
        <v>285</v>
      </c>
      <c r="B33" s="15">
        <v>0.03</v>
      </c>
    </row>
    <row r="34" spans="1:2" ht="19.5" x14ac:dyDescent="0.35">
      <c r="A34" s="15" t="s">
        <v>286</v>
      </c>
      <c r="B34" s="15">
        <v>1.4999999999999999E-2</v>
      </c>
    </row>
    <row r="35" spans="1:2" ht="19.5" x14ac:dyDescent="0.35">
      <c r="A35" s="15" t="s">
        <v>287</v>
      </c>
      <c r="B35" s="15">
        <v>1.4999999999999999E-2</v>
      </c>
    </row>
    <row r="36" spans="1:2" ht="19.5" x14ac:dyDescent="0.35">
      <c r="A36" s="15" t="s">
        <v>288</v>
      </c>
      <c r="B36" s="15">
        <v>0.01</v>
      </c>
    </row>
    <row r="38" spans="1:2" x14ac:dyDescent="0.2">
      <c r="A38" s="35" t="s">
        <v>276</v>
      </c>
    </row>
    <row r="39" spans="1:2" ht="19.5" x14ac:dyDescent="0.35">
      <c r="A39" s="22" t="s">
        <v>289</v>
      </c>
      <c r="B39" s="15">
        <v>1.4630000000000001</v>
      </c>
    </row>
    <row r="40" spans="1:2" ht="19.5" x14ac:dyDescent="0.35">
      <c r="A40" s="22" t="s">
        <v>290</v>
      </c>
      <c r="B40" s="15">
        <v>1.5129999999999999</v>
      </c>
    </row>
    <row r="41" spans="1:2" ht="19.5" x14ac:dyDescent="0.35">
      <c r="A41" s="22" t="s">
        <v>291</v>
      </c>
      <c r="B41" s="15">
        <v>1.444</v>
      </c>
    </row>
    <row r="42" spans="1:2" ht="19.5" x14ac:dyDescent="0.35">
      <c r="A42" s="22" t="s">
        <v>292</v>
      </c>
      <c r="B42" s="15">
        <v>1.415</v>
      </c>
    </row>
  </sheetData>
  <phoneticPr fontId="27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2:L34"/>
  <sheetViews>
    <sheetView workbookViewId="0">
      <selection activeCell="H43" sqref="H43"/>
    </sheetView>
  </sheetViews>
  <sheetFormatPr defaultColWidth="9" defaultRowHeight="12" x14ac:dyDescent="0.2"/>
  <cols>
    <col min="1" max="1" width="7.85546875" style="15" customWidth="1"/>
    <col min="2" max="2" width="8.28515625" style="15" customWidth="1"/>
    <col min="3" max="3" width="2.42578125" style="15" customWidth="1"/>
    <col min="4" max="4" width="7.7109375" style="15" customWidth="1"/>
    <col min="5" max="5" width="12.140625" style="15" bestFit="1" customWidth="1"/>
    <col min="6" max="6" width="2.42578125" style="15" customWidth="1"/>
    <col min="7" max="16384" width="9" style="15"/>
  </cols>
  <sheetData>
    <row r="2" spans="1:12" ht="20.25" customHeight="1" x14ac:dyDescent="0.2">
      <c r="A2" s="17" t="s">
        <v>233</v>
      </c>
      <c r="D2" s="17" t="s">
        <v>240</v>
      </c>
      <c r="H2" s="67" t="s">
        <v>301</v>
      </c>
      <c r="I2" s="67"/>
    </row>
    <row r="3" spans="1:12" ht="20.25" x14ac:dyDescent="0.35">
      <c r="A3" s="44" t="s">
        <v>261</v>
      </c>
      <c r="B3" s="26" t="s">
        <v>260</v>
      </c>
      <c r="D3" s="44" t="s">
        <v>261</v>
      </c>
      <c r="E3" s="26" t="s">
        <v>271</v>
      </c>
      <c r="G3" s="26" t="s">
        <v>304</v>
      </c>
      <c r="H3" s="50" t="s">
        <v>303</v>
      </c>
      <c r="I3" s="50" t="s">
        <v>302</v>
      </c>
    </row>
    <row r="4" spans="1:12" x14ac:dyDescent="0.2">
      <c r="A4" s="15">
        <v>0.01</v>
      </c>
      <c r="B4" s="15">
        <v>1250</v>
      </c>
      <c r="D4" s="15">
        <v>0.01</v>
      </c>
      <c r="E4" s="45">
        <f>4.75E-28</f>
        <v>4.75E-28</v>
      </c>
      <c r="G4" s="15">
        <v>0</v>
      </c>
      <c r="H4" s="15">
        <v>0</v>
      </c>
      <c r="I4" s="15">
        <v>0</v>
      </c>
    </row>
    <row r="5" spans="1:12" x14ac:dyDescent="0.2">
      <c r="A5" s="15">
        <v>0.12</v>
      </c>
      <c r="B5" s="15">
        <v>150</v>
      </c>
      <c r="D5" s="15">
        <v>0.05</v>
      </c>
      <c r="E5" s="45">
        <f>0.000000000000039</f>
        <v>3.8999999999999998E-14</v>
      </c>
      <c r="G5" s="15">
        <v>30</v>
      </c>
      <c r="H5" s="15">
        <v>2.7E-2</v>
      </c>
      <c r="I5" s="15">
        <v>3.1E-2</v>
      </c>
    </row>
    <row r="6" spans="1:12" x14ac:dyDescent="0.2">
      <c r="A6" s="15">
        <v>0.13</v>
      </c>
      <c r="B6" s="15">
        <v>50</v>
      </c>
      <c r="D6" s="15">
        <v>0.1</v>
      </c>
      <c r="E6" s="45">
        <f>0.00000004494</f>
        <v>4.4939999999999997E-8</v>
      </c>
      <c r="G6" s="15">
        <v>40</v>
      </c>
      <c r="H6" s="15">
        <v>2.7E-2</v>
      </c>
      <c r="I6" s="15">
        <v>3.1E-2</v>
      </c>
    </row>
    <row r="7" spans="1:12" x14ac:dyDescent="0.2">
      <c r="A7" s="15">
        <v>0.17</v>
      </c>
      <c r="B7" s="15">
        <v>10</v>
      </c>
      <c r="D7" s="15">
        <v>0.15</v>
      </c>
      <c r="E7" s="45">
        <f xml:space="preserve"> 0.0001607</f>
        <v>1.607E-4</v>
      </c>
    </row>
    <row r="8" spans="1:12" x14ac:dyDescent="0.2">
      <c r="A8" s="15">
        <v>0.19</v>
      </c>
      <c r="B8" s="15">
        <v>4</v>
      </c>
      <c r="D8" s="15">
        <v>0.2</v>
      </c>
      <c r="E8" s="45">
        <f xml:space="preserve"> 0.02794</f>
        <v>2.794E-2</v>
      </c>
    </row>
    <row r="9" spans="1:12" x14ac:dyDescent="0.2">
      <c r="A9" s="15">
        <v>0.2</v>
      </c>
      <c r="B9" s="15">
        <v>3</v>
      </c>
      <c r="D9" s="15">
        <v>0.25</v>
      </c>
      <c r="E9" s="45">
        <f xml:space="preserve"> 0.2362</f>
        <v>0.23619999999999999</v>
      </c>
    </row>
    <row r="10" spans="1:12" x14ac:dyDescent="0.2">
      <c r="A10" s="15">
        <v>0.23</v>
      </c>
      <c r="B10" s="15">
        <v>2</v>
      </c>
      <c r="D10" s="15">
        <v>0.3</v>
      </c>
      <c r="E10" s="45">
        <f>5.515</f>
        <v>5.5149999999999997</v>
      </c>
    </row>
    <row r="11" spans="1:12" x14ac:dyDescent="0.2">
      <c r="A11" s="15">
        <v>0.28000000000000003</v>
      </c>
      <c r="B11" s="15">
        <v>1</v>
      </c>
      <c r="D11" s="15">
        <v>0.35</v>
      </c>
      <c r="E11" s="15">
        <f xml:space="preserve"> 22.36</f>
        <v>22.36</v>
      </c>
      <c r="G11" s="17" t="s">
        <v>300</v>
      </c>
      <c r="H11" s="41"/>
      <c r="I11" s="41"/>
      <c r="J11" s="41"/>
      <c r="K11" s="41"/>
    </row>
    <row r="12" spans="1:12" ht="20.25" x14ac:dyDescent="0.2">
      <c r="A12" s="15">
        <v>0.28999999999999998</v>
      </c>
      <c r="B12" s="15">
        <v>0.5</v>
      </c>
      <c r="D12" s="15">
        <v>0.39</v>
      </c>
      <c r="E12" s="66">
        <f xml:space="preserve"> 314.2</f>
        <v>314.2</v>
      </c>
      <c r="G12" s="48" t="s">
        <v>294</v>
      </c>
      <c r="H12" s="49" t="s">
        <v>295</v>
      </c>
      <c r="I12" s="49" t="s">
        <v>296</v>
      </c>
      <c r="J12" s="49" t="s">
        <v>297</v>
      </c>
      <c r="K12" s="49" t="s">
        <v>298</v>
      </c>
      <c r="L12" s="26" t="s">
        <v>299</v>
      </c>
    </row>
    <row r="13" spans="1:12" x14ac:dyDescent="0.2">
      <c r="A13" s="15">
        <v>0.39</v>
      </c>
      <c r="B13" s="15">
        <v>0</v>
      </c>
      <c r="G13" s="15">
        <v>0</v>
      </c>
      <c r="H13" s="15">
        <v>0.76</v>
      </c>
      <c r="I13" s="15">
        <v>0.15</v>
      </c>
      <c r="J13" s="15">
        <v>0.09</v>
      </c>
      <c r="K13" s="15">
        <v>0</v>
      </c>
      <c r="L13" s="15">
        <v>3.5000000000000003E-2</v>
      </c>
    </row>
    <row r="14" spans="1:12" x14ac:dyDescent="0.2">
      <c r="G14" s="15">
        <v>0.2</v>
      </c>
      <c r="H14" s="15">
        <v>0.67</v>
      </c>
      <c r="I14" s="15">
        <v>0.21</v>
      </c>
      <c r="J14" s="15">
        <v>0.12</v>
      </c>
      <c r="K14" s="15">
        <v>0</v>
      </c>
      <c r="L14" s="15">
        <v>3.3000000000000002E-2</v>
      </c>
    </row>
    <row r="15" spans="1:12" x14ac:dyDescent="0.2">
      <c r="G15" s="15">
        <v>0.4</v>
      </c>
      <c r="H15" s="15">
        <v>0.66</v>
      </c>
      <c r="I15">
        <v>0.28999999999999998</v>
      </c>
      <c r="J15" s="15">
        <v>0.05</v>
      </c>
      <c r="K15" s="15">
        <v>0</v>
      </c>
      <c r="L15" s="15">
        <v>0.03</v>
      </c>
    </row>
    <row r="16" spans="1:12" x14ac:dyDescent="0.2">
      <c r="G16" s="15">
        <v>0.6</v>
      </c>
      <c r="H16" s="15">
        <v>0.62</v>
      </c>
      <c r="I16" s="15">
        <v>0.34</v>
      </c>
      <c r="J16" s="15">
        <v>0.04</v>
      </c>
      <c r="K16" s="15">
        <v>0</v>
      </c>
      <c r="L16" s="15">
        <v>2.8000000000000001E-2</v>
      </c>
    </row>
    <row r="17" spans="1:12" x14ac:dyDescent="0.2">
      <c r="G17" s="15">
        <v>0.8</v>
      </c>
      <c r="H17" s="15">
        <v>0.38</v>
      </c>
      <c r="I17" s="15">
        <v>0.53</v>
      </c>
      <c r="J17" s="15">
        <v>0.09</v>
      </c>
      <c r="K17" s="15">
        <v>0</v>
      </c>
      <c r="L17" s="15">
        <v>2.5000000000000001E-2</v>
      </c>
    </row>
    <row r="18" spans="1:12" x14ac:dyDescent="0.2">
      <c r="A18" s="17"/>
      <c r="G18" s="15">
        <v>1</v>
      </c>
      <c r="H18" s="15">
        <v>0.27</v>
      </c>
      <c r="I18" s="15">
        <v>0.51</v>
      </c>
      <c r="J18" s="15">
        <v>0.17</v>
      </c>
      <c r="K18" s="15">
        <v>0.05</v>
      </c>
      <c r="L18" s="15">
        <v>2.3E-2</v>
      </c>
    </row>
    <row r="19" spans="1:12" x14ac:dyDescent="0.2">
      <c r="G19" s="15">
        <v>2</v>
      </c>
      <c r="H19" s="15">
        <v>0</v>
      </c>
      <c r="I19" s="15">
        <v>0</v>
      </c>
      <c r="J19" s="15">
        <v>0</v>
      </c>
      <c r="K19" s="15">
        <v>1</v>
      </c>
      <c r="L19" s="15">
        <v>0.01</v>
      </c>
    </row>
    <row r="20" spans="1:12" x14ac:dyDescent="0.2">
      <c r="G20" s="15">
        <v>2.2000000000000002</v>
      </c>
      <c r="H20" s="15">
        <v>0</v>
      </c>
      <c r="I20" s="15">
        <v>0</v>
      </c>
      <c r="J20" s="15">
        <v>0</v>
      </c>
      <c r="K20" s="15">
        <v>1</v>
      </c>
      <c r="L20" s="15">
        <v>0.01</v>
      </c>
    </row>
    <row r="34" spans="1:1" x14ac:dyDescent="0.2">
      <c r="A34" s="17"/>
    </row>
  </sheetData>
  <sortState ref="D13:E17">
    <sortCondition descending="1" ref="D13:D17"/>
  </sortState>
  <mergeCells count="1">
    <mergeCell ref="H2:I2"/>
  </mergeCells>
  <phoneticPr fontId="27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L32"/>
  <sheetViews>
    <sheetView showFormulas="1" workbookViewId="0">
      <selection activeCell="E4" sqref="E4"/>
    </sheetView>
  </sheetViews>
  <sheetFormatPr defaultRowHeight="12" x14ac:dyDescent="0.2"/>
  <cols>
    <col min="1" max="1" width="5.28515625" bestFit="1" customWidth="1"/>
    <col min="2" max="2" width="9.140625" bestFit="1" customWidth="1"/>
    <col min="3" max="3" width="1" customWidth="1"/>
    <col min="4" max="4" width="5.42578125" bestFit="1" customWidth="1"/>
    <col min="5" max="5" width="14.140625" bestFit="1" customWidth="1"/>
    <col min="6" max="6" width="0.85546875" customWidth="1"/>
    <col min="7" max="7" width="6.140625" bestFit="1" customWidth="1"/>
    <col min="8" max="8" width="6.85546875" bestFit="1" customWidth="1"/>
    <col min="9" max="9" width="7" bestFit="1" customWidth="1"/>
    <col min="10" max="10" width="8.7109375" customWidth="1"/>
    <col min="11" max="12" width="2.28515625" customWidth="1"/>
    <col min="13" max="15" width="1.42578125" customWidth="1"/>
  </cols>
  <sheetData>
    <row r="1" spans="1:12" x14ac:dyDescent="0.2">
      <c r="A1" s="2" t="s">
        <v>12</v>
      </c>
      <c r="C1" s="2"/>
      <c r="G1" s="2" t="s">
        <v>152</v>
      </c>
    </row>
    <row r="2" spans="1:12" x14ac:dyDescent="0.2">
      <c r="A2" s="5" t="s">
        <v>4</v>
      </c>
      <c r="B2" s="1">
        <f>DATE(2017,9,22)</f>
        <v>43000</v>
      </c>
      <c r="D2" s="5" t="s">
        <v>153</v>
      </c>
      <c r="E2" s="1">
        <f>B2+INT(_step)</f>
        <v>43061</v>
      </c>
      <c r="G2" s="31" t="s">
        <v>232</v>
      </c>
      <c r="H2">
        <f>th</f>
        <v>0.56292089999999995</v>
      </c>
      <c r="I2" t="e">
        <f ca="1">assim</f>
        <v>#DIV/0!</v>
      </c>
      <c r="J2">
        <f>Photosynthesis!J20</f>
        <v>232.69746433822164</v>
      </c>
      <c r="K2">
        <f ca="1">tsr</f>
        <v>6.3561590371728798</v>
      </c>
      <c r="L2">
        <f ca="1">tss</f>
        <v>17.64384096282712</v>
      </c>
    </row>
    <row r="3" spans="1:12" x14ac:dyDescent="0.2">
      <c r="D3" s="5" t="s">
        <v>90</v>
      </c>
      <c r="E3" s="1">
        <f>date-DATE(YEAR(date),9,22)</f>
        <v>61</v>
      </c>
      <c r="G3" s="31" t="s">
        <v>232</v>
      </c>
      <c r="H3">
        <f>th</f>
        <v>0.56292089999999995</v>
      </c>
      <c r="I3" t="e">
        <f ca="1">LETs</f>
        <v>#N/A</v>
      </c>
      <c r="J3">
        <f>ET!H20</f>
        <v>9.841565490943303</v>
      </c>
      <c r="K3">
        <v>0</v>
      </c>
      <c r="L3">
        <v>12</v>
      </c>
    </row>
    <row r="4" spans="1:12" x14ac:dyDescent="0.2">
      <c r="A4" s="2" t="s">
        <v>0</v>
      </c>
      <c r="D4" s="5" t="s">
        <v>93</v>
      </c>
      <c r="E4">
        <v>0.56292089999999995</v>
      </c>
      <c r="G4" s="31" t="s">
        <v>232</v>
      </c>
      <c r="H4">
        <f>th</f>
        <v>0.56292089999999995</v>
      </c>
      <c r="I4" t="e">
        <f ca="1">LETc</f>
        <v>#N/A</v>
      </c>
      <c r="J4">
        <f>ET!H26</f>
        <v>63.641268647612499</v>
      </c>
      <c r="K4">
        <v>0</v>
      </c>
      <c r="L4">
        <v>12</v>
      </c>
    </row>
    <row r="5" spans="1:12" x14ac:dyDescent="0.2">
      <c r="A5" s="5"/>
      <c r="G5" s="31" t="s">
        <v>259</v>
      </c>
      <c r="H5">
        <f>Water!H8:J8</f>
        <v>5.2700000000000005</v>
      </c>
      <c r="I5" t="e">
        <f>Water!H22:J22</f>
        <v>#VALUE!</v>
      </c>
      <c r="J5">
        <v>100</v>
      </c>
    </row>
    <row r="6" spans="1:12" x14ac:dyDescent="0.2">
      <c r="A6" s="5" t="s">
        <v>87</v>
      </c>
      <c r="B6">
        <v>1</v>
      </c>
      <c r="D6" s="5"/>
      <c r="E6" s="3"/>
      <c r="G6" s="31" t="s">
        <v>259</v>
      </c>
      <c r="H6">
        <f>Growth!H2:H6</f>
        <v>0</v>
      </c>
      <c r="I6" t="e">
        <f ca="1">Growth!L2:L6</f>
        <v>#N/A</v>
      </c>
    </row>
    <row r="7" spans="1:12" x14ac:dyDescent="0.2">
      <c r="A7" s="5" t="s">
        <v>88</v>
      </c>
      <c r="B7">
        <v>61.01</v>
      </c>
      <c r="G7" s="31" t="s">
        <v>259</v>
      </c>
      <c r="H7">
        <f>Growth!E10</f>
        <v>0.14599999999999982</v>
      </c>
      <c r="I7">
        <f>Growth!E12</f>
        <v>2.3E-3</v>
      </c>
    </row>
    <row r="8" spans="1:12" x14ac:dyDescent="0.2">
      <c r="A8" s="5" t="s">
        <v>89</v>
      </c>
      <c r="B8" t="b">
        <f>dvs&lt;=2</f>
        <v>1</v>
      </c>
      <c r="G8" s="31" t="s">
        <v>357</v>
      </c>
      <c r="H8" t="e">
        <f ca="1">Tts</f>
        <v>#N/A</v>
      </c>
      <c r="I8">
        <f>Tts_total</f>
        <v>631.40000000000009</v>
      </c>
      <c r="J8" s="5" t="s">
        <v>358</v>
      </c>
    </row>
    <row r="9" spans="1:12" x14ac:dyDescent="0.2">
      <c r="G9" s="31" t="s">
        <v>259</v>
      </c>
      <c r="H9">
        <f>Growth!E18</f>
        <v>4.6185811272451653</v>
      </c>
      <c r="I9" t="e">
        <f ca="1">Growth!E22</f>
        <v>#N/A</v>
      </c>
    </row>
    <row r="10" spans="1:12" x14ac:dyDescent="0.2">
      <c r="G10" s="31" t="s">
        <v>259</v>
      </c>
      <c r="H10">
        <f>Growth!E25</f>
        <v>0.97000000000000064</v>
      </c>
      <c r="I10">
        <f>Growth!E29</f>
        <v>1.2E-2</v>
      </c>
    </row>
    <row r="11" spans="1:12" x14ac:dyDescent="0.2">
      <c r="G11" s="31" t="s">
        <v>259</v>
      </c>
      <c r="H11">
        <f>dvs</f>
        <v>0.66825999999999963</v>
      </c>
      <c r="I11" t="e">
        <f ca="1">dvr</f>
        <v>#VALUE!</v>
      </c>
    </row>
    <row r="20" spans="7:9" x14ac:dyDescent="0.2">
      <c r="G20" s="2" t="s">
        <v>257</v>
      </c>
    </row>
    <row r="21" spans="7:9" x14ac:dyDescent="0.2">
      <c r="G21" s="31" t="s">
        <v>258</v>
      </c>
      <c r="H21">
        <f>Water!H8:J8</f>
        <v>5.2700000000000005</v>
      </c>
      <c r="I21">
        <f>Water!H7:J7</f>
        <v>121.21000000000001</v>
      </c>
    </row>
    <row r="22" spans="7:9" x14ac:dyDescent="0.2">
      <c r="G22" s="31" t="s">
        <v>258</v>
      </c>
      <c r="H22" t="e">
        <f>Growth!H2:H6</f>
        <v>#VALUE!</v>
      </c>
      <c r="I22" t="e">
        <f>Growth!B3:B7</f>
        <v>#VALUE!</v>
      </c>
    </row>
    <row r="23" spans="7:9" x14ac:dyDescent="0.2">
      <c r="G23" s="31" t="s">
        <v>258</v>
      </c>
      <c r="H23">
        <f>dvs</f>
        <v>0.66825999999999963</v>
      </c>
      <c r="I23">
        <f>Growth!B9</f>
        <v>0.1</v>
      </c>
    </row>
    <row r="24" spans="7:9" x14ac:dyDescent="0.2">
      <c r="G24" s="31" t="s">
        <v>258</v>
      </c>
      <c r="H24">
        <f>Growth!E10</f>
        <v>0.14599999999999982</v>
      </c>
      <c r="I24">
        <f>Growth!B10</f>
        <v>8.0000000000000002E-3</v>
      </c>
    </row>
    <row r="25" spans="7:9" x14ac:dyDescent="0.2">
      <c r="G25" s="31" t="s">
        <v>258</v>
      </c>
      <c r="H25">
        <f>Growth!E18</f>
        <v>4.6185811272451653</v>
      </c>
      <c r="I25">
        <f>Growth!B11</f>
        <v>2.5</v>
      </c>
    </row>
    <row r="26" spans="7:9" x14ac:dyDescent="0.2">
      <c r="G26" s="31" t="s">
        <v>258</v>
      </c>
      <c r="H26">
        <f>Growth!E25</f>
        <v>0.97000000000000064</v>
      </c>
      <c r="I26">
        <f>Growth!B12</f>
        <v>0.25</v>
      </c>
    </row>
    <row r="31" spans="7:9" x14ac:dyDescent="0.2">
      <c r="G31" s="2" t="s">
        <v>365</v>
      </c>
    </row>
    <row r="32" spans="7:9" x14ac:dyDescent="0.2">
      <c r="G32" s="31" t="s">
        <v>366</v>
      </c>
      <c r="H32" s="5" t="s">
        <v>367</v>
      </c>
    </row>
  </sheetData>
  <phoneticPr fontId="27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Z68"/>
  <sheetViews>
    <sheetView tabSelected="1" zoomScaleNormal="100" workbookViewId="0">
      <selection activeCell="N36" sqref="N36"/>
    </sheetView>
  </sheetViews>
  <sheetFormatPr defaultRowHeight="12" x14ac:dyDescent="0.2"/>
  <cols>
    <col min="1" max="1" width="7.7109375" style="3" customWidth="1"/>
    <col min="2" max="9" width="6.5703125" bestFit="1" customWidth="1"/>
    <col min="10" max="10" width="7.85546875" bestFit="1" customWidth="1"/>
    <col min="11" max="11" width="8.140625" customWidth="1"/>
    <col min="12" max="12" width="3.140625" customWidth="1"/>
    <col min="13" max="13" width="2.42578125" customWidth="1"/>
  </cols>
  <sheetData>
    <row r="1" spans="1:15" x14ac:dyDescent="0.2">
      <c r="A1" s="4" t="s">
        <v>91</v>
      </c>
      <c r="B1" s="2"/>
      <c r="C1" s="2"/>
      <c r="D1" s="2"/>
    </row>
    <row r="2" spans="1:15" ht="15.6" customHeight="1" x14ac:dyDescent="0.35">
      <c r="A2" s="14" t="s">
        <v>344</v>
      </c>
      <c r="B2" s="19" t="s">
        <v>359</v>
      </c>
      <c r="C2" s="19" t="s">
        <v>360</v>
      </c>
      <c r="D2" s="19" t="s">
        <v>361</v>
      </c>
      <c r="E2" s="19" t="s">
        <v>362</v>
      </c>
      <c r="F2" s="19" t="s">
        <v>363</v>
      </c>
      <c r="G2" s="54" t="s">
        <v>364</v>
      </c>
      <c r="H2" s="14" t="s">
        <v>121</v>
      </c>
      <c r="I2" s="14" t="s">
        <v>371</v>
      </c>
      <c r="J2" s="55" t="s">
        <v>147</v>
      </c>
      <c r="K2" s="56" t="s">
        <v>368</v>
      </c>
      <c r="L2" s="56"/>
    </row>
    <row r="3" spans="1:15" x14ac:dyDescent="0.2">
      <c r="A3" s="3">
        <f>date-Control!B2</f>
        <v>61</v>
      </c>
      <c r="B3">
        <f>dvs</f>
        <v>0.66825999999999963</v>
      </c>
      <c r="C3">
        <f>WGL</f>
        <v>153.29525038722485</v>
      </c>
      <c r="D3">
        <f>WDL</f>
        <v>4.0262089379978923</v>
      </c>
      <c r="E3">
        <f>WS</f>
        <v>77.058886205949605</v>
      </c>
      <c r="F3">
        <f>WR</f>
        <v>13.642840667163533</v>
      </c>
      <c r="G3">
        <f>WO</f>
        <v>0</v>
      </c>
      <c r="H3">
        <f>h</f>
        <v>2.5</v>
      </c>
      <c r="I3">
        <f>droot</f>
        <v>0.25</v>
      </c>
      <c r="J3">
        <f>L</f>
        <v>4.1353080039708177</v>
      </c>
      <c r="K3">
        <f>Water!E12</f>
        <v>0.26350000000000001</v>
      </c>
    </row>
    <row r="4" spans="1:15" x14ac:dyDescent="0.2"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</row>
    <row r="7" spans="1:15" x14ac:dyDescent="0.2">
      <c r="A7" s="4" t="s">
        <v>94</v>
      </c>
      <c r="B7" s="2"/>
      <c r="C7" s="2"/>
      <c r="D7" s="2"/>
      <c r="M7" s="13"/>
      <c r="N7" s="13"/>
      <c r="O7" s="13"/>
    </row>
    <row r="8" spans="1:15" x14ac:dyDescent="0.2">
      <c r="A8" s="3">
        <v>0</v>
      </c>
      <c r="B8" s="3">
        <v>0.1</v>
      </c>
      <c r="C8" s="3">
        <v>1.44</v>
      </c>
      <c r="D8" s="3">
        <v>0</v>
      </c>
      <c r="E8" s="3">
        <v>0.28999999999999998</v>
      </c>
      <c r="F8" s="3">
        <v>0.16</v>
      </c>
      <c r="G8" s="3">
        <v>0</v>
      </c>
      <c r="H8" s="3">
        <v>2.5</v>
      </c>
      <c r="I8" s="3">
        <v>0.25</v>
      </c>
      <c r="J8" s="3">
        <v>4.8960000000000004E-2</v>
      </c>
      <c r="K8">
        <v>0.26350000000000001</v>
      </c>
      <c r="M8" s="3"/>
      <c r="N8" s="3"/>
      <c r="O8" s="3"/>
    </row>
    <row r="9" spans="1:15" x14ac:dyDescent="0.2">
      <c r="A9" s="3">
        <v>1</v>
      </c>
      <c r="B9" s="3">
        <v>0.11935000000000001</v>
      </c>
      <c r="C9" s="3">
        <v>1.7029402535310951</v>
      </c>
      <c r="D9" s="3">
        <v>0</v>
      </c>
      <c r="E9" s="3">
        <v>0.35619474914069527</v>
      </c>
      <c r="F9" s="3">
        <v>0.19861360366540559</v>
      </c>
      <c r="G9" s="3">
        <v>0</v>
      </c>
      <c r="H9" s="3">
        <v>2.5</v>
      </c>
      <c r="I9" s="3">
        <v>0.25</v>
      </c>
      <c r="J9" s="3">
        <v>5.7570449680998975E-2</v>
      </c>
      <c r="K9">
        <v>0.26350000000000001</v>
      </c>
      <c r="M9" s="3"/>
      <c r="N9" s="3"/>
      <c r="O9" s="3"/>
    </row>
    <row r="10" spans="1:15" x14ac:dyDescent="0.2">
      <c r="A10" s="3">
        <v>2</v>
      </c>
      <c r="B10" s="3">
        <v>0.14099500000000001</v>
      </c>
      <c r="C10" s="3">
        <v>2.332266856733229</v>
      </c>
      <c r="D10" s="3">
        <v>0</v>
      </c>
      <c r="E10" s="3">
        <v>0.52175226179723977</v>
      </c>
      <c r="F10" s="3">
        <v>0.29475778444322531</v>
      </c>
      <c r="G10" s="3">
        <v>0</v>
      </c>
      <c r="H10" s="3">
        <v>2.5</v>
      </c>
      <c r="I10" s="3">
        <v>0.25</v>
      </c>
      <c r="J10" s="3">
        <v>7.8340960331012011E-2</v>
      </c>
      <c r="K10">
        <v>0.26350000000000001</v>
      </c>
      <c r="M10" s="3"/>
      <c r="N10" s="3"/>
      <c r="O10" s="3"/>
    </row>
    <row r="11" spans="1:15" x14ac:dyDescent="0.2">
      <c r="A11" s="3">
        <v>3</v>
      </c>
      <c r="B11" s="3">
        <v>0.16237000000000001</v>
      </c>
      <c r="C11" s="3">
        <v>3.0996957096807787</v>
      </c>
      <c r="D11" s="3">
        <v>0</v>
      </c>
      <c r="E11" s="3">
        <v>0.73361779992239029</v>
      </c>
      <c r="F11" s="3">
        <v>0.41721685543679465</v>
      </c>
      <c r="G11" s="3">
        <v>0</v>
      </c>
      <c r="H11" s="3">
        <v>2.5</v>
      </c>
      <c r="I11" s="3">
        <v>0.25</v>
      </c>
      <c r="J11" s="3">
        <v>0.10345637391501859</v>
      </c>
      <c r="K11">
        <v>0.26350000000000001</v>
      </c>
      <c r="M11" s="3"/>
      <c r="N11" s="3"/>
      <c r="O11" s="3"/>
    </row>
    <row r="12" spans="1:15" x14ac:dyDescent="0.2">
      <c r="A12" s="3">
        <v>4</v>
      </c>
      <c r="B12" s="3">
        <v>0.18410500000000002</v>
      </c>
      <c r="C12" s="3">
        <v>4.1651064280899046</v>
      </c>
      <c r="D12" s="3">
        <v>0</v>
      </c>
      <c r="E12" s="3">
        <v>1.0418118671294718</v>
      </c>
      <c r="F12" s="3">
        <v>0.59457838374926553</v>
      </c>
      <c r="G12" s="3">
        <v>0</v>
      </c>
      <c r="H12" s="3">
        <v>2.5</v>
      </c>
      <c r="I12" s="3">
        <v>0.25</v>
      </c>
      <c r="J12" s="3">
        <v>0.13811055579371173</v>
      </c>
      <c r="K12">
        <v>0.26350000000000001</v>
      </c>
      <c r="M12" s="3"/>
      <c r="N12" s="3"/>
      <c r="O12" s="3"/>
    </row>
    <row r="13" spans="1:15" x14ac:dyDescent="0.2">
      <c r="A13" s="3">
        <v>5</v>
      </c>
      <c r="B13" s="3">
        <v>0.20539000000000002</v>
      </c>
      <c r="C13" s="3">
        <v>5.4904925466236998</v>
      </c>
      <c r="D13" s="3">
        <v>0</v>
      </c>
      <c r="E13" s="3">
        <v>1.4435099790929371</v>
      </c>
      <c r="F13" s="3">
        <v>0.82478682988042451</v>
      </c>
      <c r="G13" s="3">
        <v>0</v>
      </c>
      <c r="H13" s="3">
        <v>2.5</v>
      </c>
      <c r="I13" s="3">
        <v>0.25</v>
      </c>
      <c r="J13" s="3">
        <v>0.18074234771618758</v>
      </c>
      <c r="K13">
        <v>0.26350000000000001</v>
      </c>
      <c r="M13" s="3"/>
      <c r="N13" s="3"/>
      <c r="O13" s="3"/>
    </row>
    <row r="14" spans="1:15" x14ac:dyDescent="0.2">
      <c r="A14" s="38">
        <v>6</v>
      </c>
      <c r="B14" s="38">
        <v>0.22708</v>
      </c>
      <c r="C14" s="38">
        <v>6.9762481620759758</v>
      </c>
      <c r="D14" s="38">
        <v>0</v>
      </c>
      <c r="E14" s="38">
        <v>1.9141649191798722</v>
      </c>
      <c r="F14" s="38">
        <v>1.0868143109130524</v>
      </c>
      <c r="G14" s="3">
        <v>0</v>
      </c>
      <c r="H14" s="3">
        <v>2.5</v>
      </c>
      <c r="I14" s="3">
        <v>0.25</v>
      </c>
      <c r="J14" s="3">
        <v>0.22738243734507194</v>
      </c>
      <c r="K14">
        <v>0.26350000000000001</v>
      </c>
      <c r="M14" s="38"/>
      <c r="N14" s="38"/>
      <c r="O14" s="38"/>
    </row>
    <row r="15" spans="1:15" x14ac:dyDescent="0.2">
      <c r="A15" s="38">
        <v>7</v>
      </c>
      <c r="B15" s="38">
        <v>0.24989500000000001</v>
      </c>
      <c r="C15" s="38">
        <v>8.8769877675084299</v>
      </c>
      <c r="D15" s="38">
        <v>0</v>
      </c>
      <c r="E15" s="38">
        <v>2.5419173151365664</v>
      </c>
      <c r="F15" s="38">
        <v>1.4009918318607673</v>
      </c>
      <c r="G15" s="3">
        <v>0</v>
      </c>
      <c r="H15" s="3">
        <v>2.5</v>
      </c>
      <c r="I15" s="3">
        <v>0.25</v>
      </c>
      <c r="J15" s="3">
        <v>0.28629683675788065</v>
      </c>
      <c r="K15">
        <v>0.26350000000000001</v>
      </c>
      <c r="M15" s="38"/>
      <c r="N15" s="38"/>
      <c r="O15" s="38"/>
    </row>
    <row r="16" spans="1:15" x14ac:dyDescent="0.2">
      <c r="A16" s="3">
        <v>8</v>
      </c>
      <c r="B16" s="3">
        <v>0.26852500000000001</v>
      </c>
      <c r="C16" s="3">
        <v>11.632659708235369</v>
      </c>
      <c r="D16" s="3">
        <v>0</v>
      </c>
      <c r="E16" s="3">
        <v>3.4912563774820464</v>
      </c>
      <c r="F16" s="3">
        <v>1.8242958356395134</v>
      </c>
      <c r="G16" s="3">
        <v>0</v>
      </c>
      <c r="H16" s="3">
        <v>2.5</v>
      </c>
      <c r="I16" s="3">
        <v>0.25</v>
      </c>
      <c r="J16" s="3">
        <v>0.37192085027416483</v>
      </c>
      <c r="K16">
        <v>0.26350000000000001</v>
      </c>
      <c r="M16" s="3"/>
      <c r="N16" s="3"/>
      <c r="O16" s="3"/>
    </row>
    <row r="17" spans="1:26" x14ac:dyDescent="0.2">
      <c r="A17" s="3">
        <v>9</v>
      </c>
      <c r="B17" s="3">
        <v>0.28787499999999999</v>
      </c>
      <c r="C17" s="3">
        <v>14.969887160843836</v>
      </c>
      <c r="D17" s="3">
        <v>0</v>
      </c>
      <c r="E17" s="3">
        <v>4.6798587932294051</v>
      </c>
      <c r="F17" s="3">
        <v>2.3050049325646738</v>
      </c>
      <c r="G17" s="3">
        <v>0</v>
      </c>
      <c r="H17" s="3">
        <v>2.5</v>
      </c>
      <c r="I17" s="3">
        <v>0.25</v>
      </c>
      <c r="J17" s="3">
        <v>0.47427409379395929</v>
      </c>
      <c r="K17">
        <v>0.26350000000000001</v>
      </c>
      <c r="M17" s="3"/>
      <c r="N17" s="3"/>
      <c r="O17" s="3"/>
      <c r="Y17" s="5" t="s">
        <v>369</v>
      </c>
    </row>
    <row r="18" spans="1:26" s="58" customFormat="1" ht="11.45" customHeight="1" x14ac:dyDescent="0.2">
      <c r="A18" s="57">
        <v>10</v>
      </c>
      <c r="B18" s="57">
        <v>0.30641499999999999</v>
      </c>
      <c r="C18" s="57">
        <v>19.141131162390533</v>
      </c>
      <c r="D18" s="57">
        <v>0</v>
      </c>
      <c r="E18" s="57">
        <v>6.2161731937915583</v>
      </c>
      <c r="F18" s="57">
        <v>2.8642807159020944</v>
      </c>
      <c r="G18" s="57">
        <v>0</v>
      </c>
      <c r="H18" s="57">
        <v>2.5</v>
      </c>
      <c r="I18" s="57">
        <v>0.25</v>
      </c>
      <c r="J18" s="57">
        <v>0.60110377626920075</v>
      </c>
      <c r="K18" s="58">
        <v>0.26350000000000001</v>
      </c>
      <c r="M18" s="57"/>
      <c r="N18" s="57"/>
      <c r="O18" s="57"/>
      <c r="Y18" s="59" t="s">
        <v>344</v>
      </c>
      <c r="Z18" s="46" t="s">
        <v>370</v>
      </c>
    </row>
    <row r="19" spans="1:26" x14ac:dyDescent="0.2">
      <c r="A19" s="3">
        <v>11</v>
      </c>
      <c r="B19" s="3">
        <v>0.32738499999999998</v>
      </c>
      <c r="C19" s="3">
        <v>21.518545706281166</v>
      </c>
      <c r="D19" s="3">
        <v>0</v>
      </c>
      <c r="E19" s="3">
        <v>7.1195473877238662</v>
      </c>
      <c r="F19" s="3">
        <v>3.1602766360786809</v>
      </c>
      <c r="G19" s="3">
        <v>0</v>
      </c>
      <c r="H19" s="3">
        <v>2.5</v>
      </c>
      <c r="I19" s="3">
        <v>0.25</v>
      </c>
      <c r="J19" s="3">
        <v>0.66899490913535908</v>
      </c>
      <c r="K19">
        <v>0.26350000000000001</v>
      </c>
      <c r="Y19">
        <v>0</v>
      </c>
      <c r="Z19">
        <v>0.255</v>
      </c>
    </row>
    <row r="20" spans="1:26" x14ac:dyDescent="0.2">
      <c r="A20" s="38">
        <v>12</v>
      </c>
      <c r="B20" s="38">
        <v>0.34875999999999996</v>
      </c>
      <c r="C20" s="38">
        <v>26.362062741310016</v>
      </c>
      <c r="D20" s="38">
        <v>0</v>
      </c>
      <c r="E20" s="38">
        <v>9.0241233049171523</v>
      </c>
      <c r="F20" s="38">
        <v>3.7106957480260396</v>
      </c>
      <c r="G20" s="3">
        <v>0</v>
      </c>
      <c r="H20" s="3">
        <v>2.5</v>
      </c>
      <c r="I20" s="3">
        <v>0.25</v>
      </c>
      <c r="J20" s="3">
        <v>0.81112376366227135</v>
      </c>
      <c r="K20">
        <v>0.26350000000000001</v>
      </c>
      <c r="Y20">
        <v>71</v>
      </c>
      <c r="Z20">
        <v>0.255</v>
      </c>
    </row>
    <row r="21" spans="1:26" x14ac:dyDescent="0.2">
      <c r="A21" s="3">
        <v>13</v>
      </c>
      <c r="B21" s="3">
        <v>0.36828999999999995</v>
      </c>
      <c r="C21" s="3">
        <v>32.857500861763349</v>
      </c>
      <c r="D21" s="3">
        <v>0</v>
      </c>
      <c r="E21" s="3">
        <v>11.666210468404726</v>
      </c>
      <c r="F21" s="3">
        <v>4.3766879016280829</v>
      </c>
      <c r="G21" s="3">
        <v>0</v>
      </c>
      <c r="H21" s="3">
        <v>2.5</v>
      </c>
      <c r="I21" s="3">
        <v>0.25</v>
      </c>
      <c r="J21" s="3">
        <v>1.0013536961377982</v>
      </c>
      <c r="K21">
        <v>0.26350000000000001</v>
      </c>
    </row>
    <row r="22" spans="1:26" x14ac:dyDescent="0.2">
      <c r="A22" s="3">
        <v>14</v>
      </c>
      <c r="B22" s="3">
        <v>0.38610999999999995</v>
      </c>
      <c r="C22" s="3">
        <v>36.666152733310597</v>
      </c>
      <c r="D22" s="3">
        <v>0</v>
      </c>
      <c r="E22" s="3">
        <v>13.262678502256733</v>
      </c>
      <c r="F22" s="3">
        <v>4.7284231140439079</v>
      </c>
      <c r="G22" s="3">
        <v>0</v>
      </c>
      <c r="H22" s="3">
        <v>2.5</v>
      </c>
      <c r="I22" s="3">
        <v>0.25</v>
      </c>
      <c r="J22" s="3">
        <v>1.107623974921303</v>
      </c>
      <c r="K22">
        <v>0.26350000000000001</v>
      </c>
    </row>
    <row r="23" spans="1:26" x14ac:dyDescent="0.2">
      <c r="A23" s="3">
        <v>15</v>
      </c>
      <c r="B23" s="3">
        <v>0.40460499999999994</v>
      </c>
      <c r="C23" s="3">
        <v>40.827546685842997</v>
      </c>
      <c r="D23" s="3">
        <v>0</v>
      </c>
      <c r="E23" s="3">
        <v>15.054253188339523</v>
      </c>
      <c r="F23" s="3">
        <v>5.0739690726175848</v>
      </c>
      <c r="G23" s="3">
        <v>0</v>
      </c>
      <c r="H23" s="3">
        <v>2.5</v>
      </c>
      <c r="I23" s="3">
        <v>0.25</v>
      </c>
      <c r="J23" s="3">
        <v>1.2229462920504068</v>
      </c>
      <c r="K23">
        <v>0.26350000000000001</v>
      </c>
    </row>
    <row r="24" spans="1:26" x14ac:dyDescent="0.2">
      <c r="A24" s="3">
        <v>16</v>
      </c>
      <c r="B24" s="3">
        <v>0.42413499999999993</v>
      </c>
      <c r="C24" s="3">
        <v>47.970848552214385</v>
      </c>
      <c r="D24" s="3">
        <v>0</v>
      </c>
      <c r="E24" s="3">
        <v>18.209840405534067</v>
      </c>
      <c r="F24" s="3">
        <v>5.6133890026469704</v>
      </c>
      <c r="G24" s="3">
        <v>0</v>
      </c>
      <c r="H24" s="3">
        <v>2.5</v>
      </c>
      <c r="I24" s="3">
        <v>0.25</v>
      </c>
      <c r="J24" s="3">
        <v>1.4275476922683545</v>
      </c>
      <c r="K24">
        <v>0.26350000000000001</v>
      </c>
    </row>
    <row r="25" spans="1:26" x14ac:dyDescent="0.2">
      <c r="A25" s="38">
        <v>17</v>
      </c>
      <c r="B25" s="38">
        <v>0.44496999999999992</v>
      </c>
      <c r="C25" s="38">
        <v>56.15861320179242</v>
      </c>
      <c r="D25" s="38">
        <v>0</v>
      </c>
      <c r="E25" s="38">
        <v>21.909404754693789</v>
      </c>
      <c r="F25" s="38">
        <v>6.2231632874359093</v>
      </c>
      <c r="G25" s="3">
        <v>0</v>
      </c>
      <c r="H25" s="3">
        <v>2.5</v>
      </c>
      <c r="I25" s="3">
        <v>0.25</v>
      </c>
      <c r="J25" s="3">
        <v>1.6595038676969267</v>
      </c>
      <c r="K25">
        <v>0.26350000000000001</v>
      </c>
    </row>
    <row r="26" spans="1:26" x14ac:dyDescent="0.2">
      <c r="A26" s="38">
        <v>18</v>
      </c>
      <c r="B26" s="38">
        <v>0.46611999999999992</v>
      </c>
      <c r="C26" s="38">
        <v>64.784798711753425</v>
      </c>
      <c r="D26" s="38">
        <v>0</v>
      </c>
      <c r="E26" s="38">
        <v>25.901032617546704</v>
      </c>
      <c r="F26" s="38">
        <v>6.8558967758813347</v>
      </c>
      <c r="G26" s="3">
        <v>0</v>
      </c>
      <c r="H26" s="3">
        <v>2.5</v>
      </c>
      <c r="I26" s="3">
        <v>0.25</v>
      </c>
      <c r="J26" s="3">
        <v>1.9007082524443915</v>
      </c>
      <c r="K26">
        <v>0.26350000000000001</v>
      </c>
    </row>
    <row r="27" spans="1:26" x14ac:dyDescent="0.2">
      <c r="A27" s="38">
        <v>19</v>
      </c>
      <c r="B27" s="38">
        <v>0.4880799999999999</v>
      </c>
      <c r="C27" s="38">
        <v>73.789552581069316</v>
      </c>
      <c r="D27" s="38">
        <v>0</v>
      </c>
      <c r="E27" s="38">
        <v>30.168703655991852</v>
      </c>
      <c r="F27" s="38">
        <v>7.50599507447905</v>
      </c>
      <c r="G27" s="3">
        <v>0</v>
      </c>
      <c r="H27" s="3">
        <v>2.5</v>
      </c>
      <c r="I27" s="3">
        <v>0.25</v>
      </c>
      <c r="J27" s="3">
        <v>2.1486927395186739</v>
      </c>
      <c r="K27">
        <v>0.26350000000000001</v>
      </c>
    </row>
    <row r="28" spans="1:26" x14ac:dyDescent="0.2">
      <c r="A28" s="3">
        <v>20</v>
      </c>
      <c r="B28" s="3">
        <v>0.51026499999999986</v>
      </c>
      <c r="C28" s="3">
        <v>83.314543437892667</v>
      </c>
      <c r="D28" s="3">
        <v>0</v>
      </c>
      <c r="E28" s="3">
        <v>34.795200653342384</v>
      </c>
      <c r="F28" s="3">
        <v>8.1820727524842898</v>
      </c>
      <c r="G28" s="3">
        <v>0</v>
      </c>
      <c r="H28" s="3">
        <v>2.5</v>
      </c>
      <c r="I28" s="3">
        <v>0.25</v>
      </c>
      <c r="J28" s="3">
        <v>2.4075695218149877</v>
      </c>
      <c r="K28">
        <v>0.26350000000000001</v>
      </c>
    </row>
    <row r="29" spans="1:26" x14ac:dyDescent="0.2">
      <c r="A29" s="3">
        <v>21</v>
      </c>
      <c r="B29" s="3">
        <v>0.53172999999999981</v>
      </c>
      <c r="C29" s="3">
        <v>92.884011065968252</v>
      </c>
      <c r="D29" s="3">
        <v>0</v>
      </c>
      <c r="E29" s="3">
        <v>39.558825138047787</v>
      </c>
      <c r="F29" s="3">
        <v>8.8493923166538693</v>
      </c>
      <c r="G29" s="3">
        <v>0</v>
      </c>
      <c r="H29" s="3">
        <v>2.5</v>
      </c>
      <c r="I29" s="3">
        <v>0.25</v>
      </c>
      <c r="J29" s="3">
        <v>2.6641642242018477</v>
      </c>
      <c r="K29">
        <v>0.26350000000000001</v>
      </c>
    </row>
    <row r="30" spans="1:26" x14ac:dyDescent="0.2">
      <c r="A30" s="3">
        <v>22</v>
      </c>
      <c r="B30" s="3">
        <v>0.55202499999999977</v>
      </c>
      <c r="C30" s="3">
        <v>100.84365184916244</v>
      </c>
      <c r="D30" s="3">
        <v>0</v>
      </c>
      <c r="E30" s="3">
        <v>43.615339729952602</v>
      </c>
      <c r="F30" s="3">
        <v>9.3947307271132061</v>
      </c>
      <c r="G30" s="3">
        <v>0</v>
      </c>
      <c r="H30" s="3">
        <v>2.5</v>
      </c>
      <c r="I30" s="3">
        <v>0.25</v>
      </c>
      <c r="J30" s="3">
        <v>2.872001993751184</v>
      </c>
      <c r="K30">
        <v>0.26350000000000001</v>
      </c>
    </row>
    <row r="31" spans="1:26" x14ac:dyDescent="0.2">
      <c r="A31" s="3">
        <v>23</v>
      </c>
      <c r="B31" s="3">
        <v>0.57159999999999977</v>
      </c>
      <c r="C31" s="3">
        <v>107.09505315834834</v>
      </c>
      <c r="D31" s="3">
        <v>0</v>
      </c>
      <c r="E31" s="3">
        <v>46.872193263845269</v>
      </c>
      <c r="F31" s="3">
        <v>9.815718189303734</v>
      </c>
      <c r="G31" s="3">
        <v>0</v>
      </c>
      <c r="H31" s="3">
        <v>2.5</v>
      </c>
      <c r="I31" s="3">
        <v>0.25</v>
      </c>
      <c r="J31" s="3">
        <v>3.0290764835307247</v>
      </c>
      <c r="K31">
        <v>0.26350000000000001</v>
      </c>
    </row>
    <row r="32" spans="1:26" x14ac:dyDescent="0.2">
      <c r="A32" s="3">
        <v>24</v>
      </c>
      <c r="B32" s="3">
        <v>0.58811499999999972</v>
      </c>
      <c r="C32" s="3">
        <v>113.90997144271684</v>
      </c>
      <c r="D32" s="3">
        <v>3.1139475493807984E-2</v>
      </c>
      <c r="E32" s="3">
        <v>50.514714406055603</v>
      </c>
      <c r="F32" s="3">
        <v>10.268927037938015</v>
      </c>
      <c r="G32" s="3">
        <v>0</v>
      </c>
      <c r="H32" s="3">
        <v>2.5</v>
      </c>
      <c r="I32" s="3">
        <v>0.25</v>
      </c>
      <c r="J32" s="3">
        <v>3.2030174005020386</v>
      </c>
      <c r="K32">
        <v>0.26350000000000001</v>
      </c>
    </row>
    <row r="33" spans="1:11" x14ac:dyDescent="0.2">
      <c r="A33" s="3">
        <v>25</v>
      </c>
      <c r="B33">
        <v>0.60440499999999975</v>
      </c>
      <c r="C33">
        <v>120.43942674802271</v>
      </c>
      <c r="D33">
        <v>0.26239653842942628</v>
      </c>
      <c r="E33">
        <v>54.17576620999111</v>
      </c>
      <c r="F33">
        <v>10.709891353866283</v>
      </c>
      <c r="G33">
        <v>0</v>
      </c>
      <c r="H33">
        <v>2.5</v>
      </c>
      <c r="I33">
        <v>0.25</v>
      </c>
      <c r="J33">
        <v>3.3643459138222611</v>
      </c>
      <c r="K33">
        <v>0.26350000000000001</v>
      </c>
    </row>
    <row r="34" spans="1:11" x14ac:dyDescent="0.2">
      <c r="A34" s="3">
        <v>26</v>
      </c>
      <c r="B34">
        <v>0.62051499999999971</v>
      </c>
      <c r="C34">
        <v>130.0604167870772</v>
      </c>
      <c r="D34">
        <v>0.70121266841680241</v>
      </c>
      <c r="E34">
        <v>59.808356115768632</v>
      </c>
      <c r="F34">
        <v>11.382514082981498</v>
      </c>
      <c r="G34">
        <v>0</v>
      </c>
      <c r="H34">
        <v>2.5</v>
      </c>
      <c r="I34">
        <v>0.25</v>
      </c>
      <c r="J34">
        <v>3.6016688282823592</v>
      </c>
      <c r="K34">
        <v>0.26350000000000001</v>
      </c>
    </row>
    <row r="35" spans="1:11" x14ac:dyDescent="0.2">
      <c r="A35" s="3">
        <v>27</v>
      </c>
      <c r="B35">
        <v>0.63666999999999974</v>
      </c>
      <c r="C35">
        <v>138.01583376196805</v>
      </c>
      <c r="D35">
        <v>1.4837456541587626</v>
      </c>
      <c r="E35">
        <v>65.084295055618028</v>
      </c>
      <c r="F35">
        <v>12.044832996361324</v>
      </c>
      <c r="G35">
        <v>0</v>
      </c>
      <c r="H35">
        <v>2.5</v>
      </c>
      <c r="I35">
        <v>0.25</v>
      </c>
      <c r="J35">
        <v>3.7885277359743355</v>
      </c>
      <c r="K35">
        <v>0.26350000000000001</v>
      </c>
    </row>
    <row r="36" spans="1:11" x14ac:dyDescent="0.2">
      <c r="A36" s="3">
        <v>28</v>
      </c>
      <c r="B36">
        <v>0.65160999999999969</v>
      </c>
      <c r="C36">
        <v>146.6182670086032</v>
      </c>
      <c r="D36">
        <v>2.5720387834081118</v>
      </c>
      <c r="E36">
        <v>71.390654747689197</v>
      </c>
      <c r="F36">
        <v>12.872041499695202</v>
      </c>
      <c r="G36">
        <v>0</v>
      </c>
      <c r="H36">
        <v>2.5</v>
      </c>
      <c r="I36">
        <v>0.25</v>
      </c>
      <c r="J36">
        <v>3.9918069448361804</v>
      </c>
      <c r="K36">
        <v>0.26350000000000001</v>
      </c>
    </row>
    <row r="37" spans="1:11" x14ac:dyDescent="0.2">
      <c r="A37" s="3">
        <v>32</v>
      </c>
      <c r="B37">
        <v>0.66825999999999963</v>
      </c>
      <c r="C37">
        <v>153.29525038722485</v>
      </c>
      <c r="D37">
        <v>4.0262089379978923</v>
      </c>
      <c r="E37">
        <v>77.058886205949605</v>
      </c>
      <c r="F37">
        <v>13.642840667163533</v>
      </c>
      <c r="G37">
        <v>0</v>
      </c>
      <c r="H37">
        <v>2.5</v>
      </c>
      <c r="I37">
        <v>0.25</v>
      </c>
      <c r="J37">
        <v>4.1353080039708177</v>
      </c>
      <c r="K37">
        <v>0.26350000000000001</v>
      </c>
    </row>
    <row r="38" spans="1:11" x14ac:dyDescent="0.2">
      <c r="A38" s="3">
        <v>33</v>
      </c>
      <c r="B38">
        <v>0.66825999999999963</v>
      </c>
      <c r="C38">
        <v>153.29525038722485</v>
      </c>
      <c r="D38">
        <v>4.0262089379978923</v>
      </c>
      <c r="E38">
        <v>77.058886205949605</v>
      </c>
      <c r="F38">
        <v>13.642840667163533</v>
      </c>
      <c r="G38">
        <v>0</v>
      </c>
      <c r="H38">
        <v>2.5</v>
      </c>
      <c r="I38">
        <v>0.25</v>
      </c>
      <c r="J38">
        <v>4.1353080039708177</v>
      </c>
      <c r="K38">
        <v>0.26350000000000001</v>
      </c>
    </row>
    <row r="39" spans="1:11" x14ac:dyDescent="0.2">
      <c r="A39" s="3">
        <v>34</v>
      </c>
      <c r="B39">
        <v>0.66825999999999963</v>
      </c>
      <c r="C39">
        <v>153.29525038722485</v>
      </c>
      <c r="D39">
        <v>4.0262089379978923</v>
      </c>
      <c r="E39">
        <v>77.058886205949605</v>
      </c>
      <c r="F39">
        <v>13.642840667163533</v>
      </c>
      <c r="G39">
        <v>0</v>
      </c>
      <c r="H39">
        <v>2.5</v>
      </c>
      <c r="I39">
        <v>0.25</v>
      </c>
      <c r="J39">
        <v>4.1353080039708177</v>
      </c>
      <c r="K39">
        <v>0.26350000000000001</v>
      </c>
    </row>
    <row r="40" spans="1:11" x14ac:dyDescent="0.2">
      <c r="A40" s="3">
        <v>35</v>
      </c>
      <c r="B40">
        <v>0.66825999999999963</v>
      </c>
      <c r="C40">
        <v>153.29525038722485</v>
      </c>
      <c r="D40">
        <v>4.0262089379978923</v>
      </c>
      <c r="E40">
        <v>77.058886205949605</v>
      </c>
      <c r="F40">
        <v>13.642840667163533</v>
      </c>
      <c r="G40">
        <v>0</v>
      </c>
      <c r="H40">
        <v>2.5</v>
      </c>
      <c r="I40">
        <v>0.25</v>
      </c>
      <c r="J40">
        <v>4.1353080039708177</v>
      </c>
      <c r="K40">
        <v>0.26350000000000001</v>
      </c>
    </row>
    <row r="41" spans="1:11" x14ac:dyDescent="0.2">
      <c r="A41" s="3">
        <v>36</v>
      </c>
      <c r="B41">
        <v>0.66825999999999963</v>
      </c>
      <c r="C41">
        <v>153.29525038722485</v>
      </c>
      <c r="D41">
        <v>4.0262089379978923</v>
      </c>
      <c r="E41">
        <v>77.058886205949605</v>
      </c>
      <c r="F41">
        <v>13.642840667163533</v>
      </c>
      <c r="G41">
        <v>0</v>
      </c>
      <c r="H41">
        <v>2.5</v>
      </c>
      <c r="I41">
        <v>0.25</v>
      </c>
      <c r="J41">
        <v>4.1353080039708177</v>
      </c>
      <c r="K41">
        <v>0.26350000000000001</v>
      </c>
    </row>
    <row r="42" spans="1:11" x14ac:dyDescent="0.2">
      <c r="A42" s="3">
        <v>37</v>
      </c>
      <c r="B42">
        <v>0.66825999999999963</v>
      </c>
      <c r="C42">
        <v>153.29525038722485</v>
      </c>
      <c r="D42">
        <v>4.0262089379978923</v>
      </c>
      <c r="E42">
        <v>77.058886205949605</v>
      </c>
      <c r="F42">
        <v>13.642840667163533</v>
      </c>
      <c r="G42">
        <v>0</v>
      </c>
      <c r="H42">
        <v>2.5</v>
      </c>
      <c r="I42">
        <v>0.25</v>
      </c>
      <c r="J42">
        <v>4.1353080039708177</v>
      </c>
      <c r="K42">
        <v>0.26350000000000001</v>
      </c>
    </row>
    <row r="43" spans="1:11" x14ac:dyDescent="0.2">
      <c r="A43" s="3">
        <v>38</v>
      </c>
      <c r="B43">
        <v>0.66825999999999963</v>
      </c>
      <c r="C43">
        <v>153.29525038722485</v>
      </c>
      <c r="D43">
        <v>4.0262089379978923</v>
      </c>
      <c r="E43">
        <v>77.058886205949605</v>
      </c>
      <c r="F43">
        <v>13.642840667163533</v>
      </c>
      <c r="G43">
        <v>0</v>
      </c>
      <c r="H43">
        <v>2.5</v>
      </c>
      <c r="I43">
        <v>0.25</v>
      </c>
      <c r="J43">
        <v>4.1353080039708177</v>
      </c>
      <c r="K43">
        <v>0.26350000000000001</v>
      </c>
    </row>
    <row r="44" spans="1:11" x14ac:dyDescent="0.2">
      <c r="A44" s="3">
        <v>39</v>
      </c>
      <c r="B44">
        <v>0.66825999999999963</v>
      </c>
      <c r="C44">
        <v>153.29525038722485</v>
      </c>
      <c r="D44">
        <v>4.0262089379978923</v>
      </c>
      <c r="E44">
        <v>77.058886205949605</v>
      </c>
      <c r="F44">
        <v>13.642840667163533</v>
      </c>
      <c r="G44">
        <v>0</v>
      </c>
      <c r="H44">
        <v>2.5</v>
      </c>
      <c r="I44">
        <v>0.25</v>
      </c>
      <c r="J44">
        <v>4.1353080039708177</v>
      </c>
      <c r="K44">
        <v>0.26350000000000001</v>
      </c>
    </row>
    <row r="45" spans="1:11" x14ac:dyDescent="0.2">
      <c r="A45" s="3">
        <v>40</v>
      </c>
      <c r="B45">
        <v>0.66825999999999963</v>
      </c>
      <c r="C45">
        <v>153.29525038722485</v>
      </c>
      <c r="D45">
        <v>4.0262089379978923</v>
      </c>
      <c r="E45">
        <v>77.058886205949605</v>
      </c>
      <c r="F45">
        <v>13.642840667163533</v>
      </c>
      <c r="G45">
        <v>0</v>
      </c>
      <c r="H45">
        <v>2.5</v>
      </c>
      <c r="I45">
        <v>0.25</v>
      </c>
      <c r="J45">
        <v>4.1353080039708177</v>
      </c>
      <c r="K45">
        <v>0.26350000000000001</v>
      </c>
    </row>
    <row r="46" spans="1:11" x14ac:dyDescent="0.2">
      <c r="A46" s="3">
        <v>41</v>
      </c>
      <c r="B46">
        <v>0.66825999999999963</v>
      </c>
      <c r="C46">
        <v>153.29525038722485</v>
      </c>
      <c r="D46">
        <v>4.0262089379978923</v>
      </c>
      <c r="E46">
        <v>77.058886205949605</v>
      </c>
      <c r="F46">
        <v>13.642840667163533</v>
      </c>
      <c r="G46">
        <v>0</v>
      </c>
      <c r="H46">
        <v>2.5</v>
      </c>
      <c r="I46">
        <v>0.25</v>
      </c>
      <c r="J46">
        <v>4.1353080039708177</v>
      </c>
      <c r="K46">
        <v>0.26350000000000001</v>
      </c>
    </row>
    <row r="47" spans="1:11" x14ac:dyDescent="0.2">
      <c r="A47" s="3">
        <v>42</v>
      </c>
      <c r="B47">
        <v>0.66825999999999963</v>
      </c>
      <c r="C47">
        <v>153.29525038722485</v>
      </c>
      <c r="D47">
        <v>4.0262089379978923</v>
      </c>
      <c r="E47">
        <v>77.058886205949605</v>
      </c>
      <c r="F47">
        <v>13.642840667163533</v>
      </c>
      <c r="G47">
        <v>0</v>
      </c>
      <c r="H47">
        <v>2.5</v>
      </c>
      <c r="I47">
        <v>0.25</v>
      </c>
      <c r="J47">
        <v>4.1353080039708177</v>
      </c>
      <c r="K47">
        <v>0.26350000000000001</v>
      </c>
    </row>
    <row r="48" spans="1:11" x14ac:dyDescent="0.2">
      <c r="A48" s="3">
        <v>43</v>
      </c>
      <c r="B48">
        <v>0.66825999999999963</v>
      </c>
      <c r="C48">
        <v>153.29525038722485</v>
      </c>
      <c r="D48">
        <v>4.0262089379978923</v>
      </c>
      <c r="E48">
        <v>77.058886205949605</v>
      </c>
      <c r="F48">
        <v>13.642840667163533</v>
      </c>
      <c r="G48">
        <v>0</v>
      </c>
      <c r="H48">
        <v>2.5</v>
      </c>
      <c r="I48">
        <v>0.25</v>
      </c>
      <c r="J48">
        <v>4.1353080039708177</v>
      </c>
      <c r="K48">
        <v>0.26350000000000001</v>
      </c>
    </row>
    <row r="49" spans="1:11" x14ac:dyDescent="0.2">
      <c r="A49" s="3">
        <v>44</v>
      </c>
      <c r="B49">
        <v>0.66825999999999963</v>
      </c>
      <c r="C49">
        <v>153.29525038722485</v>
      </c>
      <c r="D49">
        <v>4.0262089379978923</v>
      </c>
      <c r="E49">
        <v>77.058886205949605</v>
      </c>
      <c r="F49">
        <v>13.642840667163533</v>
      </c>
      <c r="G49">
        <v>0</v>
      </c>
      <c r="H49">
        <v>2.5</v>
      </c>
      <c r="I49">
        <v>0.25</v>
      </c>
      <c r="J49">
        <v>4.1353080039708177</v>
      </c>
      <c r="K49">
        <v>0.26350000000000001</v>
      </c>
    </row>
    <row r="50" spans="1:11" x14ac:dyDescent="0.2">
      <c r="A50" s="3">
        <v>45</v>
      </c>
      <c r="B50">
        <v>0.66825999999999963</v>
      </c>
      <c r="C50">
        <v>153.29525038722485</v>
      </c>
      <c r="D50">
        <v>4.0262089379978923</v>
      </c>
      <c r="E50">
        <v>77.058886205949605</v>
      </c>
      <c r="F50">
        <v>13.642840667163533</v>
      </c>
      <c r="G50">
        <v>0</v>
      </c>
      <c r="H50">
        <v>2.5</v>
      </c>
      <c r="I50">
        <v>0.25</v>
      </c>
      <c r="J50">
        <v>4.1353080039708177</v>
      </c>
      <c r="K50">
        <v>0.26350000000000001</v>
      </c>
    </row>
    <row r="51" spans="1:11" x14ac:dyDescent="0.2">
      <c r="A51" s="3">
        <v>46</v>
      </c>
      <c r="B51">
        <v>0.66825999999999963</v>
      </c>
      <c r="C51">
        <v>153.29525038722485</v>
      </c>
      <c r="D51">
        <v>4.0262089379978923</v>
      </c>
      <c r="E51">
        <v>77.058886205949605</v>
      </c>
      <c r="F51">
        <v>13.642840667163533</v>
      </c>
      <c r="G51">
        <v>0</v>
      </c>
      <c r="H51">
        <v>2.5</v>
      </c>
      <c r="I51">
        <v>0.25</v>
      </c>
      <c r="J51">
        <v>4.1353080039708177</v>
      </c>
      <c r="K51">
        <v>0.26350000000000001</v>
      </c>
    </row>
    <row r="52" spans="1:11" x14ac:dyDescent="0.2">
      <c r="A52" s="3">
        <v>46</v>
      </c>
      <c r="B52">
        <v>0.66825999999999963</v>
      </c>
      <c r="C52">
        <v>153.29525038722485</v>
      </c>
      <c r="D52">
        <v>4.0262089379978923</v>
      </c>
      <c r="E52">
        <v>77.058886205949605</v>
      </c>
      <c r="F52">
        <v>13.642840667163533</v>
      </c>
      <c r="G52">
        <v>0</v>
      </c>
      <c r="H52">
        <v>2.5</v>
      </c>
      <c r="I52">
        <v>0.25</v>
      </c>
      <c r="J52">
        <v>4.1353080039708177</v>
      </c>
      <c r="K52">
        <v>0.26350000000000001</v>
      </c>
    </row>
    <row r="53" spans="1:11" x14ac:dyDescent="0.2">
      <c r="A53" s="3">
        <v>48</v>
      </c>
      <c r="B53">
        <v>0.66825999999999963</v>
      </c>
      <c r="C53">
        <v>153.29525038722485</v>
      </c>
      <c r="D53">
        <v>4.0262089379978923</v>
      </c>
      <c r="E53">
        <v>77.058886205949605</v>
      </c>
      <c r="F53">
        <v>13.642840667163533</v>
      </c>
      <c r="G53">
        <v>0</v>
      </c>
      <c r="H53">
        <v>2.5</v>
      </c>
      <c r="I53">
        <v>0.25</v>
      </c>
      <c r="J53">
        <v>4.1353080039708177</v>
      </c>
      <c r="K53">
        <v>0.26350000000000001</v>
      </c>
    </row>
    <row r="54" spans="1:11" x14ac:dyDescent="0.2">
      <c r="A54" s="3">
        <v>49</v>
      </c>
      <c r="B54">
        <v>0.66825999999999963</v>
      </c>
      <c r="C54">
        <v>153.29525038722485</v>
      </c>
      <c r="D54">
        <v>4.0262089379978923</v>
      </c>
      <c r="E54">
        <v>77.058886205949605</v>
      </c>
      <c r="F54">
        <v>13.642840667163533</v>
      </c>
      <c r="G54">
        <v>0</v>
      </c>
      <c r="H54">
        <v>2.5</v>
      </c>
      <c r="I54">
        <v>0.25</v>
      </c>
      <c r="J54">
        <v>4.1353080039708177</v>
      </c>
      <c r="K54">
        <v>0.26350000000000001</v>
      </c>
    </row>
    <row r="55" spans="1:11" x14ac:dyDescent="0.2">
      <c r="A55" s="3">
        <v>50</v>
      </c>
      <c r="B55">
        <v>0.66825999999999963</v>
      </c>
      <c r="C55">
        <v>153.29525038722485</v>
      </c>
      <c r="D55">
        <v>4.0262089379978923</v>
      </c>
      <c r="E55">
        <v>77.058886205949605</v>
      </c>
      <c r="F55">
        <v>13.642840667163533</v>
      </c>
      <c r="G55">
        <v>0</v>
      </c>
      <c r="H55">
        <v>2.5</v>
      </c>
      <c r="I55">
        <v>0.25</v>
      </c>
      <c r="J55">
        <v>4.1353080039708177</v>
      </c>
      <c r="K55">
        <v>0.26350000000000001</v>
      </c>
    </row>
    <row r="56" spans="1:11" x14ac:dyDescent="0.2">
      <c r="A56" s="3">
        <v>51</v>
      </c>
      <c r="B56">
        <v>0.66825999999999963</v>
      </c>
      <c r="C56">
        <v>153.29525038722485</v>
      </c>
      <c r="D56">
        <v>4.0262089379978923</v>
      </c>
      <c r="E56">
        <v>77.058886205949605</v>
      </c>
      <c r="F56">
        <v>13.642840667163533</v>
      </c>
      <c r="G56">
        <v>0</v>
      </c>
      <c r="H56">
        <v>2.5</v>
      </c>
      <c r="I56">
        <v>0.25</v>
      </c>
      <c r="J56">
        <v>4.1353080039708177</v>
      </c>
      <c r="K56">
        <v>0.26350000000000001</v>
      </c>
    </row>
    <row r="57" spans="1:11" x14ac:dyDescent="0.2">
      <c r="A57" s="3">
        <v>52</v>
      </c>
      <c r="B57">
        <v>0.66825999999999963</v>
      </c>
      <c r="C57">
        <v>153.29525038722485</v>
      </c>
      <c r="D57">
        <v>4.0262089379978923</v>
      </c>
      <c r="E57">
        <v>77.058886205949605</v>
      </c>
      <c r="F57">
        <v>13.642840667163533</v>
      </c>
      <c r="G57">
        <v>0</v>
      </c>
      <c r="H57">
        <v>2.5</v>
      </c>
      <c r="I57">
        <v>0.25</v>
      </c>
      <c r="J57">
        <v>4.1353080039708177</v>
      </c>
      <c r="K57">
        <v>0.26350000000000001</v>
      </c>
    </row>
    <row r="58" spans="1:11" x14ac:dyDescent="0.2">
      <c r="A58" s="3">
        <v>53</v>
      </c>
      <c r="B58">
        <v>0.66825999999999963</v>
      </c>
      <c r="C58">
        <v>153.29525038722485</v>
      </c>
      <c r="D58">
        <v>4.0262089379978923</v>
      </c>
      <c r="E58">
        <v>77.058886205949605</v>
      </c>
      <c r="F58">
        <v>13.642840667163533</v>
      </c>
      <c r="G58">
        <v>0</v>
      </c>
      <c r="H58">
        <v>2.5</v>
      </c>
      <c r="I58">
        <v>0.25</v>
      </c>
      <c r="J58">
        <v>4.1353080039708177</v>
      </c>
      <c r="K58">
        <v>0.26350000000000001</v>
      </c>
    </row>
    <row r="59" spans="1:11" x14ac:dyDescent="0.2">
      <c r="A59" s="3">
        <v>53</v>
      </c>
      <c r="B59">
        <v>0.66825999999999963</v>
      </c>
      <c r="C59">
        <v>153.29525038722485</v>
      </c>
      <c r="D59">
        <v>4.0262089379978923</v>
      </c>
      <c r="E59">
        <v>77.058886205949605</v>
      </c>
      <c r="F59">
        <v>13.642840667163533</v>
      </c>
      <c r="G59">
        <v>0</v>
      </c>
      <c r="H59">
        <v>2.5</v>
      </c>
      <c r="I59">
        <v>0.25</v>
      </c>
      <c r="J59">
        <v>4.1353080039708177</v>
      </c>
      <c r="K59">
        <v>0.26350000000000001</v>
      </c>
    </row>
    <row r="60" spans="1:11" x14ac:dyDescent="0.2">
      <c r="A60" s="3">
        <v>54</v>
      </c>
      <c r="B60">
        <v>0.66825999999999963</v>
      </c>
      <c r="C60">
        <v>153.29525038722485</v>
      </c>
      <c r="D60">
        <v>4.0262089379978923</v>
      </c>
      <c r="E60">
        <v>77.058886205949605</v>
      </c>
      <c r="F60">
        <v>13.642840667163533</v>
      </c>
      <c r="G60">
        <v>0</v>
      </c>
      <c r="H60">
        <v>2.5</v>
      </c>
      <c r="I60">
        <v>0.25</v>
      </c>
      <c r="J60">
        <v>4.1353080039708177</v>
      </c>
      <c r="K60">
        <v>0.26350000000000001</v>
      </c>
    </row>
    <row r="61" spans="1:11" x14ac:dyDescent="0.2">
      <c r="A61" s="3">
        <v>55</v>
      </c>
      <c r="B61">
        <v>0.66825999999999963</v>
      </c>
      <c r="C61">
        <v>153.29525038722485</v>
      </c>
      <c r="D61">
        <v>4.0262089379978923</v>
      </c>
      <c r="E61">
        <v>77.058886205949605</v>
      </c>
      <c r="F61">
        <v>13.642840667163533</v>
      </c>
      <c r="G61">
        <v>0</v>
      </c>
      <c r="H61">
        <v>2.5</v>
      </c>
      <c r="I61">
        <v>0.25</v>
      </c>
      <c r="J61">
        <v>4.1353080039708177</v>
      </c>
      <c r="K61">
        <v>0.26350000000000001</v>
      </c>
    </row>
    <row r="62" spans="1:11" x14ac:dyDescent="0.2">
      <c r="A62" s="3">
        <v>57</v>
      </c>
      <c r="B62">
        <v>0.66825999999999963</v>
      </c>
      <c r="C62">
        <v>153.29525038722485</v>
      </c>
      <c r="D62">
        <v>4.0262089379978923</v>
      </c>
      <c r="E62">
        <v>77.058886205949605</v>
      </c>
      <c r="F62">
        <v>13.642840667163533</v>
      </c>
      <c r="G62">
        <v>0</v>
      </c>
      <c r="H62">
        <v>2.5</v>
      </c>
      <c r="I62">
        <v>0.25</v>
      </c>
      <c r="J62">
        <v>4.1353080039708177</v>
      </c>
      <c r="K62">
        <v>0.26350000000000001</v>
      </c>
    </row>
    <row r="63" spans="1:11" x14ac:dyDescent="0.2">
      <c r="A63" s="3">
        <v>58</v>
      </c>
      <c r="B63">
        <v>0.66825999999999963</v>
      </c>
      <c r="C63">
        <v>153.29525038722485</v>
      </c>
      <c r="D63">
        <v>4.0262089379978923</v>
      </c>
      <c r="E63">
        <v>77.058886205949605</v>
      </c>
      <c r="F63">
        <v>13.642840667163533</v>
      </c>
      <c r="G63">
        <v>0</v>
      </c>
      <c r="H63">
        <v>2.5</v>
      </c>
      <c r="I63">
        <v>0.25</v>
      </c>
      <c r="J63">
        <v>4.1353080039708177</v>
      </c>
      <c r="K63">
        <v>0.26350000000000001</v>
      </c>
    </row>
    <row r="64" spans="1:11" x14ac:dyDescent="0.2">
      <c r="A64" s="3">
        <v>59</v>
      </c>
      <c r="B64">
        <v>0.66825999999999963</v>
      </c>
      <c r="C64">
        <v>153.29525038722485</v>
      </c>
      <c r="D64">
        <v>4.0262089379978923</v>
      </c>
      <c r="E64">
        <v>77.058886205949605</v>
      </c>
      <c r="F64">
        <v>13.642840667163533</v>
      </c>
      <c r="G64">
        <v>0</v>
      </c>
      <c r="H64">
        <v>2.5</v>
      </c>
      <c r="I64">
        <v>0.25</v>
      </c>
      <c r="J64">
        <v>4.1353080039708177</v>
      </c>
      <c r="K64">
        <v>0.26350000000000001</v>
      </c>
    </row>
    <row r="65" spans="1:11" x14ac:dyDescent="0.2">
      <c r="A65" s="3">
        <v>60</v>
      </c>
      <c r="B65">
        <v>0.66825999999999963</v>
      </c>
      <c r="C65">
        <v>153.29525038722485</v>
      </c>
      <c r="D65">
        <v>4.0262089379978923</v>
      </c>
      <c r="E65">
        <v>77.058886205949605</v>
      </c>
      <c r="F65">
        <v>13.642840667163533</v>
      </c>
      <c r="G65">
        <v>0</v>
      </c>
      <c r="H65">
        <v>2.5</v>
      </c>
      <c r="I65">
        <v>0.25</v>
      </c>
      <c r="J65">
        <v>4.1353080039708177</v>
      </c>
      <c r="K65">
        <v>0.26350000000000001</v>
      </c>
    </row>
    <row r="66" spans="1:11" x14ac:dyDescent="0.2">
      <c r="A66" s="3">
        <v>61</v>
      </c>
      <c r="B66">
        <v>0.66825999999999963</v>
      </c>
      <c r="C66">
        <v>153.29525038722485</v>
      </c>
      <c r="D66">
        <v>4.0262089379978923</v>
      </c>
      <c r="E66">
        <v>77.058886205949605</v>
      </c>
      <c r="F66">
        <v>13.642840667163533</v>
      </c>
      <c r="G66">
        <v>0</v>
      </c>
      <c r="H66">
        <v>2.5</v>
      </c>
      <c r="I66">
        <v>0.25</v>
      </c>
      <c r="J66">
        <v>4.1353080039708177</v>
      </c>
      <c r="K66">
        <v>0.26350000000000001</v>
      </c>
    </row>
    <row r="67" spans="1:11" x14ac:dyDescent="0.2">
      <c r="A67" s="3">
        <v>62</v>
      </c>
      <c r="B67">
        <v>0.66825999999999963</v>
      </c>
      <c r="C67">
        <v>153.29525038722485</v>
      </c>
      <c r="D67">
        <v>4.0262089379978923</v>
      </c>
      <c r="E67">
        <v>77.058886205949605</v>
      </c>
      <c r="F67">
        <v>13.642840667163533</v>
      </c>
      <c r="G67">
        <v>0</v>
      </c>
      <c r="H67">
        <v>2.5</v>
      </c>
      <c r="I67">
        <v>0.25</v>
      </c>
      <c r="J67">
        <v>4.1353080039708177</v>
      </c>
      <c r="K67">
        <v>0.26350000000000001</v>
      </c>
    </row>
    <row r="68" spans="1:11" x14ac:dyDescent="0.2">
      <c r="A68" s="3">
        <v>60</v>
      </c>
      <c r="B68">
        <v>0.66825999999999963</v>
      </c>
      <c r="C68">
        <v>153.29525038722485</v>
      </c>
      <c r="D68">
        <v>4.0262089379978923</v>
      </c>
      <c r="E68">
        <v>77.058886205949605</v>
      </c>
      <c r="F68">
        <v>13.642840667163533</v>
      </c>
      <c r="G68">
        <v>0</v>
      </c>
      <c r="H68">
        <v>2.5</v>
      </c>
      <c r="I68">
        <v>0.25</v>
      </c>
      <c r="J68">
        <v>4.1353080039708177</v>
      </c>
      <c r="K68">
        <v>0.26350000000000001</v>
      </c>
    </row>
  </sheetData>
  <phoneticPr fontId="2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175</vt:i4>
      </vt:variant>
    </vt:vector>
  </HeadingPairs>
  <TitlesOfParts>
    <vt:vector size="184" baseType="lpstr">
      <vt:lpstr>Serdang</vt:lpstr>
      <vt:lpstr>Meteorology</vt:lpstr>
      <vt:lpstr>Photosynthesis</vt:lpstr>
      <vt:lpstr>ET</vt:lpstr>
      <vt:lpstr>Water</vt:lpstr>
      <vt:lpstr>Growth</vt:lpstr>
      <vt:lpstr>Tables</vt:lpstr>
      <vt:lpstr>Control</vt:lpstr>
      <vt:lpstr>Output</vt:lpstr>
      <vt:lpstr>_criteria</vt:lpstr>
      <vt:lpstr>_operation</vt:lpstr>
      <vt:lpstr>_option</vt:lpstr>
      <vt:lpstr>_prerun</vt:lpstr>
      <vt:lpstr>_read</vt:lpstr>
      <vt:lpstr>_step</vt:lpstr>
      <vt:lpstr>_stepsize</vt:lpstr>
      <vt:lpstr>_write</vt:lpstr>
      <vt:lpstr>A</vt:lpstr>
      <vt:lpstr>Ac</vt:lpstr>
      <vt:lpstr>AETc</vt:lpstr>
      <vt:lpstr>AETs</vt:lpstr>
      <vt:lpstr>alpha</vt:lpstr>
      <vt:lpstr>As</vt:lpstr>
      <vt:lpstr>assim</vt:lpstr>
      <vt:lpstr>Ci</vt:lpstr>
      <vt:lpstr>co2pt</vt:lpstr>
      <vt:lpstr>d</vt:lpstr>
      <vt:lpstr>date</vt:lpstr>
      <vt:lpstr>dayassim</vt:lpstr>
      <vt:lpstr>dayassim_c</vt:lpstr>
      <vt:lpstr>decl</vt:lpstr>
      <vt:lpstr>dg</vt:lpstr>
      <vt:lpstr>DL</vt:lpstr>
      <vt:lpstr>dm</vt:lpstr>
      <vt:lpstr>Dmv</vt:lpstr>
      <vt:lpstr>doy</vt:lpstr>
      <vt:lpstr>droot</vt:lpstr>
      <vt:lpstr>dvr</vt:lpstr>
      <vt:lpstr>dvr_dvr0</vt:lpstr>
      <vt:lpstr>dvr_dvr1</vt:lpstr>
      <vt:lpstr>dvr_Ta</vt:lpstr>
      <vt:lpstr>dvs</vt:lpstr>
      <vt:lpstr>ea</vt:lpstr>
      <vt:lpstr>eage</vt:lpstr>
      <vt:lpstr>eL</vt:lpstr>
      <vt:lpstr>em</vt:lpstr>
      <vt:lpstr>es</vt:lpstr>
      <vt:lpstr>esh</vt:lpstr>
      <vt:lpstr>FGL</vt:lpstr>
      <vt:lpstr>FO</vt:lpstr>
      <vt:lpstr>FR</vt:lpstr>
      <vt:lpstr>frac_dvs</vt:lpstr>
      <vt:lpstr>frac_FGL</vt:lpstr>
      <vt:lpstr>frac_FO</vt:lpstr>
      <vt:lpstr>frac_FR</vt:lpstr>
      <vt:lpstr>frac_FS</vt:lpstr>
      <vt:lpstr>frac_SLA</vt:lpstr>
      <vt:lpstr>FS</vt:lpstr>
      <vt:lpstr>G</vt:lpstr>
      <vt:lpstr>GGL</vt:lpstr>
      <vt:lpstr>GO</vt:lpstr>
      <vt:lpstr>GR</vt:lpstr>
      <vt:lpstr>GS</vt:lpstr>
      <vt:lpstr>GT</vt:lpstr>
      <vt:lpstr>h</vt:lpstr>
      <vt:lpstr>h_b0</vt:lpstr>
      <vt:lpstr>h_b1</vt:lpstr>
      <vt:lpstr>ha</vt:lpstr>
      <vt:lpstr>Hc</vt:lpstr>
      <vt:lpstr>hm</vt:lpstr>
      <vt:lpstr>Hs</vt:lpstr>
      <vt:lpstr>hydraulic_vwc</vt:lpstr>
      <vt:lpstr>Ic</vt:lpstr>
      <vt:lpstr>Idf</vt:lpstr>
      <vt:lpstr>Idfd</vt:lpstr>
      <vt:lpstr>Idr</vt:lpstr>
      <vt:lpstr>Idrd</vt:lpstr>
      <vt:lpstr>Iet</vt:lpstr>
      <vt:lpstr>Ietd</vt:lpstr>
      <vt:lpstr>It</vt:lpstr>
      <vt:lpstr>Itd</vt:lpstr>
      <vt:lpstr>k</vt:lpstr>
      <vt:lpstr>Kc</vt:lpstr>
      <vt:lpstr>kdf</vt:lpstr>
      <vt:lpstr>kdr</vt:lpstr>
      <vt:lpstr>Kh</vt:lpstr>
      <vt:lpstr>kmGL</vt:lpstr>
      <vt:lpstr>kmO</vt:lpstr>
      <vt:lpstr>kmR</vt:lpstr>
      <vt:lpstr>kmS</vt:lpstr>
      <vt:lpstr>Ko</vt:lpstr>
      <vt:lpstr>kRn</vt:lpstr>
      <vt:lpstr>L</vt:lpstr>
      <vt:lpstr>lat</vt:lpstr>
      <vt:lpstr>leafwidth</vt:lpstr>
      <vt:lpstr>LET</vt:lpstr>
      <vt:lpstr>LETc</vt:lpstr>
      <vt:lpstr>LETs</vt:lpstr>
      <vt:lpstr>Lmax</vt:lpstr>
      <vt:lpstr>Lsh</vt:lpstr>
      <vt:lpstr>Lsl</vt:lpstr>
      <vt:lpstr>m</vt:lpstr>
      <vt:lpstr>matric_Hm</vt:lpstr>
      <vt:lpstr>matric_vwc</vt:lpstr>
      <vt:lpstr>nK</vt:lpstr>
      <vt:lpstr>nu</vt:lpstr>
      <vt:lpstr>Oa</vt:lpstr>
      <vt:lpstr>p</vt:lpstr>
      <vt:lpstr>pcp</vt:lpstr>
      <vt:lpstr>PET</vt:lpstr>
      <vt:lpstr>PETc</vt:lpstr>
      <vt:lpstr>PETs</vt:lpstr>
      <vt:lpstr>Pg</vt:lpstr>
      <vt:lpstr>Pn</vt:lpstr>
      <vt:lpstr>pp</vt:lpstr>
      <vt:lpstr>pRn</vt:lpstr>
      <vt:lpstr>psycho</vt:lpstr>
      <vt:lpstr>Qdf</vt:lpstr>
      <vt:lpstr>Qdr</vt:lpstr>
      <vt:lpstr>Qsh</vt:lpstr>
      <vt:lpstr>Qsl</vt:lpstr>
      <vt:lpstr>raa</vt:lpstr>
      <vt:lpstr>rca</vt:lpstr>
      <vt:lpstr>rcs</vt:lpstr>
      <vt:lpstr>RDT</vt:lpstr>
      <vt:lpstr>RH</vt:lpstr>
      <vt:lpstr>RHd</vt:lpstr>
      <vt:lpstr>RM</vt:lpstr>
      <vt:lpstr>RM_c</vt:lpstr>
      <vt:lpstr>Rn</vt:lpstr>
      <vt:lpstr>RnL</vt:lpstr>
      <vt:lpstr>rsa</vt:lpstr>
      <vt:lpstr>rss</vt:lpstr>
      <vt:lpstr>rst</vt:lpstr>
      <vt:lpstr>SB</vt:lpstr>
      <vt:lpstr>site</vt:lpstr>
      <vt:lpstr>SLA</vt:lpstr>
      <vt:lpstr>slopesvp</vt:lpstr>
      <vt:lpstr>stom_a1</vt:lpstr>
      <vt:lpstr>stom_a2</vt:lpstr>
      <vt:lpstr>sunazi</vt:lpstr>
      <vt:lpstr>sunhgt</vt:lpstr>
      <vt:lpstr>sunhr</vt:lpstr>
      <vt:lpstr>suninc</vt:lpstr>
      <vt:lpstr>Ta</vt:lpstr>
      <vt:lpstr>Tak</vt:lpstr>
      <vt:lpstr>tau</vt:lpstr>
      <vt:lpstr>Tb</vt:lpstr>
      <vt:lpstr>Tdcal</vt:lpstr>
      <vt:lpstr>Tdmax</vt:lpstr>
      <vt:lpstr>Tf</vt:lpstr>
      <vt:lpstr>th</vt:lpstr>
      <vt:lpstr>Tmax</vt:lpstr>
      <vt:lpstr>Tmean</vt:lpstr>
      <vt:lpstr>Tmin</vt:lpstr>
      <vt:lpstr>Tset</vt:lpstr>
      <vt:lpstr>tsr</vt:lpstr>
      <vt:lpstr>tss</vt:lpstr>
      <vt:lpstr>Tts</vt:lpstr>
      <vt:lpstr>Tts_total</vt:lpstr>
      <vt:lpstr>u</vt:lpstr>
      <vt:lpstr>ud</vt:lpstr>
      <vt:lpstr>uh</vt:lpstr>
      <vt:lpstr>umax</vt:lpstr>
      <vt:lpstr>umin</vt:lpstr>
      <vt:lpstr>ustar</vt:lpstr>
      <vt:lpstr>vc</vt:lpstr>
      <vt:lpstr>Vcmax</vt:lpstr>
      <vt:lpstr>vpd</vt:lpstr>
      <vt:lpstr>vpd0</vt:lpstr>
      <vt:lpstr>vqsh</vt:lpstr>
      <vt:lpstr>vqsl</vt:lpstr>
      <vt:lpstr>vs</vt:lpstr>
      <vt:lpstr>WDL</vt:lpstr>
      <vt:lpstr>wg</vt:lpstr>
      <vt:lpstr>WGL</vt:lpstr>
      <vt:lpstr>wm</vt:lpstr>
      <vt:lpstr>WO</vt:lpstr>
      <vt:lpstr>WR</vt:lpstr>
      <vt:lpstr>WS</vt:lpstr>
      <vt:lpstr>WT</vt:lpstr>
      <vt:lpstr>z0</vt:lpstr>
      <vt:lpstr>zr</vt:lpstr>
      <vt:lpstr>zs0</vt:lpstr>
    </vt:vector>
  </TitlesOfParts>
  <Company>Dept. Land Management, UPM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BuildIt ver 1.0</dc:title>
  <dc:subject>Excel template</dc:subject>
  <dc:creator>C.B.S. Teh</dc:creator>
  <cp:keywords>Excel, model, simulation, crop</cp:keywords>
  <dc:description>General crop growth model</dc:description>
  <cp:lastModifiedBy>大北悠人</cp:lastModifiedBy>
  <dcterms:created xsi:type="dcterms:W3CDTF">2008-03-27T12:53:58Z</dcterms:created>
  <dcterms:modified xsi:type="dcterms:W3CDTF">2018-04-03T07:11:23Z</dcterms:modified>
</cp:coreProperties>
</file>