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buildit\3. Book examples\Ch09\最適モデル\"/>
    </mc:Choice>
  </mc:AlternateContent>
  <bookViews>
    <workbookView xWindow="3000" yWindow="-375" windowWidth="6570" windowHeight="7815" tabRatio="546" firstSheet="2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Tables!$E$4:$E$12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7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7" hidden="1">1</definedName>
    <definedName name="solver_neg" localSheetId="5" hidden="1">1</definedName>
    <definedName name="solver_nod" localSheetId="5" hidden="1">2147483647</definedName>
    <definedName name="solver_num" localSheetId="7" hidden="1">0</definedName>
    <definedName name="solver_num" localSheetId="5" hidden="1">0</definedName>
    <definedName name="solver_nwt" localSheetId="5" hidden="1">1</definedName>
    <definedName name="solver_opt" localSheetId="7" hidden="1">Output!$F$8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7" hidden="1">1</definedName>
    <definedName name="solver_typ" localSheetId="5" hidden="1">3</definedName>
    <definedName name="solver_val" localSheetId="7" hidden="1">0</definedName>
    <definedName name="solver_val" localSheetId="5" hidden="1">0</definedName>
    <definedName name="solver_ver" localSheetId="7" hidden="1">3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1027" concurrentCalc="0"/>
</workbook>
</file>

<file path=xl/calcChain.xml><?xml version="1.0" encoding="utf-8"?>
<calcChain xmlns="http://schemas.openxmlformats.org/spreadsheetml/2006/main">
  <c r="E10" i="18" l="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L8" i="11"/>
  <c r="E12" i="18"/>
  <c r="E11" i="18"/>
  <c r="E9" i="18"/>
  <c r="E8" i="18"/>
  <c r="E7" i="18"/>
  <c r="E6" i="18"/>
  <c r="E5" i="18"/>
  <c r="E4" i="18"/>
  <c r="J37" i="11"/>
  <c r="K37" i="11"/>
  <c r="I6" i="17"/>
  <c r="H15" i="17"/>
  <c r="I5" i="17"/>
  <c r="I15" i="17"/>
  <c r="J5" i="17"/>
  <c r="J15" i="17"/>
  <c r="H27" i="16"/>
  <c r="H21" i="16"/>
  <c r="H37" i="11"/>
  <c r="H34" i="11"/>
  <c r="H36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40" i="11"/>
  <c r="H9" i="11"/>
  <c r="H27" i="11"/>
  <c r="I27" i="11"/>
  <c r="B8" i="10"/>
  <c r="E2" i="10"/>
  <c r="E3" i="10"/>
  <c r="I37" i="11"/>
  <c r="I36" i="11"/>
  <c r="H35" i="11"/>
  <c r="I35" i="11"/>
  <c r="I34" i="11"/>
  <c r="H33" i="11"/>
  <c r="I33" i="11"/>
  <c r="H32" i="11"/>
  <c r="I32" i="11"/>
  <c r="H31" i="11"/>
  <c r="I31" i="11"/>
  <c r="H30" i="11"/>
  <c r="I30" i="11"/>
  <c r="H29" i="11"/>
  <c r="I29" i="11"/>
  <c r="H28" i="11"/>
  <c r="I28" i="11"/>
  <c r="H26" i="11"/>
  <c r="I26" i="11"/>
  <c r="H25" i="11"/>
  <c r="I25" i="11"/>
  <c r="H24" i="11"/>
  <c r="I24" i="11"/>
  <c r="H23" i="11"/>
  <c r="I23" i="11"/>
  <c r="H22" i="11"/>
  <c r="I22" i="11"/>
  <c r="H21" i="11"/>
  <c r="I21" i="11"/>
  <c r="H20" i="11"/>
  <c r="I20" i="11"/>
  <c r="H19" i="11"/>
  <c r="I19" i="11"/>
  <c r="H18" i="11"/>
  <c r="I18" i="11"/>
  <c r="H17" i="11"/>
  <c r="I17" i="11"/>
  <c r="H16" i="11"/>
  <c r="I16" i="11"/>
  <c r="H15" i="11"/>
  <c r="I15" i="11"/>
  <c r="H14" i="11"/>
  <c r="I14" i="11"/>
  <c r="H13" i="11"/>
  <c r="I13" i="11"/>
  <c r="H12" i="11"/>
  <c r="I12" i="11"/>
  <c r="H11" i="11"/>
  <c r="I11" i="11"/>
  <c r="H10" i="11"/>
  <c r="I10" i="11"/>
  <c r="I9" i="11"/>
  <c r="H8" i="11"/>
  <c r="I8" i="11"/>
  <c r="J7" i="17"/>
  <c r="I7" i="17"/>
  <c r="H7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B2" i="10"/>
  <c r="E20" i="9"/>
  <c r="A3" i="11"/>
  <c r="H21" i="10"/>
  <c r="F3" i="11"/>
  <c r="E3" i="9"/>
  <c r="H2" i="9"/>
  <c r="J6" i="15"/>
  <c r="H5" i="10"/>
  <c r="I21" i="10"/>
  <c r="E4" i="16"/>
  <c r="H6" i="17"/>
  <c r="H5" i="17"/>
  <c r="H18" i="17"/>
  <c r="H12" i="17"/>
  <c r="H19" i="17"/>
  <c r="I18" i="17"/>
  <c r="I19" i="17"/>
  <c r="J6" i="17"/>
  <c r="I12" i="17"/>
  <c r="J18" i="17"/>
  <c r="J19" i="17"/>
  <c r="J12" i="17"/>
  <c r="G4" i="15"/>
  <c r="E9" i="16"/>
  <c r="J4" i="10"/>
  <c r="H4" i="10"/>
  <c r="J3" i="10"/>
  <c r="H3" i="10"/>
  <c r="B19" i="16"/>
  <c r="E41" i="16"/>
  <c r="E33" i="16"/>
  <c r="E24" i="16"/>
  <c r="E17" i="16"/>
  <c r="E16" i="16"/>
  <c r="H29" i="16"/>
  <c r="E30" i="16"/>
  <c r="E25" i="16"/>
  <c r="J2" i="10"/>
  <c r="G13" i="15"/>
  <c r="G12" i="15"/>
  <c r="G7" i="15"/>
  <c r="G8" i="15"/>
  <c r="J21" i="15"/>
  <c r="G14" i="15"/>
  <c r="H2" i="10"/>
  <c r="E21" i="9"/>
  <c r="B9" i="9"/>
  <c r="H3" i="17"/>
  <c r="I3" i="17"/>
  <c r="J3" i="17"/>
  <c r="H2" i="17"/>
  <c r="I2" i="17"/>
  <c r="J2" i="17"/>
  <c r="E6" i="9"/>
  <c r="E2" i="9"/>
  <c r="E7" i="9"/>
  <c r="E8" i="9"/>
  <c r="E12" i="9"/>
  <c r="E11" i="9"/>
  <c r="E10" i="9"/>
  <c r="E50" i="9"/>
  <c r="B3" i="11"/>
  <c r="E17" i="17"/>
  <c r="E9" i="9"/>
  <c r="E22" i="9"/>
  <c r="E23" i="9"/>
  <c r="E9" i="17"/>
  <c r="J9" i="17"/>
  <c r="I9" i="17"/>
  <c r="H9" i="17"/>
  <c r="E10" i="17"/>
  <c r="E5" i="16"/>
  <c r="J11" i="17"/>
  <c r="J10" i="17"/>
  <c r="I11" i="17"/>
  <c r="I10" i="17"/>
  <c r="H11" i="17"/>
  <c r="H10" i="17"/>
  <c r="I14" i="17"/>
  <c r="H13" i="17"/>
  <c r="J14" i="17"/>
  <c r="I13" i="17"/>
  <c r="J13" i="17"/>
  <c r="H16" i="17"/>
  <c r="E5" i="17"/>
  <c r="C3" i="11"/>
  <c r="E6" i="16"/>
  <c r="E42" i="16"/>
  <c r="I16" i="17"/>
  <c r="D3" i="11"/>
  <c r="J16" i="17"/>
  <c r="E3" i="11"/>
  <c r="E11" i="17"/>
  <c r="E16" i="9"/>
  <c r="E24" i="9"/>
  <c r="H3" i="9"/>
  <c r="H4" i="9"/>
  <c r="E25" i="9"/>
  <c r="H20" i="9"/>
  <c r="E6" i="17"/>
  <c r="H17" i="17"/>
  <c r="G9" i="15"/>
  <c r="G10" i="15"/>
  <c r="G11" i="15"/>
  <c r="E26" i="9"/>
  <c r="E15" i="9"/>
  <c r="E17" i="9"/>
  <c r="E51" i="9"/>
  <c r="E52" i="9"/>
  <c r="L2" i="10"/>
  <c r="E32" i="9"/>
  <c r="E12" i="17"/>
  <c r="E13" i="17"/>
  <c r="E14" i="17"/>
  <c r="H20" i="17"/>
  <c r="H21" i="17"/>
  <c r="I20" i="17"/>
  <c r="I21" i="17"/>
  <c r="J20" i="17"/>
  <c r="J21" i="17"/>
  <c r="J22" i="17"/>
  <c r="E33" i="9"/>
  <c r="E34" i="9"/>
  <c r="K2" i="10"/>
  <c r="E35" i="9"/>
  <c r="E36" i="9"/>
  <c r="E53" i="9"/>
  <c r="E18" i="16"/>
  <c r="H5" i="9"/>
  <c r="H18" i="9"/>
  <c r="H27" i="9"/>
  <c r="H28" i="9"/>
  <c r="E27" i="9"/>
  <c r="E28" i="9"/>
  <c r="E29" i="9"/>
  <c r="G17" i="15"/>
  <c r="E37" i="9"/>
  <c r="E40" i="9"/>
  <c r="E42" i="9"/>
  <c r="E41" i="9"/>
  <c r="E43" i="9"/>
  <c r="E44" i="9"/>
  <c r="G18" i="15"/>
  <c r="H19" i="9"/>
  <c r="H21" i="9"/>
  <c r="H7" i="9"/>
  <c r="H10" i="9"/>
  <c r="H11" i="9"/>
  <c r="H8" i="9"/>
  <c r="H9" i="9"/>
  <c r="E29" i="16"/>
  <c r="E28" i="16"/>
  <c r="E31" i="16"/>
  <c r="E20" i="16"/>
  <c r="E23" i="16"/>
  <c r="E26" i="16"/>
  <c r="E19" i="16"/>
  <c r="E34" i="16"/>
  <c r="E35" i="16"/>
  <c r="I22" i="17"/>
  <c r="I5" i="10"/>
  <c r="H22" i="17"/>
  <c r="H12" i="9"/>
  <c r="H14" i="9"/>
  <c r="H13" i="9"/>
  <c r="H23" i="9"/>
  <c r="H22" i="9"/>
  <c r="H24" i="9"/>
  <c r="H2" i="16"/>
  <c r="H4" i="16"/>
  <c r="H11" i="16"/>
  <c r="H18" i="16"/>
  <c r="H33" i="16"/>
  <c r="E47" i="9"/>
  <c r="H40" i="9"/>
  <c r="H15" i="9"/>
  <c r="H16" i="9"/>
  <c r="E37" i="16"/>
  <c r="E38" i="16"/>
  <c r="E39" i="16"/>
  <c r="H32" i="9"/>
  <c r="H29" i="9"/>
  <c r="H41" i="9"/>
  <c r="H26" i="9"/>
  <c r="H35" i="9"/>
  <c r="H33" i="9"/>
  <c r="H34" i="9"/>
  <c r="E10" i="16"/>
  <c r="E11" i="16"/>
  <c r="E12" i="16"/>
  <c r="H31" i="9"/>
  <c r="H30" i="9"/>
  <c r="H37" i="16"/>
  <c r="H3" i="16"/>
  <c r="H24" i="16"/>
  <c r="H8" i="16"/>
  <c r="H36" i="9"/>
  <c r="H5" i="16"/>
  <c r="H6" i="16"/>
  <c r="E13" i="16"/>
  <c r="G22" i="15"/>
  <c r="J7" i="15"/>
  <c r="H37" i="9"/>
  <c r="G21" i="15"/>
  <c r="J4" i="15"/>
  <c r="J3" i="15"/>
  <c r="J5" i="15"/>
  <c r="J10" i="15"/>
  <c r="J11" i="15"/>
  <c r="H7" i="16"/>
  <c r="H9" i="16"/>
  <c r="H10" i="16"/>
  <c r="H12" i="16"/>
  <c r="H13" i="16"/>
  <c r="H15" i="16"/>
  <c r="H32" i="16"/>
  <c r="H34" i="16"/>
  <c r="H17" i="16"/>
  <c r="H19" i="16"/>
  <c r="I3" i="10"/>
  <c r="H36" i="16"/>
  <c r="H38" i="16"/>
  <c r="K2" i="16"/>
  <c r="G3" i="15"/>
  <c r="H23" i="16"/>
  <c r="H25" i="16"/>
  <c r="I4" i="10"/>
  <c r="D8" i="15"/>
  <c r="J14" i="15"/>
  <c r="D6" i="15"/>
  <c r="D9" i="15"/>
  <c r="D7" i="15"/>
  <c r="J16" i="15"/>
  <c r="J15" i="15"/>
  <c r="J18" i="15"/>
  <c r="J17" i="15"/>
  <c r="J19" i="15"/>
  <c r="I2" i="10"/>
</calcChain>
</file>

<file path=xl/sharedStrings.xml><?xml version="1.0" encoding="utf-8"?>
<sst xmlns="http://schemas.openxmlformats.org/spreadsheetml/2006/main" count="334" uniqueCount="294">
  <si>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</si>
  <si>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</si>
  <si>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</si>
  <si>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</si>
  <si>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</si>
  <si>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</si>
  <si>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</si>
  <si>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</si>
  <si>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</si>
  <si>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</si>
  <si>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</si>
  <si>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</si>
  <si>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</si>
  <si>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</si>
  <si>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</si>
  <si>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</si>
  <si>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</si>
  <si>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</si>
  <si>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</si>
  <si>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</si>
  <si>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</si>
  <si>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</si>
  <si>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</si>
  <si>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</si>
  <si>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</si>
  <si>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</si>
  <si>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</si>
  <si>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</si>
  <si>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</si>
  <si>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</si>
  <si>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</si>
  <si>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</si>
  <si>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</si>
  <si>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</si>
  <si>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</si>
  <si>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</si>
  <si>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</si>
  <si>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</si>
  <si>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</si>
  <si>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</si>
  <si>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</si>
  <si>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</si>
  <si>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</si>
  <si>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</si>
  <si>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</si>
  <si>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</si>
  <si>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</si>
  <si>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</si>
  <si>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</si>
  <si>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</si>
  <si>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</si>
  <si>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</si>
  <si>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</si>
  <si>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</si>
  <si>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</si>
  <si>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</si>
  <si>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</si>
  <si>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</si>
  <si>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</si>
  <si>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</si>
  <si>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</si>
  <si>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</si>
  <si>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</si>
  <si>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</si>
  <si>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</si>
  <si>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</si>
  <si>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</si>
  <si>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</si>
  <si>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</si>
  <si>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</si>
  <si>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</si>
  <si>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</si>
  <si>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</si>
  <si>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</si>
  <si>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</si>
  <si>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</si>
  <si>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</si>
  <si>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</si>
  <si>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</si>
  <si>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</si>
  <si>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</si>
  <si>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</si>
  <si>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</si>
  <si>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</si>
  <si>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</si>
  <si>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</si>
  <si>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</si>
  <si>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</si>
  <si>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</si>
  <si>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</si>
  <si>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</si>
  <si>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</si>
  <si>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</si>
  <si>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</si>
  <si>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</si>
  <si>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</si>
  <si>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</si>
  <si>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</si>
  <si>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</si>
  <si>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</si>
  <si>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</si>
  <si>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</si>
  <si>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</si>
  <si>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</si>
  <si>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</si>
  <si>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</si>
  <si>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</si>
  <si>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</si>
  <si>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</si>
  <si>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</si>
  <si>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</si>
  <si>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</si>
  <si>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</si>
  <si>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</si>
  <si>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</si>
  <si>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</si>
  <si>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</si>
  <si>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</si>
  <si>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</si>
  <si>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</si>
  <si>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</si>
  <si>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</si>
  <si>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</si>
  <si>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</si>
  <si>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</si>
  <si>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</si>
  <si>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</si>
  <si>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</si>
  <si>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</si>
  <si>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</si>
  <si>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</si>
  <si>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</si>
  <si>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</si>
  <si>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</si>
  <si>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</si>
  <si>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</si>
  <si>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</si>
  <si>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</si>
  <si>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</si>
  <si>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</si>
  <si>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</si>
  <si>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</si>
  <si>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</si>
  <si>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</si>
  <si>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</si>
  <si>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</si>
  <si>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</si>
  <si>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</si>
  <si>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</si>
  <si>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</si>
  <si>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</si>
  <si>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</si>
  <si>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</si>
  <si>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</si>
  <si>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</si>
  <si>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</si>
  <si>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</si>
  <si>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</si>
  <si>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</si>
  <si>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</si>
  <si>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</si>
  <si>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</si>
  <si>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</si>
  <si>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</si>
  <si>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</si>
  <si>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</si>
  <si>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</si>
  <si>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</si>
  <si>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</si>
  <si>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</si>
  <si>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</si>
  <si>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</si>
  <si>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</si>
  <si>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</si>
  <si>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</si>
  <si>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</si>
  <si>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</si>
  <si>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</si>
  <si>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</si>
  <si>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</si>
  <si>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</si>
  <si>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</si>
  <si>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</si>
  <si>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</si>
  <si>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</si>
  <si>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</si>
  <si>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</si>
  <si>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</si>
  <si>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</si>
  <si>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</si>
  <si>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</si>
  <si>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</si>
  <si>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</si>
  <si>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</si>
  <si>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</si>
  <si>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</si>
  <si>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</si>
  <si>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</si>
  <si>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</si>
  <si>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</si>
  <si>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</si>
  <si>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</si>
  <si>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</si>
  <si>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</si>
  <si>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</si>
  <si>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</si>
  <si>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</si>
  <si>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</si>
  <si>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</si>
  <si>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</si>
  <si>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</si>
  <si>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</si>
  <si>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</si>
  <si>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</si>
  <si>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</si>
  <si>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</si>
  <si>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</si>
  <si>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</si>
  <si>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</si>
  <si>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</si>
  <si>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</si>
  <si>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</si>
  <si>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</si>
  <si>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</si>
  <si>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</si>
  <si>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</si>
  <si>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</si>
  <si>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</si>
  <si>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</si>
  <si>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</si>
  <si>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</si>
  <si>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</si>
  <si>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</si>
  <si>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</si>
  <si>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</si>
  <si>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</si>
  <si>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</si>
  <si>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</si>
  <si>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</si>
  <si>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</si>
  <si>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</si>
  <si>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</si>
  <si>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</si>
  <si>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</si>
  <si>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</si>
  <si>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</si>
  <si>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</si>
  <si>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</si>
  <si>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</si>
  <si>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</si>
  <si>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</si>
  <si>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</si>
  <si>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</si>
  <si>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</si>
  <si>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</si>
  <si>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</si>
  <si>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</si>
  <si>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</si>
  <si>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</si>
  <si>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</si>
  <si>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</si>
  <si>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</si>
  <si>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</si>
  <si>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</si>
  <si>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</si>
  <si>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</si>
  <si>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</si>
  <si>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</si>
  <si>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</si>
  <si>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</si>
  <si>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</si>
  <si>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</si>
  <si>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</si>
  <si>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</si>
  <si>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</si>
  <si>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</si>
  <si>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</si>
  <si>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</si>
  <si>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</si>
  <si>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</si>
  <si>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</si>
  <si>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</si>
  <si>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</si>
  <si>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</si>
  <si>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</si>
  <si>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</si>
  <si>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</si>
  <si>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</si>
  <si>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実測値[mm]</t>
    <rPh sb="0" eb="3">
      <t>ジッソクチ</t>
    </rPh>
    <phoneticPr fontId="22"/>
  </si>
  <si>
    <r>
      <rPr>
        <sz val="9"/>
        <rFont val="ＭＳ Ｐゴシック"/>
        <family val="3"/>
        <charset val="128"/>
      </rPr>
      <t>実測値</t>
    </r>
    <r>
      <rPr>
        <sz val="9"/>
        <rFont val="Arial"/>
        <family val="2"/>
      </rPr>
      <t>[%]</t>
    </r>
    <rPh sb="0" eb="3">
      <t>ジッソクチ</t>
    </rPh>
    <phoneticPr fontId="22"/>
  </si>
  <si>
    <t>RAIN</t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</si>
  <si>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</si>
  <si>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</si>
  <si>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RSME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</si>
</sst>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,##0_ "/>
    <numFmt numFmtId="178" formatCode="#,##0.00_ "/>
    <numFmt numFmtId="179" formatCode="0.0_ "/>
    <numFmt numFmtId="180" formatCode="0.0%"/>
    <numFmt numFmtId="181" formatCode="0.0000_ "/>
    <numFmt numFmtId="182" formatCode="0.00_ "/>
  </numFmts>
  <fonts count="26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9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176" fontId="0" fillId="0" borderId="2" xfId="0" applyNumberFormat="1" applyBorder="1"/>
    <xf numFmtId="0" fontId="23" fillId="0" borderId="0" xfId="0" applyNumberFormat="1" applyFont="1" applyBorder="1"/>
    <xf numFmtId="177" fontId="23" fillId="0" borderId="0" xfId="0" applyNumberFormat="1" applyFon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178" fontId="0" fillId="0" borderId="2" xfId="0" applyNumberFormat="1" applyFont="1" applyBorder="1"/>
    <xf numFmtId="49" fontId="2" fillId="2" borderId="2" xfId="1" applyNumberFormat="1" applyFont="1" applyFill="1" applyBorder="1" applyAlignment="1">
      <alignment horizontal="center"/>
    </xf>
    <xf numFmtId="179" fontId="0" fillId="0" borderId="2" xfId="0" applyNumberFormat="1" applyBorder="1" applyAlignment="1">
      <alignment vertical="center"/>
    </xf>
    <xf numFmtId="179" fontId="0" fillId="0" borderId="2" xfId="0" applyNumberFormat="1" applyFont="1" applyBorder="1"/>
    <xf numFmtId="0" fontId="0" fillId="0" borderId="2" xfId="0" applyNumberFormat="1" applyFont="1" applyBorder="1"/>
    <xf numFmtId="0" fontId="24" fillId="0" borderId="0" xfId="0" applyFont="1"/>
    <xf numFmtId="180" fontId="1" fillId="0" borderId="0" xfId="0" applyNumberFormat="1" applyFont="1"/>
    <xf numFmtId="0" fontId="25" fillId="0" borderId="0" xfId="0" applyFont="1"/>
    <xf numFmtId="0" fontId="2" fillId="0" borderId="2" xfId="0" applyFont="1" applyBorder="1"/>
    <xf numFmtId="0" fontId="0" fillId="0" borderId="2" xfId="0" applyNumberFormat="1" applyBorder="1"/>
    <xf numFmtId="181" fontId="0" fillId="0" borderId="2" xfId="0" applyNumberFormat="1" applyBorder="1"/>
    <xf numFmtId="0" fontId="0" fillId="0" borderId="2" xfId="0" applyNumberFormat="1" applyFill="1" applyBorder="1"/>
    <xf numFmtId="0" fontId="0" fillId="0" borderId="2" xfId="0" applyBorder="1"/>
    <xf numFmtId="0" fontId="0" fillId="4" borderId="2" xfId="0" applyNumberFormat="1" applyFill="1" applyBorder="1"/>
    <xf numFmtId="0" fontId="0" fillId="4" borderId="2" xfId="0" applyFill="1" applyBorder="1"/>
    <xf numFmtId="0" fontId="2" fillId="3" borderId="2" xfId="0" applyFont="1" applyFill="1" applyBorder="1"/>
    <xf numFmtId="0" fontId="24" fillId="3" borderId="2" xfId="0" applyFont="1" applyFill="1" applyBorder="1"/>
    <xf numFmtId="182" fontId="0" fillId="0" borderId="0" xfId="0" applyNumberFormat="1"/>
    <xf numFmtId="11" fontId="1" fillId="0" borderId="0" xfId="0" applyNumberFormat="1" applyFont="1"/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Output!$C$8:$C$37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0.23403359147150843</c:v>
                </c:pt>
                <c:pt idx="2">
                  <c:v>0.2611828457841025</c:v>
                </c:pt>
                <c:pt idx="3">
                  <c:v>0.24171004311752375</c:v>
                </c:pt>
                <c:pt idx="4">
                  <c:v>0.23646834869145192</c:v>
                </c:pt>
                <c:pt idx="5">
                  <c:v>0.23484457499087541</c:v>
                </c:pt>
                <c:pt idx="6">
                  <c:v>0.35032162216753471</c:v>
                </c:pt>
                <c:pt idx="7">
                  <c:v>0.28422318046431294</c:v>
                </c:pt>
                <c:pt idx="8">
                  <c:v>0.25537262440772324</c:v>
                </c:pt>
                <c:pt idx="9">
                  <c:v>0.25025478392494566</c:v>
                </c:pt>
                <c:pt idx="10">
                  <c:v>0.24635962631982919</c:v>
                </c:pt>
                <c:pt idx="11">
                  <c:v>0.39</c:v>
                </c:pt>
                <c:pt idx="12">
                  <c:v>0.30009358838015676</c:v>
                </c:pt>
                <c:pt idx="13">
                  <c:v>0.28761615746469399</c:v>
                </c:pt>
                <c:pt idx="14">
                  <c:v>0.33213605983356226</c:v>
                </c:pt>
                <c:pt idx="15">
                  <c:v>0.34907548170904529</c:v>
                </c:pt>
                <c:pt idx="16">
                  <c:v>0.30611757842759535</c:v>
                </c:pt>
                <c:pt idx="17">
                  <c:v>0.28702769330831002</c:v>
                </c:pt>
                <c:pt idx="18">
                  <c:v>0.31717708242647963</c:v>
                </c:pt>
                <c:pt idx="19">
                  <c:v>0.2850717248129695</c:v>
                </c:pt>
                <c:pt idx="20">
                  <c:v>0.278737332780295</c:v>
                </c:pt>
                <c:pt idx="21">
                  <c:v>0.27418986586673999</c:v>
                </c:pt>
                <c:pt idx="22">
                  <c:v>0.27219626000647057</c:v>
                </c:pt>
                <c:pt idx="23">
                  <c:v>0.27656625323008127</c:v>
                </c:pt>
                <c:pt idx="24">
                  <c:v>0.36972640402603402</c:v>
                </c:pt>
                <c:pt idx="25">
                  <c:v>0.3446271336051912</c:v>
                </c:pt>
                <c:pt idx="26">
                  <c:v>0.34663333583732747</c:v>
                </c:pt>
                <c:pt idx="27">
                  <c:v>0.34414965579585366</c:v>
                </c:pt>
                <c:pt idx="28">
                  <c:v>0.34253659013198839</c:v>
                </c:pt>
                <c:pt idx="29">
                  <c:v>0.3024444647315821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236.45520870401737</c:v>
                </c:pt>
                <c:pt idx="5">
                  <c:v>235.73769580451869</c:v>
                </c:pt>
                <c:pt idx="6">
                  <c:v>251.78919760991454</c:v>
                </c:pt>
                <c:pt idx="7">
                  <c:v>256.61882942746297</c:v>
                </c:pt>
                <c:pt idx="8">
                  <c:v>254.71664418748213</c:v>
                </c:pt>
                <c:pt idx="9">
                  <c:v>252.9767555614352</c:v>
                </c:pt>
                <c:pt idx="10">
                  <c:v>251.28236001328327</c:v>
                </c:pt>
                <c:pt idx="11">
                  <c:v>326.44329234811823</c:v>
                </c:pt>
                <c:pt idx="12">
                  <c:v>313.99257558133206</c:v>
                </c:pt>
                <c:pt idx="13">
                  <c:v>306.45979448079584</c:v>
                </c:pt>
                <c:pt idx="14">
                  <c:v>311.98237624057469</c:v>
                </c:pt>
                <c:pt idx="15">
                  <c:v>348.15160878542281</c:v>
                </c:pt>
                <c:pt idx="16">
                  <c:v>333.29908016045346</c:v>
                </c:pt>
                <c:pt idx="17">
                  <c:v>320.25207674881102</c:v>
                </c:pt>
                <c:pt idx="18">
                  <c:v>316.19543858025645</c:v>
                </c:pt>
                <c:pt idx="19">
                  <c:v>307.0889758276989</c:v>
                </c:pt>
                <c:pt idx="20">
                  <c:v>299.85677056075747</c:v>
                </c:pt>
                <c:pt idx="21">
                  <c:v>294.60138610925623</c:v>
                </c:pt>
                <c:pt idx="22">
                  <c:v>290.04906549711654</c:v>
                </c:pt>
                <c:pt idx="23">
                  <c:v>286.87157754967581</c:v>
                </c:pt>
                <c:pt idx="24">
                  <c:v>319.78938880652015</c:v>
                </c:pt>
                <c:pt idx="25">
                  <c:v>337.69758372352356</c:v>
                </c:pt>
                <c:pt idx="26">
                  <c:v>340.6120432927396</c:v>
                </c:pt>
                <c:pt idx="27">
                  <c:v>345.4033298451169</c:v>
                </c:pt>
                <c:pt idx="28">
                  <c:v>349.72181118765718</c:v>
                </c:pt>
                <c:pt idx="29">
                  <c:v>335.20294185450052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Output!$A$9:$A$37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Output!$D$8:$D$37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0.23762875165915462</c:v>
                </c:pt>
                <c:pt idx="2">
                  <c:v>0.23668540798349749</c:v>
                </c:pt>
                <c:pt idx="3">
                  <c:v>0.23593204835991488</c:v>
                </c:pt>
                <c:pt idx="4">
                  <c:v>0.23453249249397148</c:v>
                </c:pt>
                <c:pt idx="5">
                  <c:v>0.23314823132807375</c:v>
                </c:pt>
                <c:pt idx="6">
                  <c:v>0.26237584688985505</c:v>
                </c:pt>
                <c:pt idx="7">
                  <c:v>0.27217207559539353</c:v>
                </c:pt>
                <c:pt idx="8">
                  <c:v>0.26572581965051428</c:v>
                </c:pt>
                <c:pt idx="9">
                  <c:v>0.2600162180262246</c:v>
                </c:pt>
                <c:pt idx="10">
                  <c:v>0.2553066425001207</c:v>
                </c:pt>
                <c:pt idx="11">
                  <c:v>0.34758532427523287</c:v>
                </c:pt>
                <c:pt idx="12">
                  <c:v>0.33249138621470414</c:v>
                </c:pt>
                <c:pt idx="13">
                  <c:v>0.31303192995054635</c:v>
                </c:pt>
                <c:pt idx="14">
                  <c:v>0.32112464085299086</c:v>
                </c:pt>
                <c:pt idx="15">
                  <c:v>0.36215624212511721</c:v>
                </c:pt>
                <c:pt idx="16">
                  <c:v>0.3290234268467776</c:v>
                </c:pt>
                <c:pt idx="17">
                  <c:v>0.30657049312833173</c:v>
                </c:pt>
                <c:pt idx="18">
                  <c:v>0.30231289506968517</c:v>
                </c:pt>
                <c:pt idx="19">
                  <c:v>0.28943758162928118</c:v>
                </c:pt>
                <c:pt idx="20">
                  <c:v>0.28379098333686931</c:v>
                </c:pt>
                <c:pt idx="21">
                  <c:v>0.28202234237625085</c:v>
                </c:pt>
                <c:pt idx="22">
                  <c:v>0.28115861988527974</c:v>
                </c:pt>
                <c:pt idx="23">
                  <c:v>0.2818173630724406</c:v>
                </c:pt>
                <c:pt idx="24">
                  <c:v>0.34564781996489308</c:v>
                </c:pt>
                <c:pt idx="25">
                  <c:v>0.35562594890709698</c:v>
                </c:pt>
                <c:pt idx="26">
                  <c:v>0.35051234038153567</c:v>
                </c:pt>
                <c:pt idx="27">
                  <c:v>0.35196898793993581</c:v>
                </c:pt>
                <c:pt idx="28">
                  <c:v>0.35381906145515968</c:v>
                </c:pt>
                <c:pt idx="29">
                  <c:v>0.32677520640233265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Output!$E$8:$E$37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0.23829198687409528</c:v>
                </c:pt>
                <c:pt idx="2">
                  <c:v>0.23826271657978465</c:v>
                </c:pt>
                <c:pt idx="3">
                  <c:v>0.23822103661892563</c:v>
                </c:pt>
                <c:pt idx="4">
                  <c:v>0.23815556765954118</c:v>
                </c:pt>
                <c:pt idx="5">
                  <c:v>0.23806272671882164</c:v>
                </c:pt>
                <c:pt idx="6">
                  <c:v>0.23863437614852026</c:v>
                </c:pt>
                <c:pt idx="7">
                  <c:v>0.24179848277749166</c:v>
                </c:pt>
                <c:pt idx="8">
                  <c:v>0.24495252819248284</c:v>
                </c:pt>
                <c:pt idx="9">
                  <c:v>0.24685422998244796</c:v>
                </c:pt>
                <c:pt idx="10">
                  <c:v>0.24791175372467525</c:v>
                </c:pt>
                <c:pt idx="11">
                  <c:v>0.26797232457019143</c:v>
                </c:pt>
                <c:pt idx="12">
                  <c:v>0.29816281952877888</c:v>
                </c:pt>
                <c:pt idx="13">
                  <c:v>0.30137073760432809</c:v>
                </c:pt>
                <c:pt idx="14">
                  <c:v>0.3031198466375532</c:v>
                </c:pt>
                <c:pt idx="15">
                  <c:v>0.33572736110324602</c:v>
                </c:pt>
                <c:pt idx="16">
                  <c:v>0.33812683123535353</c:v>
                </c:pt>
                <c:pt idx="17">
                  <c:v>0.3336328770069466</c:v>
                </c:pt>
                <c:pt idx="18">
                  <c:v>0.32843839461475322</c:v>
                </c:pt>
                <c:pt idx="19">
                  <c:v>0.32355048804225028</c:v>
                </c:pt>
                <c:pt idx="20">
                  <c:v>0.31488109917344553</c:v>
                </c:pt>
                <c:pt idx="21">
                  <c:v>0.30651406019008853</c:v>
                </c:pt>
                <c:pt idx="22">
                  <c:v>0.29860033682645848</c:v>
                </c:pt>
                <c:pt idx="23">
                  <c:v>0.29173897206106059</c:v>
                </c:pt>
                <c:pt idx="24">
                  <c:v>0.29499396835028591</c:v>
                </c:pt>
                <c:pt idx="25">
                  <c:v>0.32157135491183675</c:v>
                </c:pt>
                <c:pt idx="26">
                  <c:v>0.33162250000093585</c:v>
                </c:pt>
                <c:pt idx="27">
                  <c:v>0.33964346591697953</c:v>
                </c:pt>
                <c:pt idx="28">
                  <c:v>0.34637367522239215</c:v>
                </c:pt>
                <c:pt idx="29">
                  <c:v>0.34391818772076133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降水量[mm/day]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F-4CB0-BEAD-B87422B9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Output!$F$8:$F$36</c:f>
              <c:numCache>
                <c:formatCode>General</c:formatCode>
                <c:ptCount val="29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236.45520870401737</c:v>
                </c:pt>
                <c:pt idx="5">
                  <c:v>235.73769580451869</c:v>
                </c:pt>
                <c:pt idx="6">
                  <c:v>251.78919760991454</c:v>
                </c:pt>
                <c:pt idx="7">
                  <c:v>256.61882942746297</c:v>
                </c:pt>
                <c:pt idx="8">
                  <c:v>254.71664418748213</c:v>
                </c:pt>
                <c:pt idx="9">
                  <c:v>252.9767555614352</c:v>
                </c:pt>
                <c:pt idx="10">
                  <c:v>251.28236001328327</c:v>
                </c:pt>
                <c:pt idx="11">
                  <c:v>326.44329234811823</c:v>
                </c:pt>
                <c:pt idx="12">
                  <c:v>313.99257558133206</c:v>
                </c:pt>
                <c:pt idx="13">
                  <c:v>306.45979448079584</c:v>
                </c:pt>
                <c:pt idx="14">
                  <c:v>311.98237624057469</c:v>
                </c:pt>
                <c:pt idx="15">
                  <c:v>348.15160878542281</c:v>
                </c:pt>
                <c:pt idx="16">
                  <c:v>333.29908016045346</c:v>
                </c:pt>
                <c:pt idx="17">
                  <c:v>320.25207674881102</c:v>
                </c:pt>
                <c:pt idx="18">
                  <c:v>316.19543858025645</c:v>
                </c:pt>
                <c:pt idx="19">
                  <c:v>307.0889758276989</c:v>
                </c:pt>
                <c:pt idx="20">
                  <c:v>299.85677056075747</c:v>
                </c:pt>
                <c:pt idx="21">
                  <c:v>294.60138610925623</c:v>
                </c:pt>
                <c:pt idx="22">
                  <c:v>290.04906549711654</c:v>
                </c:pt>
                <c:pt idx="23">
                  <c:v>286.87157754967581</c:v>
                </c:pt>
                <c:pt idx="24">
                  <c:v>319.78938880652015</c:v>
                </c:pt>
                <c:pt idx="25">
                  <c:v>337.69758372352356</c:v>
                </c:pt>
                <c:pt idx="26">
                  <c:v>340.6120432927396</c:v>
                </c:pt>
                <c:pt idx="27">
                  <c:v>345.4033298451169</c:v>
                </c:pt>
                <c:pt idx="28">
                  <c:v>349.72181118765718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544-9712-EC7F7D4BA161}"/>
            </c:ext>
          </c:extLst>
        </c:ser>
        <c:ser>
          <c:idx val="1"/>
          <c:order val="1"/>
          <c:tx>
            <c:strRef>
              <c:f>Output!$H$7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Output!$H$8:$H$36</c:f>
              <c:numCache>
                <c:formatCode>General</c:formatCode>
                <c:ptCount val="29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544-9712-EC7F7D4B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791278702607078"/>
          <c:y val="1.5797191981480305E-2"/>
          <c:w val="0.30778592844407415"/>
          <c:h val="0.3068204756957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降水量[mm/h]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236.45520870401737</c:v>
                </c:pt>
                <c:pt idx="5">
                  <c:v>235.73769580451869</c:v>
                </c:pt>
                <c:pt idx="6">
                  <c:v>251.78919760991454</c:v>
                </c:pt>
                <c:pt idx="7">
                  <c:v>256.61882942746297</c:v>
                </c:pt>
                <c:pt idx="8">
                  <c:v>254.71664418748213</c:v>
                </c:pt>
                <c:pt idx="9">
                  <c:v>252.9767555614352</c:v>
                </c:pt>
                <c:pt idx="10">
                  <c:v>251.28236001328327</c:v>
                </c:pt>
                <c:pt idx="11">
                  <c:v>326.44329234811823</c:v>
                </c:pt>
                <c:pt idx="12">
                  <c:v>313.99257558133206</c:v>
                </c:pt>
                <c:pt idx="13">
                  <c:v>306.45979448079584</c:v>
                </c:pt>
                <c:pt idx="14">
                  <c:v>311.98237624057469</c:v>
                </c:pt>
                <c:pt idx="15">
                  <c:v>348.15160878542281</c:v>
                </c:pt>
                <c:pt idx="16">
                  <c:v>333.29908016045346</c:v>
                </c:pt>
                <c:pt idx="17">
                  <c:v>320.25207674881102</c:v>
                </c:pt>
                <c:pt idx="18">
                  <c:v>316.19543858025645</c:v>
                </c:pt>
                <c:pt idx="19">
                  <c:v>307.0889758276989</c:v>
                </c:pt>
                <c:pt idx="20">
                  <c:v>299.85677056075747</c:v>
                </c:pt>
                <c:pt idx="21">
                  <c:v>294.60138610925623</c:v>
                </c:pt>
                <c:pt idx="22">
                  <c:v>290.04906549711654</c:v>
                </c:pt>
                <c:pt idx="23">
                  <c:v>286.87157754967581</c:v>
                </c:pt>
                <c:pt idx="24">
                  <c:v>319.78938880652015</c:v>
                </c:pt>
                <c:pt idx="25">
                  <c:v>337.69758372352356</c:v>
                </c:pt>
                <c:pt idx="26">
                  <c:v>340.6120432927396</c:v>
                </c:pt>
                <c:pt idx="27">
                  <c:v>345.4033298451169</c:v>
                </c:pt>
                <c:pt idx="28">
                  <c:v>349.72181118765718</c:v>
                </c:pt>
                <c:pt idx="29">
                  <c:v>335.20294185450052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9E0-A242-08F94234CB5B}"/>
            </c:ext>
          </c:extLst>
        </c:ser>
        <c:ser>
          <c:idx val="1"/>
          <c:order val="1"/>
          <c:tx>
            <c:strRef>
              <c:f>Output!$H$7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Output!$H$8:$H$37</c:f>
              <c:numCache>
                <c:formatCode>General</c:formatCode>
                <c:ptCount val="30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5059034167671"/>
          <c:y val="0.89809456756809825"/>
          <c:w val="0.65574751420731225"/>
          <c:h val="8.5878498077978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152400</xdr:colOff>
      <xdr:row>4</xdr:row>
      <xdr:rowOff>114300</xdr:rowOff>
    </xdr:from>
    <xdr:to>
      <xdr:col>22</xdr:col>
      <xdr:colOff>594000</xdr:colOff>
      <xdr:row>21</xdr:row>
      <xdr:rowOff>43500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600075</xdr:colOff>
      <xdr:row>21</xdr:row>
      <xdr:rowOff>57150</xdr:rowOff>
    </xdr:from>
    <xdr:to>
      <xdr:col>27</xdr:col>
      <xdr:colOff>477795</xdr:colOff>
      <xdr:row>37</xdr:row>
      <xdr:rowOff>138750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600075</xdr:colOff>
      <xdr:row>4</xdr:row>
      <xdr:rowOff>123825</xdr:rowOff>
    </xdr:from>
    <xdr:to>
      <xdr:col>27</xdr:col>
      <xdr:colOff>477795</xdr:colOff>
      <xdr:row>21</xdr:row>
      <xdr:rowOff>53025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18</xdr:col>
      <xdr:colOff>161925</xdr:colOff>
      <xdr:row>21</xdr:row>
      <xdr:rowOff>57150</xdr:rowOff>
    </xdr:from>
    <xdr:to>
      <xdr:col>22</xdr:col>
      <xdr:colOff>603525</xdr:colOff>
      <xdr:row>37</xdr:row>
      <xdr:rowOff>138750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14</xdr:row>
      <xdr:rowOff>19050</xdr:rowOff>
    </xdr:from>
    <xdr:to>
      <xdr:col>17</xdr:col>
      <xdr:colOff>447676</xdr:colOff>
      <xdr:row>27</xdr:row>
      <xdr:rowOff>133349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BAEBBD-E798-4E08-939E-7467596C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590551</xdr:colOff>
      <xdr:row>52</xdr:row>
      <xdr:rowOff>38099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AC5CC8A-A39E-42FC-962C-2D36CFD1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N16" sqref="N16"/>
    </sheetView>
  </sheetViews>
  <sheetFormatPr defaultColWidth="9.140625" defaultRowHeight="12" x14ac:dyDescent="0.2"/>
  <cols>
    <col min="1" max="1" width="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16" customWidth="1"/>
    <col min="9" max="9" width="12" style="16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4" t="s">
        <v>1</v>
      </c>
      <c r="B1" s="54" t="s">
        <v>2</v>
      </c>
      <c r="C1" s="54" t="s">
        <v>3</v>
      </c>
      <c r="D1" s="56" t="s">
        <v>4</v>
      </c>
      <c r="E1" s="54" t="s">
        <v>5</v>
      </c>
      <c r="F1" s="54" t="s">
        <v>6</v>
      </c>
      <c r="G1" s="54" t="s">
        <v>284</v>
      </c>
      <c r="H1" s="54" t="s">
        <v>7</v>
      </c>
      <c r="I1" s="54" t="s">
        <v>8</v>
      </c>
      <c r="J1" s="54" t="s">
        <v>9</v>
      </c>
    </row>
    <row r="2" spans="1:13" x14ac:dyDescent="0.2">
      <c r="A2" s="52">
        <v>2017</v>
      </c>
      <c r="B2" s="52">
        <v>9</v>
      </c>
      <c r="C2" s="52">
        <v>22</v>
      </c>
      <c r="D2" s="53">
        <f>DATE(A2,B2,C2)</f>
        <v>43000</v>
      </c>
      <c r="E2" s="57">
        <v>0</v>
      </c>
      <c r="F2" s="58">
        <v>20.8</v>
      </c>
      <c r="G2" s="58">
        <v>22.2</v>
      </c>
      <c r="H2" s="49">
        <v>96.9</v>
      </c>
      <c r="I2" s="55">
        <v>0.67213114754098358</v>
      </c>
      <c r="J2" s="58">
        <v>0</v>
      </c>
      <c r="L2" s="18" t="s">
        <v>282</v>
      </c>
      <c r="M2" s="16">
        <v>33.479999999999997</v>
      </c>
    </row>
    <row r="3" spans="1:13" x14ac:dyDescent="0.2">
      <c r="A3" s="52">
        <v>2017</v>
      </c>
      <c r="B3" s="52">
        <v>9</v>
      </c>
      <c r="C3" s="52">
        <v>23</v>
      </c>
      <c r="D3" s="53">
        <f t="shared" ref="D3:D31" si="0">DATE(A3,B3,C3)</f>
        <v>43001</v>
      </c>
      <c r="E3" s="57">
        <v>8.7833333333255723</v>
      </c>
      <c r="F3" s="58">
        <v>19.899999999999999</v>
      </c>
      <c r="G3" s="58">
        <v>28.2</v>
      </c>
      <c r="H3" s="49">
        <v>88.5</v>
      </c>
      <c r="I3" s="55">
        <v>0.83333333333333337</v>
      </c>
      <c r="J3" s="58">
        <v>1</v>
      </c>
    </row>
    <row r="4" spans="1:13" x14ac:dyDescent="0.2">
      <c r="A4" s="52">
        <v>2017</v>
      </c>
      <c r="B4" s="52">
        <v>9</v>
      </c>
      <c r="C4" s="52">
        <v>24</v>
      </c>
      <c r="D4" s="53">
        <f t="shared" si="0"/>
        <v>43002</v>
      </c>
      <c r="E4" s="57">
        <v>7.1166666666395031</v>
      </c>
      <c r="F4" s="58">
        <v>20.3</v>
      </c>
      <c r="G4" s="58">
        <v>27.2</v>
      </c>
      <c r="H4" s="49">
        <v>86.2</v>
      </c>
      <c r="I4" s="55">
        <v>0.78899082568807344</v>
      </c>
      <c r="J4" s="58">
        <v>0</v>
      </c>
    </row>
    <row r="5" spans="1:13" x14ac:dyDescent="0.2">
      <c r="A5" s="52">
        <v>2017</v>
      </c>
      <c r="B5" s="52">
        <v>9</v>
      </c>
      <c r="C5" s="52">
        <v>25</v>
      </c>
      <c r="D5" s="53">
        <f t="shared" si="0"/>
        <v>43003</v>
      </c>
      <c r="E5" s="57">
        <v>8.8000000000465661</v>
      </c>
      <c r="F5" s="58">
        <v>19.5</v>
      </c>
      <c r="G5" s="58">
        <v>28.8</v>
      </c>
      <c r="H5" s="49">
        <v>82.6</v>
      </c>
      <c r="I5" s="55">
        <v>1.2695652173913043</v>
      </c>
      <c r="J5" s="58">
        <v>0</v>
      </c>
    </row>
    <row r="6" spans="1:13" x14ac:dyDescent="0.2">
      <c r="A6" s="52">
        <v>2017</v>
      </c>
      <c r="B6" s="52">
        <v>9</v>
      </c>
      <c r="C6" s="52">
        <v>26</v>
      </c>
      <c r="D6" s="53">
        <f t="shared" si="0"/>
        <v>43004</v>
      </c>
      <c r="E6" s="57">
        <v>7.9333333333488554</v>
      </c>
      <c r="F6" s="58">
        <v>18.899999999999999</v>
      </c>
      <c r="G6" s="58">
        <v>28.4</v>
      </c>
      <c r="H6" s="49">
        <v>87.6</v>
      </c>
      <c r="I6" s="55">
        <v>1.0090090090090089</v>
      </c>
      <c r="J6" s="58">
        <v>0</v>
      </c>
      <c r="K6" s="17"/>
    </row>
    <row r="7" spans="1:13" x14ac:dyDescent="0.2">
      <c r="A7" s="52">
        <v>2017</v>
      </c>
      <c r="B7" s="52">
        <v>9</v>
      </c>
      <c r="C7" s="52">
        <v>27</v>
      </c>
      <c r="D7" s="53">
        <f t="shared" si="0"/>
        <v>43005</v>
      </c>
      <c r="E7" s="57">
        <v>6.1333333334187046</v>
      </c>
      <c r="F7" s="58">
        <v>20</v>
      </c>
      <c r="G7" s="58">
        <v>28.2</v>
      </c>
      <c r="H7" s="49">
        <v>89.6</v>
      </c>
      <c r="I7" s="55">
        <v>0.56818181818181823</v>
      </c>
      <c r="J7" s="58">
        <v>19</v>
      </c>
    </row>
    <row r="8" spans="1:13" x14ac:dyDescent="0.2">
      <c r="A8" s="52">
        <v>2017</v>
      </c>
      <c r="B8" s="52">
        <v>9</v>
      </c>
      <c r="C8" s="52">
        <v>28</v>
      </c>
      <c r="D8" s="53">
        <f t="shared" si="0"/>
        <v>43006</v>
      </c>
      <c r="E8" s="57">
        <v>7.6166666665230878</v>
      </c>
      <c r="F8" s="58">
        <v>19.100000000000001</v>
      </c>
      <c r="G8" s="58">
        <v>31.6</v>
      </c>
      <c r="H8" s="49">
        <v>80.8</v>
      </c>
      <c r="I8" s="55">
        <v>1.5126582278481013</v>
      </c>
      <c r="J8" s="58">
        <v>8</v>
      </c>
    </row>
    <row r="9" spans="1:13" x14ac:dyDescent="0.2">
      <c r="A9" s="52">
        <v>2017</v>
      </c>
      <c r="B9" s="52">
        <v>9</v>
      </c>
      <c r="C9" s="52">
        <v>29</v>
      </c>
      <c r="D9" s="53">
        <f t="shared" si="0"/>
        <v>43007</v>
      </c>
      <c r="E9" s="57">
        <v>8.433333333407063</v>
      </c>
      <c r="F9" s="58">
        <v>14.6</v>
      </c>
      <c r="G9" s="58">
        <v>26.8</v>
      </c>
      <c r="H9" s="49">
        <v>60.5</v>
      </c>
      <c r="I9" s="55">
        <v>1.9684210526315788</v>
      </c>
      <c r="J9" s="58">
        <v>0</v>
      </c>
    </row>
    <row r="10" spans="1:13" x14ac:dyDescent="0.2">
      <c r="A10" s="52">
        <v>2017</v>
      </c>
      <c r="B10" s="52">
        <v>9</v>
      </c>
      <c r="C10" s="52">
        <v>30</v>
      </c>
      <c r="D10" s="53">
        <f t="shared" si="0"/>
        <v>43008</v>
      </c>
      <c r="E10" s="57">
        <v>8.1000000000349246</v>
      </c>
      <c r="F10" s="58">
        <v>16.399999999999999</v>
      </c>
      <c r="G10" s="58">
        <v>26.6</v>
      </c>
      <c r="H10" s="49">
        <v>68.599999999999994</v>
      </c>
      <c r="I10" s="55">
        <v>1.9243697478991597</v>
      </c>
      <c r="J10" s="58">
        <v>0</v>
      </c>
    </row>
    <row r="11" spans="1:13" x14ac:dyDescent="0.2">
      <c r="A11" s="52">
        <v>2017</v>
      </c>
      <c r="B11" s="52">
        <v>10</v>
      </c>
      <c r="C11" s="52">
        <v>1</v>
      </c>
      <c r="D11" s="53">
        <f t="shared" si="0"/>
        <v>43009</v>
      </c>
      <c r="E11" s="57">
        <v>8.433333333407063</v>
      </c>
      <c r="F11" s="58">
        <v>14.5</v>
      </c>
      <c r="G11" s="58">
        <v>26.7</v>
      </c>
      <c r="H11" s="49">
        <v>71.3</v>
      </c>
      <c r="I11" s="55">
        <v>0.97841726618705038</v>
      </c>
      <c r="J11" s="58">
        <v>0</v>
      </c>
    </row>
    <row r="12" spans="1:13" x14ac:dyDescent="0.2">
      <c r="A12" s="52">
        <v>2017</v>
      </c>
      <c r="B12" s="52">
        <v>10</v>
      </c>
      <c r="C12" s="52">
        <v>2</v>
      </c>
      <c r="D12" s="53">
        <f t="shared" si="0"/>
        <v>43010</v>
      </c>
      <c r="E12" s="57">
        <v>0.29999999993015081</v>
      </c>
      <c r="F12" s="58">
        <v>21.5</v>
      </c>
      <c r="G12" s="58">
        <v>25.1</v>
      </c>
      <c r="H12" s="49">
        <v>88.8</v>
      </c>
      <c r="I12" s="55">
        <v>0.44525547445255476</v>
      </c>
      <c r="J12" s="58">
        <v>89</v>
      </c>
    </row>
    <row r="13" spans="1:13" x14ac:dyDescent="0.2">
      <c r="A13" s="52">
        <v>2017</v>
      </c>
      <c r="B13" s="52">
        <v>10</v>
      </c>
      <c r="C13" s="52">
        <v>3</v>
      </c>
      <c r="D13" s="53">
        <f t="shared" si="0"/>
        <v>43011</v>
      </c>
      <c r="E13" s="57">
        <v>7.4166666669188999</v>
      </c>
      <c r="F13" s="58">
        <v>20.3</v>
      </c>
      <c r="G13" s="58">
        <v>27.2</v>
      </c>
      <c r="H13" s="49">
        <v>89.8</v>
      </c>
      <c r="I13" s="55">
        <v>1.5209580838323353</v>
      </c>
      <c r="J13" s="58">
        <v>5</v>
      </c>
    </row>
    <row r="14" spans="1:13" x14ac:dyDescent="0.2">
      <c r="A14" s="52">
        <v>2017</v>
      </c>
      <c r="B14" s="52">
        <v>10</v>
      </c>
      <c r="C14" s="52">
        <v>4</v>
      </c>
      <c r="D14" s="53">
        <f t="shared" si="0"/>
        <v>43012</v>
      </c>
      <c r="E14" s="57">
        <v>9.2333333333954215</v>
      </c>
      <c r="F14" s="58">
        <v>18.2</v>
      </c>
      <c r="G14" s="58">
        <v>25.2</v>
      </c>
      <c r="H14" s="49">
        <v>62.3</v>
      </c>
      <c r="I14" s="55">
        <v>3.7055555555555557</v>
      </c>
      <c r="J14" s="58">
        <v>0</v>
      </c>
    </row>
    <row r="15" spans="1:13" x14ac:dyDescent="0.2">
      <c r="A15" s="52">
        <v>2017</v>
      </c>
      <c r="B15" s="52">
        <v>10</v>
      </c>
      <c r="C15" s="52">
        <v>5</v>
      </c>
      <c r="D15" s="53">
        <f t="shared" si="0"/>
        <v>43013</v>
      </c>
      <c r="E15" s="57">
        <v>0.31666666665114462</v>
      </c>
      <c r="F15" s="58">
        <v>18</v>
      </c>
      <c r="G15" s="58">
        <v>21.6</v>
      </c>
      <c r="H15" s="49">
        <v>75.599999999999994</v>
      </c>
      <c r="I15" s="55">
        <v>1.4634146341463414</v>
      </c>
      <c r="J15" s="58">
        <v>13</v>
      </c>
    </row>
    <row r="16" spans="1:13" x14ac:dyDescent="0.2">
      <c r="A16" s="52">
        <v>2017</v>
      </c>
      <c r="B16" s="52">
        <v>10</v>
      </c>
      <c r="C16" s="52">
        <v>6</v>
      </c>
      <c r="D16" s="53">
        <f t="shared" si="0"/>
        <v>43014</v>
      </c>
      <c r="E16" s="57">
        <v>0.66666666674427688</v>
      </c>
      <c r="F16" s="58">
        <v>18.3</v>
      </c>
      <c r="G16" s="58">
        <v>22.8</v>
      </c>
      <c r="H16" s="49">
        <v>90.2</v>
      </c>
      <c r="I16" s="55">
        <v>2.5337423312883436</v>
      </c>
      <c r="J16" s="58">
        <v>87</v>
      </c>
    </row>
    <row r="17" spans="1:11" x14ac:dyDescent="0.2">
      <c r="A17" s="52">
        <v>2017</v>
      </c>
      <c r="B17" s="52">
        <v>10</v>
      </c>
      <c r="C17" s="52">
        <v>7</v>
      </c>
      <c r="D17" s="53">
        <f t="shared" si="0"/>
        <v>43015</v>
      </c>
      <c r="E17" s="57">
        <v>6.6000000000349246</v>
      </c>
      <c r="F17" s="58">
        <v>18.8</v>
      </c>
      <c r="G17" s="58">
        <v>24.6</v>
      </c>
      <c r="H17" s="49">
        <v>97.4</v>
      </c>
      <c r="I17" s="55">
        <v>0.27329192546583853</v>
      </c>
      <c r="J17" s="58">
        <v>7</v>
      </c>
      <c r="K17" s="17"/>
    </row>
    <row r="18" spans="1:11" x14ac:dyDescent="0.2">
      <c r="A18" s="52">
        <v>2017</v>
      </c>
      <c r="B18" s="52">
        <v>10</v>
      </c>
      <c r="C18" s="52">
        <v>8</v>
      </c>
      <c r="D18" s="53">
        <f t="shared" si="0"/>
        <v>43016</v>
      </c>
      <c r="E18" s="57">
        <v>8.25</v>
      </c>
      <c r="F18" s="58">
        <v>19.100000000000001</v>
      </c>
      <c r="G18" s="58">
        <v>27.2</v>
      </c>
      <c r="H18" s="49">
        <v>89.9</v>
      </c>
      <c r="I18" s="55">
        <v>1.0414201183431953</v>
      </c>
      <c r="J18" s="58">
        <v>0</v>
      </c>
      <c r="K18" s="19"/>
    </row>
    <row r="19" spans="1:11" x14ac:dyDescent="0.2">
      <c r="A19" s="52">
        <v>2017</v>
      </c>
      <c r="B19" s="52">
        <v>10</v>
      </c>
      <c r="C19" s="52">
        <v>9</v>
      </c>
      <c r="D19" s="53">
        <f t="shared" si="0"/>
        <v>43017</v>
      </c>
      <c r="E19" s="57">
        <v>8.1000000000349246</v>
      </c>
      <c r="F19" s="58">
        <v>19.8</v>
      </c>
      <c r="G19" s="58">
        <v>27.2</v>
      </c>
      <c r="H19" s="49">
        <v>92.8</v>
      </c>
      <c r="I19" s="55">
        <v>0.83950617283950613</v>
      </c>
      <c r="J19" s="58">
        <v>7</v>
      </c>
    </row>
    <row r="20" spans="1:11" x14ac:dyDescent="0.2">
      <c r="A20" s="52">
        <v>2017</v>
      </c>
      <c r="B20" s="52">
        <v>10</v>
      </c>
      <c r="C20" s="52">
        <v>10</v>
      </c>
      <c r="D20" s="53">
        <f t="shared" si="0"/>
        <v>43018</v>
      </c>
      <c r="E20" s="57">
        <v>8.433333333407063</v>
      </c>
      <c r="F20" s="58">
        <v>20.5</v>
      </c>
      <c r="G20" s="58">
        <v>28.3</v>
      </c>
      <c r="H20" s="49">
        <v>89.4</v>
      </c>
      <c r="I20" s="55">
        <v>0.76984126984126988</v>
      </c>
      <c r="J20" s="58">
        <v>0</v>
      </c>
    </row>
    <row r="21" spans="1:11" x14ac:dyDescent="0.2">
      <c r="A21" s="52">
        <v>2017</v>
      </c>
      <c r="B21" s="52">
        <v>10</v>
      </c>
      <c r="C21" s="52">
        <v>11</v>
      </c>
      <c r="D21" s="53">
        <f t="shared" si="0"/>
        <v>43019</v>
      </c>
      <c r="E21" s="57">
        <v>8.9500000000116415</v>
      </c>
      <c r="F21" s="58">
        <v>20</v>
      </c>
      <c r="G21" s="58">
        <v>29.3</v>
      </c>
      <c r="H21" s="49">
        <v>90.5</v>
      </c>
      <c r="I21" s="55">
        <v>0.72121212121212119</v>
      </c>
      <c r="J21" s="58">
        <v>0</v>
      </c>
    </row>
    <row r="22" spans="1:11" x14ac:dyDescent="0.2">
      <c r="A22" s="52">
        <v>2017</v>
      </c>
      <c r="B22" s="52">
        <v>10</v>
      </c>
      <c r="C22" s="52">
        <v>12</v>
      </c>
      <c r="D22" s="53">
        <f t="shared" si="0"/>
        <v>43020</v>
      </c>
      <c r="E22" s="57">
        <v>7.7499999999417923</v>
      </c>
      <c r="F22" s="58">
        <v>19.5</v>
      </c>
      <c r="G22" s="58">
        <v>28.2</v>
      </c>
      <c r="H22" s="49">
        <v>89.4</v>
      </c>
      <c r="I22" s="55">
        <v>0.70129870129870131</v>
      </c>
      <c r="J22" s="58">
        <v>0</v>
      </c>
    </row>
    <row r="23" spans="1:11" x14ac:dyDescent="0.2">
      <c r="A23" s="52">
        <v>2017</v>
      </c>
      <c r="B23" s="52">
        <v>10</v>
      </c>
      <c r="C23" s="52">
        <v>13</v>
      </c>
      <c r="D23" s="53">
        <f t="shared" si="0"/>
        <v>43021</v>
      </c>
      <c r="E23" s="57">
        <v>3.8166666665347293</v>
      </c>
      <c r="F23" s="58">
        <v>20.3</v>
      </c>
      <c r="G23" s="58">
        <v>24.8</v>
      </c>
      <c r="H23" s="49">
        <v>92.7</v>
      </c>
      <c r="I23" s="55">
        <v>0.26347305389221559</v>
      </c>
      <c r="J23" s="58">
        <v>0</v>
      </c>
    </row>
    <row r="24" spans="1:11" x14ac:dyDescent="0.2">
      <c r="A24" s="52">
        <v>2017</v>
      </c>
      <c r="B24" s="52">
        <v>10</v>
      </c>
      <c r="C24" s="52">
        <v>14</v>
      </c>
      <c r="D24" s="53">
        <f t="shared" si="0"/>
        <v>43022</v>
      </c>
      <c r="E24" s="57">
        <v>0.9833333333954215</v>
      </c>
      <c r="F24" s="58">
        <v>19.100000000000001</v>
      </c>
      <c r="G24" s="58">
        <v>24.4</v>
      </c>
      <c r="H24" s="49">
        <v>92.8</v>
      </c>
      <c r="I24" s="55">
        <v>0.33132530120481929</v>
      </c>
      <c r="J24" s="58">
        <v>1</v>
      </c>
    </row>
    <row r="25" spans="1:11" x14ac:dyDescent="0.2">
      <c r="A25" s="52">
        <v>2017</v>
      </c>
      <c r="B25" s="52">
        <v>10</v>
      </c>
      <c r="C25" s="52">
        <v>15</v>
      </c>
      <c r="D25" s="53">
        <f t="shared" si="0"/>
        <v>43023</v>
      </c>
      <c r="E25" s="57">
        <v>0.48333333333721384</v>
      </c>
      <c r="F25" s="58">
        <v>16.899999999999999</v>
      </c>
      <c r="G25" s="58">
        <v>19.8</v>
      </c>
      <c r="H25" s="49">
        <v>99.3</v>
      </c>
      <c r="I25" s="55">
        <v>0.59876543209876543</v>
      </c>
      <c r="J25" s="58">
        <v>44</v>
      </c>
    </row>
    <row r="26" spans="1:11" x14ac:dyDescent="0.2">
      <c r="A26" s="52">
        <v>2017</v>
      </c>
      <c r="B26" s="52">
        <v>10</v>
      </c>
      <c r="C26" s="52">
        <v>16</v>
      </c>
      <c r="D26" s="53">
        <f t="shared" si="0"/>
        <v>43024</v>
      </c>
      <c r="E26" s="57">
        <v>0.16666666668606922</v>
      </c>
      <c r="F26" s="58">
        <v>16.8</v>
      </c>
      <c r="G26" s="58">
        <v>19.399999999999999</v>
      </c>
      <c r="H26" s="49">
        <v>101.8</v>
      </c>
      <c r="I26" s="55">
        <v>0.25153374233128833</v>
      </c>
      <c r="J26" s="58">
        <v>53</v>
      </c>
    </row>
    <row r="27" spans="1:11" x14ac:dyDescent="0.2">
      <c r="A27" s="52">
        <v>2017</v>
      </c>
      <c r="B27" s="52">
        <v>10</v>
      </c>
      <c r="C27" s="52">
        <v>17</v>
      </c>
      <c r="D27" s="53">
        <f t="shared" si="0"/>
        <v>43025</v>
      </c>
      <c r="E27" s="57">
        <v>3.6166666667559184</v>
      </c>
      <c r="F27" s="58">
        <v>16.100000000000001</v>
      </c>
      <c r="G27" s="58">
        <v>19.7</v>
      </c>
      <c r="H27" s="49">
        <v>99.9</v>
      </c>
      <c r="I27" s="55">
        <v>0.6875</v>
      </c>
      <c r="J27" s="58">
        <v>27</v>
      </c>
    </row>
    <row r="28" spans="1:11" x14ac:dyDescent="0.2">
      <c r="A28" s="52">
        <v>2017</v>
      </c>
      <c r="B28" s="52">
        <v>10</v>
      </c>
      <c r="C28" s="52">
        <v>18</v>
      </c>
      <c r="D28" s="53">
        <f t="shared" si="0"/>
        <v>43026</v>
      </c>
      <c r="E28" s="57">
        <v>1.9833333333372138</v>
      </c>
      <c r="F28" s="58">
        <v>16</v>
      </c>
      <c r="G28" s="58">
        <v>19.899999999999999</v>
      </c>
      <c r="H28" s="49">
        <v>92.3</v>
      </c>
      <c r="I28" s="55">
        <v>1.2962962962962963</v>
      </c>
      <c r="J28" s="58">
        <v>34</v>
      </c>
    </row>
    <row r="29" spans="1:11" x14ac:dyDescent="0.2">
      <c r="A29" s="52">
        <v>2017</v>
      </c>
      <c r="B29" s="52">
        <v>10</v>
      </c>
      <c r="C29" s="52">
        <v>19</v>
      </c>
      <c r="D29" s="53">
        <f t="shared" si="0"/>
        <v>43027</v>
      </c>
      <c r="E29" s="57">
        <v>2.5999999999185093</v>
      </c>
      <c r="F29" s="58">
        <v>15.5</v>
      </c>
      <c r="G29" s="58">
        <v>17.7</v>
      </c>
      <c r="H29" s="49">
        <v>95.9</v>
      </c>
      <c r="I29" s="55">
        <v>1.524390243902439</v>
      </c>
      <c r="J29" s="58">
        <v>42</v>
      </c>
    </row>
    <row r="30" spans="1:11" x14ac:dyDescent="0.2">
      <c r="A30" s="52">
        <v>2017</v>
      </c>
      <c r="B30" s="52">
        <v>10</v>
      </c>
      <c r="C30" s="52">
        <v>20</v>
      </c>
      <c r="D30" s="53">
        <f t="shared" si="0"/>
        <v>43028</v>
      </c>
      <c r="E30" s="57">
        <v>1.4833333332790062</v>
      </c>
      <c r="F30" s="58">
        <v>17.100000000000001</v>
      </c>
      <c r="G30" s="58">
        <v>19.899999999999999</v>
      </c>
      <c r="H30" s="49">
        <v>99.6</v>
      </c>
      <c r="I30" s="55">
        <v>9.6385542168674704E-2</v>
      </c>
      <c r="J30" s="58">
        <v>6</v>
      </c>
    </row>
    <row r="31" spans="1:11" x14ac:dyDescent="0.2">
      <c r="A31" s="52">
        <v>2017</v>
      </c>
      <c r="B31" s="52">
        <v>10</v>
      </c>
      <c r="C31" s="52">
        <v>21</v>
      </c>
      <c r="D31" s="53">
        <f t="shared" si="0"/>
        <v>43029</v>
      </c>
      <c r="E31" s="57">
        <v>0</v>
      </c>
      <c r="F31" s="58">
        <v>18.2</v>
      </c>
      <c r="G31" s="58">
        <v>21.8</v>
      </c>
      <c r="H31" s="49">
        <v>102.2</v>
      </c>
      <c r="I31" s="55">
        <v>0.9213483146067416</v>
      </c>
      <c r="J31" s="58">
        <v>269</v>
      </c>
    </row>
    <row r="33" spans="6:10" ht="15" x14ac:dyDescent="0.2">
      <c r="F33" s="50"/>
      <c r="I33" s="51"/>
      <c r="J33" s="50"/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8" sqref="E8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0.58433623356770148</v>
      </c>
      <c r="G2" s="9" t="s">
        <v>50</v>
      </c>
      <c r="H2" s="3">
        <f>1370*(1+0.033*COS(2*PI()*(doy-10)/365))</f>
        <v>1412.5569559247558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0.54205988316833964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21057999.208956674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 t="e">
        <f ca="1">Ietd*(B3+B4*sunhr/DL)</f>
        <v>#N/A</v>
      </c>
    </row>
    <row r="6" spans="1:8" ht="19.5" x14ac:dyDescent="0.35">
      <c r="A6" s="5" t="s">
        <v>94</v>
      </c>
      <c r="B6">
        <v>25</v>
      </c>
      <c r="D6" s="5" t="s">
        <v>56</v>
      </c>
      <c r="E6" t="e">
        <f ca="1">VLOOKUP(date,INDIRECT($E$3),2,FALSE)</f>
        <v>#N/A</v>
      </c>
      <c r="F6"/>
    </row>
    <row r="7" spans="1:8" ht="19.5" x14ac:dyDescent="0.35">
      <c r="A7" s="5"/>
      <c r="D7" s="5" t="s">
        <v>31</v>
      </c>
      <c r="E7" t="e">
        <f ca="1">VLOOKUP(date,INDIRECT($E$3),3,FALSE)</f>
        <v>#N/A</v>
      </c>
      <c r="F7"/>
      <c r="G7" s="9" t="s">
        <v>53</v>
      </c>
      <c r="H7" s="3" t="e">
        <f ca="1">Itd/Ietd</f>
        <v>#N/A</v>
      </c>
    </row>
    <row r="8" spans="1:8" ht="19.5" x14ac:dyDescent="0.35">
      <c r="A8" s="2" t="s">
        <v>26</v>
      </c>
      <c r="D8" s="5" t="s">
        <v>30</v>
      </c>
      <c r="E8" t="e">
        <f ca="1">VLOOKUP(date,INDIRECT($E$3),4,FALSE)</f>
        <v>#N/A</v>
      </c>
      <c r="F8"/>
      <c r="G8" s="10" t="s">
        <v>70</v>
      </c>
      <c r="H8" s="3" t="e">
        <f ca="1">Itd</f>
        <v>#N/A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 t="e">
        <f ca="1">AVERAGE(E7:E8)</f>
        <v>#N/A</v>
      </c>
      <c r="F9"/>
      <c r="G9" s="10" t="s">
        <v>71</v>
      </c>
      <c r="H9" s="3" t="e">
        <f ca="1">Itd*(1-2.3*(H7-0.07)^2)</f>
        <v>#N/A</v>
      </c>
    </row>
    <row r="10" spans="1:8" ht="19.5" x14ac:dyDescent="0.35">
      <c r="D10" s="5" t="s">
        <v>68</v>
      </c>
      <c r="E10" t="e">
        <f ca="1">VLOOKUP(date,INDIRECT($E$3),5,FALSE)</f>
        <v>#N/A</v>
      </c>
      <c r="F10"/>
      <c r="G10" s="10" t="s">
        <v>72</v>
      </c>
      <c r="H10" s="3" t="e">
        <f ca="1">Itd*(1.33-1.46*H7)</f>
        <v>#N/A</v>
      </c>
    </row>
    <row r="11" spans="1:8" ht="19.5" x14ac:dyDescent="0.35">
      <c r="D11" s="5" t="s">
        <v>82</v>
      </c>
      <c r="E11" t="e">
        <f ca="1">VLOOKUP(date,INDIRECT($E$3),6,FALSE)</f>
        <v>#N/A</v>
      </c>
      <c r="F11"/>
      <c r="G11" s="10" t="s">
        <v>73</v>
      </c>
      <c r="H11" s="3" t="e">
        <f ca="1">Itd*0.23</f>
        <v>#N/A</v>
      </c>
    </row>
    <row r="12" spans="1:8" x14ac:dyDescent="0.2">
      <c r="D12" t="s">
        <v>9</v>
      </c>
      <c r="E12" t="e">
        <f ca="1">VLOOKUP(date,INDIRECT($E$3),7,FALSE)</f>
        <v>#N/A</v>
      </c>
      <c r="G12" s="10" t="s">
        <v>97</v>
      </c>
      <c r="H12" s="3" t="e">
        <f ca="1">H7&lt;0.07</f>
        <v>#N/A</v>
      </c>
    </row>
    <row r="13" spans="1:8" x14ac:dyDescent="0.2">
      <c r="G13" s="10" t="s">
        <v>98</v>
      </c>
      <c r="H13" s="3" t="e">
        <f ca="1">AND(H7&gt;=0.07,H7&lt;0.35)</f>
        <v>#N/A</v>
      </c>
    </row>
    <row r="14" spans="1:8" x14ac:dyDescent="0.2">
      <c r="D14" s="2" t="s">
        <v>22</v>
      </c>
      <c r="G14" s="10" t="s">
        <v>99</v>
      </c>
      <c r="H14" s="3" t="e">
        <f ca="1">AND(H7&gt;=0.35,H7&lt;0.75)</f>
        <v>#N/A</v>
      </c>
    </row>
    <row r="15" spans="1:8" ht="19.5" x14ac:dyDescent="0.35">
      <c r="D15" s="5" t="s">
        <v>36</v>
      </c>
      <c r="E15" s="3">
        <f ca="1">24-E16</f>
        <v>6.8326906260072633</v>
      </c>
      <c r="G15" s="9" t="s">
        <v>54</v>
      </c>
      <c r="H15" s="3" t="e">
        <f ca="1">IF(H12,H8,IF(H13,H9,IF(H14,H10,H11)))</f>
        <v>#N/A</v>
      </c>
    </row>
    <row r="16" spans="1:8" ht="19.5" x14ac:dyDescent="0.35">
      <c r="D16" s="5" t="s">
        <v>37</v>
      </c>
      <c r="E16" s="3">
        <f ca="1">12+(12/PI())*ACOS(-E22/E23)</f>
        <v>17.167309373992737</v>
      </c>
      <c r="G16" s="9" t="s">
        <v>55</v>
      </c>
      <c r="H16" s="3" t="e">
        <f ca="1">Itd-Idfd</f>
        <v>#N/A</v>
      </c>
    </row>
    <row r="17" spans="1:8" x14ac:dyDescent="0.2">
      <c r="D17" s="5" t="s">
        <v>27</v>
      </c>
      <c r="E17" s="3">
        <f ca="1">E16-E15</f>
        <v>10.334618747985473</v>
      </c>
    </row>
    <row r="18" spans="1:8" ht="19.5" x14ac:dyDescent="0.35">
      <c r="G18" s="9" t="s">
        <v>57</v>
      </c>
      <c r="H18" s="3">
        <f ca="1">MAX(0,Ic*SIN(sunhgt))</f>
        <v>865.50044758578099</v>
      </c>
    </row>
    <row r="19" spans="1:8" x14ac:dyDescent="0.2">
      <c r="D19" s="2" t="s">
        <v>18</v>
      </c>
      <c r="G19" s="10" t="s">
        <v>17</v>
      </c>
      <c r="H19" s="3" t="e">
        <f ca="1">PI()*Itd/86400</f>
        <v>#N/A</v>
      </c>
    </row>
    <row r="20" spans="1:8" ht="15" x14ac:dyDescent="0.25">
      <c r="D20" s="6" t="s">
        <v>34</v>
      </c>
      <c r="E20" s="3">
        <f>-0.4093*COS(2*PI()*(doy+10)/365)</f>
        <v>-0.31604369003550792</v>
      </c>
      <c r="G20" s="10" t="s">
        <v>69</v>
      </c>
      <c r="H20" s="3">
        <f ca="1">E22*ACOS(-E24)+E23*SQRT(1-E24^2)</f>
        <v>0.54205988316833964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 t="e">
        <f ca="1">H19/H20</f>
        <v>#N/A</v>
      </c>
    </row>
    <row r="22" spans="1:8" ht="15" x14ac:dyDescent="0.25">
      <c r="A22" s="2"/>
      <c r="D22" s="7" t="s">
        <v>19</v>
      </c>
      <c r="E22" s="3">
        <f ca="1">SIN(decl)*SIN(lat)</f>
        <v>-0.17145630226777664</v>
      </c>
      <c r="G22" s="12" t="s">
        <v>62</v>
      </c>
      <c r="H22" s="3" t="e">
        <f ca="1">E22*H21</f>
        <v>#N/A</v>
      </c>
    </row>
    <row r="23" spans="1:8" ht="15" x14ac:dyDescent="0.25">
      <c r="D23" s="7" t="s">
        <v>20</v>
      </c>
      <c r="E23" s="3">
        <f ca="1">COS(decl)*COS(lat)</f>
        <v>0.7927686213014089</v>
      </c>
      <c r="G23" s="12" t="s">
        <v>61</v>
      </c>
      <c r="H23" s="3" t="e">
        <f ca="1">E23*H21</f>
        <v>#N/A</v>
      </c>
    </row>
    <row r="24" spans="1:8" ht="19.5" x14ac:dyDescent="0.35">
      <c r="D24" s="8" t="s">
        <v>96</v>
      </c>
      <c r="E24" s="3">
        <f ca="1">E22/E23</f>
        <v>-0.21627533893346332</v>
      </c>
      <c r="G24" s="9" t="s">
        <v>60</v>
      </c>
      <c r="H24" s="3" t="e">
        <f ca="1">MAX(0,H22-H23*COS(PI()*th/12))</f>
        <v>#N/A</v>
      </c>
    </row>
    <row r="25" spans="1:8" ht="15" x14ac:dyDescent="0.25">
      <c r="D25" s="5" t="s">
        <v>46</v>
      </c>
      <c r="E25" s="3">
        <f ca="1">ACOS(E22+E23*COS(ha))</f>
        <v>0.91129987742132679</v>
      </c>
    </row>
    <row r="26" spans="1:8" ht="19.5" x14ac:dyDescent="0.35">
      <c r="D26" s="6" t="s">
        <v>95</v>
      </c>
      <c r="E26" s="3">
        <f ca="1">(PI()/2)-suninc</f>
        <v>0.65949644937356977</v>
      </c>
      <c r="G26" s="9" t="s">
        <v>63</v>
      </c>
      <c r="H26" s="3" t="e">
        <f ca="1">IF(Iet&lt;=0,0,It/Iet)</f>
        <v>#N/A</v>
      </c>
    </row>
    <row r="27" spans="1:8" x14ac:dyDescent="0.2">
      <c r="D27" s="8" t="s">
        <v>14</v>
      </c>
      <c r="E27" s="3">
        <f ca="1">(SIN(lat)*SIN(sunhgt)-SIN(decl))/(COS(lat)*COS(sunhgt))</f>
        <v>0.98428276038135332</v>
      </c>
      <c r="G27" s="11" t="s">
        <v>21</v>
      </c>
      <c r="H27" s="3">
        <f ca="1">0.847-1.61*SIN(sunhgt)+1.04*SIN(sunhgt)^2</f>
        <v>0.25096397488033562</v>
      </c>
    </row>
    <row r="28" spans="1:8" x14ac:dyDescent="0.2">
      <c r="D28" s="8" t="s">
        <v>15</v>
      </c>
      <c r="E28" s="3">
        <f ca="1">ACOS(MAX(-1,MIN(1,E27)))</f>
        <v>0.17753075786833272</v>
      </c>
      <c r="G28" s="11" t="s">
        <v>23</v>
      </c>
      <c r="H28" s="3">
        <f ca="1">(1.47-H27)/1.66</f>
        <v>0.73435905127690626</v>
      </c>
    </row>
    <row r="29" spans="1:8" ht="19.5" x14ac:dyDescent="0.35">
      <c r="A29" s="2"/>
      <c r="D29" s="5" t="s">
        <v>47</v>
      </c>
      <c r="E29" s="3">
        <f ca="1">PI()+IF(th&lt;12,-E28,E28)</f>
        <v>2.9640618957214606</v>
      </c>
      <c r="G29" s="10" t="s">
        <v>74</v>
      </c>
      <c r="H29" s="3" t="e">
        <f ca="1">It</f>
        <v>#N/A</v>
      </c>
    </row>
    <row r="30" spans="1:8" ht="19.5" x14ac:dyDescent="0.35">
      <c r="D30" s="5"/>
      <c r="G30" s="10" t="s">
        <v>75</v>
      </c>
      <c r="H30" s="3" t="e">
        <f ca="1">It*(1-6.4*(H26-0.22)^2)</f>
        <v>#N/A</v>
      </c>
    </row>
    <row r="31" spans="1:8" ht="19.5" x14ac:dyDescent="0.35">
      <c r="D31" s="2" t="s">
        <v>101</v>
      </c>
      <c r="G31" s="10" t="s">
        <v>76</v>
      </c>
      <c r="H31" s="3" t="e">
        <f ca="1">It*(1.47-1.66*H26)</f>
        <v>#N/A</v>
      </c>
    </row>
    <row r="32" spans="1:8" ht="19.5" x14ac:dyDescent="0.35">
      <c r="D32" s="5" t="s">
        <v>38</v>
      </c>
      <c r="E32" s="3" t="e">
        <f ca="1">Tmin+(Tmax-Tmin)*SIN((PI()*(tss-tsr-1.5))/DL)</f>
        <v>#N/A</v>
      </c>
      <c r="G32" s="10" t="s">
        <v>77</v>
      </c>
      <c r="H32" s="3" t="e">
        <f ca="1">It*H27</f>
        <v>#N/A</v>
      </c>
    </row>
    <row r="33" spans="4:9" ht="19.5" x14ac:dyDescent="0.35">
      <c r="D33" s="8" t="s">
        <v>41</v>
      </c>
      <c r="E33" s="3" t="e">
        <f ca="1">Tset+((Tmin-Tset)*(th+tsr))/((tsr+1.5)+tsr)</f>
        <v>#N/A</v>
      </c>
      <c r="G33" s="10" t="s">
        <v>97</v>
      </c>
      <c r="H33" s="3" t="e">
        <f ca="1">H26&lt;=0.22</f>
        <v>#N/A</v>
      </c>
    </row>
    <row r="34" spans="4:9" ht="19.5" x14ac:dyDescent="0.35">
      <c r="D34" s="8" t="s">
        <v>42</v>
      </c>
      <c r="E34" s="3" t="e">
        <f ca="1">Tset+((Tmin-Tset)*(th-tss))/((tsr+1.5)+tsr)</f>
        <v>#N/A</v>
      </c>
      <c r="G34" s="10" t="s">
        <v>98</v>
      </c>
      <c r="H34" s="3" t="e">
        <f ca="1">AND(H26&gt;0.22,H26&lt;=0.35)</f>
        <v>#N/A</v>
      </c>
    </row>
    <row r="35" spans="4:9" ht="19.5" x14ac:dyDescent="0.35">
      <c r="D35" s="8" t="s">
        <v>43</v>
      </c>
      <c r="E35" s="3" t="e">
        <f ca="1">Tmin+(Tmax-Tmin)*SIN((PI()*(th-tsr-1.5))/DL)</f>
        <v>#N/A</v>
      </c>
      <c r="G35" s="10" t="s">
        <v>99</v>
      </c>
      <c r="H35" s="3" t="e">
        <f ca="1">AND(H26&gt;0.35,H26&lt;=H28)</f>
        <v>#N/A</v>
      </c>
    </row>
    <row r="36" spans="4:9" ht="19.5" x14ac:dyDescent="0.35">
      <c r="D36" s="5" t="s">
        <v>39</v>
      </c>
      <c r="E36" s="3" t="e">
        <f ca="1">IF(th&lt;(tsr+1.5),E33,IF(th&gt;tss,E34,E35))</f>
        <v>#N/A</v>
      </c>
      <c r="G36" s="9" t="s">
        <v>65</v>
      </c>
      <c r="H36" s="3" t="e">
        <f ca="1">IF(H33,H29,IF(H34,H30,IF(H35,H31,H32)))</f>
        <v>#N/A</v>
      </c>
      <c r="I36" s="3"/>
    </row>
    <row r="37" spans="4:9" ht="19.5" x14ac:dyDescent="0.35">
      <c r="D37" s="5" t="s">
        <v>40</v>
      </c>
      <c r="E37" s="3" t="e">
        <f ca="1">Ta+273.15</f>
        <v>#N/A</v>
      </c>
      <c r="G37" s="9" t="s">
        <v>64</v>
      </c>
      <c r="H37" s="3" t="e">
        <f ca="1">It-Idf</f>
        <v>#N/A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 t="e">
        <f ca="1">MIN(Ta,Tdmax)</f>
        <v>#N/A</v>
      </c>
      <c r="G40" s="22" t="s">
        <v>100</v>
      </c>
      <c r="H40" s="3" t="e">
        <f ca="1">0.98*SB*Tak^4*(1.31*(ea/Tak)^(1/7)-1)</f>
        <v>#N/A</v>
      </c>
    </row>
    <row r="41" spans="4:9" ht="19.5" x14ac:dyDescent="0.35">
      <c r="D41" s="5" t="s">
        <v>44</v>
      </c>
      <c r="E41" s="3" t="e">
        <f ca="1">6.1078*EXP(17.269*Ta/(Ta+237.3))</f>
        <v>#N/A</v>
      </c>
      <c r="G41" s="9" t="s">
        <v>66</v>
      </c>
      <c r="H41" s="3" t="e">
        <f ca="1">(1-p)*It+RnL</f>
        <v>#N/A</v>
      </c>
    </row>
    <row r="42" spans="4:9" ht="19.5" x14ac:dyDescent="0.35">
      <c r="D42" s="5" t="s">
        <v>45</v>
      </c>
      <c r="E42" s="3" t="e">
        <f ca="1">6.1078*EXP(17.269*Tdcal/(Tdcal+237.3))</f>
        <v>#N/A</v>
      </c>
    </row>
    <row r="43" spans="4:9" x14ac:dyDescent="0.2">
      <c r="D43" s="5" t="s">
        <v>59</v>
      </c>
      <c r="E43" t="e">
        <f ca="1">es-ea</f>
        <v>#N/A</v>
      </c>
    </row>
    <row r="44" spans="4:9" x14ac:dyDescent="0.2">
      <c r="D44" s="25" t="s">
        <v>59</v>
      </c>
      <c r="E44" s="16" t="e">
        <f ca="1">(25029.4*EXP(17.269*Ta/(Ta+237.3)))/(Ta+237.3)^2</f>
        <v>#N/A</v>
      </c>
    </row>
    <row r="45" spans="4:9" x14ac:dyDescent="0.2">
      <c r="G45" s="21"/>
    </row>
    <row r="46" spans="4:9" x14ac:dyDescent="0.2">
      <c r="D46" s="2" t="s">
        <v>279</v>
      </c>
    </row>
    <row r="47" spans="4:9" x14ac:dyDescent="0.2">
      <c r="D47" s="5" t="s">
        <v>28</v>
      </c>
      <c r="E47" s="3" t="e">
        <f ca="1">100*ea/es</f>
        <v>#N/A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 t="e">
        <f ca="1">0.5*ud</f>
        <v>#N/A</v>
      </c>
    </row>
    <row r="51" spans="4:5" ht="19.5" x14ac:dyDescent="0.35">
      <c r="D51" s="5" t="s">
        <v>80</v>
      </c>
      <c r="E51" s="3" t="e">
        <f ca="1">umin-(12*PI()*(umin-ud))/DL</f>
        <v>#N/A</v>
      </c>
    </row>
    <row r="52" spans="4:5" x14ac:dyDescent="0.2">
      <c r="D52" s="5" t="s">
        <v>81</v>
      </c>
      <c r="E52" s="3" t="e">
        <f ca="1">umax-umin</f>
        <v>#N/A</v>
      </c>
    </row>
    <row r="53" spans="4:5" x14ac:dyDescent="0.2">
      <c r="D53" s="5" t="s">
        <v>29</v>
      </c>
      <c r="E53" s="3" t="e">
        <f ca="1">umin+IF(OR(th&lt;tsr+1.5,th&gt;tss+1.5),0,E52*SIN(PI()/DL*(th-tsr-1.5)))</f>
        <v>#N/A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12" sqref="D12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8" t="s">
        <v>11</v>
      </c>
    </row>
    <row r="2" spans="1:10" ht="18.75" customHeight="1" x14ac:dyDescent="0.35">
      <c r="A2" s="23" t="s">
        <v>103</v>
      </c>
      <c r="B2" s="16">
        <v>3</v>
      </c>
      <c r="F2" s="33" t="s">
        <v>154</v>
      </c>
      <c r="I2" s="18" t="s">
        <v>156</v>
      </c>
    </row>
    <row r="3" spans="1:10" ht="19.5" x14ac:dyDescent="0.35">
      <c r="F3" s="16" t="s">
        <v>114</v>
      </c>
      <c r="G3" s="16" t="e">
        <f ca="1">ET!K2</f>
        <v>#N/A</v>
      </c>
      <c r="I3" s="16" t="s">
        <v>132</v>
      </c>
      <c r="J3" s="16" t="e">
        <f ca="1">(1-pp)*Qdr*EXP(-kdr*L)</f>
        <v>#N/A</v>
      </c>
    </row>
    <row r="4" spans="1:10" ht="19.5" x14ac:dyDescent="0.35">
      <c r="A4" s="18" t="s">
        <v>102</v>
      </c>
      <c r="F4" s="24" t="s">
        <v>144</v>
      </c>
      <c r="G4" s="24">
        <f>Lmax</f>
        <v>3</v>
      </c>
      <c r="I4" s="16" t="s">
        <v>133</v>
      </c>
      <c r="J4" s="16" t="e">
        <f ca="1">(1-pp)*Qdr*EXP(-SQRT(alpha)*kdr*L)</f>
        <v>#N/A</v>
      </c>
    </row>
    <row r="5" spans="1:10" ht="19.5" x14ac:dyDescent="0.35">
      <c r="A5" s="26" t="s">
        <v>152</v>
      </c>
      <c r="B5" s="27" t="s">
        <v>104</v>
      </c>
      <c r="C5" s="27" t="s">
        <v>105</v>
      </c>
      <c r="D5" s="27" t="s">
        <v>106</v>
      </c>
      <c r="I5" s="16" t="s">
        <v>134</v>
      </c>
      <c r="J5" s="16" t="e">
        <f ca="1">(J3-J4)/2</f>
        <v>#N/A</v>
      </c>
    </row>
    <row r="6" spans="1:10" ht="19.5" x14ac:dyDescent="0.35">
      <c r="A6" s="16" t="s">
        <v>112</v>
      </c>
      <c r="B6" s="16">
        <v>300</v>
      </c>
      <c r="C6" s="16">
        <v>2.1</v>
      </c>
      <c r="D6" s="16" t="e">
        <f ca="1">B6*C6^((Tf-25)/10)</f>
        <v>#N/A</v>
      </c>
      <c r="F6" s="18" t="s">
        <v>145</v>
      </c>
      <c r="I6" s="28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 t="e">
        <f ca="1">B7*C7^((Tf-25)/10)</f>
        <v>#N/A</v>
      </c>
      <c r="F7" s="31" t="s">
        <v>124</v>
      </c>
      <c r="G7" s="16">
        <f>IF(L&lt;Lmax,1-L/Lmax,0)</f>
        <v>0</v>
      </c>
      <c r="I7" s="16" t="s">
        <v>135</v>
      </c>
      <c r="J7" s="16" t="e">
        <f ca="1">(1-pp)*Qdf*(1-EXP(-J6))/J6</f>
        <v>#N/A</v>
      </c>
    </row>
    <row r="8" spans="1:10" ht="19.5" x14ac:dyDescent="0.35">
      <c r="A8" s="25" t="s">
        <v>35</v>
      </c>
      <c r="B8" s="16">
        <v>2600</v>
      </c>
      <c r="C8" s="16">
        <v>0.56999999999999995</v>
      </c>
      <c r="D8" s="16" t="e">
        <f ca="1">B8*C8^((Tf-25)/10)</f>
        <v>#N/A</v>
      </c>
      <c r="F8" s="31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 t="e">
        <f ca="1">(B9*C9^((Tf-25)/10))/(1+EXP(0.29*(Tf-40)))</f>
        <v>#N/A</v>
      </c>
      <c r="F9" s="28" t="s">
        <v>125</v>
      </c>
      <c r="G9" s="16">
        <f ca="1">-2*COS(suninc)/L*LN(G7+G8*EXP(-L/(2*G8*COS(suninc))))</f>
        <v>1</v>
      </c>
      <c r="I9" s="18" t="s">
        <v>146</v>
      </c>
    </row>
    <row r="10" spans="1:10" ht="19.5" x14ac:dyDescent="0.35">
      <c r="F10" s="28" t="s">
        <v>126</v>
      </c>
      <c r="G10" s="16">
        <f ca="1">G9^(1-2*suninc/PI())</f>
        <v>1</v>
      </c>
      <c r="I10" s="16" t="s">
        <v>136</v>
      </c>
      <c r="J10" s="16" t="e">
        <f ca="1">alpha*(kdr*Qdr+J7+J5)</f>
        <v>#N/A</v>
      </c>
    </row>
    <row r="11" spans="1:10" ht="19.5" x14ac:dyDescent="0.35">
      <c r="A11" s="16" t="s">
        <v>107</v>
      </c>
      <c r="B11" s="16">
        <v>210000</v>
      </c>
      <c r="E11" s="18"/>
      <c r="F11" s="16" t="s">
        <v>128</v>
      </c>
      <c r="G11" s="16">
        <f ca="1">MAX(0,G10/(2*COS(suninc)))</f>
        <v>0.81603479227822984</v>
      </c>
      <c r="I11" s="16" t="s">
        <v>137</v>
      </c>
      <c r="J11" s="16" t="e">
        <f ca="1">alpha*(J7+J5)</f>
        <v>#N/A</v>
      </c>
    </row>
    <row r="12" spans="1:10" ht="19.5" x14ac:dyDescent="0.35">
      <c r="A12" s="16" t="s">
        <v>108</v>
      </c>
      <c r="B12" s="16">
        <v>270</v>
      </c>
      <c r="F12" s="28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8" t="s">
        <v>15</v>
      </c>
      <c r="G13" s="16">
        <f>1+B19*L+B21*L^2+B23*L^3+B25*L^4+B27*L^5</f>
        <v>15.823371094000001</v>
      </c>
      <c r="I13" s="18" t="s">
        <v>147</v>
      </c>
    </row>
    <row r="14" spans="1:10" ht="19.5" x14ac:dyDescent="0.35">
      <c r="A14" s="25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 t="e">
        <f ca="1">Oa/(2*tau)</f>
        <v>#N/A</v>
      </c>
    </row>
    <row r="15" spans="1:10" ht="19.5" x14ac:dyDescent="0.35">
      <c r="A15" s="16" t="s">
        <v>110</v>
      </c>
      <c r="B15" s="16">
        <v>0.08</v>
      </c>
      <c r="I15" s="23" t="s">
        <v>139</v>
      </c>
      <c r="J15" s="16" t="e">
        <f ca="1">Vcmax*(Ci-co2pt)/(Kc*(1+Oa/Ko)+Ci)</f>
        <v>#N/A</v>
      </c>
    </row>
    <row r="16" spans="1:10" ht="15.75" customHeight="1" x14ac:dyDescent="0.35">
      <c r="F16" s="34" t="s">
        <v>157</v>
      </c>
      <c r="I16" s="23" t="s">
        <v>140</v>
      </c>
      <c r="J16" s="16" t="e">
        <f ca="1">0.5*Vcmax</f>
        <v>#N/A</v>
      </c>
    </row>
    <row r="17" spans="1:10" ht="19.5" x14ac:dyDescent="0.35">
      <c r="A17" s="26" t="s">
        <v>153</v>
      </c>
      <c r="B17" s="29"/>
      <c r="F17" s="16" t="s">
        <v>130</v>
      </c>
      <c r="G17" s="16">
        <f ca="1">(1-EXP(-kdr*L))/kdr</f>
        <v>1.1194898635233923</v>
      </c>
      <c r="I17" s="23" t="s">
        <v>141</v>
      </c>
      <c r="J17" s="16" t="e">
        <f ca="1">em*alpha*Qsl*((Ci-co2pt)/(Ci+2*co2pt))</f>
        <v>#N/A</v>
      </c>
    </row>
    <row r="18" spans="1:10" ht="19.5" x14ac:dyDescent="0.35">
      <c r="A18" s="30" t="s">
        <v>19</v>
      </c>
      <c r="B18" s="19">
        <v>1.002331825</v>
      </c>
      <c r="F18" s="16" t="s">
        <v>131</v>
      </c>
      <c r="G18" s="16">
        <f ca="1">L-Lsl</f>
        <v>1.8805101364766077</v>
      </c>
      <c r="I18" s="23" t="s">
        <v>142</v>
      </c>
      <c r="J18" s="16" t="e">
        <f ca="1">em*alpha*Qsh*((Ci-co2pt)/(Ci+2*co2pt))</f>
        <v>#N/A</v>
      </c>
    </row>
    <row r="19" spans="1:10" ht="19.5" x14ac:dyDescent="0.35">
      <c r="A19" s="30" t="s">
        <v>20</v>
      </c>
      <c r="B19" s="19">
        <v>2.8618412059999998</v>
      </c>
      <c r="I19" s="16" t="s">
        <v>143</v>
      </c>
      <c r="J19" s="16" t="e">
        <f ca="1">Lsl*MIN(vc,vs,vqsl)+Lsh*MIN(vc,vs,vqsh)</f>
        <v>#N/A</v>
      </c>
    </row>
    <row r="20" spans="1:10" ht="18" customHeight="1" x14ac:dyDescent="0.35">
      <c r="A20" s="30" t="s">
        <v>115</v>
      </c>
      <c r="B20" s="19">
        <v>2.1227020350000001</v>
      </c>
      <c r="F20" s="34" t="s">
        <v>155</v>
      </c>
      <c r="I20" s="28" t="s">
        <v>148</v>
      </c>
      <c r="J20" s="16">
        <v>158.91769310603615</v>
      </c>
    </row>
    <row r="21" spans="1:10" ht="20.25" x14ac:dyDescent="0.35">
      <c r="A21" s="30" t="s">
        <v>34</v>
      </c>
      <c r="B21" s="19">
        <v>9.3153495000000003E-2</v>
      </c>
      <c r="F21" s="16" t="s">
        <v>123</v>
      </c>
      <c r="G21" s="16" t="e">
        <f ca="1">0.5*Idr*4.55</f>
        <v>#N/A</v>
      </c>
      <c r="I21" s="16" t="s">
        <v>151</v>
      </c>
      <c r="J21" s="16">
        <f>J20*3600*30*10^-6</f>
        <v>17.163110855451905</v>
      </c>
    </row>
    <row r="22" spans="1:10" ht="19.5" x14ac:dyDescent="0.35">
      <c r="A22" s="30" t="s">
        <v>116</v>
      </c>
      <c r="B22" s="19">
        <v>0.47701111000000002</v>
      </c>
      <c r="F22" s="16" t="s">
        <v>122</v>
      </c>
      <c r="G22" s="16" t="e">
        <f ca="1">0.5*Idf*4.55</f>
        <v>#N/A</v>
      </c>
    </row>
    <row r="23" spans="1:10" x14ac:dyDescent="0.2">
      <c r="A23" s="30" t="s">
        <v>90</v>
      </c>
      <c r="B23" s="19">
        <v>0.14858605</v>
      </c>
    </row>
    <row r="24" spans="1:10" x14ac:dyDescent="0.2">
      <c r="A24" s="30" t="s">
        <v>117</v>
      </c>
      <c r="B24" s="19">
        <v>3.0599924000000001E-2</v>
      </c>
    </row>
    <row r="25" spans="1:10" x14ac:dyDescent="0.2">
      <c r="A25" s="30" t="s">
        <v>118</v>
      </c>
      <c r="B25" s="19">
        <v>1.5715751E-2</v>
      </c>
    </row>
    <row r="26" spans="1:10" x14ac:dyDescent="0.2">
      <c r="A26" s="30" t="s">
        <v>119</v>
      </c>
      <c r="B26" s="19">
        <v>4.9165000000000005E-4</v>
      </c>
    </row>
    <row r="27" spans="1:10" x14ac:dyDescent="0.2">
      <c r="A27" s="30" t="s">
        <v>120</v>
      </c>
      <c r="B27" s="19">
        <v>4.7187999999999999E-4</v>
      </c>
    </row>
    <row r="28" spans="1:10" x14ac:dyDescent="0.2">
      <c r="A28" s="30" t="s">
        <v>121</v>
      </c>
      <c r="B28" s="19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A13" workbookViewId="0">
      <selection activeCell="E10" sqref="E10"/>
    </sheetView>
  </sheetViews>
  <sheetFormatPr defaultColWidth="9.140625" defaultRowHeight="12" x14ac:dyDescent="0.2"/>
  <cols>
    <col min="1" max="1" width="6.42578125" style="36" bestFit="1" customWidth="1"/>
    <col min="2" max="2" width="5.42578125" style="36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5" t="s">
        <v>11</v>
      </c>
      <c r="D1" s="37" t="s">
        <v>154</v>
      </c>
      <c r="G1" s="18" t="s">
        <v>219</v>
      </c>
      <c r="J1" s="18" t="s">
        <v>226</v>
      </c>
    </row>
    <row r="2" spans="1:11" ht="19.5" x14ac:dyDescent="0.35">
      <c r="A2" s="36" t="s">
        <v>180</v>
      </c>
      <c r="B2" s="36">
        <v>2</v>
      </c>
      <c r="D2" s="36" t="s">
        <v>118</v>
      </c>
      <c r="E2" s="36">
        <v>1</v>
      </c>
      <c r="G2" s="28" t="s">
        <v>158</v>
      </c>
      <c r="H2" s="16" t="e">
        <f ca="1">(slopesvp+psycho)*raa</f>
        <v>#N/A</v>
      </c>
      <c r="J2" s="16" t="s">
        <v>114</v>
      </c>
      <c r="K2" s="16" t="e">
        <f ca="1">((Hc*rca+(Hs+Hc)*raa)/pcp)+Ta</f>
        <v>#N/A</v>
      </c>
    </row>
    <row r="3" spans="1:11" ht="19.5" x14ac:dyDescent="0.35">
      <c r="A3" s="36" t="s">
        <v>172</v>
      </c>
      <c r="B3" s="36">
        <v>4.0000000000000001E-3</v>
      </c>
      <c r="D3" s="36" t="s">
        <v>171</v>
      </c>
      <c r="E3" s="36">
        <v>0.08</v>
      </c>
      <c r="G3" s="28" t="s">
        <v>159</v>
      </c>
      <c r="H3" s="16" t="e">
        <f ca="1">(slopesvp+psycho)*rca+psycho*rcs</f>
        <v>#N/A</v>
      </c>
    </row>
    <row r="4" spans="1:11" ht="15.75" x14ac:dyDescent="0.3">
      <c r="A4" s="41" t="s">
        <v>285</v>
      </c>
      <c r="B4" s="36">
        <v>0.3</v>
      </c>
      <c r="D4" s="24" t="s">
        <v>173</v>
      </c>
      <c r="E4" s="36">
        <f>Water!H4</f>
        <v>0.02</v>
      </c>
      <c r="G4" s="28" t="s">
        <v>160</v>
      </c>
      <c r="H4" s="16" t="e">
        <f ca="1">(slopesvp+psycho)*rsa+psycho*rss</f>
        <v>#N/A</v>
      </c>
    </row>
    <row r="5" spans="1:11" ht="19.5" x14ac:dyDescent="0.35">
      <c r="A5" s="36" t="s">
        <v>176</v>
      </c>
      <c r="B5" s="36">
        <v>51.21</v>
      </c>
      <c r="D5" s="36" t="s">
        <v>174</v>
      </c>
      <c r="E5" s="36">
        <f>Water!H3</f>
        <v>0.39</v>
      </c>
      <c r="G5" s="28" t="s">
        <v>204</v>
      </c>
      <c r="H5" s="16" t="e">
        <f ca="1">(1+(H3*H2)/(H4*(H3+H2)))^-1</f>
        <v>#N/A</v>
      </c>
    </row>
    <row r="6" spans="1:11" ht="19.5" x14ac:dyDescent="0.35">
      <c r="A6" s="36" t="s">
        <v>177</v>
      </c>
      <c r="B6" s="36">
        <v>5.0000000000000001E-3</v>
      </c>
      <c r="D6" s="36" t="s">
        <v>175</v>
      </c>
      <c r="E6" s="36">
        <f>Water!H9</f>
        <v>0.39</v>
      </c>
      <c r="G6" s="28" t="s">
        <v>205</v>
      </c>
      <c r="H6" s="16" t="e">
        <f ca="1">(1+(H4*H2)/(H3*(H4+H2)))^-1</f>
        <v>#N/A</v>
      </c>
    </row>
    <row r="7" spans="1:11" ht="19.5" x14ac:dyDescent="0.35">
      <c r="A7" s="36" t="s">
        <v>179</v>
      </c>
      <c r="B7" s="36">
        <v>2</v>
      </c>
      <c r="G7" s="28" t="s">
        <v>198</v>
      </c>
      <c r="H7" s="16" t="e">
        <f ca="1">slopesvp*A+(pcp*vpd-slopesvp*rca*As)/(raa+rca)</f>
        <v>#N/A</v>
      </c>
    </row>
    <row r="8" spans="1:11" ht="19.5" x14ac:dyDescent="0.35">
      <c r="A8" s="36" t="s">
        <v>178</v>
      </c>
      <c r="B8" s="36">
        <v>2</v>
      </c>
      <c r="D8" s="18" t="s">
        <v>186</v>
      </c>
      <c r="G8" s="28" t="s">
        <v>199</v>
      </c>
      <c r="H8" s="16" t="e">
        <f ca="1">slopesvp+psycho*(1+rcs/(raa+rca))</f>
        <v>#N/A</v>
      </c>
    </row>
    <row r="9" spans="1:11" ht="19.5" x14ac:dyDescent="0.35">
      <c r="D9" s="16" t="s">
        <v>227</v>
      </c>
      <c r="E9" s="16">
        <f>EXP(-kRn*L)</f>
        <v>0.40656965974059917</v>
      </c>
      <c r="G9" s="28" t="s">
        <v>202</v>
      </c>
      <c r="H9" s="16" t="e">
        <f ca="1">H7/H8</f>
        <v>#N/A</v>
      </c>
    </row>
    <row r="10" spans="1:11" x14ac:dyDescent="0.2">
      <c r="A10" s="35" t="s">
        <v>161</v>
      </c>
      <c r="D10" s="16" t="s">
        <v>182</v>
      </c>
      <c r="E10" s="16" t="e">
        <f ca="1">0.3*pRn*Rn</f>
        <v>#N/A</v>
      </c>
      <c r="G10" s="28" t="s">
        <v>200</v>
      </c>
      <c r="H10" s="16" t="e">
        <f ca="1">slopesvp*A+(pcp*vpd-slopesvp*rsa*Ac)/(raa+rsa)</f>
        <v>#N/A</v>
      </c>
    </row>
    <row r="11" spans="1:11" ht="19.5" x14ac:dyDescent="0.35">
      <c r="A11" s="39" t="s">
        <v>35</v>
      </c>
      <c r="B11" s="36">
        <v>2</v>
      </c>
      <c r="D11" s="16" t="s">
        <v>184</v>
      </c>
      <c r="E11" s="16" t="e">
        <f ca="1">(1-pRn)*Rn</f>
        <v>#N/A</v>
      </c>
      <c r="G11" s="28" t="s">
        <v>201</v>
      </c>
      <c r="H11" s="16" t="e">
        <f ca="1">slopesvp+psycho*(1+rss/(raa+rsa))</f>
        <v>#N/A</v>
      </c>
    </row>
    <row r="12" spans="1:11" ht="19.5" x14ac:dyDescent="0.35">
      <c r="A12" s="38" t="s">
        <v>181</v>
      </c>
      <c r="B12" s="36">
        <v>0.42</v>
      </c>
      <c r="D12" s="16" t="s">
        <v>185</v>
      </c>
      <c r="E12" s="16" t="e">
        <f ca="1">pRn*Rn-G</f>
        <v>#N/A</v>
      </c>
      <c r="G12" s="28" t="s">
        <v>203</v>
      </c>
      <c r="H12" s="16" t="e">
        <f ca="1">H10/H11</f>
        <v>#N/A</v>
      </c>
    </row>
    <row r="13" spans="1:11" ht="12.75" x14ac:dyDescent="0.2">
      <c r="A13" s="39" t="s">
        <v>173</v>
      </c>
      <c r="B13" s="36">
        <v>0.18</v>
      </c>
      <c r="D13" s="16" t="s">
        <v>183</v>
      </c>
      <c r="E13" s="16" t="e">
        <f ca="1">Ac+As</f>
        <v>#N/A</v>
      </c>
      <c r="G13" s="16" t="s">
        <v>206</v>
      </c>
      <c r="H13" s="16" t="e">
        <f ca="1">H5*H9+H6*H12</f>
        <v>#N/A</v>
      </c>
    </row>
    <row r="15" spans="1:11" ht="19.5" x14ac:dyDescent="0.35">
      <c r="A15" s="35" t="s">
        <v>26</v>
      </c>
      <c r="D15" s="18" t="s">
        <v>197</v>
      </c>
      <c r="G15" s="16" t="s">
        <v>207</v>
      </c>
      <c r="H15" s="16" t="e">
        <f ca="1">vpd+(raa/pcp)*(slopesvp*A-(slopesvp+psycho)*LET)</f>
        <v>#N/A</v>
      </c>
    </row>
    <row r="16" spans="1:11" ht="19.5" x14ac:dyDescent="0.35">
      <c r="A16" s="39" t="s">
        <v>117</v>
      </c>
      <c r="B16" s="36">
        <v>0.65800000000000003</v>
      </c>
      <c r="D16" s="16" t="s">
        <v>188</v>
      </c>
      <c r="E16" s="16">
        <f>0.13*h</f>
        <v>0.13</v>
      </c>
    </row>
    <row r="17" spans="1:8" x14ac:dyDescent="0.2">
      <c r="A17" s="36" t="s">
        <v>121</v>
      </c>
      <c r="B17" s="36">
        <v>0.4</v>
      </c>
      <c r="D17" s="16" t="s">
        <v>34</v>
      </c>
      <c r="E17" s="16">
        <f>0.64*h</f>
        <v>0.64</v>
      </c>
      <c r="G17" s="28" t="s">
        <v>208</v>
      </c>
      <c r="H17" s="16" t="e">
        <f ca="1">slopesvp*As+pcp*vpd0/rsa</f>
        <v>#N/A</v>
      </c>
    </row>
    <row r="18" spans="1:8" ht="13.5" x14ac:dyDescent="0.25">
      <c r="A18" s="24" t="s">
        <v>187</v>
      </c>
      <c r="B18" s="36">
        <v>1221.0899999999999</v>
      </c>
      <c r="D18" s="16" t="s">
        <v>189</v>
      </c>
      <c r="E18" s="16" t="e">
        <f ca="1">k*u/LN((zr-d)/z0)</f>
        <v>#N/A</v>
      </c>
      <c r="G18" s="28" t="s">
        <v>209</v>
      </c>
      <c r="H18" s="16" t="e">
        <f ca="1">slopesvp+psycho*(rss+rsa)/rsa</f>
        <v>#N/A</v>
      </c>
    </row>
    <row r="19" spans="1:8" ht="19.5" x14ac:dyDescent="0.35">
      <c r="A19" s="36" t="s">
        <v>196</v>
      </c>
      <c r="B19" s="36">
        <f>24.7*10^-6</f>
        <v>2.4699999999999997E-5</v>
      </c>
      <c r="D19" s="16" t="s">
        <v>190</v>
      </c>
      <c r="E19" s="16" t="e">
        <f ca="1">(ustar/k)*LN((h-d)/z0)</f>
        <v>#N/A</v>
      </c>
      <c r="G19" s="16" t="s">
        <v>210</v>
      </c>
      <c r="H19" s="16" t="e">
        <f ca="1">H17/H18</f>
        <v>#N/A</v>
      </c>
    </row>
    <row r="20" spans="1:8" ht="19.5" x14ac:dyDescent="0.35">
      <c r="D20" s="16" t="s">
        <v>191</v>
      </c>
      <c r="E20" s="16" t="e">
        <f ca="1">k*ustar*h</f>
        <v>#N/A</v>
      </c>
      <c r="G20" s="28" t="s">
        <v>214</v>
      </c>
      <c r="H20" s="16">
        <v>28.364860670472069</v>
      </c>
    </row>
    <row r="21" spans="1:8" ht="18" x14ac:dyDescent="0.2">
      <c r="G21" s="16" t="s">
        <v>216</v>
      </c>
      <c r="H21" s="16">
        <f>H20*2*3600/2454000</f>
        <v>8.3222085096739562E-2</v>
      </c>
    </row>
    <row r="22" spans="1:8" x14ac:dyDescent="0.2">
      <c r="D22" s="18" t="s">
        <v>162</v>
      </c>
    </row>
    <row r="23" spans="1:8" x14ac:dyDescent="0.2">
      <c r="D23" s="28" t="s">
        <v>14</v>
      </c>
      <c r="E23" s="16" t="e">
        <f ca="1">(h*EXP(nK))/(nK*Kh)</f>
        <v>#N/A</v>
      </c>
      <c r="G23" s="28" t="s">
        <v>212</v>
      </c>
      <c r="H23" s="16" t="e">
        <f ca="1">slopesvp*Ac+pcp*vpd0/rca</f>
        <v>#N/A</v>
      </c>
    </row>
    <row r="24" spans="1:8" x14ac:dyDescent="0.2">
      <c r="D24" s="28" t="s">
        <v>15</v>
      </c>
      <c r="E24" s="16">
        <f>EXP(-nK*zs0/h)</f>
        <v>0.99203191483706066</v>
      </c>
      <c r="G24" s="28" t="s">
        <v>213</v>
      </c>
      <c r="H24" s="16" t="e">
        <f ca="1">slopesvp+psycho*(rcs+rca)/rca</f>
        <v>#N/A</v>
      </c>
    </row>
    <row r="25" spans="1:8" ht="19.5" x14ac:dyDescent="0.35">
      <c r="D25" s="28" t="s">
        <v>16</v>
      </c>
      <c r="E25" s="16">
        <f>EXP(-nK*(z0+d)/h)</f>
        <v>0.21438110142697794</v>
      </c>
      <c r="G25" s="16" t="s">
        <v>211</v>
      </c>
      <c r="H25" s="16" t="e">
        <f ca="1">H23/H24</f>
        <v>#N/A</v>
      </c>
    </row>
    <row r="26" spans="1:8" ht="19.5" x14ac:dyDescent="0.35">
      <c r="D26" s="16" t="s">
        <v>163</v>
      </c>
      <c r="E26" s="16" t="e">
        <f ca="1">E23*(E24-E25)</f>
        <v>#N/A</v>
      </c>
      <c r="G26" s="28" t="s">
        <v>215</v>
      </c>
      <c r="H26" s="16">
        <v>103.45817296668977</v>
      </c>
    </row>
    <row r="27" spans="1:8" ht="18" x14ac:dyDescent="0.2">
      <c r="G27" s="16" t="s">
        <v>217</v>
      </c>
      <c r="H27" s="16">
        <f>H26*2*3600/2454000</f>
        <v>0.30354476176045903</v>
      </c>
    </row>
    <row r="28" spans="1:8" x14ac:dyDescent="0.2">
      <c r="D28" s="28" t="s">
        <v>17</v>
      </c>
      <c r="E28" s="16" t="e">
        <f ca="1">LN((zr-d)/(h-d))/(k*ustar)</f>
        <v>#N/A</v>
      </c>
    </row>
    <row r="29" spans="1:8" ht="18" x14ac:dyDescent="0.2">
      <c r="D29" s="28" t="s">
        <v>69</v>
      </c>
      <c r="E29" s="16" t="e">
        <f ca="1">1/(nK*k*ustar)</f>
        <v>#N/A</v>
      </c>
      <c r="G29" s="16" t="s">
        <v>218</v>
      </c>
      <c r="H29" s="16">
        <f>PETs+PETc</f>
        <v>0.38676684685719859</v>
      </c>
    </row>
    <row r="30" spans="1:8" x14ac:dyDescent="0.2">
      <c r="D30" s="28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 t="e">
        <f ca="1">E28+E29*E30</f>
        <v>#N/A</v>
      </c>
      <c r="G31" s="18" t="s">
        <v>166</v>
      </c>
    </row>
    <row r="32" spans="1:8" x14ac:dyDescent="0.2">
      <c r="G32" s="28" t="s">
        <v>220</v>
      </c>
      <c r="H32" s="16" t="e">
        <f ca="1">psycho*As*(rss+rsa)-pcp*vpd0</f>
        <v>#N/A</v>
      </c>
    </row>
    <row r="33" spans="4:8" x14ac:dyDescent="0.2">
      <c r="D33" s="28" t="s">
        <v>193</v>
      </c>
      <c r="E33" s="16">
        <f>0.012*L*(1-EXP(-nu/2))</f>
        <v>2.2756340117828077E-2</v>
      </c>
      <c r="G33" s="28" t="s">
        <v>221</v>
      </c>
      <c r="H33" s="16" t="e">
        <f ca="1">slopesvp*rsa+psycho*(rss+rsa)</f>
        <v>#N/A</v>
      </c>
    </row>
    <row r="34" spans="4:8" ht="19.5" x14ac:dyDescent="0.35">
      <c r="D34" s="28" t="s">
        <v>194</v>
      </c>
      <c r="E34" s="16" t="e">
        <f ca="1">SQRT(E19/leafwidth)</f>
        <v>#N/A</v>
      </c>
      <c r="G34" s="16" t="s">
        <v>222</v>
      </c>
      <c r="H34" s="16" t="e">
        <f ca="1">H32/H33</f>
        <v>#N/A</v>
      </c>
    </row>
    <row r="35" spans="4:8" x14ac:dyDescent="0.2">
      <c r="D35" s="16" t="s">
        <v>165</v>
      </c>
      <c r="E35" s="16" t="e">
        <f ca="1">nu/(E33*E34)</f>
        <v>#N/A</v>
      </c>
      <c r="G35" s="28"/>
    </row>
    <row r="36" spans="4:8" x14ac:dyDescent="0.2">
      <c r="G36" s="28" t="s">
        <v>223</v>
      </c>
      <c r="H36" s="16" t="e">
        <f ca="1">psycho*Ac*(rcs+rca)-pcp*vpd0</f>
        <v>#N/A</v>
      </c>
    </row>
    <row r="37" spans="4:8" x14ac:dyDescent="0.2">
      <c r="D37" s="16" t="s">
        <v>167</v>
      </c>
      <c r="E37" s="16" t="e">
        <f ca="1">MAX(0.1,It*0.5)</f>
        <v>#N/A</v>
      </c>
      <c r="G37" s="28" t="s">
        <v>224</v>
      </c>
      <c r="H37" s="16" t="e">
        <f ca="1">slopesvp*rca+psycho*(rcs+rca)</f>
        <v>#N/A</v>
      </c>
    </row>
    <row r="38" spans="4:8" ht="19.5" x14ac:dyDescent="0.35">
      <c r="D38" s="16" t="s">
        <v>168</v>
      </c>
      <c r="E38" s="16" t="e">
        <f ca="1">(stom_a1+E37)/(stom_a2*E37)</f>
        <v>#N/A</v>
      </c>
      <c r="G38" s="16" t="s">
        <v>225</v>
      </c>
      <c r="H38" s="16" t="e">
        <f ca="1">H36/H37</f>
        <v>#N/A</v>
      </c>
    </row>
    <row r="39" spans="4:8" x14ac:dyDescent="0.2">
      <c r="D39" s="16" t="s">
        <v>169</v>
      </c>
      <c r="E39" s="16" t="e">
        <f ca="1">IF(L&lt;=0.5*Lmax,rst/L,rst/(0.5*Lmax))</f>
        <v>#N/A</v>
      </c>
    </row>
    <row r="41" spans="4:8" x14ac:dyDescent="0.2">
      <c r="D41" s="16" t="s">
        <v>195</v>
      </c>
      <c r="E41" s="16">
        <f>(B11*E4)/(B12*Dmv)</f>
        <v>3855.7933294775403</v>
      </c>
      <c r="G41" s="28"/>
    </row>
    <row r="42" spans="4:8" x14ac:dyDescent="0.2">
      <c r="D42" s="16" t="s">
        <v>170</v>
      </c>
      <c r="E42" s="16">
        <f>E41*EXP(-(1/B13)*E6/E5)</f>
        <v>14.906189086072134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topLeftCell="E1" zoomScale="98" zoomScaleNormal="98" workbookViewId="0">
      <pane ySplit="1" topLeftCell="A2" activePane="bottomLeft" state="frozen"/>
      <selection activeCell="F1" sqref="F1"/>
      <selection pane="bottomLeft" activeCell="I4" sqref="I4"/>
    </sheetView>
  </sheetViews>
  <sheetFormatPr defaultColWidth="9" defaultRowHeight="12" x14ac:dyDescent="0.2"/>
  <cols>
    <col min="1" max="1" width="4.140625" style="16" bestFit="1" customWidth="1"/>
    <col min="2" max="2" width="3.2851562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8" t="s">
        <v>11</v>
      </c>
      <c r="D1" s="37" t="s">
        <v>154</v>
      </c>
      <c r="G1" s="26" t="s">
        <v>252</v>
      </c>
      <c r="H1" s="27">
        <v>1</v>
      </c>
      <c r="I1" s="27">
        <v>2</v>
      </c>
      <c r="J1" s="27">
        <v>3</v>
      </c>
    </row>
    <row r="2" spans="1:10" ht="18.600000000000001" customHeight="1" x14ac:dyDescent="0.35">
      <c r="A2" s="42" t="s">
        <v>251</v>
      </c>
      <c r="B2" s="16">
        <v>0.23830000000000001</v>
      </c>
      <c r="D2" s="24" t="s">
        <v>240</v>
      </c>
      <c r="E2" s="24">
        <v>0.25</v>
      </c>
      <c r="G2" s="42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2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8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0.99999356396147077</v>
      </c>
      <c r="G5" s="44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6.2416162107145047E-2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2" t="s">
        <v>269</v>
      </c>
      <c r="H7" s="16">
        <f>$B$2*H4*1000</f>
        <v>4.766</v>
      </c>
      <c r="I7" s="16">
        <f>$B$2*I4*1000</f>
        <v>109.61800000000001</v>
      </c>
      <c r="J7" s="16">
        <f>$B$2*J4*1000</f>
        <v>123.91600000000001</v>
      </c>
    </row>
    <row r="8" spans="1:10" ht="15.6" customHeight="1" x14ac:dyDescent="0.35">
      <c r="D8" s="18" t="s">
        <v>234</v>
      </c>
      <c r="G8" s="42" t="s">
        <v>270</v>
      </c>
      <c r="H8" s="16">
        <v>20.973119611305158</v>
      </c>
      <c r="I8" s="16">
        <v>192.45824423201304</v>
      </c>
      <c r="J8" s="16">
        <v>201.66600171413316</v>
      </c>
    </row>
    <row r="9" spans="1:10" ht="18" customHeight="1" x14ac:dyDescent="0.35">
      <c r="D9" s="42" t="s">
        <v>274</v>
      </c>
      <c r="E9" s="16">
        <f>AVERAGE(H2:J2)</f>
        <v>0.12</v>
      </c>
      <c r="G9" s="42" t="s">
        <v>271</v>
      </c>
      <c r="H9" s="16">
        <f>MAX(0.01,MIN(H3,(H8/1000)/H4))</f>
        <v>0.39</v>
      </c>
      <c r="I9" s="16">
        <f>MAX(0.01,MIN(I3,(I8/1000)/I4))</f>
        <v>0.39</v>
      </c>
      <c r="J9" s="16">
        <f>MAX(0.01,MIN(J3,(J8/1000)/J4))</f>
        <v>0.38781923406564067</v>
      </c>
    </row>
    <row r="10" spans="1:10" ht="17.25" customHeight="1" x14ac:dyDescent="0.35">
      <c r="D10" s="42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314.2</v>
      </c>
      <c r="I10" s="16">
        <f>[1]!interpolate(hydraulic_vwc,hydraulic_K,I9)</f>
        <v>314.2</v>
      </c>
      <c r="J10" s="16">
        <f>[1]!interpolate(hydraulic_vwc,hydraulic_K,J9)</f>
        <v>298.32880971861766</v>
      </c>
    </row>
    <row r="11" spans="1:10" ht="16.5" customHeight="1" x14ac:dyDescent="0.35">
      <c r="D11" s="42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</v>
      </c>
      <c r="I11" s="16">
        <f>[1]!interpolate(matric_vwc,matric_Hm,I9)</f>
        <v>0</v>
      </c>
      <c r="J11" s="16">
        <f>[1]!interpolate(matric_vwc,matric_Hm,J9)</f>
        <v>1.0903829671796702E-2</v>
      </c>
    </row>
    <row r="12" spans="1:10" ht="18.75" customHeight="1" x14ac:dyDescent="0.35">
      <c r="D12" s="42" t="s">
        <v>241</v>
      </c>
      <c r="E12" s="16">
        <f>SUM(H16:J16)/droot</f>
        <v>0.39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0.01</v>
      </c>
      <c r="I13" s="16">
        <f>I11+I12</f>
        <v>0.25</v>
      </c>
      <c r="J13" s="16">
        <f t="shared" ref="J13" si="0">J11+J12</f>
        <v>0.7509038296717967</v>
      </c>
    </row>
    <row r="14" spans="1:10" ht="19.5" x14ac:dyDescent="0.35">
      <c r="D14" s="16" t="s">
        <v>277</v>
      </c>
      <c r="E14" s="16">
        <f>PETc*E13</f>
        <v>0.30354476176045903</v>
      </c>
      <c r="G14" s="16" t="s">
        <v>267</v>
      </c>
      <c r="I14" s="16">
        <f>(H10*H4+I10*I4)/(I4+H4)</f>
        <v>314.2</v>
      </c>
      <c r="J14" s="16">
        <f>(I10*I4+J10*J4)/(J4+I4)</f>
        <v>305.77855209559306</v>
      </c>
    </row>
    <row r="15" spans="1:10" ht="18.75" customHeight="1" x14ac:dyDescent="0.35">
      <c r="G15" s="44" t="s">
        <v>265</v>
      </c>
      <c r="H15" s="16">
        <f>MAX(0,H5-droot)</f>
        <v>0</v>
      </c>
      <c r="I15" s="16">
        <f>MAX(0,I5-droot)</f>
        <v>0.23000000000000004</v>
      </c>
      <c r="J15" s="16">
        <f>MAX(0,J5-droot)</f>
        <v>0.75</v>
      </c>
    </row>
    <row r="16" spans="1:10" ht="15.75" customHeight="1" x14ac:dyDescent="0.35">
      <c r="D16" s="18" t="s">
        <v>263</v>
      </c>
      <c r="G16" s="42" t="s">
        <v>266</v>
      </c>
      <c r="H16" s="16">
        <f>MAX(0,H9*(H4-H15))</f>
        <v>7.8000000000000005E-3</v>
      </c>
      <c r="I16" s="16">
        <f t="shared" ref="I16:J16" si="1">MAX(0,I9*(I4-I15))</f>
        <v>8.9700000000000002E-2</v>
      </c>
      <c r="J16" s="16">
        <f t="shared" si="1"/>
        <v>0</v>
      </c>
    </row>
    <row r="17" spans="4:10" ht="15.75" customHeight="1" x14ac:dyDescent="0.35">
      <c r="D17" s="16" t="s">
        <v>273</v>
      </c>
      <c r="E17" s="16" t="e">
        <f ca="1">(1-MIN(m,L/Lmax*m))*Pg</f>
        <v>#N/A</v>
      </c>
      <c r="G17" s="16" t="s">
        <v>248</v>
      </c>
      <c r="H17" s="16">
        <f>E6</f>
        <v>6.2416162107145047E-2</v>
      </c>
    </row>
    <row r="18" spans="4:10" ht="15" customHeight="1" x14ac:dyDescent="0.35">
      <c r="G18" s="42" t="s">
        <v>246</v>
      </c>
      <c r="H18" s="16">
        <f>MIN(1,H5/droot)</f>
        <v>0.08</v>
      </c>
      <c r="I18" s="16">
        <f>MIN(1,I5/droot)</f>
        <v>1</v>
      </c>
      <c r="J18" s="16">
        <f>MIN(1,J5/droot)</f>
        <v>1</v>
      </c>
    </row>
    <row r="19" spans="4:10" ht="19.5" x14ac:dyDescent="0.35">
      <c r="G19" s="42" t="s">
        <v>247</v>
      </c>
      <c r="H19" s="16">
        <f t="shared" ref="H19:J19" si="2">1.8*H18-0.8*H18^2</f>
        <v>0.13888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4.215629651329255E-2</v>
      </c>
      <c r="I20" s="16">
        <f>(I19-H19)*AETc</f>
        <v>0.26138846524716647</v>
      </c>
      <c r="J20" s="16">
        <f>(J19-I19)*AETc</f>
        <v>0</v>
      </c>
    </row>
    <row r="21" spans="4:10" ht="19.5" x14ac:dyDescent="0.35">
      <c r="G21" s="16" t="s">
        <v>249</v>
      </c>
      <c r="H21" s="16" t="e">
        <f ca="1">Pn-H17-H20</f>
        <v>#N/A</v>
      </c>
      <c r="I21" s="16">
        <f>I14*(I13-H13)/(I6-H6)-I20</f>
        <v>313.93861153475279</v>
      </c>
      <c r="J21" s="16">
        <f>J14*(J13-I13)/(J6-I6)-J20</f>
        <v>312.58295464526441</v>
      </c>
    </row>
    <row r="22" spans="4:10" ht="19.5" x14ac:dyDescent="0.35">
      <c r="G22" s="29" t="s">
        <v>250</v>
      </c>
      <c r="H22" s="29" t="e">
        <f ca="1">H21-I21</f>
        <v>#N/A</v>
      </c>
      <c r="I22" s="29">
        <f>I21-J21</f>
        <v>1.3556568894883867</v>
      </c>
      <c r="J22" s="29">
        <f>J21-J14</f>
        <v>6.8044025496713516</v>
      </c>
    </row>
    <row r="32" spans="4:10" x14ac:dyDescent="0.2">
      <c r="G32" s="43"/>
      <c r="H32" s="43"/>
      <c r="I32" s="43"/>
      <c r="J32" s="43"/>
    </row>
    <row r="42" spans="4:4" s="43" customFormat="1" x14ac:dyDescent="0.2"/>
    <row r="43" spans="4:4" s="43" customFormat="1" x14ac:dyDescent="0.2"/>
    <row r="44" spans="4:4" s="43" customFormat="1" x14ac:dyDescent="0.2"/>
    <row r="45" spans="4:4" s="43" customFormat="1" x14ac:dyDescent="0.2"/>
    <row r="46" spans="4:4" s="43" customFormat="1" x14ac:dyDescent="0.2"/>
    <row r="47" spans="4:4" s="43" customFormat="1" x14ac:dyDescent="0.2"/>
    <row r="48" spans="4:4" s="43" customFormat="1" x14ac:dyDescent="0.2">
      <c r="D48" s="45"/>
    </row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I18" sqref="I18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2.140625" style="16" bestFit="1" customWidth="1"/>
    <col min="6" max="6" width="8.7109375" style="16" customWidth="1"/>
    <col min="7" max="16384" width="9" style="16"/>
  </cols>
  <sheetData>
    <row r="2" spans="1:9" x14ac:dyDescent="0.2">
      <c r="A2" s="18" t="s">
        <v>229</v>
      </c>
      <c r="D2" s="18" t="s">
        <v>236</v>
      </c>
    </row>
    <row r="3" spans="1:9" ht="20.25" x14ac:dyDescent="0.35">
      <c r="A3" s="46" t="s">
        <v>258</v>
      </c>
      <c r="B3" s="27" t="s">
        <v>257</v>
      </c>
      <c r="D3" s="46" t="s">
        <v>258</v>
      </c>
      <c r="E3" s="27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8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8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8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8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8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8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8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73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8"/>
    </row>
    <row r="34" spans="1:1" x14ac:dyDescent="0.2">
      <c r="A34" s="18"/>
    </row>
  </sheetData>
  <sortState ref="D22:E26">
    <sortCondition descending="1" ref="D22:D26"/>
  </sortState>
  <phoneticPr fontId="22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43030</v>
      </c>
      <c r="G2" s="32" t="s">
        <v>228</v>
      </c>
      <c r="H2">
        <f>th</f>
        <v>11.4370791</v>
      </c>
      <c r="I2" t="e">
        <f ca="1">assim</f>
        <v>#N/A</v>
      </c>
      <c r="J2">
        <f>Photosynthesis!J20</f>
        <v>158.91769310603615</v>
      </c>
      <c r="K2">
        <f ca="1">tsr</f>
        <v>6.8326906260072633</v>
      </c>
      <c r="L2">
        <f ca="1">tss</f>
        <v>17.167309373992737</v>
      </c>
    </row>
    <row r="3" spans="1:12" x14ac:dyDescent="0.2">
      <c r="D3" s="5" t="s">
        <v>88</v>
      </c>
      <c r="E3" s="1">
        <f>date-DATE(YEAR(date),9,22)</f>
        <v>30</v>
      </c>
      <c r="G3" s="32" t="s">
        <v>228</v>
      </c>
      <c r="H3">
        <f>th</f>
        <v>11.4370791</v>
      </c>
      <c r="I3" t="e">
        <f ca="1">LETs</f>
        <v>#N/A</v>
      </c>
      <c r="J3">
        <f>ET!H20</f>
        <v>28.364860670472069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2" t="s">
        <v>228</v>
      </c>
      <c r="H4">
        <f>th</f>
        <v>11.4370791</v>
      </c>
      <c r="I4" t="e">
        <f ca="1">LETc</f>
        <v>#N/A</v>
      </c>
      <c r="J4">
        <f>ET!H26</f>
        <v>103.45817296668977</v>
      </c>
      <c r="K4">
        <v>0</v>
      </c>
      <c r="L4">
        <v>12</v>
      </c>
    </row>
    <row r="5" spans="1:12" x14ac:dyDescent="0.2">
      <c r="A5" s="5" t="s">
        <v>84</v>
      </c>
      <c r="B5">
        <v>30</v>
      </c>
      <c r="G5" s="32" t="s">
        <v>255</v>
      </c>
      <c r="H5">
        <f>Water!H8:J8</f>
        <v>20.973119611305158</v>
      </c>
      <c r="I5">
        <f>Water!H22:J22</f>
        <v>1.3556568894883867</v>
      </c>
      <c r="J5">
        <v>100</v>
      </c>
    </row>
    <row r="6" spans="1:12" x14ac:dyDescent="0.2">
      <c r="A6" s="5" t="s">
        <v>85</v>
      </c>
      <c r="B6">
        <v>1</v>
      </c>
      <c r="G6" s="32"/>
    </row>
    <row r="7" spans="1:12" x14ac:dyDescent="0.2">
      <c r="A7" s="5" t="s">
        <v>86</v>
      </c>
      <c r="B7">
        <v>30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2" t="s">
        <v>254</v>
      </c>
      <c r="H21">
        <f>Water!H8:J8</f>
        <v>20.973119611305158</v>
      </c>
      <c r="I21">
        <f>Water!H7:J7</f>
        <v>109.61800000000001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69"/>
  <sheetViews>
    <sheetView tabSelected="1" topLeftCell="A4" zoomScaleNormal="100" workbookViewId="0">
      <selection activeCell="L8" sqref="L8"/>
    </sheetView>
  </sheetViews>
  <sheetFormatPr defaultRowHeight="12" x14ac:dyDescent="0.2"/>
  <cols>
    <col min="1" max="1" width="10.42578125" bestFit="1" customWidth="1"/>
    <col min="2" max="5" width="8.7109375" customWidth="1"/>
    <col min="6" max="6" width="10.28515625" customWidth="1"/>
    <col min="7" max="7" width="9" customWidth="1"/>
    <col min="8" max="8" width="10" customWidth="1"/>
    <col min="9" max="9" width="8.42578125" customWidth="1"/>
    <col min="10" max="10" width="6.5703125" customWidth="1"/>
    <col min="11" max="11" width="8.7109375" customWidth="1"/>
    <col min="12" max="12" width="7.7109375" customWidth="1"/>
  </cols>
  <sheetData>
    <row r="1" spans="1:17" x14ac:dyDescent="0.2">
      <c r="A1" s="2" t="s">
        <v>89</v>
      </c>
      <c r="B1" s="2"/>
      <c r="C1" s="2"/>
    </row>
    <row r="2" spans="1:17" ht="14.25" x14ac:dyDescent="0.25">
      <c r="A2" s="13" t="s">
        <v>88</v>
      </c>
      <c r="B2" s="20" t="s">
        <v>256</v>
      </c>
      <c r="C2" s="47" t="s">
        <v>260</v>
      </c>
      <c r="D2" s="47" t="s">
        <v>261</v>
      </c>
      <c r="E2" s="47" t="s">
        <v>262</v>
      </c>
      <c r="F2" s="47" t="s">
        <v>259</v>
      </c>
      <c r="G2" s="14"/>
      <c r="H2" s="14"/>
      <c r="I2" s="14"/>
      <c r="J2" s="14"/>
    </row>
    <row r="3" spans="1:17" x14ac:dyDescent="0.2">
      <c r="A3">
        <f>doy</f>
        <v>30</v>
      </c>
      <c r="B3" t="e">
        <f ca="1">Pg</f>
        <v>#N/A</v>
      </c>
      <c r="C3">
        <f>Water!H9</f>
        <v>0.39</v>
      </c>
      <c r="D3">
        <f>Water!I9</f>
        <v>0.39</v>
      </c>
      <c r="E3">
        <f>Water!J9</f>
        <v>0.38781923406564067</v>
      </c>
      <c r="F3">
        <f>SUM(Water!H8:J8)</f>
        <v>415.09736555745133</v>
      </c>
    </row>
    <row r="4" spans="1:17" x14ac:dyDescent="0.2">
      <c r="C4" t="b">
        <v>0</v>
      </c>
      <c r="D4" t="b">
        <v>0</v>
      </c>
      <c r="E4" t="b">
        <v>0</v>
      </c>
      <c r="F4" t="b">
        <v>0</v>
      </c>
    </row>
    <row r="7" spans="1:17" x14ac:dyDescent="0.2">
      <c r="A7" s="2" t="s">
        <v>92</v>
      </c>
      <c r="B7" s="2" t="s">
        <v>290</v>
      </c>
      <c r="C7" s="2"/>
      <c r="F7" s="60" t="s">
        <v>287</v>
      </c>
      <c r="G7" s="62" t="s">
        <v>289</v>
      </c>
      <c r="H7" s="60" t="s">
        <v>288</v>
      </c>
      <c r="I7" s="60" t="s">
        <v>286</v>
      </c>
      <c r="J7" s="60" t="s">
        <v>291</v>
      </c>
      <c r="K7" s="60" t="s">
        <v>292</v>
      </c>
      <c r="L7" s="60" t="s">
        <v>293</v>
      </c>
      <c r="O7" s="13"/>
      <c r="P7" s="13"/>
      <c r="Q7" s="13"/>
    </row>
    <row r="8" spans="1:17" x14ac:dyDescent="0.2">
      <c r="A8" s="3">
        <v>0</v>
      </c>
      <c r="B8" s="3">
        <v>0</v>
      </c>
      <c r="C8" s="3">
        <v>0.23830000000000001</v>
      </c>
      <c r="D8" s="3">
        <v>0.23830000000000001</v>
      </c>
      <c r="E8" s="3">
        <v>0.23830000000000001</v>
      </c>
      <c r="F8" s="3">
        <v>238.3</v>
      </c>
      <c r="G8" s="59">
        <v>23.833175487465301</v>
      </c>
      <c r="H8" s="3">
        <f>G8*10</f>
        <v>238.331754874653</v>
      </c>
      <c r="I8" s="61">
        <f>(ABS(H8-F8)/F8)</f>
        <v>1.3325587349135304E-4</v>
      </c>
      <c r="J8" s="15">
        <f>H8-F8</f>
        <v>3.1754874652989429E-2</v>
      </c>
      <c r="K8" s="72">
        <f>J8^2</f>
        <v>1.0083720642270705E-3</v>
      </c>
      <c r="L8">
        <f>SQRT(SUM(K8:K36)/29)</f>
        <v>23.66713207511923</v>
      </c>
      <c r="N8" s="3"/>
      <c r="O8" s="3"/>
      <c r="P8" s="3"/>
      <c r="Q8" s="3"/>
    </row>
    <row r="9" spans="1:17" x14ac:dyDescent="0.2">
      <c r="A9" s="3">
        <v>1</v>
      </c>
      <c r="B9" s="3">
        <v>1</v>
      </c>
      <c r="C9" s="3">
        <v>0.23403359147150843</v>
      </c>
      <c r="D9" s="3">
        <v>0.23762875165915462</v>
      </c>
      <c r="E9" s="3">
        <v>0.23829198687409528</v>
      </c>
      <c r="F9" s="3">
        <v>237.90173076717087</v>
      </c>
      <c r="G9" s="59">
        <v>23.839117647058668</v>
      </c>
      <c r="H9" s="3">
        <f>G9*10</f>
        <v>238.39117647058669</v>
      </c>
      <c r="I9" s="61">
        <f t="shared" ref="I9:I37" si="0">(ABS(H9-F9)/F9)</f>
        <v>2.0573440211530888E-3</v>
      </c>
      <c r="J9" s="15">
        <f t="shared" ref="J9:J37" si="1">H9-F9</f>
        <v>0.48944570341581084</v>
      </c>
      <c r="K9" s="72">
        <f t="shared" ref="K9:K37" si="2">J9^2</f>
        <v>0.23955709659219787</v>
      </c>
      <c r="N9" s="3"/>
      <c r="O9" s="3"/>
      <c r="P9" s="3"/>
      <c r="Q9" s="3"/>
    </row>
    <row r="10" spans="1:17" x14ac:dyDescent="0.2">
      <c r="A10" s="3">
        <v>2</v>
      </c>
      <c r="B10" s="3">
        <v>0</v>
      </c>
      <c r="C10" s="3">
        <v>0.2611828457841025</v>
      </c>
      <c r="D10" s="3">
        <v>0.23668540798349749</v>
      </c>
      <c r="E10" s="3">
        <v>0.23826271657978465</v>
      </c>
      <c r="F10" s="3">
        <v>237.99555720957892</v>
      </c>
      <c r="G10" s="59">
        <v>23.929065573770334</v>
      </c>
      <c r="H10" s="3">
        <f t="shared" ref="H10:H35" si="3">G10*10</f>
        <v>239.29065573770333</v>
      </c>
      <c r="I10" s="61">
        <f t="shared" si="0"/>
        <v>5.4416920353851355E-3</v>
      </c>
      <c r="J10" s="15">
        <f t="shared" si="1"/>
        <v>1.295098528124413</v>
      </c>
      <c r="K10" s="72">
        <f t="shared" si="2"/>
        <v>1.6772801975500209</v>
      </c>
      <c r="N10" s="3"/>
      <c r="O10" s="3"/>
      <c r="P10" s="3"/>
      <c r="Q10" s="3"/>
    </row>
    <row r="11" spans="1:17" x14ac:dyDescent="0.2">
      <c r="A11" s="3">
        <v>3</v>
      </c>
      <c r="B11" s="3">
        <v>0</v>
      </c>
      <c r="C11" s="3">
        <v>0.24171004311752375</v>
      </c>
      <c r="D11" s="3">
        <v>0.23593204835991488</v>
      </c>
      <c r="E11" s="3">
        <v>0.23822103661892563</v>
      </c>
      <c r="F11" s="3">
        <v>237.23788214975264</v>
      </c>
      <c r="G11" s="59">
        <v>23.482235772357964</v>
      </c>
      <c r="H11" s="3">
        <f t="shared" si="3"/>
        <v>234.82235772357964</v>
      </c>
      <c r="I11" s="61">
        <f t="shared" si="0"/>
        <v>1.0181866421519612E-2</v>
      </c>
      <c r="J11" s="15">
        <f t="shared" si="1"/>
        <v>-2.4155244261729933</v>
      </c>
      <c r="K11" s="72">
        <f t="shared" si="2"/>
        <v>5.8347582534383688</v>
      </c>
      <c r="N11" s="3"/>
      <c r="O11" s="3"/>
      <c r="P11" s="3"/>
      <c r="Q11" s="3"/>
    </row>
    <row r="12" spans="1:17" x14ac:dyDescent="0.2">
      <c r="A12" s="3">
        <v>4</v>
      </c>
      <c r="B12" s="3">
        <v>0</v>
      </c>
      <c r="C12" s="3">
        <v>0.23646834869145192</v>
      </c>
      <c r="D12" s="3">
        <v>0.23453249249397148</v>
      </c>
      <c r="E12" s="3">
        <v>0.23815556765954118</v>
      </c>
      <c r="F12" s="3">
        <v>236.45520870401737</v>
      </c>
      <c r="G12" s="59">
        <v>23.050303030303041</v>
      </c>
      <c r="H12" s="3">
        <f t="shared" si="3"/>
        <v>230.50303030303041</v>
      </c>
      <c r="I12" s="61">
        <f t="shared" si="0"/>
        <v>2.5172540852917251E-2</v>
      </c>
      <c r="J12" s="15">
        <f t="shared" si="1"/>
        <v>-5.9521784009869521</v>
      </c>
      <c r="K12" s="72">
        <f t="shared" si="2"/>
        <v>35.428427717175587</v>
      </c>
      <c r="N12" s="3"/>
      <c r="O12" s="3"/>
      <c r="P12" s="3"/>
      <c r="Q12" s="3"/>
    </row>
    <row r="13" spans="1:17" x14ac:dyDescent="0.2">
      <c r="A13" s="3">
        <v>5</v>
      </c>
      <c r="B13" s="3">
        <v>19</v>
      </c>
      <c r="C13" s="3">
        <v>0.23484457499087541</v>
      </c>
      <c r="D13" s="3">
        <v>0.23314823132807375</v>
      </c>
      <c r="E13" s="3">
        <v>0.23806272671882164</v>
      </c>
      <c r="F13" s="3">
        <v>235.73769580451869</v>
      </c>
      <c r="G13" s="59">
        <v>22.654267015706743</v>
      </c>
      <c r="H13" s="3">
        <f t="shared" si="3"/>
        <v>226.54267015706745</v>
      </c>
      <c r="I13" s="61">
        <f t="shared" si="0"/>
        <v>3.9005325881678501E-2</v>
      </c>
      <c r="J13" s="15">
        <f t="shared" si="1"/>
        <v>-9.1950256474512457</v>
      </c>
      <c r="K13" s="72">
        <f t="shared" si="2"/>
        <v>84.548496657286208</v>
      </c>
      <c r="N13" s="3"/>
      <c r="O13" s="3"/>
      <c r="P13" s="3"/>
      <c r="Q13" s="3"/>
    </row>
    <row r="14" spans="1:17" x14ac:dyDescent="0.2">
      <c r="A14" s="40">
        <v>6</v>
      </c>
      <c r="B14" s="40">
        <v>8</v>
      </c>
      <c r="C14" s="40">
        <v>0.35032162216753471</v>
      </c>
      <c r="D14" s="40">
        <v>0.26237584688985505</v>
      </c>
      <c r="E14" s="40">
        <v>0.23863437614852026</v>
      </c>
      <c r="F14" s="3">
        <v>251.78919760991454</v>
      </c>
      <c r="G14" s="59">
        <v>27.313671444322264</v>
      </c>
      <c r="H14" s="3">
        <f t="shared" si="3"/>
        <v>273.13671444322262</v>
      </c>
      <c r="I14" s="61">
        <f t="shared" si="0"/>
        <v>8.4783291086144241E-2</v>
      </c>
      <c r="J14" s="15">
        <f t="shared" si="1"/>
        <v>21.347516833308077</v>
      </c>
      <c r="K14" s="72">
        <f t="shared" si="2"/>
        <v>455.71647494837174</v>
      </c>
      <c r="N14" s="40"/>
      <c r="O14" s="40"/>
      <c r="P14" s="40"/>
      <c r="Q14" s="40"/>
    </row>
    <row r="15" spans="1:17" x14ac:dyDescent="0.2">
      <c r="A15" s="40">
        <v>7</v>
      </c>
      <c r="B15" s="40">
        <v>0</v>
      </c>
      <c r="C15" s="40">
        <v>0.28422318046431294</v>
      </c>
      <c r="D15" s="40">
        <v>0.27217207559539353</v>
      </c>
      <c r="E15" s="40">
        <v>0.24179848277749166</v>
      </c>
      <c r="F15" s="3">
        <v>256.61882942746297</v>
      </c>
      <c r="G15" s="59">
        <v>28.196189710610948</v>
      </c>
      <c r="H15" s="3">
        <f t="shared" si="3"/>
        <v>281.96189710610946</v>
      </c>
      <c r="I15" s="61">
        <f t="shared" si="0"/>
        <v>9.8757631056103301E-2</v>
      </c>
      <c r="J15" s="15">
        <f t="shared" si="1"/>
        <v>25.343067678646491</v>
      </c>
      <c r="K15" s="72">
        <f t="shared" si="2"/>
        <v>642.27107936445645</v>
      </c>
      <c r="N15" s="40"/>
      <c r="O15" s="40"/>
      <c r="P15" s="40"/>
      <c r="Q15" s="40"/>
    </row>
    <row r="16" spans="1:17" x14ac:dyDescent="0.2">
      <c r="A16" s="3">
        <v>8</v>
      </c>
      <c r="B16" s="3">
        <v>0</v>
      </c>
      <c r="C16" s="3">
        <v>0.25537262440772324</v>
      </c>
      <c r="D16" s="3">
        <v>0.26572581965051428</v>
      </c>
      <c r="E16" s="3">
        <v>0.24495252819248284</v>
      </c>
      <c r="F16" s="3">
        <v>254.71664418748213</v>
      </c>
      <c r="G16" s="59">
        <v>26.799947575360278</v>
      </c>
      <c r="H16" s="3">
        <f t="shared" si="3"/>
        <v>267.99947575360278</v>
      </c>
      <c r="I16" s="61">
        <f t="shared" si="0"/>
        <v>5.2147481796846883E-2</v>
      </c>
      <c r="J16" s="15">
        <f t="shared" si="1"/>
        <v>13.282831566120649</v>
      </c>
      <c r="K16" s="72">
        <f t="shared" si="2"/>
        <v>176.43361441393114</v>
      </c>
      <c r="N16" s="3"/>
      <c r="O16" s="3"/>
      <c r="P16" s="3"/>
      <c r="Q16" s="3"/>
    </row>
    <row r="17" spans="1:17" x14ac:dyDescent="0.2">
      <c r="A17" s="3">
        <v>9</v>
      </c>
      <c r="B17" s="3">
        <v>0</v>
      </c>
      <c r="C17" s="3">
        <v>0.25025478392494566</v>
      </c>
      <c r="D17" s="3">
        <v>0.2600162180262246</v>
      </c>
      <c r="E17" s="3">
        <v>0.24685422998244796</v>
      </c>
      <c r="F17" s="3">
        <v>252.9767555614352</v>
      </c>
      <c r="G17" s="59">
        <v>25.104677419354772</v>
      </c>
      <c r="H17" s="3">
        <f t="shared" si="3"/>
        <v>251.04677419354772</v>
      </c>
      <c r="I17" s="61">
        <f t="shared" si="0"/>
        <v>7.6290857774827621E-3</v>
      </c>
      <c r="J17" s="15">
        <f t="shared" si="1"/>
        <v>-1.9299813678874784</v>
      </c>
      <c r="K17" s="72">
        <f t="shared" si="2"/>
        <v>3.7248280803928222</v>
      </c>
      <c r="N17" s="3"/>
      <c r="O17" s="3"/>
      <c r="P17" s="3"/>
      <c r="Q17" s="3"/>
    </row>
    <row r="18" spans="1:17" x14ac:dyDescent="0.2">
      <c r="A18" s="3">
        <v>10</v>
      </c>
      <c r="B18" s="3">
        <v>89</v>
      </c>
      <c r="C18" s="3">
        <v>0.24635962631982919</v>
      </c>
      <c r="D18" s="3">
        <v>0.2553066425001207</v>
      </c>
      <c r="E18" s="3">
        <v>0.24791175372467525</v>
      </c>
      <c r="F18" s="3">
        <v>251.28236001328327</v>
      </c>
      <c r="G18" s="59">
        <v>27.897916181606572</v>
      </c>
      <c r="H18" s="3">
        <f t="shared" si="3"/>
        <v>278.9791618160657</v>
      </c>
      <c r="I18" s="61">
        <f t="shared" si="0"/>
        <v>0.11022183093679287</v>
      </c>
      <c r="J18" s="15">
        <f t="shared" si="1"/>
        <v>27.696801802782431</v>
      </c>
      <c r="K18" s="72">
        <f t="shared" si="2"/>
        <v>767.11283010261218</v>
      </c>
      <c r="N18" s="3"/>
      <c r="O18" s="3"/>
      <c r="P18" s="3"/>
      <c r="Q18" s="3"/>
    </row>
    <row r="19" spans="1:17" x14ac:dyDescent="0.2">
      <c r="A19" s="3">
        <v>11</v>
      </c>
      <c r="B19" s="3">
        <v>5</v>
      </c>
      <c r="C19" s="3">
        <v>0.39</v>
      </c>
      <c r="D19" s="3">
        <v>0.34758532427523287</v>
      </c>
      <c r="E19" s="3">
        <v>0.26797232457019143</v>
      </c>
      <c r="F19" s="3">
        <v>326.44329234811823</v>
      </c>
      <c r="G19" s="59">
        <v>32.029561830574458</v>
      </c>
      <c r="H19" s="3">
        <f t="shared" si="3"/>
        <v>320.2956183057446</v>
      </c>
      <c r="I19" s="61">
        <f t="shared" si="0"/>
        <v>1.8832287832147503E-2</v>
      </c>
      <c r="J19" s="15">
        <f t="shared" si="1"/>
        <v>-6.1476740423736373</v>
      </c>
      <c r="K19" s="72">
        <f t="shared" si="2"/>
        <v>37.793896131274622</v>
      </c>
    </row>
    <row r="20" spans="1:17" x14ac:dyDescent="0.2">
      <c r="A20" s="40">
        <v>12</v>
      </c>
      <c r="B20" s="40">
        <v>0</v>
      </c>
      <c r="C20" s="40">
        <v>0.30009358838015676</v>
      </c>
      <c r="D20" s="40">
        <v>0.33249138621470414</v>
      </c>
      <c r="E20" s="40">
        <v>0.29816281952877888</v>
      </c>
      <c r="F20" s="3">
        <v>313.99257558133206</v>
      </c>
      <c r="G20" s="59">
        <v>30.046079335793408</v>
      </c>
      <c r="H20" s="3">
        <f t="shared" si="3"/>
        <v>300.46079335793411</v>
      </c>
      <c r="I20" s="61">
        <f t="shared" si="0"/>
        <v>4.3095866831707547E-2</v>
      </c>
      <c r="J20" s="15">
        <f t="shared" si="1"/>
        <v>-13.531782223397954</v>
      </c>
      <c r="K20" s="72">
        <f t="shared" si="2"/>
        <v>183.10913014146888</v>
      </c>
    </row>
    <row r="21" spans="1:17" x14ac:dyDescent="0.2">
      <c r="A21" s="3">
        <v>13</v>
      </c>
      <c r="B21" s="3">
        <v>13</v>
      </c>
      <c r="C21" s="3">
        <v>0.28761615746469399</v>
      </c>
      <c r="D21" s="3">
        <v>0.31303192995054635</v>
      </c>
      <c r="E21" s="3">
        <v>0.30137073760432809</v>
      </c>
      <c r="F21" s="3">
        <v>306.45979448079584</v>
      </c>
      <c r="G21" s="59">
        <v>28.78559615384648</v>
      </c>
      <c r="H21" s="3">
        <f t="shared" si="3"/>
        <v>287.85596153846478</v>
      </c>
      <c r="I21" s="61">
        <f t="shared" si="0"/>
        <v>6.0705623632782452E-2</v>
      </c>
      <c r="J21" s="15">
        <f t="shared" si="1"/>
        <v>-18.603832942331053</v>
      </c>
      <c r="K21" s="72">
        <f t="shared" si="2"/>
        <v>346.1026001461621</v>
      </c>
    </row>
    <row r="22" spans="1:17" x14ac:dyDescent="0.2">
      <c r="A22" s="3">
        <v>14</v>
      </c>
      <c r="B22" s="3">
        <v>87</v>
      </c>
      <c r="C22" s="3">
        <v>0.33213605983356226</v>
      </c>
      <c r="D22" s="3">
        <v>0.32112464085299086</v>
      </c>
      <c r="E22" s="3">
        <v>0.3031198466375532</v>
      </c>
      <c r="F22" s="3">
        <v>311.98237624057469</v>
      </c>
      <c r="G22" s="59">
        <v>31.642643442622873</v>
      </c>
      <c r="H22" s="3">
        <f t="shared" si="3"/>
        <v>316.42643442622875</v>
      </c>
      <c r="I22" s="61">
        <f t="shared" si="0"/>
        <v>1.424458086128292E-2</v>
      </c>
      <c r="J22" s="15">
        <f t="shared" si="1"/>
        <v>4.4440581856540575</v>
      </c>
      <c r="K22" s="72">
        <f t="shared" si="2"/>
        <v>19.749653157478832</v>
      </c>
    </row>
    <row r="23" spans="1:17" x14ac:dyDescent="0.2">
      <c r="A23" s="3">
        <v>15</v>
      </c>
      <c r="B23" s="3">
        <v>7</v>
      </c>
      <c r="C23" s="3">
        <v>0.34907548170904529</v>
      </c>
      <c r="D23" s="3">
        <v>0.36215624212511721</v>
      </c>
      <c r="E23" s="3">
        <v>0.33572736110324602</v>
      </c>
      <c r="F23" s="3">
        <v>348.15160878542281</v>
      </c>
      <c r="G23" s="59">
        <v>32.228456104944506</v>
      </c>
      <c r="H23" s="3">
        <f t="shared" si="3"/>
        <v>322.28456104944507</v>
      </c>
      <c r="I23" s="61">
        <f t="shared" si="0"/>
        <v>7.4298228367287084E-2</v>
      </c>
      <c r="J23" s="15">
        <f t="shared" si="1"/>
        <v>-25.867047735977735</v>
      </c>
      <c r="K23" s="72">
        <f t="shared" si="2"/>
        <v>669.10415857535088</v>
      </c>
    </row>
    <row r="24" spans="1:17" x14ac:dyDescent="0.2">
      <c r="A24" s="3">
        <v>16</v>
      </c>
      <c r="B24" s="3">
        <v>0</v>
      </c>
      <c r="C24" s="3">
        <v>0.30611757842759535</v>
      </c>
      <c r="D24" s="3">
        <v>0.3290234268467776</v>
      </c>
      <c r="E24" s="3">
        <v>0.33812683123535353</v>
      </c>
      <c r="F24" s="3">
        <v>333.29908016045346</v>
      </c>
      <c r="G24" s="59">
        <v>30.433051330798698</v>
      </c>
      <c r="H24" s="3">
        <f t="shared" si="3"/>
        <v>304.33051330798696</v>
      </c>
      <c r="I24" s="61">
        <f t="shared" si="0"/>
        <v>8.6914631863132474E-2</v>
      </c>
      <c r="J24" s="15">
        <f t="shared" si="1"/>
        <v>-28.968566852466495</v>
      </c>
      <c r="K24" s="72">
        <f t="shared" si="2"/>
        <v>839.17786548582058</v>
      </c>
    </row>
    <row r="25" spans="1:17" x14ac:dyDescent="0.2">
      <c r="A25" s="40">
        <v>17</v>
      </c>
      <c r="B25" s="40">
        <v>7</v>
      </c>
      <c r="C25" s="40">
        <v>0.28702769330831002</v>
      </c>
      <c r="D25" s="40">
        <v>0.30657049312833173</v>
      </c>
      <c r="E25" s="40">
        <v>0.3336328770069466</v>
      </c>
      <c r="F25" s="3">
        <v>320.25207674881102</v>
      </c>
      <c r="G25" s="59">
        <v>29.758445544554792</v>
      </c>
      <c r="H25" s="3">
        <f t="shared" si="3"/>
        <v>297.58445544554792</v>
      </c>
      <c r="I25" s="61">
        <f t="shared" si="0"/>
        <v>7.0780559905759488E-2</v>
      </c>
      <c r="J25" s="15">
        <f t="shared" si="1"/>
        <v>-22.667621303263104</v>
      </c>
      <c r="K25" s="72">
        <f t="shared" si="2"/>
        <v>513.82105554814734</v>
      </c>
    </row>
    <row r="26" spans="1:17" x14ac:dyDescent="0.2">
      <c r="A26" s="40">
        <v>18</v>
      </c>
      <c r="B26" s="40">
        <v>0</v>
      </c>
      <c r="C26" s="40">
        <v>0.31717708242647963</v>
      </c>
      <c r="D26" s="40">
        <v>0.30231289506968517</v>
      </c>
      <c r="E26" s="40">
        <v>0.32843839461475322</v>
      </c>
      <c r="F26" s="3">
        <v>316.19543858025645</v>
      </c>
      <c r="G26" s="59">
        <v>28.346896551724452</v>
      </c>
      <c r="H26" s="3">
        <f t="shared" si="3"/>
        <v>283.4689655172445</v>
      </c>
      <c r="I26" s="61">
        <f t="shared" si="0"/>
        <v>0.1035007753747382</v>
      </c>
      <c r="J26" s="15">
        <f t="shared" si="1"/>
        <v>-32.726473063011952</v>
      </c>
      <c r="K26" s="72">
        <f t="shared" si="2"/>
        <v>1071.0220391440469</v>
      </c>
    </row>
    <row r="27" spans="1:17" x14ac:dyDescent="0.2">
      <c r="A27" s="40">
        <v>19</v>
      </c>
      <c r="B27" s="40">
        <v>0</v>
      </c>
      <c r="C27" s="40">
        <v>0.2850717248129695</v>
      </c>
      <c r="D27" s="40">
        <v>0.28943758162928118</v>
      </c>
      <c r="E27" s="40">
        <v>0.32355048804225028</v>
      </c>
      <c r="F27" s="3">
        <v>307.0889758276989</v>
      </c>
      <c r="G27" s="59">
        <v>26.394255924170523</v>
      </c>
      <c r="H27" s="3">
        <f t="shared" si="3"/>
        <v>263.94255924170523</v>
      </c>
      <c r="I27" s="61">
        <f t="shared" si="0"/>
        <v>0.14050135297009886</v>
      </c>
      <c r="J27" s="15">
        <f t="shared" si="1"/>
        <v>-43.146416585993677</v>
      </c>
      <c r="K27" s="72">
        <f t="shared" si="2"/>
        <v>1861.6132642121104</v>
      </c>
    </row>
    <row r="28" spans="1:17" x14ac:dyDescent="0.2">
      <c r="A28" s="3">
        <v>20</v>
      </c>
      <c r="B28" s="3">
        <v>0</v>
      </c>
      <c r="C28" s="3">
        <v>0.278737332780295</v>
      </c>
      <c r="D28" s="3">
        <v>0.28379098333686931</v>
      </c>
      <c r="E28" s="3">
        <v>0.31488109917344553</v>
      </c>
      <c r="F28" s="3">
        <v>299.85677056075747</v>
      </c>
      <c r="G28" s="59">
        <v>24.990241312741233</v>
      </c>
      <c r="H28" s="3">
        <f t="shared" si="3"/>
        <v>249.90241312741233</v>
      </c>
      <c r="I28" s="61">
        <f t="shared" si="0"/>
        <v>0.16659406202476693</v>
      </c>
      <c r="J28" s="15">
        <f t="shared" si="1"/>
        <v>-49.954357433345137</v>
      </c>
      <c r="K28" s="72">
        <f t="shared" si="2"/>
        <v>2495.4378265784044</v>
      </c>
    </row>
    <row r="29" spans="1:17" x14ac:dyDescent="0.2">
      <c r="A29" s="3">
        <v>21</v>
      </c>
      <c r="B29" s="3">
        <v>0</v>
      </c>
      <c r="C29" s="3">
        <v>0.27418986586673999</v>
      </c>
      <c r="D29" s="3">
        <v>0.28202234237625085</v>
      </c>
      <c r="E29" s="3">
        <v>0.30651406019008853</v>
      </c>
      <c r="F29" s="3">
        <v>294.60138610925623</v>
      </c>
      <c r="G29" s="59">
        <v>25.10273866923826</v>
      </c>
      <c r="H29" s="3">
        <f t="shared" si="3"/>
        <v>251.02738669238261</v>
      </c>
      <c r="I29" s="61">
        <f t="shared" si="0"/>
        <v>0.14790833129588099</v>
      </c>
      <c r="J29" s="15">
        <f t="shared" si="1"/>
        <v>-43.573999416873619</v>
      </c>
      <c r="K29" s="72">
        <f t="shared" si="2"/>
        <v>1898.6934251817024</v>
      </c>
    </row>
    <row r="30" spans="1:17" x14ac:dyDescent="0.2">
      <c r="A30" s="3">
        <v>22</v>
      </c>
      <c r="B30" s="3">
        <v>1</v>
      </c>
      <c r="C30" s="3">
        <v>0.27219626000647057</v>
      </c>
      <c r="D30" s="3">
        <v>0.28115861988527974</v>
      </c>
      <c r="E30" s="3">
        <v>0.29860033682645848</v>
      </c>
      <c r="F30" s="3">
        <v>290.04906549711654</v>
      </c>
      <c r="G30" s="59">
        <v>25.065714285714499</v>
      </c>
      <c r="H30" s="3">
        <f t="shared" si="3"/>
        <v>250.657142857145</v>
      </c>
      <c r="I30" s="61">
        <f t="shared" si="0"/>
        <v>0.13581123791058428</v>
      </c>
      <c r="J30" s="15">
        <f t="shared" si="1"/>
        <v>-39.39192263997154</v>
      </c>
      <c r="K30" s="72">
        <f t="shared" si="2"/>
        <v>1551.7235692735023</v>
      </c>
    </row>
    <row r="31" spans="1:17" x14ac:dyDescent="0.2">
      <c r="A31" s="3">
        <v>23</v>
      </c>
      <c r="B31" s="3">
        <v>44</v>
      </c>
      <c r="C31" s="3">
        <v>0.27656625323008127</v>
      </c>
      <c r="D31" s="3">
        <v>0.2818173630724406</v>
      </c>
      <c r="E31" s="3">
        <v>0.29173897206106059</v>
      </c>
      <c r="F31" s="3">
        <v>286.87157754967581</v>
      </c>
      <c r="G31" s="59">
        <v>29.76519371727748</v>
      </c>
      <c r="H31" s="3">
        <f t="shared" si="3"/>
        <v>297.65193717277481</v>
      </c>
      <c r="I31" s="61">
        <f t="shared" si="0"/>
        <v>3.7579043958205424E-2</v>
      </c>
      <c r="J31" s="15">
        <f t="shared" si="1"/>
        <v>10.780359623099002</v>
      </c>
      <c r="K31" s="72">
        <f t="shared" si="2"/>
        <v>116.21615360334327</v>
      </c>
    </row>
    <row r="32" spans="1:17" x14ac:dyDescent="0.2">
      <c r="A32" s="3">
        <v>24</v>
      </c>
      <c r="B32" s="3">
        <v>53</v>
      </c>
      <c r="C32" s="3">
        <v>0.36972640402603402</v>
      </c>
      <c r="D32" s="3">
        <v>0.34564781996489308</v>
      </c>
      <c r="E32" s="3">
        <v>0.29499396835028591</v>
      </c>
      <c r="F32" s="3">
        <v>319.78938880652015</v>
      </c>
      <c r="G32" s="59">
        <v>33.404543630892626</v>
      </c>
      <c r="H32" s="3">
        <f t="shared" si="3"/>
        <v>334.04543630892624</v>
      </c>
      <c r="I32" s="61">
        <f t="shared" si="0"/>
        <v>4.4579488880512302E-2</v>
      </c>
      <c r="J32" s="15">
        <f t="shared" si="1"/>
        <v>14.256047502406091</v>
      </c>
      <c r="K32" s="72">
        <f t="shared" si="2"/>
        <v>203.23489039085894</v>
      </c>
    </row>
    <row r="33" spans="1:11" x14ac:dyDescent="0.2">
      <c r="A33">
        <v>25</v>
      </c>
      <c r="B33">
        <v>27</v>
      </c>
      <c r="C33">
        <v>0.3446271336051912</v>
      </c>
      <c r="D33">
        <v>0.35562594890709698</v>
      </c>
      <c r="E33">
        <v>0.32157135491183675</v>
      </c>
      <c r="F33">
        <v>337.69758372352356</v>
      </c>
      <c r="G33" s="59">
        <v>32.796229838709721</v>
      </c>
      <c r="H33" s="3">
        <f t="shared" si="3"/>
        <v>327.96229838709723</v>
      </c>
      <c r="I33" s="61">
        <f t="shared" si="0"/>
        <v>2.8828412774184096E-2</v>
      </c>
      <c r="J33" s="15">
        <f t="shared" si="1"/>
        <v>-9.7352853364263296</v>
      </c>
      <c r="K33" s="72">
        <f t="shared" si="2"/>
        <v>94.77578058163752</v>
      </c>
    </row>
    <row r="34" spans="1:11" x14ac:dyDescent="0.2">
      <c r="A34">
        <v>26</v>
      </c>
      <c r="B34">
        <v>34</v>
      </c>
      <c r="C34">
        <v>0.34663333583732747</v>
      </c>
      <c r="D34">
        <v>0.35051234038153567</v>
      </c>
      <c r="E34">
        <v>0.33162250000093585</v>
      </c>
      <c r="F34">
        <v>340.6120432927396</v>
      </c>
      <c r="G34" s="59">
        <v>31.639990029910287</v>
      </c>
      <c r="H34" s="3">
        <f>G34*10</f>
        <v>316.39990029910285</v>
      </c>
      <c r="I34" s="61">
        <f t="shared" si="0"/>
        <v>7.1084224619819378E-2</v>
      </c>
      <c r="J34" s="15">
        <f t="shared" si="1"/>
        <v>-24.212142993636746</v>
      </c>
      <c r="K34" s="72">
        <f t="shared" si="2"/>
        <v>586.22786834431304</v>
      </c>
    </row>
    <row r="35" spans="1:11" x14ac:dyDescent="0.2">
      <c r="A35">
        <v>27</v>
      </c>
      <c r="B35">
        <v>42</v>
      </c>
      <c r="C35">
        <v>0.34414965579585366</v>
      </c>
      <c r="D35">
        <v>0.35196898793993581</v>
      </c>
      <c r="E35">
        <v>0.33964346591697953</v>
      </c>
      <c r="F35">
        <v>345.4033298451169</v>
      </c>
      <c r="G35" s="59">
        <v>33.125084409136065</v>
      </c>
      <c r="H35" s="3">
        <f t="shared" si="3"/>
        <v>331.25084409136065</v>
      </c>
      <c r="I35" s="61">
        <f t="shared" si="0"/>
        <v>4.0973796518123905E-2</v>
      </c>
      <c r="J35" s="15">
        <f t="shared" si="1"/>
        <v>-14.152485753756253</v>
      </c>
      <c r="K35" s="72">
        <f t="shared" si="2"/>
        <v>200.29285301027369</v>
      </c>
    </row>
    <row r="36" spans="1:11" x14ac:dyDescent="0.2">
      <c r="A36">
        <v>28</v>
      </c>
      <c r="B36">
        <v>6</v>
      </c>
      <c r="C36">
        <v>0.34253659013198839</v>
      </c>
      <c r="D36">
        <v>0.35381906145515968</v>
      </c>
      <c r="E36">
        <v>0.34637367522239215</v>
      </c>
      <c r="F36">
        <v>349.72181118765718</v>
      </c>
      <c r="G36" s="59">
        <v>31.253610567514585</v>
      </c>
      <c r="H36" s="3">
        <f>G36*10</f>
        <v>312.53610567514585</v>
      </c>
      <c r="I36" s="61">
        <f t="shared" si="0"/>
        <v>0.1063293861661887</v>
      </c>
      <c r="J36" s="15">
        <f t="shared" si="1"/>
        <v>-37.185705512511333</v>
      </c>
      <c r="K36" s="72">
        <f t="shared" si="2"/>
        <v>1382.7766944632158</v>
      </c>
    </row>
    <row r="37" spans="1:11" x14ac:dyDescent="0.2">
      <c r="A37">
        <v>29</v>
      </c>
      <c r="B37">
        <v>269</v>
      </c>
      <c r="C37">
        <v>0.3024444647315821</v>
      </c>
      <c r="D37">
        <v>0.32677520640233265</v>
      </c>
      <c r="E37">
        <v>0.34391818772076133</v>
      </c>
      <c r="F37">
        <v>335.20294185450052</v>
      </c>
      <c r="G37" s="59">
        <v>49.394859359844446</v>
      </c>
      <c r="H37" s="3">
        <f>G37*10</f>
        <v>493.94859359844446</v>
      </c>
      <c r="I37" s="61">
        <f t="shared" si="0"/>
        <v>0.47358072356312936</v>
      </c>
      <c r="J37" s="15">
        <f t="shared" si="1"/>
        <v>158.74565174394394</v>
      </c>
      <c r="K37" s="72">
        <f t="shared" si="2"/>
        <v>25200.18194760953</v>
      </c>
    </row>
    <row r="39" spans="1:11" x14ac:dyDescent="0.2">
      <c r="A39" s="63"/>
      <c r="B39" s="70" t="s">
        <v>290</v>
      </c>
      <c r="C39" s="71" t="s">
        <v>287</v>
      </c>
      <c r="D39" s="71" t="s">
        <v>288</v>
      </c>
    </row>
    <row r="40" spans="1:11" x14ac:dyDescent="0.2">
      <c r="A40" s="68">
        <v>0</v>
      </c>
      <c r="B40" s="64">
        <v>0</v>
      </c>
      <c r="C40" s="64">
        <v>238.3</v>
      </c>
      <c r="D40" s="64">
        <f>C40</f>
        <v>238.3</v>
      </c>
    </row>
    <row r="41" spans="1:11" x14ac:dyDescent="0.2">
      <c r="A41" s="68">
        <v>1</v>
      </c>
      <c r="B41" s="64">
        <v>1</v>
      </c>
      <c r="C41" s="65">
        <v>238.14457275901088</v>
      </c>
      <c r="D41" s="65">
        <f t="shared" ref="D41:D69" si="4">C41</f>
        <v>238.14457275901088</v>
      </c>
    </row>
    <row r="42" spans="1:11" x14ac:dyDescent="0.2">
      <c r="A42" s="68">
        <v>2</v>
      </c>
      <c r="B42" s="64">
        <v>0</v>
      </c>
      <c r="C42" s="65">
        <v>238.52177325523019</v>
      </c>
      <c r="D42" s="65">
        <f t="shared" si="4"/>
        <v>238.52177325523019</v>
      </c>
    </row>
    <row r="43" spans="1:11" x14ac:dyDescent="0.2">
      <c r="A43" s="68">
        <v>3</v>
      </c>
      <c r="B43" s="64">
        <v>0</v>
      </c>
      <c r="C43" s="65">
        <v>238.16584287284019</v>
      </c>
      <c r="D43" s="65">
        <f t="shared" si="4"/>
        <v>238.16584287284019</v>
      </c>
    </row>
    <row r="44" spans="1:11" x14ac:dyDescent="0.2">
      <c r="A44" s="68">
        <v>4</v>
      </c>
      <c r="B44" s="64">
        <v>0</v>
      </c>
      <c r="C44" s="65">
        <v>237.40945102634791</v>
      </c>
      <c r="D44" s="65">
        <f t="shared" si="4"/>
        <v>237.40945102634791</v>
      </c>
    </row>
    <row r="45" spans="1:11" x14ac:dyDescent="0.2">
      <c r="A45" s="68">
        <v>5</v>
      </c>
      <c r="B45" s="64">
        <v>19</v>
      </c>
      <c r="C45" s="65">
        <v>236.79995355299607</v>
      </c>
      <c r="D45" s="65">
        <f t="shared" si="4"/>
        <v>236.79995355299607</v>
      </c>
    </row>
    <row r="46" spans="1:11" x14ac:dyDescent="0.2">
      <c r="A46" s="68">
        <v>6</v>
      </c>
      <c r="B46" s="66">
        <v>8</v>
      </c>
      <c r="C46" s="65">
        <v>253.17171989595386</v>
      </c>
      <c r="D46" s="65">
        <f t="shared" si="4"/>
        <v>253.17171989595386</v>
      </c>
    </row>
    <row r="47" spans="1:11" x14ac:dyDescent="0.2">
      <c r="A47" s="68">
        <v>7</v>
      </c>
      <c r="B47" s="66">
        <v>0</v>
      </c>
      <c r="C47" s="65">
        <v>258.4910858476195</v>
      </c>
      <c r="D47" s="65">
        <f t="shared" si="4"/>
        <v>258.4910858476195</v>
      </c>
    </row>
    <row r="48" spans="1:11" x14ac:dyDescent="0.2">
      <c r="A48" s="68">
        <v>8</v>
      </c>
      <c r="B48" s="64">
        <v>0</v>
      </c>
      <c r="C48" s="65">
        <v>256.95703131414524</v>
      </c>
      <c r="D48" s="65">
        <f t="shared" si="4"/>
        <v>256.95703131414524</v>
      </c>
    </row>
    <row r="49" spans="1:4" x14ac:dyDescent="0.2">
      <c r="A49" s="68">
        <v>9</v>
      </c>
      <c r="B49" s="64">
        <v>0</v>
      </c>
      <c r="C49" s="65">
        <v>255.96326430513409</v>
      </c>
      <c r="D49" s="65">
        <f t="shared" si="4"/>
        <v>255.96326430513409</v>
      </c>
    </row>
    <row r="50" spans="1:4" x14ac:dyDescent="0.2">
      <c r="A50" s="68">
        <v>10</v>
      </c>
      <c r="B50" s="64">
        <v>89</v>
      </c>
      <c r="C50" s="65">
        <v>255.06227151928107</v>
      </c>
      <c r="D50" s="65">
        <f t="shared" si="4"/>
        <v>255.06227151928107</v>
      </c>
    </row>
    <row r="51" spans="1:4" x14ac:dyDescent="0.2">
      <c r="A51" s="68">
        <v>11</v>
      </c>
      <c r="B51" s="64">
        <v>5</v>
      </c>
      <c r="C51" s="65">
        <v>313.28775419391866</v>
      </c>
      <c r="D51" s="65">
        <f t="shared" si="4"/>
        <v>313.28775419391866</v>
      </c>
    </row>
    <row r="52" spans="1:4" x14ac:dyDescent="0.2">
      <c r="A52" s="68">
        <v>12</v>
      </c>
      <c r="B52" s="66">
        <v>0</v>
      </c>
      <c r="C52" s="65">
        <v>304.71027839408225</v>
      </c>
      <c r="D52" s="65">
        <f t="shared" si="4"/>
        <v>304.71027839408225</v>
      </c>
    </row>
    <row r="53" spans="1:4" x14ac:dyDescent="0.2">
      <c r="A53" s="68">
        <v>13</v>
      </c>
      <c r="B53" s="64">
        <v>13</v>
      </c>
      <c r="C53" s="65">
        <v>298.60294113228179</v>
      </c>
      <c r="D53" s="65">
        <f t="shared" si="4"/>
        <v>298.60294113228179</v>
      </c>
    </row>
    <row r="54" spans="1:4" x14ac:dyDescent="0.2">
      <c r="A54" s="68">
        <v>14</v>
      </c>
      <c r="B54" s="64">
        <v>87</v>
      </c>
      <c r="C54" s="65">
        <v>304.42604753804994</v>
      </c>
      <c r="D54" s="65">
        <f t="shared" si="4"/>
        <v>304.42604753804994</v>
      </c>
    </row>
    <row r="55" spans="1:4" x14ac:dyDescent="0.2">
      <c r="A55" s="68">
        <v>15</v>
      </c>
      <c r="B55" s="64">
        <v>7</v>
      </c>
      <c r="C55" s="65">
        <v>346.04091061548712</v>
      </c>
      <c r="D55" s="65">
        <f t="shared" si="4"/>
        <v>346.04091061548712</v>
      </c>
    </row>
    <row r="56" spans="1:4" x14ac:dyDescent="0.2">
      <c r="A56" s="68">
        <v>16</v>
      </c>
      <c r="B56" s="64">
        <v>0</v>
      </c>
      <c r="C56" s="65">
        <v>318.23194252131589</v>
      </c>
      <c r="D56" s="65">
        <f t="shared" si="4"/>
        <v>318.23194252131589</v>
      </c>
    </row>
    <row r="57" spans="1:4" x14ac:dyDescent="0.2">
      <c r="A57" s="68">
        <v>17</v>
      </c>
      <c r="B57" s="66">
        <v>7</v>
      </c>
      <c r="C57" s="65">
        <v>301.04817954499805</v>
      </c>
      <c r="D57" s="65">
        <f t="shared" si="4"/>
        <v>301.04817954499805</v>
      </c>
    </row>
    <row r="58" spans="1:4" x14ac:dyDescent="0.2">
      <c r="A58" s="68">
        <v>18</v>
      </c>
      <c r="B58" s="66">
        <v>0</v>
      </c>
      <c r="C58" s="65">
        <v>299.81307431113419</v>
      </c>
      <c r="D58" s="65">
        <f t="shared" si="4"/>
        <v>299.81307431113419</v>
      </c>
    </row>
    <row r="59" spans="1:4" x14ac:dyDescent="0.2">
      <c r="A59" s="68">
        <v>19</v>
      </c>
      <c r="B59" s="66">
        <v>0</v>
      </c>
      <c r="C59" s="65">
        <v>294.35807159623607</v>
      </c>
      <c r="D59" s="65">
        <f t="shared" si="4"/>
        <v>294.35807159623607</v>
      </c>
    </row>
    <row r="60" spans="1:4" x14ac:dyDescent="0.2">
      <c r="A60" s="68">
        <v>20</v>
      </c>
      <c r="B60" s="64">
        <v>0</v>
      </c>
      <c r="C60" s="65">
        <v>290.35050233664248</v>
      </c>
      <c r="D60" s="65">
        <f t="shared" si="4"/>
        <v>290.35050233664248</v>
      </c>
    </row>
    <row r="61" spans="1:4" x14ac:dyDescent="0.2">
      <c r="A61" s="68">
        <v>21</v>
      </c>
      <c r="B61" s="64">
        <v>0</v>
      </c>
      <c r="C61" s="65">
        <v>286.89470043038739</v>
      </c>
      <c r="D61" s="65">
        <f t="shared" si="4"/>
        <v>286.89470043038739</v>
      </c>
    </row>
    <row r="62" spans="1:4" x14ac:dyDescent="0.2">
      <c r="A62" s="68">
        <v>22</v>
      </c>
      <c r="B62" s="64">
        <v>1</v>
      </c>
      <c r="C62" s="65">
        <v>284.1226138960817</v>
      </c>
      <c r="D62" s="65">
        <f t="shared" si="4"/>
        <v>284.1226138960817</v>
      </c>
    </row>
    <row r="63" spans="1:4" x14ac:dyDescent="0.2">
      <c r="A63" s="68">
        <v>23</v>
      </c>
      <c r="B63" s="64">
        <v>44</v>
      </c>
      <c r="C63" s="65">
        <v>282.46044652281853</v>
      </c>
      <c r="D63" s="65">
        <f t="shared" si="4"/>
        <v>282.46044652281853</v>
      </c>
    </row>
    <row r="64" spans="1:4" x14ac:dyDescent="0.2">
      <c r="A64" s="68">
        <v>24</v>
      </c>
      <c r="B64" s="64">
        <v>53</v>
      </c>
      <c r="C64" s="65">
        <v>310.29073534013594</v>
      </c>
      <c r="D64" s="65">
        <f t="shared" si="4"/>
        <v>310.29073534013594</v>
      </c>
    </row>
    <row r="65" spans="1:4" x14ac:dyDescent="0.2">
      <c r="A65" s="69">
        <v>25</v>
      </c>
      <c r="B65" s="67">
        <v>27</v>
      </c>
      <c r="C65" s="65">
        <v>325.85015166007298</v>
      </c>
      <c r="D65" s="65">
        <f t="shared" si="4"/>
        <v>325.85015166007298</v>
      </c>
    </row>
    <row r="66" spans="1:4" x14ac:dyDescent="0.2">
      <c r="A66" s="69">
        <v>26</v>
      </c>
      <c r="B66" s="67">
        <v>34</v>
      </c>
      <c r="C66" s="65">
        <v>321.52969929239731</v>
      </c>
      <c r="D66" s="65">
        <f t="shared" si="4"/>
        <v>321.52969929239731</v>
      </c>
    </row>
    <row r="67" spans="1:4" x14ac:dyDescent="0.2">
      <c r="A67" s="69">
        <v>27</v>
      </c>
      <c r="B67" s="67">
        <v>42</v>
      </c>
      <c r="C67" s="65">
        <v>324.00184876288483</v>
      </c>
      <c r="D67" s="65">
        <f t="shared" si="4"/>
        <v>324.00184876288483</v>
      </c>
    </row>
    <row r="68" spans="1:4" x14ac:dyDescent="0.2">
      <c r="A68" s="69">
        <v>28</v>
      </c>
      <c r="B68" s="67">
        <v>6</v>
      </c>
      <c r="C68" s="65">
        <v>329.37653720486117</v>
      </c>
      <c r="D68" s="65">
        <f t="shared" si="4"/>
        <v>329.37653720486117</v>
      </c>
    </row>
    <row r="69" spans="1:4" x14ac:dyDescent="0.2">
      <c r="A69" s="69">
        <v>29</v>
      </c>
      <c r="B69" s="67">
        <v>269</v>
      </c>
      <c r="C69" s="65">
        <v>309.82784150870629</v>
      </c>
      <c r="D69" s="65">
        <f t="shared" si="4"/>
        <v>309.82784150870629</v>
      </c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2018-03-01T08:12:14Z</dcterms:modified>
</cp:coreProperties>
</file>