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buildit\3. Book examples\Ch09\最適モデル\"/>
    </mc:Choice>
  </mc:AlternateContent>
  <bookViews>
    <workbookView xWindow="3000" yWindow="-375" windowWidth="7770" windowHeight="8745" tabRatio="546" firstSheet="2" activeTab="7" xr2:uid="{00000000-000D-0000-FFFF-FFFF00000000}"/>
  </bookViews>
  <sheets>
    <sheet name="Kumano" sheetId="14" r:id="rId1"/>
    <sheet name="Meteorology" sheetId="9" r:id="rId2"/>
    <sheet name="Photosynthesis" sheetId="15" r:id="rId3"/>
    <sheet name="ET" sheetId="16" r:id="rId4"/>
    <sheet name="Water" sheetId="17" r:id="rId5"/>
    <sheet name="Tables" sheetId="18" r:id="rId6"/>
    <sheet name="Control" sheetId="10" r:id="rId7"/>
    <sheet name="Output" sheetId="11" r:id="rId8"/>
  </sheets>
  <externalReferences>
    <externalReference r:id="rId9"/>
  </externalReferences>
  <definedNames>
    <definedName name="_criteria">Control!$B$8</definedName>
    <definedName name="_operation">Control!$G$2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ecl">Meteorology!$E$20</definedName>
    <definedName name="DL">Meteorology!$E$17</definedName>
    <definedName name="Dmv">ET!$B$19</definedName>
    <definedName name="doy">Control!$E$3</definedName>
    <definedName name="droot">Water!$E$2</definedName>
    <definedName name="ea">Meteorology!$E$42</definedName>
    <definedName name="em">Photosynthesis!$B$15</definedName>
    <definedName name="es">Meteorology!$E$41</definedName>
    <definedName name="G">ET!$E$10</definedName>
    <definedName name="h">ET!$E$2</definedName>
    <definedName name="ha">Meteorology!$E$21</definedName>
    <definedName name="Hc">ET!$H$38</definedName>
    <definedName name="Hs">ET!$H$34</definedName>
    <definedName name="hydraulic_K">Tables!$E$7:$E$12</definedName>
    <definedName name="hydraulic_vwc">Tables!$D$7:$D$12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H">Meteorology!$E$47</definedName>
    <definedName name="RHd">Meteorology!$E$10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opesvp">Meteorology!$E$44</definedName>
    <definedName name="solver_adj" localSheetId="5" hidden="1">Tables!#REF!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Tables!#REF!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z0">ET!$E$16</definedName>
    <definedName name="zr">ET!$B$2</definedName>
    <definedName name="zs0">ET!$B$3</definedName>
  </definedNames>
  <calcPr calcId="171027" concurrentCalc="0"/>
</workbook>
</file>

<file path=xl/calcChain.xml><?xml version="1.0" encoding="utf-8"?>
<calcChain xmlns="http://schemas.openxmlformats.org/spreadsheetml/2006/main">
  <c r="E10" i="18" l="1"/>
  <c r="E11" i="18"/>
  <c r="E8" i="18"/>
  <c r="E7" i="18"/>
  <c r="E5" i="18"/>
  <c r="E4" i="18"/>
  <c r="E9" i="18"/>
  <c r="E6" i="18"/>
  <c r="E12" i="18"/>
  <c r="H28" i="11"/>
  <c r="J28" i="11"/>
  <c r="K28" i="11"/>
  <c r="H29" i="11"/>
  <c r="J29" i="11"/>
  <c r="K29" i="11"/>
  <c r="H30" i="11"/>
  <c r="J30" i="11"/>
  <c r="K30" i="11"/>
  <c r="H31" i="11"/>
  <c r="J31" i="11"/>
  <c r="K31" i="11"/>
  <c r="H32" i="11"/>
  <c r="J32" i="11"/>
  <c r="K32" i="11"/>
  <c r="H33" i="11"/>
  <c r="J33" i="11"/>
  <c r="K33" i="11"/>
  <c r="H34" i="11"/>
  <c r="J34" i="11"/>
  <c r="K34" i="11"/>
  <c r="H35" i="11"/>
  <c r="J35" i="11"/>
  <c r="K35" i="11"/>
  <c r="H36" i="11"/>
  <c r="J36" i="11"/>
  <c r="K36" i="11"/>
  <c r="H37" i="11"/>
  <c r="J37" i="11"/>
  <c r="K37" i="11"/>
  <c r="D23" i="14"/>
  <c r="D24" i="14"/>
  <c r="D25" i="14"/>
  <c r="D26" i="14"/>
  <c r="D27" i="14"/>
  <c r="D28" i="14"/>
  <c r="D29" i="14"/>
  <c r="D30" i="14"/>
  <c r="D31" i="14"/>
  <c r="I37" i="11"/>
  <c r="I36" i="11"/>
  <c r="I35" i="11"/>
  <c r="I34" i="11"/>
  <c r="I33" i="11"/>
  <c r="I32" i="11"/>
  <c r="I31" i="11"/>
  <c r="I30" i="11"/>
  <c r="I29" i="11"/>
  <c r="I28" i="11"/>
  <c r="H27" i="11"/>
  <c r="H26" i="11"/>
  <c r="J26" i="11"/>
  <c r="K26" i="11"/>
  <c r="H25" i="11"/>
  <c r="J25" i="11"/>
  <c r="K25" i="11"/>
  <c r="H24" i="11"/>
  <c r="J24" i="11"/>
  <c r="K24" i="11"/>
  <c r="H23" i="11"/>
  <c r="J23" i="11"/>
  <c r="K23" i="11"/>
  <c r="H22" i="11"/>
  <c r="J22" i="11"/>
  <c r="K22" i="11"/>
  <c r="H21" i="11"/>
  <c r="J21" i="11"/>
  <c r="K21" i="11"/>
  <c r="H20" i="11"/>
  <c r="J20" i="11"/>
  <c r="K20" i="11"/>
  <c r="H19" i="11"/>
  <c r="J19" i="11"/>
  <c r="K19" i="11"/>
  <c r="D22" i="14"/>
  <c r="D21" i="14"/>
  <c r="D20" i="14"/>
  <c r="D19" i="14"/>
  <c r="D18" i="14"/>
  <c r="D17" i="14"/>
  <c r="D16" i="14"/>
  <c r="D15" i="14"/>
  <c r="D14" i="14"/>
  <c r="D13" i="14"/>
  <c r="J27" i="11"/>
  <c r="K27" i="11"/>
  <c r="I19" i="11"/>
  <c r="I20" i="11"/>
  <c r="I21" i="11"/>
  <c r="I22" i="11"/>
  <c r="I23" i="11"/>
  <c r="I24" i="11"/>
  <c r="I25" i="11"/>
  <c r="I26" i="11"/>
  <c r="I27" i="11"/>
  <c r="H27" i="16"/>
  <c r="H21" i="16"/>
  <c r="H8" i="11"/>
  <c r="J8" i="11"/>
  <c r="K8" i="11"/>
  <c r="H9" i="11"/>
  <c r="J9" i="11"/>
  <c r="K9" i="11"/>
  <c r="H10" i="11"/>
  <c r="J10" i="11"/>
  <c r="K10" i="11"/>
  <c r="H11" i="11"/>
  <c r="J11" i="11"/>
  <c r="K11" i="11"/>
  <c r="H12" i="11"/>
  <c r="J12" i="11"/>
  <c r="K12" i="11"/>
  <c r="H13" i="11"/>
  <c r="J13" i="11"/>
  <c r="K13" i="11"/>
  <c r="H14" i="11"/>
  <c r="J14" i="11"/>
  <c r="K14" i="11"/>
  <c r="H15" i="11"/>
  <c r="J15" i="11"/>
  <c r="K15" i="11"/>
  <c r="H16" i="11"/>
  <c r="J16" i="11"/>
  <c r="K16" i="11"/>
  <c r="H17" i="11"/>
  <c r="J17" i="11"/>
  <c r="K17" i="11"/>
  <c r="H18" i="11"/>
  <c r="J18" i="11"/>
  <c r="K18" i="11"/>
  <c r="H15" i="17"/>
  <c r="I5" i="17"/>
  <c r="I15" i="17"/>
  <c r="J5" i="17"/>
  <c r="J15" i="17"/>
  <c r="E2" i="10"/>
  <c r="E3" i="10"/>
  <c r="E20" i="9"/>
  <c r="H2" i="9"/>
  <c r="H29" i="16"/>
  <c r="I9" i="11"/>
  <c r="I10" i="11"/>
  <c r="I11" i="11"/>
  <c r="I12" i="11"/>
  <c r="I13" i="11"/>
  <c r="I14" i="11"/>
  <c r="I15" i="11"/>
  <c r="I16" i="11"/>
  <c r="I17" i="11"/>
  <c r="I18" i="11"/>
  <c r="I8" i="11"/>
  <c r="D2" i="14"/>
  <c r="D3" i="14"/>
  <c r="D4" i="14"/>
  <c r="D5" i="14"/>
  <c r="D6" i="14"/>
  <c r="D7" i="14"/>
  <c r="D8" i="14"/>
  <c r="D9" i="14"/>
  <c r="D10" i="14"/>
  <c r="D11" i="14"/>
  <c r="D12" i="14"/>
  <c r="A3" i="11"/>
  <c r="B2" i="10"/>
  <c r="H21" i="10"/>
  <c r="F3" i="11"/>
  <c r="E3" i="9"/>
  <c r="H7" i="17"/>
  <c r="J6" i="15"/>
  <c r="H5" i="10"/>
  <c r="I7" i="17"/>
  <c r="I21" i="10"/>
  <c r="J7" i="17"/>
  <c r="E4" i="16"/>
  <c r="H6" i="17"/>
  <c r="H5" i="17"/>
  <c r="H18" i="17"/>
  <c r="I6" i="17"/>
  <c r="H12" i="17"/>
  <c r="H19" i="17"/>
  <c r="I18" i="17"/>
  <c r="I19" i="17"/>
  <c r="J6" i="17"/>
  <c r="I12" i="17"/>
  <c r="J18" i="17"/>
  <c r="J19" i="17"/>
  <c r="J12" i="17"/>
  <c r="B8" i="10"/>
  <c r="G4" i="15"/>
  <c r="E9" i="16"/>
  <c r="J4" i="10"/>
  <c r="H4" i="10"/>
  <c r="J3" i="10"/>
  <c r="H3" i="10"/>
  <c r="B19" i="16"/>
  <c r="E41" i="16"/>
  <c r="E33" i="16"/>
  <c r="E24" i="16"/>
  <c r="E17" i="16"/>
  <c r="E16" i="16"/>
  <c r="E30" i="16"/>
  <c r="E25" i="16"/>
  <c r="J2" i="10"/>
  <c r="G13" i="15"/>
  <c r="G12" i="15"/>
  <c r="G7" i="15"/>
  <c r="G8" i="15"/>
  <c r="J21" i="15"/>
  <c r="G14" i="15"/>
  <c r="H2" i="10"/>
  <c r="E21" i="9"/>
  <c r="B9" i="9"/>
  <c r="H3" i="17"/>
  <c r="H2" i="17"/>
  <c r="I3" i="17"/>
  <c r="J3" i="17"/>
  <c r="I2" i="17"/>
  <c r="J2" i="17"/>
  <c r="E2" i="9"/>
  <c r="E7" i="9"/>
  <c r="E8" i="9"/>
  <c r="E6" i="9"/>
  <c r="E11" i="9"/>
  <c r="E12" i="9"/>
  <c r="E10" i="9"/>
  <c r="L8" i="11"/>
  <c r="B3" i="11"/>
  <c r="E17" i="17"/>
  <c r="E50" i="9"/>
  <c r="E9" i="9"/>
  <c r="E22" i="9"/>
  <c r="E23" i="9"/>
  <c r="J9" i="17"/>
  <c r="I9" i="17"/>
  <c r="E9" i="17"/>
  <c r="H9" i="17"/>
  <c r="E10" i="17"/>
  <c r="E5" i="16"/>
  <c r="J11" i="17"/>
  <c r="J10" i="17"/>
  <c r="I11" i="17"/>
  <c r="I10" i="17"/>
  <c r="H11" i="17"/>
  <c r="H10" i="17"/>
  <c r="I14" i="17"/>
  <c r="H13" i="17"/>
  <c r="J14" i="17"/>
  <c r="I13" i="17"/>
  <c r="J13" i="17"/>
  <c r="H16" i="17"/>
  <c r="E5" i="17"/>
  <c r="E6" i="17"/>
  <c r="H17" i="17"/>
  <c r="E6" i="16"/>
  <c r="E42" i="16"/>
  <c r="C3" i="11"/>
  <c r="E11" i="17"/>
  <c r="I16" i="17"/>
  <c r="D3" i="11"/>
  <c r="J16" i="17"/>
  <c r="E3" i="11"/>
  <c r="E16" i="9"/>
  <c r="E24" i="9"/>
  <c r="H3" i="9"/>
  <c r="H4" i="9"/>
  <c r="H20" i="9"/>
  <c r="E25" i="9"/>
  <c r="G9" i="15"/>
  <c r="G10" i="15"/>
  <c r="G11" i="15"/>
  <c r="E26" i="9"/>
  <c r="E15" i="9"/>
  <c r="E17" i="9"/>
  <c r="E51" i="9"/>
  <c r="E52" i="9"/>
  <c r="L2" i="10"/>
  <c r="E32" i="9"/>
  <c r="E12" i="17"/>
  <c r="E13" i="17"/>
  <c r="E14" i="17"/>
  <c r="H20" i="17"/>
  <c r="H21" i="17"/>
  <c r="I20" i="17"/>
  <c r="I21" i="17"/>
  <c r="J20" i="17"/>
  <c r="J21" i="17"/>
  <c r="J22" i="17"/>
  <c r="E33" i="9"/>
  <c r="E34" i="9"/>
  <c r="K2" i="10"/>
  <c r="E35" i="9"/>
  <c r="E36" i="9"/>
  <c r="E53" i="9"/>
  <c r="E18" i="16"/>
  <c r="H5" i="9"/>
  <c r="H18" i="9"/>
  <c r="H27" i="9"/>
  <c r="H28" i="9"/>
  <c r="E27" i="9"/>
  <c r="E28" i="9"/>
  <c r="E29" i="9"/>
  <c r="G17" i="15"/>
  <c r="E44" i="9"/>
  <c r="E37" i="9"/>
  <c r="E40" i="9"/>
  <c r="E42" i="9"/>
  <c r="E41" i="9"/>
  <c r="E43" i="9"/>
  <c r="G18" i="15"/>
  <c r="H19" i="9"/>
  <c r="H21" i="9"/>
  <c r="H7" i="9"/>
  <c r="H10" i="9"/>
  <c r="H11" i="9"/>
  <c r="H8" i="9"/>
  <c r="H9" i="9"/>
  <c r="E28" i="16"/>
  <c r="E29" i="16"/>
  <c r="E19" i="16"/>
  <c r="E34" i="16"/>
  <c r="E35" i="16"/>
  <c r="E20" i="16"/>
  <c r="E23" i="16"/>
  <c r="E26" i="16"/>
  <c r="I22" i="17"/>
  <c r="I5" i="10"/>
  <c r="H22" i="17"/>
  <c r="E31" i="16"/>
  <c r="H12" i="9"/>
  <c r="H14" i="9"/>
  <c r="H13" i="9"/>
  <c r="H23" i="9"/>
  <c r="H22" i="9"/>
  <c r="H24" i="9"/>
  <c r="E47" i="9"/>
  <c r="H40" i="9"/>
  <c r="H2" i="16"/>
  <c r="H4" i="16"/>
  <c r="H11" i="16"/>
  <c r="H18" i="16"/>
  <c r="H33" i="16"/>
  <c r="H15" i="9"/>
  <c r="H16" i="9"/>
  <c r="H41" i="9"/>
  <c r="E37" i="16"/>
  <c r="E38" i="16"/>
  <c r="E39" i="16"/>
  <c r="H32" i="9"/>
  <c r="H29" i="9"/>
  <c r="H26" i="9"/>
  <c r="H35" i="9"/>
  <c r="H33" i="9"/>
  <c r="H34" i="9"/>
  <c r="H31" i="9"/>
  <c r="H30" i="9"/>
  <c r="H3" i="16"/>
  <c r="H8" i="16"/>
  <c r="H37" i="16"/>
  <c r="H24" i="16"/>
  <c r="E10" i="16"/>
  <c r="E12" i="16"/>
  <c r="E11" i="16"/>
  <c r="H36" i="9"/>
  <c r="E13" i="16"/>
  <c r="H5" i="16"/>
  <c r="H6" i="16"/>
  <c r="G22" i="15"/>
  <c r="J7" i="15"/>
  <c r="H37" i="9"/>
  <c r="G21" i="15"/>
  <c r="J4" i="15"/>
  <c r="J3" i="15"/>
  <c r="J5" i="15"/>
  <c r="J10" i="15"/>
  <c r="J11" i="15"/>
  <c r="H7" i="16"/>
  <c r="H9" i="16"/>
  <c r="H10" i="16"/>
  <c r="H12" i="16"/>
  <c r="H13" i="16"/>
  <c r="H15" i="16"/>
  <c r="H36" i="16"/>
  <c r="H38" i="16"/>
  <c r="H23" i="16"/>
  <c r="H25" i="16"/>
  <c r="I4" i="10"/>
  <c r="H32" i="16"/>
  <c r="H34" i="16"/>
  <c r="H17" i="16"/>
  <c r="H19" i="16"/>
  <c r="I3" i="10"/>
  <c r="K2" i="16"/>
  <c r="G3" i="15"/>
  <c r="D8" i="15"/>
  <c r="J14" i="15"/>
  <c r="D6" i="15"/>
  <c r="D9" i="15"/>
  <c r="D7" i="15"/>
  <c r="J16" i="15"/>
  <c r="J15" i="15"/>
  <c r="J18" i="15"/>
  <c r="J17" i="15"/>
  <c r="J19" i="15"/>
  <c r="I2" i="10"/>
</calcChain>
</file>

<file path=xl/sharedStrings.xml><?xml version="1.0" encoding="utf-8"?>
<sst xmlns="http://schemas.openxmlformats.org/spreadsheetml/2006/main" count="330" uniqueCount="293">
  <si>
    <t>CONTROL</t>
  </si>
  <si>
    <t>year</t>
  </si>
  <si>
    <t>month</t>
  </si>
  <si>
    <t>day</t>
  </si>
  <si>
    <t>date</t>
  </si>
  <si>
    <t>sunhr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</si>
  <si>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</si>
  <si>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</si>
  <si>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</si>
  <si>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</si>
  <si>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</si>
  <si>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</si>
  <si>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</si>
  <si>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</si>
  <si>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</si>
  <si>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</si>
  <si>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</si>
  <si>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</si>
  <si>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</si>
  <si>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</si>
  <si>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</si>
  <si>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</si>
  <si>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</si>
  <si>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</si>
  <si>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</si>
  <si>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</si>
  <si>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</si>
  <si>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</si>
  <si>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</si>
  <si>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</si>
  <si>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</si>
  <si>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</si>
  <si>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</si>
  <si>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</si>
  <si>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</si>
  <si>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</si>
  <si>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</si>
  <si>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</si>
  <si>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</si>
  <si>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</si>
  <si>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</si>
  <si>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</si>
  <si>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</si>
  <si>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</si>
  <si>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</si>
  <si>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</si>
  <si>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</si>
  <si>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</si>
  <si>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</si>
  <si>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</si>
  <si>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</si>
  <si>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</si>
  <si>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</si>
  <si>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</si>
  <si>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</si>
  <si>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</si>
  <si>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</si>
  <si>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</si>
  <si>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</si>
  <si>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</si>
  <si>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</si>
  <si>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</si>
  <si>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</si>
  <si>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</si>
  <si>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</si>
  <si>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</si>
  <si>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</si>
  <si>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</si>
  <si>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</si>
  <si>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</si>
  <si>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</si>
  <si>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</si>
  <si>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</si>
  <si>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</si>
  <si>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</si>
  <si>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</si>
  <si>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</si>
  <si>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</si>
  <si>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</si>
  <si>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</si>
  <si>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</si>
  <si>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</si>
  <si>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</si>
  <si>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</si>
  <si>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maxsteps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</si>
  <si>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</si>
  <si>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</si>
  <si>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</si>
  <si>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</si>
  <si>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</si>
  <si>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</si>
  <si>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</si>
  <si>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</si>
  <si>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</si>
  <si>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</si>
  <si>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</si>
  <si>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</si>
  <si>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</si>
  <si>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</si>
  <si>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</si>
  <si>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</si>
  <si>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</si>
  <si>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</si>
  <si>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</si>
  <si>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</si>
  <si>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</si>
  <si>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</si>
  <si>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</si>
  <si>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</si>
  <si>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</si>
  <si>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</si>
  <si>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</si>
  <si>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</si>
  <si>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</si>
  <si>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</si>
  <si>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</si>
  <si>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</si>
  <si>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</si>
  <si>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</si>
  <si>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</si>
  <si>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</si>
  <si>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</si>
  <si>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</si>
  <si>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</si>
  <si>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</si>
  <si>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</si>
  <si>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</si>
  <si>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</si>
  <si>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</si>
  <si>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</si>
  <si>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</si>
  <si>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</si>
  <si>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</si>
  <si>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</si>
  <si>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</si>
  <si>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</si>
  <si>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</si>
  <si>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</si>
  <si>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</si>
  <si>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</si>
  <si>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</si>
  <si>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</si>
  <si>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</si>
  <si>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</si>
  <si>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</si>
  <si>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</si>
  <si>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</si>
  <si>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</si>
  <si>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</si>
  <si>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</si>
  <si>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</si>
  <si>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</si>
  <si>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</si>
  <si>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</si>
  <si>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</si>
  <si>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</si>
  <si>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</si>
  <si>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</si>
  <si>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</si>
  <si>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</si>
  <si>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</si>
  <si>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</si>
  <si>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</si>
  <si>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</si>
  <si>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</si>
  <si>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</si>
  <si>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</si>
  <si>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</si>
  <si>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</si>
  <si>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</si>
  <si>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</si>
  <si>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</si>
  <si>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</si>
  <si>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</si>
  <si>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</si>
  <si>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</si>
  <si>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</si>
  <si>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</si>
  <si>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</si>
  <si>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</si>
  <si>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</si>
  <si>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</si>
  <si>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</si>
  <si>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</si>
  <si>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</si>
  <si>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</si>
  <si>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</si>
  <si>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</si>
  <si>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</si>
  <si>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</si>
  <si>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</si>
  <si>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</si>
  <si>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</si>
  <si>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</si>
  <si>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</si>
  <si>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</si>
  <si>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</si>
  <si>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</si>
  <si>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</si>
  <si>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</si>
  <si>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</si>
  <si>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</si>
  <si>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</si>
  <si>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</si>
  <si>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</si>
  <si>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</si>
  <si>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</si>
  <si>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</si>
  <si>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</si>
  <si>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</si>
  <si>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</si>
  <si>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</si>
  <si>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</si>
  <si>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</si>
  <si>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</si>
  <si>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</si>
  <si>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</si>
  <si>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</si>
  <si>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</si>
  <si>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</si>
  <si>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</si>
  <si>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</si>
  <si>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</si>
  <si>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</si>
  <si>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</si>
  <si>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</si>
  <si>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</si>
  <si>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</si>
  <si>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</si>
  <si>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</si>
  <si>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</si>
  <si>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</si>
  <si>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</si>
  <si>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</si>
  <si>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</si>
  <si>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</si>
  <si>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</si>
  <si>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</si>
  <si>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</si>
  <si>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</si>
  <si>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</si>
  <si>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</si>
  <si>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</si>
  <si>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</si>
  <si>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</si>
  <si>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</si>
  <si>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</si>
  <si>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</si>
  <si>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</si>
  <si>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</si>
  <si>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</si>
  <si>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</si>
  <si>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</si>
  <si>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</si>
  <si>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</si>
  <si>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</si>
  <si>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t>Rain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</si>
  <si>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</si>
  <si>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</si>
  <si>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r>
      <rPr>
        <b/>
        <sz val="9"/>
        <rFont val="Arial"/>
        <family val="2"/>
      </rPr>
      <t xml:space="preserve">total </t>
    </r>
    <r>
      <rPr>
        <b/>
        <sz val="10"/>
        <rFont val="Symbol"/>
        <family val="1"/>
        <charset val="2"/>
      </rPr>
      <t>Q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</si>
  <si>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v,1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</si>
  <si>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v,2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</si>
  <si>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v,3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</si>
  <si>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</si>
  <si>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</si>
  <si>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</si>
  <si>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</si>
  <si>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</si>
  <si>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</si>
  <si>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</si>
  <si>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</si>
  <si>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</si>
  <si>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</si>
  <si>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</si>
  <si>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</si>
  <si>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</si>
  <si>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</si>
  <si>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</si>
  <si>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</si>
  <si>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HUMIDITY</t>
  </si>
  <si>
    <t>VAP. PRESS.</t>
  </si>
  <si>
    <t>surface albedo, p</t>
    <phoneticPr fontId="3" type="noConversion"/>
  </si>
  <si>
    <t>Lat (deg)</t>
    <phoneticPr fontId="22"/>
  </si>
  <si>
    <t>Kumano</t>
    <phoneticPr fontId="3" type="noConversion"/>
  </si>
  <si>
    <t>tmax</t>
    <phoneticPr fontId="22"/>
  </si>
  <si>
    <r>
      <t>k</t>
    </r>
    <r>
      <rPr>
        <vertAlign val="subscript"/>
        <sz val="10"/>
        <rFont val="Arial"/>
        <family val="2"/>
      </rPr>
      <t>Rn</t>
    </r>
    <phoneticPr fontId="22"/>
  </si>
  <si>
    <t>誤差率</t>
    <rPh sb="0" eb="2">
      <t>ゴサ</t>
    </rPh>
    <rPh sb="2" eb="3">
      <t>リツ</t>
    </rPh>
    <phoneticPr fontId="22"/>
  </si>
  <si>
    <t>推定値[mm]</t>
    <rPh sb="0" eb="3">
      <t>スイテイチ</t>
    </rPh>
    <phoneticPr fontId="22"/>
  </si>
  <si>
    <t>実測値[%]</t>
    <rPh sb="0" eb="3">
      <t>ジッソクチ</t>
    </rPh>
    <phoneticPr fontId="22"/>
  </si>
  <si>
    <t>実測値[mm]</t>
    <rPh sb="0" eb="3">
      <t>ジッソクチ</t>
    </rPh>
    <phoneticPr fontId="22"/>
  </si>
  <si>
    <t>残差</t>
    <rPh sb="0" eb="2">
      <t>ザンサ</t>
    </rPh>
    <phoneticPr fontId="22"/>
  </si>
  <si>
    <t>平方根</t>
    <rPh sb="0" eb="3">
      <t>ヘイホウコン</t>
    </rPh>
    <phoneticPr fontId="22"/>
  </si>
  <si>
    <t>RMSE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</si>
</sst>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_ "/>
    <numFmt numFmtId="178" formatCode="0.00_ "/>
    <numFmt numFmtId="179" formatCode="0.0%"/>
  </numFmts>
  <fonts count="25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sz val="6"/>
      <name val="ＭＳ Ｐゴシック"/>
      <family val="3"/>
      <charset val="128"/>
    </font>
    <font>
      <b/>
      <sz val="12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11" fontId="1" fillId="0" borderId="0" xfId="1" applyNumberFormat="1"/>
    <xf numFmtId="0" fontId="23" fillId="0" borderId="0" xfId="0" applyNumberFormat="1" applyFont="1" applyBorder="1"/>
    <xf numFmtId="0" fontId="1" fillId="0" borderId="2" xfId="1" applyBorder="1"/>
    <xf numFmtId="14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49" fontId="2" fillId="2" borderId="2" xfId="1" applyNumberFormat="1" applyFont="1" applyFill="1" applyBorder="1" applyAlignment="1">
      <alignment horizontal="center"/>
    </xf>
    <xf numFmtId="177" fontId="0" fillId="0" borderId="2" xfId="0" applyNumberFormat="1" applyBorder="1" applyAlignment="1">
      <alignment vertical="center"/>
    </xf>
    <xf numFmtId="0" fontId="0" fillId="0" borderId="2" xfId="0" applyNumberFormat="1" applyFont="1" applyBorder="1"/>
    <xf numFmtId="178" fontId="2" fillId="2" borderId="2" xfId="1" applyNumberFormat="1" applyFont="1" applyFill="1" applyBorder="1" applyAlignment="1">
      <alignment horizontal="center"/>
    </xf>
    <xf numFmtId="178" fontId="0" fillId="0" borderId="2" xfId="0" applyNumberFormat="1" applyFont="1" applyBorder="1"/>
    <xf numFmtId="178" fontId="1" fillId="0" borderId="0" xfId="1" applyNumberFormat="1"/>
    <xf numFmtId="176" fontId="2" fillId="2" borderId="2" xfId="1" applyNumberFormat="1" applyFont="1" applyFill="1" applyBorder="1" applyAlignment="1">
      <alignment horizontal="center"/>
    </xf>
    <xf numFmtId="176" fontId="1" fillId="0" borderId="0" xfId="1" applyNumberFormat="1"/>
    <xf numFmtId="0" fontId="1" fillId="0" borderId="2" xfId="0" applyNumberFormat="1" applyFont="1" applyBorder="1"/>
    <xf numFmtId="0" fontId="24" fillId="0" borderId="0" xfId="0" applyFont="1"/>
    <xf numFmtId="179" fontId="1" fillId="0" borderId="0" xfId="0" applyNumberFormat="1" applyFont="1"/>
    <xf numFmtId="178" fontId="0" fillId="0" borderId="0" xfId="0" applyNumberFormat="1"/>
    <xf numFmtId="11" fontId="1" fillId="0" borderId="0" xfId="0" applyNumberFormat="1" applyFont="1"/>
  </cellXfs>
  <cellStyles count="2">
    <cellStyle name="Normal 2" xfId="1" xr:uid="{00000000-0005-0000-0000-000000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Tables!$D$4:$D$12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0.11360000000000001</c:v>
                </c:pt>
                <c:pt idx="3">
                  <c:v>0.14630000000000001</c:v>
                </c:pt>
                <c:pt idx="4">
                  <c:v>0.19989999999999999</c:v>
                </c:pt>
                <c:pt idx="5">
                  <c:v>0.23680000000000001</c:v>
                </c:pt>
                <c:pt idx="6">
                  <c:v>0.31180000000000002</c:v>
                </c:pt>
                <c:pt idx="7">
                  <c:v>0.34989999999999999</c:v>
                </c:pt>
                <c:pt idx="8">
                  <c:v>0.39</c:v>
                </c:pt>
              </c:numCache>
            </c:numRef>
          </c:xVal>
          <c:yVal>
            <c:numRef>
              <c:f>Tables!$E$4:$E$12</c:f>
              <c:numCache>
                <c:formatCode>0.00E+00</c:formatCode>
                <c:ptCount val="9"/>
                <c:pt idx="0">
                  <c:v>4.75E-28</c:v>
                </c:pt>
                <c:pt idx="1">
                  <c:v>3.8999999999999998E-14</c:v>
                </c:pt>
                <c:pt idx="2">
                  <c:v>4.4939999999999997E-8</c:v>
                </c:pt>
                <c:pt idx="3">
                  <c:v>1.607E-4</c:v>
                </c:pt>
                <c:pt idx="4">
                  <c:v>2.794E-2</c:v>
                </c:pt>
                <c:pt idx="5">
                  <c:v>0.23619999999999999</c:v>
                </c:pt>
                <c:pt idx="6">
                  <c:v>5.5149999999999997</c:v>
                </c:pt>
                <c:pt idx="7" formatCode="General">
                  <c:v>22.36</c:v>
                </c:pt>
                <c:pt idx="8">
                  <c:v>314.2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3-494D-B765-5F46A848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18576"/>
        <c:axId val="553625464"/>
      </c:scatterChart>
      <c:valAx>
        <c:axId val="5536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625464"/>
        <c:crosses val="autoZero"/>
        <c:crossBetween val="midCat"/>
      </c:valAx>
      <c:valAx>
        <c:axId val="5536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6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Tables!$A$4:$A$13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0.13</c:v>
                </c:pt>
                <c:pt idx="3">
                  <c:v>0.17</c:v>
                </c:pt>
                <c:pt idx="4">
                  <c:v>0.19</c:v>
                </c:pt>
                <c:pt idx="5">
                  <c:v>0.2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0.39</c:v>
                </c:pt>
              </c:numCache>
            </c:numRef>
          </c:xVal>
          <c:yVal>
            <c:numRef>
              <c:f>Tables!$B$4:$B$13</c:f>
              <c:numCache>
                <c:formatCode>General</c:formatCode>
                <c:ptCount val="10"/>
                <c:pt idx="0">
                  <c:v>1250</c:v>
                </c:pt>
                <c:pt idx="1">
                  <c:v>150</c:v>
                </c:pt>
                <c:pt idx="2">
                  <c:v>50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6-449B-BB0B-114837E2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3864"/>
        <c:axId val="549904192"/>
      </c:scatterChart>
      <c:valAx>
        <c:axId val="5499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904192"/>
        <c:crosses val="autoZero"/>
        <c:crossBetween val="midCat"/>
      </c:valAx>
      <c:valAx>
        <c:axId val="549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90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36896"/>
        <c:axId val="125130624"/>
      </c:barChart>
      <c:scatterChart>
        <c:scatterStyle val="lineMarker"/>
        <c:varyColors val="0"/>
        <c:ser>
          <c:idx val="3"/>
          <c:order val="1"/>
          <c:tx>
            <c:v>layer 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Output!$C$8:$C$18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0.28143810400127095</c:v>
                </c:pt>
                <c:pt idx="2">
                  <c:v>0.25964255725196478</c:v>
                </c:pt>
                <c:pt idx="3">
                  <c:v>0.2511589447467259</c:v>
                </c:pt>
                <c:pt idx="4">
                  <c:v>0.2472903037445148</c:v>
                </c:pt>
                <c:pt idx="5">
                  <c:v>0.24436571590277884</c:v>
                </c:pt>
                <c:pt idx="6">
                  <c:v>0.35199178491929828</c:v>
                </c:pt>
                <c:pt idx="7">
                  <c:v>0.28101297275425974</c:v>
                </c:pt>
                <c:pt idx="8">
                  <c:v>0.26195640653012059</c:v>
                </c:pt>
                <c:pt idx="9">
                  <c:v>0.25653232305468815</c:v>
                </c:pt>
                <c:pt idx="10">
                  <c:v>0.25222194054429659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32"/>
        <c:axId val="125128704"/>
      </c:scatterChart>
      <c:valAx>
        <c:axId val="125122432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28704"/>
        <c:crosses val="autoZero"/>
        <c:crossBetween val="midCat"/>
        <c:majorUnit val="52"/>
      </c:valAx>
      <c:valAx>
        <c:axId val="125128704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22432"/>
        <c:crosses val="autoZero"/>
        <c:crossBetween val="midCat"/>
        <c:majorUnit val="0.1"/>
      </c:valAx>
      <c:valAx>
        <c:axId val="125130624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36896"/>
        <c:crosses val="max"/>
        <c:crossBetween val="between"/>
      </c:valAx>
      <c:catAx>
        <c:axId val="125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0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70816"/>
        <c:axId val="125164544"/>
      </c:barChart>
      <c:scatterChart>
        <c:scatterStyle val="lineMarker"/>
        <c:varyColors val="0"/>
        <c:ser>
          <c:idx val="4"/>
          <c:order val="1"/>
          <c:tx>
            <c:v>whole soil profile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Output!$F$8:$F$18</c:f>
              <c:numCache>
                <c:formatCode>General</c:formatCode>
                <c:ptCount val="11"/>
                <c:pt idx="0">
                  <c:v>263.5</c:v>
                </c:pt>
                <c:pt idx="1">
                  <c:v>266.60559232224136</c:v>
                </c:pt>
                <c:pt idx="2">
                  <c:v>264.71839322753686</c:v>
                </c:pt>
                <c:pt idx="3">
                  <c:v>262.08981555636637</c:v>
                </c:pt>
                <c:pt idx="4">
                  <c:v>259.6412859287002</c:v>
                </c:pt>
                <c:pt idx="5">
                  <c:v>257.32663616400765</c:v>
                </c:pt>
                <c:pt idx="6">
                  <c:v>273.73566914166952</c:v>
                </c:pt>
                <c:pt idx="7">
                  <c:v>273.69147013115128</c:v>
                </c:pt>
                <c:pt idx="8">
                  <c:v>270.52485260875841</c:v>
                </c:pt>
                <c:pt idx="9">
                  <c:v>267.64543796645648</c:v>
                </c:pt>
                <c:pt idx="10">
                  <c:v>264.93537865759492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448"/>
        <c:axId val="125162624"/>
      </c:scatterChart>
      <c:valAx>
        <c:axId val="125160448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62624"/>
        <c:crosses val="autoZero"/>
        <c:crossBetween val="midCat"/>
        <c:majorUnit val="52"/>
      </c:valAx>
      <c:valAx>
        <c:axId val="125162624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60448"/>
        <c:crosses val="autoZero"/>
        <c:crossBetween val="midCat"/>
        <c:majorUnit val="80"/>
      </c:valAx>
      <c:valAx>
        <c:axId val="125164544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70816"/>
        <c:crosses val="max"/>
        <c:crossBetween val="between"/>
      </c:valAx>
      <c:catAx>
        <c:axId val="125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4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644416"/>
        <c:axId val="127634048"/>
      </c:barChart>
      <c:scatterChart>
        <c:scatterStyle val="lineMarker"/>
        <c:varyColors val="0"/>
        <c:ser>
          <c:idx val="4"/>
          <c:order val="1"/>
          <c:tx>
            <c:v>layer 2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Output!$D$8:$D$18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0.26899235478401978</c:v>
                </c:pt>
                <c:pt idx="2">
                  <c:v>0.2652134925496808</c:v>
                </c:pt>
                <c:pt idx="3">
                  <c:v>0.26018473636187106</c:v>
                </c:pt>
                <c:pt idx="4">
                  <c:v>0.25601785796805054</c:v>
                </c:pt>
                <c:pt idx="5">
                  <c:v>0.25246032966124404</c:v>
                </c:pt>
                <c:pt idx="6">
                  <c:v>0.2823940174704303</c:v>
                </c:pt>
                <c:pt idx="7">
                  <c:v>0.2803229586640455</c:v>
                </c:pt>
                <c:pt idx="8">
                  <c:v>0.27236424607129467</c:v>
                </c:pt>
                <c:pt idx="9">
                  <c:v>0.2663502193623955</c:v>
                </c:pt>
                <c:pt idx="10">
                  <c:v>0.26165260401212381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856"/>
        <c:axId val="127632128"/>
      </c:scatterChart>
      <c:valAx>
        <c:axId val="127625856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7632128"/>
        <c:crosses val="autoZero"/>
        <c:crossBetween val="midCat"/>
        <c:majorUnit val="52"/>
      </c:valAx>
      <c:valAx>
        <c:axId val="12763212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25856"/>
        <c:crosses val="autoZero"/>
        <c:crossBetween val="midCat"/>
        <c:majorUnit val="0.1"/>
      </c:valAx>
      <c:valAx>
        <c:axId val="127634048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44416"/>
        <c:crosses val="max"/>
        <c:crossBetween val="between"/>
      </c:valAx>
      <c:catAx>
        <c:axId val="1276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3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209280"/>
        <c:axId val="128203008"/>
      </c:barChart>
      <c:scatterChart>
        <c:scatterStyle val="lineMarker"/>
        <c:varyColors val="0"/>
        <c:ser>
          <c:idx val="0"/>
          <c:order val="1"/>
          <c:tx>
            <c:v>layer 3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Output!$E$8:$E$18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0.26392374431070537</c:v>
                </c:pt>
                <c:pt idx="2">
                  <c:v>0.26447564521085459</c:v>
                </c:pt>
                <c:pt idx="3">
                  <c:v>0.26419549602879078</c:v>
                </c:pt>
                <c:pt idx="4">
                  <c:v>0.2633216638240512</c:v>
                </c:pt>
                <c:pt idx="5">
                  <c:v>0.26212994269573037</c:v>
                </c:pt>
                <c:pt idx="6">
                  <c:v>0.26306651039785706</c:v>
                </c:pt>
                <c:pt idx="7">
                  <c:v>0.26754355709731753</c:v>
                </c:pt>
                <c:pt idx="8">
                  <c:v>0.26922725247184703</c:v>
                </c:pt>
                <c:pt idx="9">
                  <c:v>0.26921863576665533</c:v>
                </c:pt>
                <c:pt idx="10">
                  <c:v>0.26832835000217703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720"/>
        <c:axId val="128201088"/>
      </c:scatterChart>
      <c:valAx>
        <c:axId val="128190720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8201088"/>
        <c:crosses val="autoZero"/>
        <c:crossBetween val="midCat"/>
        <c:majorUnit val="52"/>
      </c:valAx>
      <c:valAx>
        <c:axId val="12820108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190720"/>
        <c:crosses val="autoZero"/>
        <c:crossBetween val="midCat"/>
        <c:majorUnit val="0.1"/>
      </c:valAx>
      <c:valAx>
        <c:axId val="128203008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209280"/>
        <c:crosses val="max"/>
        <c:crossBetween val="between"/>
      </c:valAx>
      <c:catAx>
        <c:axId val="128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03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8092738407698"/>
          <c:y val="0.18423888149715359"/>
          <c:w val="0.71211636094167075"/>
          <c:h val="0.60245861234104736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Output!$B$8:$B$37</c:f>
              <c:numCache>
                <c:formatCode>General</c:formatCode>
                <c:ptCount val="30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  <c:pt idx="14">
                  <c:v>62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36</c:v>
                </c:pt>
                <c:pt idx="24">
                  <c:v>38</c:v>
                </c:pt>
                <c:pt idx="25">
                  <c:v>24</c:v>
                </c:pt>
                <c:pt idx="26">
                  <c:v>29</c:v>
                </c:pt>
                <c:pt idx="27">
                  <c:v>30</c:v>
                </c:pt>
                <c:pt idx="28">
                  <c:v>6</c:v>
                </c:pt>
                <c:pt idx="2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A04-96C5-FBA39A56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79288"/>
        <c:axId val="551070432"/>
      </c:barChart>
      <c:lineChart>
        <c:grouping val="standard"/>
        <c:varyColors val="0"/>
        <c:ser>
          <c:idx val="0"/>
          <c:order val="0"/>
          <c:tx>
            <c:strRef>
              <c:f>Output!$F$7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Output!$F$8:$F$36</c:f>
              <c:numCache>
                <c:formatCode>General</c:formatCode>
                <c:ptCount val="29"/>
                <c:pt idx="0">
                  <c:v>263.5</c:v>
                </c:pt>
                <c:pt idx="1">
                  <c:v>266.60559232224136</c:v>
                </c:pt>
                <c:pt idx="2">
                  <c:v>264.71839322753686</c:v>
                </c:pt>
                <c:pt idx="3">
                  <c:v>262.08981555636637</c:v>
                </c:pt>
                <c:pt idx="4">
                  <c:v>259.6412859287002</c:v>
                </c:pt>
                <c:pt idx="5">
                  <c:v>257.32663616400765</c:v>
                </c:pt>
                <c:pt idx="6">
                  <c:v>273.73566914166952</c:v>
                </c:pt>
                <c:pt idx="7">
                  <c:v>273.69147013115128</c:v>
                </c:pt>
                <c:pt idx="8">
                  <c:v>270.52485260875841</c:v>
                </c:pt>
                <c:pt idx="9">
                  <c:v>267.64543796645648</c:v>
                </c:pt>
                <c:pt idx="10">
                  <c:v>264.93537865759492</c:v>
                </c:pt>
                <c:pt idx="11">
                  <c:v>300.78798664369174</c:v>
                </c:pt>
                <c:pt idx="12">
                  <c:v>298.88086325481743</c:v>
                </c:pt>
                <c:pt idx="13">
                  <c:v>294.01748157488834</c:v>
                </c:pt>
                <c:pt idx="14">
                  <c:v>295.95997959163515</c:v>
                </c:pt>
                <c:pt idx="15">
                  <c:v>332.25342951012317</c:v>
                </c:pt>
                <c:pt idx="16">
                  <c:v>321.21720394764105</c:v>
                </c:pt>
                <c:pt idx="17">
                  <c:v>312.6350086106425</c:v>
                </c:pt>
                <c:pt idx="18">
                  <c:v>308.37167592361504</c:v>
                </c:pt>
                <c:pt idx="19">
                  <c:v>302.16084125515818</c:v>
                </c:pt>
                <c:pt idx="20">
                  <c:v>296.75898529351127</c:v>
                </c:pt>
                <c:pt idx="21">
                  <c:v>291.8278663204876</c:v>
                </c:pt>
                <c:pt idx="22">
                  <c:v>287.5361279689651</c:v>
                </c:pt>
                <c:pt idx="23">
                  <c:v>284.49284426233476</c:v>
                </c:pt>
                <c:pt idx="24">
                  <c:v>311.55314075720077</c:v>
                </c:pt>
                <c:pt idx="25">
                  <c:v>328.91406791125593</c:v>
                </c:pt>
                <c:pt idx="26">
                  <c:v>333.96443251620917</c:v>
                </c:pt>
                <c:pt idx="27">
                  <c:v>339.73902634973683</c:v>
                </c:pt>
                <c:pt idx="28">
                  <c:v>343.83305912710966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5D4-9203-3B7DC3247F3D}"/>
            </c:ext>
          </c:extLst>
        </c:ser>
        <c:ser>
          <c:idx val="1"/>
          <c:order val="1"/>
          <c:tx>
            <c:strRef>
              <c:f>Output!$H$7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Output!$H$8:$H$36</c:f>
              <c:numCache>
                <c:formatCode>General</c:formatCode>
                <c:ptCount val="29"/>
                <c:pt idx="0">
                  <c:v>263.54107142857299</c:v>
                </c:pt>
                <c:pt idx="1">
                  <c:v>262.73270365997797</c:v>
                </c:pt>
                <c:pt idx="2">
                  <c:v>262.47820965842385</c:v>
                </c:pt>
                <c:pt idx="3">
                  <c:v>261.55535924617305</c:v>
                </c:pt>
                <c:pt idx="4">
                  <c:v>261.30672169811413</c:v>
                </c:pt>
                <c:pt idx="5">
                  <c:v>260.91453692848847</c:v>
                </c:pt>
                <c:pt idx="6">
                  <c:v>270.64112149532792</c:v>
                </c:pt>
                <c:pt idx="7">
                  <c:v>270.79415204678139</c:v>
                </c:pt>
                <c:pt idx="8">
                  <c:v>268.73838383838341</c:v>
                </c:pt>
                <c:pt idx="9">
                  <c:v>266.59346733668355</c:v>
                </c:pt>
                <c:pt idx="10">
                  <c:v>284.15022321428484</c:v>
                </c:pt>
                <c:pt idx="11">
                  <c:v>307.14938900203714</c:v>
                </c:pt>
                <c:pt idx="12">
                  <c:v>292.06933614330836</c:v>
                </c:pt>
                <c:pt idx="13">
                  <c:v>285.85930232558331</c:v>
                </c:pt>
                <c:pt idx="14">
                  <c:v>306.23296482412127</c:v>
                </c:pt>
                <c:pt idx="15">
                  <c:v>322.22954545454598</c:v>
                </c:pt>
                <c:pt idx="16">
                  <c:v>306.10346232179137</c:v>
                </c:pt>
                <c:pt idx="17">
                  <c:v>301.09012605041971</c:v>
                </c:pt>
                <c:pt idx="18">
                  <c:v>296.02070707070749</c:v>
                </c:pt>
                <c:pt idx="19">
                  <c:v>293.61052631578468</c:v>
                </c:pt>
                <c:pt idx="20">
                  <c:v>290.91244813278047</c:v>
                </c:pt>
                <c:pt idx="21">
                  <c:v>287.36221532091298</c:v>
                </c:pt>
                <c:pt idx="22">
                  <c:v>282.94567901234751</c:v>
                </c:pt>
                <c:pt idx="23">
                  <c:v>328.10615224191974</c:v>
                </c:pt>
                <c:pt idx="24">
                  <c:v>351.24786585365882</c:v>
                </c:pt>
                <c:pt idx="25">
                  <c:v>353.6119612068955</c:v>
                </c:pt>
                <c:pt idx="26">
                  <c:v>340.58111814345887</c:v>
                </c:pt>
                <c:pt idx="27">
                  <c:v>361.69025157232795</c:v>
                </c:pt>
                <c:pt idx="28">
                  <c:v>344.50747368421042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5D4-9203-3B7DC324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76464"/>
        <c:axId val="492377776"/>
      </c:lineChart>
      <c:catAx>
        <c:axId val="4923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77776"/>
        <c:crosses val="autoZero"/>
        <c:auto val="1"/>
        <c:lblAlgn val="ctr"/>
        <c:lblOffset val="100"/>
        <c:noMultiLvlLbl val="0"/>
      </c:catAx>
      <c:valAx>
        <c:axId val="492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76464"/>
        <c:crosses val="autoZero"/>
        <c:crossBetween val="between"/>
      </c:valAx>
      <c:valAx>
        <c:axId val="55107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079288"/>
        <c:crosses val="max"/>
        <c:crossBetween val="between"/>
      </c:valAx>
      <c:catAx>
        <c:axId val="551079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5107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72946760936062"/>
          <c:y val="2.4316109422492401E-2"/>
          <c:w val="0.71443782764942532"/>
          <c:h val="6.8389536414331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17</xdr:row>
      <xdr:rowOff>104775</xdr:rowOff>
    </xdr:from>
    <xdr:to>
      <xdr:col>19</xdr:col>
      <xdr:colOff>361950</xdr:colOff>
      <xdr:row>35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64C4D4-57DF-4FB5-B16B-252E0E1F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18</xdr:row>
      <xdr:rowOff>57150</xdr:rowOff>
    </xdr:from>
    <xdr:to>
      <xdr:col>10</xdr:col>
      <xdr:colOff>571500</xdr:colOff>
      <xdr:row>36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30D5D7-3514-4B98-A73C-1391017F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219075</xdr:colOff>
      <xdr:row>4</xdr:row>
      <xdr:rowOff>19050</xdr:rowOff>
    </xdr:from>
    <xdr:to>
      <xdr:col>24</xdr:col>
      <xdr:colOff>51075</xdr:colOff>
      <xdr:row>20</xdr:row>
      <xdr:rowOff>100650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24</xdr:col>
      <xdr:colOff>57150</xdr:colOff>
      <xdr:row>20</xdr:row>
      <xdr:rowOff>114300</xdr:rowOff>
    </xdr:from>
    <xdr:to>
      <xdr:col>28</xdr:col>
      <xdr:colOff>544470</xdr:colOff>
      <xdr:row>37</xdr:row>
      <xdr:rowOff>43500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24</xdr:col>
      <xdr:colOff>57150</xdr:colOff>
      <xdr:row>4</xdr:row>
      <xdr:rowOff>28575</xdr:rowOff>
    </xdr:from>
    <xdr:to>
      <xdr:col>28</xdr:col>
      <xdr:colOff>544470</xdr:colOff>
      <xdr:row>20</xdr:row>
      <xdr:rowOff>110175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19</xdr:col>
      <xdr:colOff>228600</xdr:colOff>
      <xdr:row>20</xdr:row>
      <xdr:rowOff>114300</xdr:rowOff>
    </xdr:from>
    <xdr:to>
      <xdr:col>24</xdr:col>
      <xdr:colOff>60600</xdr:colOff>
      <xdr:row>37</xdr:row>
      <xdr:rowOff>43500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109536</xdr:colOff>
      <xdr:row>10</xdr:row>
      <xdr:rowOff>85725</xdr:rowOff>
    </xdr:from>
    <xdr:to>
      <xdr:col>19</xdr:col>
      <xdr:colOff>104775</xdr:colOff>
      <xdr:row>31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5FC3299-59AE-4058-8F2D-5FB98238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8" activePane="bottomLeft" state="frozen"/>
      <selection pane="bottomLeft" activeCell="J29" sqref="J29"/>
    </sheetView>
  </sheetViews>
  <sheetFormatPr defaultColWidth="9.140625" defaultRowHeight="12" x14ac:dyDescent="0.2"/>
  <cols>
    <col min="1" max="1" width="5" style="16" bestFit="1" customWidth="1"/>
    <col min="2" max="2" width="6.140625" style="16" bestFit="1" customWidth="1"/>
    <col min="3" max="3" width="3.85546875" style="16" bestFit="1" customWidth="1"/>
    <col min="4" max="4" width="9.85546875" style="16" bestFit="1" customWidth="1"/>
    <col min="5" max="5" width="6.5703125" style="16" customWidth="1"/>
    <col min="6" max="6" width="6" style="16" bestFit="1" customWidth="1"/>
    <col min="7" max="7" width="7" style="16" bestFit="1" customWidth="1"/>
    <col min="8" max="8" width="5" style="59" customWidth="1"/>
    <col min="9" max="9" width="12" style="57" bestFit="1" customWidth="1"/>
    <col min="10" max="10" width="7.42578125" style="16" customWidth="1"/>
    <col min="11" max="11" width="3" style="16" customWidth="1"/>
    <col min="12" max="12" width="8" style="16" customWidth="1"/>
    <col min="13" max="13" width="5.85546875" style="16" customWidth="1"/>
    <col min="14" max="16384" width="9.140625" style="16"/>
  </cols>
  <sheetData>
    <row r="1" spans="1:13" x14ac:dyDescent="0.2">
      <c r="A1" s="51" t="s">
        <v>1</v>
      </c>
      <c r="B1" s="51" t="s">
        <v>2</v>
      </c>
      <c r="C1" s="51" t="s">
        <v>3</v>
      </c>
      <c r="D1" s="52" t="s">
        <v>4</v>
      </c>
      <c r="E1" s="51" t="s">
        <v>5</v>
      </c>
      <c r="F1" s="51" t="s">
        <v>6</v>
      </c>
      <c r="G1" s="51" t="s">
        <v>284</v>
      </c>
      <c r="H1" s="58" t="s">
        <v>7</v>
      </c>
      <c r="I1" s="55" t="s">
        <v>8</v>
      </c>
      <c r="J1" s="51" t="s">
        <v>9</v>
      </c>
    </row>
    <row r="2" spans="1:13" x14ac:dyDescent="0.2">
      <c r="A2" s="49">
        <v>2017</v>
      </c>
      <c r="B2" s="49">
        <v>9</v>
      </c>
      <c r="C2" s="49">
        <v>22</v>
      </c>
      <c r="D2" s="50">
        <f>DATE(A2,B2,C2)</f>
        <v>43000</v>
      </c>
      <c r="E2" s="53">
        <v>0</v>
      </c>
      <c r="F2" s="54">
        <v>20.6</v>
      </c>
      <c r="G2" s="54">
        <v>22.2</v>
      </c>
      <c r="H2" s="54">
        <v>97.813483146067412</v>
      </c>
      <c r="I2" s="56">
        <v>0.3253012048192771</v>
      </c>
      <c r="J2" s="54">
        <v>6</v>
      </c>
      <c r="L2" s="17" t="s">
        <v>282</v>
      </c>
      <c r="M2" s="16">
        <v>33.49</v>
      </c>
    </row>
    <row r="3" spans="1:13" x14ac:dyDescent="0.2">
      <c r="A3" s="49">
        <v>2017</v>
      </c>
      <c r="B3" s="49">
        <v>9</v>
      </c>
      <c r="C3" s="49">
        <v>23</v>
      </c>
      <c r="D3" s="50">
        <f t="shared" ref="D3:D22" si="0">DATE(A3,B3,C3)</f>
        <v>43001</v>
      </c>
      <c r="E3" s="53">
        <v>6.2166666666744277</v>
      </c>
      <c r="F3" s="54">
        <v>19.600000000000001</v>
      </c>
      <c r="G3" s="54">
        <v>29.1</v>
      </c>
      <c r="H3" s="54">
        <v>89.931468531468497</v>
      </c>
      <c r="I3" s="56">
        <v>0.81818181818181823</v>
      </c>
      <c r="J3" s="54">
        <v>1</v>
      </c>
    </row>
    <row r="4" spans="1:13" x14ac:dyDescent="0.2">
      <c r="A4" s="49">
        <v>2017</v>
      </c>
      <c r="B4" s="49">
        <v>9</v>
      </c>
      <c r="C4" s="49">
        <v>24</v>
      </c>
      <c r="D4" s="50">
        <f t="shared" si="0"/>
        <v>43002</v>
      </c>
      <c r="E4" s="53">
        <v>7.2333333333372138</v>
      </c>
      <c r="F4" s="54">
        <v>19.3</v>
      </c>
      <c r="G4" s="54">
        <v>28.2</v>
      </c>
      <c r="H4" s="54">
        <v>88.938620689655181</v>
      </c>
      <c r="I4" s="56">
        <v>0.46853146853146854</v>
      </c>
      <c r="J4" s="54">
        <v>0</v>
      </c>
    </row>
    <row r="5" spans="1:13" x14ac:dyDescent="0.2">
      <c r="A5" s="49">
        <v>2017</v>
      </c>
      <c r="B5" s="49">
        <v>9</v>
      </c>
      <c r="C5" s="49">
        <v>25</v>
      </c>
      <c r="D5" s="50">
        <f t="shared" si="0"/>
        <v>43003</v>
      </c>
      <c r="E5" s="53">
        <v>8.5833333333721384</v>
      </c>
      <c r="F5" s="54">
        <v>18.100000000000001</v>
      </c>
      <c r="G5" s="54">
        <v>28.4</v>
      </c>
      <c r="H5" s="54">
        <v>85.819444444444443</v>
      </c>
      <c r="I5" s="56">
        <v>0.79020979020979021</v>
      </c>
      <c r="J5" s="54">
        <v>0</v>
      </c>
    </row>
    <row r="6" spans="1:13" x14ac:dyDescent="0.2">
      <c r="A6" s="49">
        <v>2017</v>
      </c>
      <c r="B6" s="49">
        <v>9</v>
      </c>
      <c r="C6" s="49">
        <v>26</v>
      </c>
      <c r="D6" s="50">
        <f t="shared" si="0"/>
        <v>43004</v>
      </c>
      <c r="E6" s="53">
        <v>8.7500000000582077</v>
      </c>
      <c r="F6" s="54">
        <v>18.399999999999999</v>
      </c>
      <c r="G6" s="54">
        <v>28.8</v>
      </c>
      <c r="H6" s="54">
        <v>89.58758620689656</v>
      </c>
      <c r="I6" s="56">
        <v>0.69930069930069927</v>
      </c>
      <c r="J6" s="54">
        <v>0</v>
      </c>
    </row>
    <row r="7" spans="1:13" x14ac:dyDescent="0.2">
      <c r="A7" s="49">
        <v>2017</v>
      </c>
      <c r="B7" s="49">
        <v>9</v>
      </c>
      <c r="C7" s="49">
        <v>27</v>
      </c>
      <c r="D7" s="50">
        <f t="shared" si="0"/>
        <v>43005</v>
      </c>
      <c r="E7" s="53">
        <v>6.4000000000814907</v>
      </c>
      <c r="F7" s="54">
        <v>19.5</v>
      </c>
      <c r="G7" s="54">
        <v>27.3</v>
      </c>
      <c r="H7" s="54">
        <v>91.240816326530577</v>
      </c>
      <c r="I7" s="56">
        <v>1.2777777777777777</v>
      </c>
      <c r="J7" s="54">
        <v>21</v>
      </c>
    </row>
    <row r="8" spans="1:13" x14ac:dyDescent="0.2">
      <c r="A8" s="49">
        <v>2017</v>
      </c>
      <c r="B8" s="49">
        <v>9</v>
      </c>
      <c r="C8" s="49">
        <v>28</v>
      </c>
      <c r="D8" s="50">
        <f t="shared" si="0"/>
        <v>43006</v>
      </c>
      <c r="E8" s="53">
        <v>8.2666666665463708</v>
      </c>
      <c r="F8" s="54">
        <v>17</v>
      </c>
      <c r="G8" s="54">
        <v>32.9</v>
      </c>
      <c r="H8" s="54">
        <v>84.419594594594614</v>
      </c>
      <c r="I8" s="56">
        <v>0.72222222222222221</v>
      </c>
      <c r="J8" s="54">
        <v>4</v>
      </c>
    </row>
    <row r="9" spans="1:13" x14ac:dyDescent="0.2">
      <c r="A9" s="49">
        <v>2017</v>
      </c>
      <c r="B9" s="49">
        <v>9</v>
      </c>
      <c r="C9" s="49">
        <v>29</v>
      </c>
      <c r="D9" s="50">
        <f t="shared" si="0"/>
        <v>43007</v>
      </c>
      <c r="E9" s="53">
        <v>8.4166666666860692</v>
      </c>
      <c r="F9" s="54">
        <v>13.9</v>
      </c>
      <c r="G9" s="54">
        <v>29</v>
      </c>
      <c r="H9" s="54">
        <v>67.29589041095889</v>
      </c>
      <c r="I9" s="56">
        <v>1.3958333333333333</v>
      </c>
      <c r="J9" s="54">
        <v>0</v>
      </c>
    </row>
    <row r="10" spans="1:13" x14ac:dyDescent="0.2">
      <c r="A10" s="49">
        <v>2017</v>
      </c>
      <c r="B10" s="49">
        <v>9</v>
      </c>
      <c r="C10" s="49">
        <v>30</v>
      </c>
      <c r="D10" s="50">
        <f t="shared" si="0"/>
        <v>43008</v>
      </c>
      <c r="E10" s="53">
        <v>7.7333333333954215</v>
      </c>
      <c r="F10" s="54">
        <v>14.3</v>
      </c>
      <c r="G10" s="54">
        <v>26.8</v>
      </c>
      <c r="H10" s="54">
        <v>75.790666666666652</v>
      </c>
      <c r="I10" s="56">
        <v>0.87898089171974525</v>
      </c>
      <c r="J10" s="54">
        <v>0</v>
      </c>
    </row>
    <row r="11" spans="1:13" x14ac:dyDescent="0.2">
      <c r="A11" s="49">
        <v>2017</v>
      </c>
      <c r="B11" s="49">
        <v>10</v>
      </c>
      <c r="C11" s="49">
        <v>1</v>
      </c>
      <c r="D11" s="50">
        <f t="shared" si="0"/>
        <v>43009</v>
      </c>
      <c r="E11" s="53">
        <v>9.0833333332557231</v>
      </c>
      <c r="F11" s="54">
        <v>13.2</v>
      </c>
      <c r="G11" s="54">
        <v>26.9</v>
      </c>
      <c r="H11" s="54">
        <v>75.154748603351948</v>
      </c>
      <c r="I11" s="56">
        <v>0.95151515151515154</v>
      </c>
      <c r="J11" s="54">
        <v>0</v>
      </c>
    </row>
    <row r="12" spans="1:13" x14ac:dyDescent="0.2">
      <c r="A12" s="49">
        <v>2017</v>
      </c>
      <c r="B12" s="49">
        <v>10</v>
      </c>
      <c r="C12" s="49">
        <v>2</v>
      </c>
      <c r="D12" s="50">
        <f t="shared" si="0"/>
        <v>43010</v>
      </c>
      <c r="E12" s="53">
        <v>0.33333333333333331</v>
      </c>
      <c r="F12" s="54">
        <v>21.4</v>
      </c>
      <c r="G12" s="54">
        <v>25.3</v>
      </c>
      <c r="H12" s="54">
        <v>88.998265895953665</v>
      </c>
      <c r="I12" s="56">
        <v>0.99315068493150682</v>
      </c>
      <c r="J12" s="54">
        <v>44</v>
      </c>
    </row>
    <row r="13" spans="1:13" x14ac:dyDescent="0.2">
      <c r="A13" s="49">
        <v>2017</v>
      </c>
      <c r="B13" s="49">
        <v>10</v>
      </c>
      <c r="C13" s="49">
        <v>3</v>
      </c>
      <c r="D13" s="50">
        <f t="shared" si="0"/>
        <v>43011</v>
      </c>
      <c r="E13" s="53">
        <v>7.4000000000232831</v>
      </c>
      <c r="F13" s="54">
        <v>19.7</v>
      </c>
      <c r="G13" s="54">
        <v>28.2</v>
      </c>
      <c r="H13" s="54">
        <v>93.05195530726256</v>
      </c>
      <c r="I13" s="56">
        <v>0.89506172839506171</v>
      </c>
      <c r="J13" s="54">
        <v>5</v>
      </c>
    </row>
    <row r="14" spans="1:13" x14ac:dyDescent="0.2">
      <c r="A14" s="49">
        <v>2017</v>
      </c>
      <c r="B14" s="49">
        <v>10</v>
      </c>
      <c r="C14" s="49">
        <v>4</v>
      </c>
      <c r="D14" s="50">
        <f t="shared" si="0"/>
        <v>43012</v>
      </c>
      <c r="E14" s="53">
        <v>8.0666666667675599</v>
      </c>
      <c r="F14" s="54">
        <v>17.600000000000001</v>
      </c>
      <c r="G14" s="54">
        <v>24.7</v>
      </c>
      <c r="H14" s="54">
        <v>65.625294117647016</v>
      </c>
      <c r="I14" s="56">
        <v>1.625</v>
      </c>
      <c r="J14" s="54">
        <v>0</v>
      </c>
    </row>
    <row r="15" spans="1:13" x14ac:dyDescent="0.2">
      <c r="A15" s="49">
        <v>2017</v>
      </c>
      <c r="B15" s="49">
        <v>10</v>
      </c>
      <c r="C15" s="49">
        <v>5</v>
      </c>
      <c r="D15" s="50">
        <f t="shared" si="0"/>
        <v>43013</v>
      </c>
      <c r="E15" s="53">
        <v>0.16666666666666666</v>
      </c>
      <c r="F15" s="54">
        <v>17.399999999999999</v>
      </c>
      <c r="G15" s="54">
        <v>21.1</v>
      </c>
      <c r="H15" s="54">
        <v>79.277456647398765</v>
      </c>
      <c r="I15" s="56">
        <v>0.90566037735849059</v>
      </c>
      <c r="J15" s="54">
        <v>7</v>
      </c>
    </row>
    <row r="16" spans="1:13" x14ac:dyDescent="0.2">
      <c r="A16" s="49">
        <v>2017</v>
      </c>
      <c r="B16" s="49">
        <v>10</v>
      </c>
      <c r="C16" s="49">
        <v>6</v>
      </c>
      <c r="D16" s="50">
        <f t="shared" si="0"/>
        <v>43014</v>
      </c>
      <c r="E16" s="53">
        <v>0</v>
      </c>
      <c r="F16" s="54">
        <v>18.2</v>
      </c>
      <c r="G16" s="54">
        <v>22.4</v>
      </c>
      <c r="H16" s="54">
        <v>91.598888888888908</v>
      </c>
      <c r="I16" s="56">
        <v>2.5269461077844313</v>
      </c>
      <c r="J16" s="54">
        <v>62</v>
      </c>
    </row>
    <row r="17" spans="1:10" x14ac:dyDescent="0.2">
      <c r="A17" s="49">
        <v>2017</v>
      </c>
      <c r="B17" s="49">
        <v>10</v>
      </c>
      <c r="C17" s="49">
        <v>7</v>
      </c>
      <c r="D17" s="50">
        <f t="shared" si="0"/>
        <v>43015</v>
      </c>
      <c r="E17" s="53">
        <v>5.8666666665812954</v>
      </c>
      <c r="F17" s="54">
        <v>18.8</v>
      </c>
      <c r="G17" s="54">
        <v>25.3</v>
      </c>
      <c r="H17" s="54">
        <v>97.624324324324306</v>
      </c>
      <c r="I17" s="56">
        <v>0.2129032258064516</v>
      </c>
      <c r="J17" s="54">
        <v>3</v>
      </c>
    </row>
    <row r="18" spans="1:10" x14ac:dyDescent="0.2">
      <c r="A18" s="49">
        <v>2017</v>
      </c>
      <c r="B18" s="49">
        <v>10</v>
      </c>
      <c r="C18" s="49">
        <v>8</v>
      </c>
      <c r="D18" s="50">
        <f t="shared" si="0"/>
        <v>43016</v>
      </c>
      <c r="E18" s="53">
        <v>7.9166666668024845</v>
      </c>
      <c r="F18" s="54">
        <v>18.3</v>
      </c>
      <c r="G18" s="54">
        <v>28.2</v>
      </c>
      <c r="H18" s="54">
        <v>91.312429378531164</v>
      </c>
      <c r="I18" s="56">
        <v>0.51592356687898089</v>
      </c>
      <c r="J18" s="54">
        <v>0</v>
      </c>
    </row>
    <row r="19" spans="1:10" x14ac:dyDescent="0.2">
      <c r="A19" s="49">
        <v>2017</v>
      </c>
      <c r="B19" s="49">
        <v>10</v>
      </c>
      <c r="C19" s="49">
        <v>9</v>
      </c>
      <c r="D19" s="50">
        <f t="shared" si="0"/>
        <v>43017</v>
      </c>
      <c r="E19" s="53">
        <v>7.5666666666666664</v>
      </c>
      <c r="F19" s="54">
        <v>19.7</v>
      </c>
      <c r="G19" s="54">
        <v>27.9</v>
      </c>
      <c r="H19" s="54">
        <v>94.208139534883628</v>
      </c>
      <c r="I19" s="56">
        <v>0.70469798657718119</v>
      </c>
      <c r="J19" s="54">
        <v>3</v>
      </c>
    </row>
    <row r="20" spans="1:10" x14ac:dyDescent="0.2">
      <c r="A20" s="49">
        <v>2017</v>
      </c>
      <c r="B20" s="49">
        <v>10</v>
      </c>
      <c r="C20" s="49">
        <v>10</v>
      </c>
      <c r="D20" s="50">
        <f t="shared" si="0"/>
        <v>43018</v>
      </c>
      <c r="E20" s="53">
        <v>6.566666666592937</v>
      </c>
      <c r="F20" s="54">
        <v>20.3</v>
      </c>
      <c r="G20" s="54">
        <v>27.9</v>
      </c>
      <c r="H20" s="54">
        <v>91.103589743589723</v>
      </c>
      <c r="I20" s="56">
        <v>0.61111111111111116</v>
      </c>
      <c r="J20" s="54">
        <v>0</v>
      </c>
    </row>
    <row r="21" spans="1:10" x14ac:dyDescent="0.2">
      <c r="A21" s="49">
        <v>2017</v>
      </c>
      <c r="B21" s="49">
        <v>10</v>
      </c>
      <c r="C21" s="49">
        <v>11</v>
      </c>
      <c r="D21" s="50">
        <f t="shared" si="0"/>
        <v>43019</v>
      </c>
      <c r="E21" s="53">
        <v>7.4166666667442769</v>
      </c>
      <c r="F21" s="54">
        <v>19.5</v>
      </c>
      <c r="G21" s="54">
        <v>29.4</v>
      </c>
      <c r="H21" s="54">
        <v>90.266019417475761</v>
      </c>
      <c r="I21" s="56">
        <v>0.76315789473684215</v>
      </c>
      <c r="J21" s="54">
        <v>0</v>
      </c>
    </row>
    <row r="22" spans="1:10" x14ac:dyDescent="0.2">
      <c r="A22" s="49">
        <v>2017</v>
      </c>
      <c r="B22" s="49">
        <v>10</v>
      </c>
      <c r="C22" s="49">
        <v>12</v>
      </c>
      <c r="D22" s="50">
        <f t="shared" si="0"/>
        <v>43020</v>
      </c>
      <c r="E22" s="53">
        <v>7.7499999999417923</v>
      </c>
      <c r="F22" s="54">
        <v>20.3</v>
      </c>
      <c r="G22" s="54">
        <v>28.1</v>
      </c>
      <c r="H22" s="54">
        <v>87.694082840236632</v>
      </c>
      <c r="I22" s="56">
        <v>0.75974025974025972</v>
      </c>
      <c r="J22" s="54">
        <v>0</v>
      </c>
    </row>
    <row r="23" spans="1:10" x14ac:dyDescent="0.2">
      <c r="A23" s="49">
        <v>2017</v>
      </c>
      <c r="B23" s="49">
        <v>10</v>
      </c>
      <c r="C23" s="49">
        <v>13</v>
      </c>
      <c r="D23" s="50">
        <f t="shared" ref="D23:D31" si="1">DATE(A23,B23,C23)</f>
        <v>43021</v>
      </c>
      <c r="E23" s="53">
        <v>3.3333333335467614</v>
      </c>
      <c r="F23" s="54">
        <v>20.100000000000001</v>
      </c>
      <c r="G23" s="54">
        <v>24.9</v>
      </c>
      <c r="H23" s="54">
        <v>93.77409638554218</v>
      </c>
      <c r="I23" s="56">
        <v>0.52795031055900621</v>
      </c>
      <c r="J23" s="54">
        <v>0</v>
      </c>
    </row>
    <row r="24" spans="1:10" x14ac:dyDescent="0.2">
      <c r="A24" s="49">
        <v>2017</v>
      </c>
      <c r="B24" s="49">
        <v>10</v>
      </c>
      <c r="C24" s="49">
        <v>14</v>
      </c>
      <c r="D24" s="50">
        <f t="shared" si="1"/>
        <v>43022</v>
      </c>
      <c r="E24" s="53">
        <v>1.8500000002677552</v>
      </c>
      <c r="F24" s="54">
        <v>19</v>
      </c>
      <c r="G24" s="54">
        <v>24.3</v>
      </c>
      <c r="H24" s="54">
        <v>94.944632768361629</v>
      </c>
      <c r="I24" s="56">
        <v>0.21518987341772153</v>
      </c>
      <c r="J24" s="54">
        <v>1</v>
      </c>
    </row>
    <row r="25" spans="1:10" x14ac:dyDescent="0.2">
      <c r="A25" s="49">
        <v>2017</v>
      </c>
      <c r="B25" s="49">
        <v>10</v>
      </c>
      <c r="C25" s="49">
        <v>15</v>
      </c>
      <c r="D25" s="50">
        <f t="shared" si="1"/>
        <v>43023</v>
      </c>
      <c r="E25" s="53">
        <v>0.33333333319751546</v>
      </c>
      <c r="F25" s="54">
        <v>16.8</v>
      </c>
      <c r="G25" s="54">
        <v>19.8</v>
      </c>
      <c r="H25" s="54">
        <v>99.993406593406647</v>
      </c>
      <c r="I25" s="56">
        <v>0.18181818181818182</v>
      </c>
      <c r="J25" s="54">
        <v>36</v>
      </c>
    </row>
    <row r="26" spans="1:10" x14ac:dyDescent="0.2">
      <c r="A26" s="49">
        <v>2017</v>
      </c>
      <c r="B26" s="49">
        <v>10</v>
      </c>
      <c r="C26" s="49">
        <v>16</v>
      </c>
      <c r="D26" s="50">
        <f t="shared" si="1"/>
        <v>43024</v>
      </c>
      <c r="E26" s="53">
        <v>0.66666666666666663</v>
      </c>
      <c r="F26" s="54">
        <v>16.8</v>
      </c>
      <c r="G26" s="54">
        <v>19</v>
      </c>
      <c r="H26" s="54">
        <v>102.22580645161297</v>
      </c>
      <c r="I26" s="56">
        <v>0.21556886227544911</v>
      </c>
      <c r="J26" s="54">
        <v>38</v>
      </c>
    </row>
    <row r="27" spans="1:10" x14ac:dyDescent="0.2">
      <c r="A27" s="49">
        <v>2017</v>
      </c>
      <c r="B27" s="49">
        <v>10</v>
      </c>
      <c r="C27" s="49">
        <v>17</v>
      </c>
      <c r="D27" s="50">
        <f t="shared" si="1"/>
        <v>43025</v>
      </c>
      <c r="E27" s="53">
        <v>2.7000000000698492</v>
      </c>
      <c r="F27" s="54">
        <v>15.5</v>
      </c>
      <c r="G27" s="54">
        <v>19.2</v>
      </c>
      <c r="H27" s="54">
        <v>101.75574712643684</v>
      </c>
      <c r="I27" s="56">
        <v>8.1081081081081086E-2</v>
      </c>
      <c r="J27" s="54">
        <v>24</v>
      </c>
    </row>
    <row r="28" spans="1:10" x14ac:dyDescent="0.2">
      <c r="A28" s="49">
        <v>2017</v>
      </c>
      <c r="B28" s="49">
        <v>10</v>
      </c>
      <c r="C28" s="49">
        <v>18</v>
      </c>
      <c r="D28" s="50">
        <f t="shared" si="1"/>
        <v>43026</v>
      </c>
      <c r="E28" s="53">
        <v>1.8499999997438863</v>
      </c>
      <c r="F28" s="54">
        <v>14.4</v>
      </c>
      <c r="G28" s="54">
        <v>20.399999999999999</v>
      </c>
      <c r="H28" s="54">
        <v>98.618749999999991</v>
      </c>
      <c r="I28" s="56">
        <v>0.56862745098039214</v>
      </c>
      <c r="J28" s="54">
        <v>29</v>
      </c>
    </row>
    <row r="29" spans="1:10" x14ac:dyDescent="0.2">
      <c r="A29" s="49">
        <v>2017</v>
      </c>
      <c r="B29" s="49">
        <v>10</v>
      </c>
      <c r="C29" s="49">
        <v>19</v>
      </c>
      <c r="D29" s="50">
        <f t="shared" si="1"/>
        <v>43027</v>
      </c>
      <c r="E29" s="53">
        <v>3.1833333332324401</v>
      </c>
      <c r="F29" s="54">
        <v>15.1</v>
      </c>
      <c r="G29" s="54">
        <v>17.899999999999999</v>
      </c>
      <c r="H29" s="54">
        <v>96.221965317919057</v>
      </c>
      <c r="I29" s="56">
        <v>1.64375</v>
      </c>
      <c r="J29" s="54">
        <v>30</v>
      </c>
    </row>
    <row r="30" spans="1:10" x14ac:dyDescent="0.2">
      <c r="A30" s="49">
        <v>2017</v>
      </c>
      <c r="B30" s="49">
        <v>10</v>
      </c>
      <c r="C30" s="49">
        <v>20</v>
      </c>
      <c r="D30" s="50">
        <f t="shared" si="1"/>
        <v>43028</v>
      </c>
      <c r="E30" s="53">
        <v>1.0166666666627862</v>
      </c>
      <c r="F30" s="54">
        <v>16.899999999999999</v>
      </c>
      <c r="G30" s="54">
        <v>20.3</v>
      </c>
      <c r="H30" s="54">
        <v>99.839548022598777</v>
      </c>
      <c r="I30" s="56">
        <v>8.6956521739130432E-2</v>
      </c>
      <c r="J30" s="54">
        <v>6</v>
      </c>
    </row>
    <row r="31" spans="1:10" x14ac:dyDescent="0.2">
      <c r="A31" s="49">
        <v>2017</v>
      </c>
      <c r="B31" s="49">
        <v>10</v>
      </c>
      <c r="C31" s="49">
        <v>21</v>
      </c>
      <c r="D31" s="50">
        <f t="shared" si="1"/>
        <v>43029</v>
      </c>
      <c r="E31" s="53">
        <v>0</v>
      </c>
      <c r="F31" s="54">
        <v>18.2</v>
      </c>
      <c r="G31" s="54">
        <v>21.4</v>
      </c>
      <c r="H31" s="54">
        <v>102.23734939759035</v>
      </c>
      <c r="I31" s="56">
        <v>0.58024691358024694</v>
      </c>
      <c r="J31" s="54">
        <v>194</v>
      </c>
    </row>
    <row r="32" spans="1:10" x14ac:dyDescent="0.2">
      <c r="H32" s="16"/>
      <c r="I32" s="16"/>
    </row>
    <row r="33" spans="6:9" x14ac:dyDescent="0.2">
      <c r="F33" s="57"/>
      <c r="H33" s="16"/>
      <c r="I33" s="16"/>
    </row>
    <row r="2224" spans="12:12" x14ac:dyDescent="0.2">
      <c r="L2224" s="16" t="s">
        <v>10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workbookViewId="0">
      <selection activeCell="E11" sqref="E11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11</v>
      </c>
      <c r="D1" s="2"/>
      <c r="G1" s="4" t="s">
        <v>12</v>
      </c>
    </row>
    <row r="2" spans="1:8" ht="19.5" x14ac:dyDescent="0.35">
      <c r="A2" s="5" t="s">
        <v>83</v>
      </c>
      <c r="B2" s="5" t="s">
        <v>283</v>
      </c>
      <c r="D2" s="5" t="s">
        <v>33</v>
      </c>
      <c r="E2" s="3">
        <f ca="1">RADIANS(INDIRECT(site&amp;"!M2"))</f>
        <v>0.58451076649290101</v>
      </c>
      <c r="G2" s="9" t="s">
        <v>50</v>
      </c>
      <c r="H2" s="3">
        <f>1370*(1+0.033*COS(2*PI()*(doy-10)/365))</f>
        <v>1412.8133163165694</v>
      </c>
    </row>
    <row r="3" spans="1:8" ht="19.5" x14ac:dyDescent="0.35">
      <c r="A3" s="5" t="s">
        <v>48</v>
      </c>
      <c r="B3">
        <v>0.28999999999999998</v>
      </c>
      <c r="D3" s="5" t="s">
        <v>78</v>
      </c>
      <c r="E3" t="str">
        <f>site&amp;"!D:J"</f>
        <v>Kumano!D:J</v>
      </c>
      <c r="G3" s="10" t="s">
        <v>16</v>
      </c>
      <c r="H3" s="3">
        <f ca="1">E22*ACOS(-E24)+E23*SQRT(1-(E24)^2)</f>
        <v>0.53764428443535961</v>
      </c>
    </row>
    <row r="4" spans="1:8" ht="19.5" x14ac:dyDescent="0.35">
      <c r="A4" s="5" t="s">
        <v>49</v>
      </c>
      <c r="B4">
        <v>0.42</v>
      </c>
      <c r="G4" s="9" t="s">
        <v>51</v>
      </c>
      <c r="H4" s="3">
        <f ca="1">3600*Ic*24/PI()*H3</f>
        <v>20890252.182470948</v>
      </c>
    </row>
    <row r="5" spans="1:8" ht="19.5" x14ac:dyDescent="0.35">
      <c r="A5" s="5" t="s">
        <v>281</v>
      </c>
      <c r="B5" s="3">
        <v>0.15</v>
      </c>
      <c r="D5" s="2" t="s">
        <v>13</v>
      </c>
      <c r="E5"/>
      <c r="G5" s="9" t="s">
        <v>52</v>
      </c>
      <c r="H5" s="3">
        <f ca="1">Ietd*(B3+B4*sunhr/DL)</f>
        <v>6058173.1329165744</v>
      </c>
    </row>
    <row r="6" spans="1:8" ht="19.5" x14ac:dyDescent="0.35">
      <c r="A6" s="5" t="s">
        <v>94</v>
      </c>
      <c r="B6">
        <v>25</v>
      </c>
      <c r="D6" s="5" t="s">
        <v>56</v>
      </c>
      <c r="E6">
        <f ca="1">VLOOKUP(date,INDIRECT($E$3),2,FALSE)</f>
        <v>0</v>
      </c>
      <c r="F6"/>
    </row>
    <row r="7" spans="1:8" ht="19.5" x14ac:dyDescent="0.35">
      <c r="A7" s="5"/>
      <c r="D7" s="5" t="s">
        <v>31</v>
      </c>
      <c r="E7">
        <f ca="1">VLOOKUP(date,INDIRECT($E$3),3,FALSE)</f>
        <v>18.2</v>
      </c>
      <c r="F7"/>
      <c r="G7" s="9" t="s">
        <v>53</v>
      </c>
      <c r="H7" s="3">
        <f ca="1">Itd/Ietd</f>
        <v>0.28999999999999998</v>
      </c>
    </row>
    <row r="8" spans="1:8" ht="19.5" x14ac:dyDescent="0.35">
      <c r="A8" s="2" t="s">
        <v>26</v>
      </c>
      <c r="D8" s="5" t="s">
        <v>30</v>
      </c>
      <c r="E8">
        <f ca="1">VLOOKUP(date,INDIRECT($E$3),4,FALSE)</f>
        <v>21.4</v>
      </c>
      <c r="F8"/>
      <c r="G8" s="10" t="s">
        <v>70</v>
      </c>
      <c r="H8" s="3">
        <f ca="1">Itd</f>
        <v>6058173.1329165744</v>
      </c>
    </row>
    <row r="9" spans="1:8" ht="19.5" x14ac:dyDescent="0.35">
      <c r="A9" s="3" t="s">
        <v>24</v>
      </c>
      <c r="B9" s="3">
        <f>5.67*10^-8</f>
        <v>5.6699999999999998E-8</v>
      </c>
      <c r="D9" s="5" t="s">
        <v>32</v>
      </c>
      <c r="E9" s="3">
        <f ca="1">AVERAGE(E7:E8)</f>
        <v>19.799999999999997</v>
      </c>
      <c r="F9"/>
      <c r="G9" s="10" t="s">
        <v>71</v>
      </c>
      <c r="H9" s="3">
        <f ca="1">Itd*(1-2.3*(H7-0.07)^2)</f>
        <v>5383777.2997603016</v>
      </c>
    </row>
    <row r="10" spans="1:8" ht="19.5" x14ac:dyDescent="0.35">
      <c r="D10" s="5" t="s">
        <v>68</v>
      </c>
      <c r="E10">
        <f ca="1">VLOOKUP(date,INDIRECT($E$3),5,FALSE)</f>
        <v>102.23734939759035</v>
      </c>
      <c r="F10"/>
      <c r="G10" s="10" t="s">
        <v>72</v>
      </c>
      <c r="H10" s="3">
        <f ca="1">Itd*(1.33-1.46*H7)</f>
        <v>5492339.7623021668</v>
      </c>
    </row>
    <row r="11" spans="1:8" ht="19.5" x14ac:dyDescent="0.35">
      <c r="D11" s="5" t="s">
        <v>82</v>
      </c>
      <c r="E11">
        <f ca="1">VLOOKUP(date,INDIRECT($E$3),6,FALSE)</f>
        <v>0.58024691358024694</v>
      </c>
      <c r="F11"/>
      <c r="G11" s="10" t="s">
        <v>73</v>
      </c>
      <c r="H11" s="3">
        <f ca="1">Itd*0.23</f>
        <v>1393379.8205708121</v>
      </c>
    </row>
    <row r="12" spans="1:8" x14ac:dyDescent="0.2">
      <c r="D12" t="s">
        <v>9</v>
      </c>
      <c r="E12">
        <f ca="1">VLOOKUP(date,INDIRECT($E$3),7,FALSE)</f>
        <v>194</v>
      </c>
      <c r="G12" s="10" t="s">
        <v>97</v>
      </c>
      <c r="H12" s="3" t="b">
        <f ca="1">H7&lt;0.07</f>
        <v>0</v>
      </c>
    </row>
    <row r="13" spans="1:8" x14ac:dyDescent="0.2">
      <c r="G13" s="10" t="s">
        <v>98</v>
      </c>
      <c r="H13" s="3" t="b">
        <f ca="1">AND(H7&gt;=0.07,H7&lt;0.35)</f>
        <v>1</v>
      </c>
    </row>
    <row r="14" spans="1:8" x14ac:dyDescent="0.2">
      <c r="D14" s="2" t="s">
        <v>22</v>
      </c>
      <c r="G14" s="10" t="s">
        <v>99</v>
      </c>
      <c r="H14" s="3" t="b">
        <f ca="1">AND(H7&gt;=0.35,H7&lt;0.75)</f>
        <v>0</v>
      </c>
    </row>
    <row r="15" spans="1:8" ht="19.5" x14ac:dyDescent="0.35">
      <c r="D15" s="5" t="s">
        <v>36</v>
      </c>
      <c r="E15" s="3">
        <f ca="1">24-E16</f>
        <v>6.8457286226508955</v>
      </c>
      <c r="G15" s="9" t="s">
        <v>54</v>
      </c>
      <c r="H15" s="3">
        <f ca="1">IF(H12,H8,IF(H13,H9,IF(H14,H10,H11)))</f>
        <v>5383777.2997603016</v>
      </c>
    </row>
    <row r="16" spans="1:8" ht="19.5" x14ac:dyDescent="0.35">
      <c r="D16" s="5" t="s">
        <v>37</v>
      </c>
      <c r="E16" s="3">
        <f ca="1">12+(12/PI())*ACOS(-E22/E23)</f>
        <v>17.154271377349104</v>
      </c>
      <c r="G16" s="9" t="s">
        <v>55</v>
      </c>
      <c r="H16" s="3">
        <f ca="1">Itd-Idfd</f>
        <v>674395.83315627277</v>
      </c>
    </row>
    <row r="17" spans="1:8" x14ac:dyDescent="0.2">
      <c r="D17" s="5" t="s">
        <v>27</v>
      </c>
      <c r="E17" s="3">
        <f ca="1">E16-E15</f>
        <v>10.308542754698209</v>
      </c>
    </row>
    <row r="18" spans="1:8" ht="19.5" x14ac:dyDescent="0.35">
      <c r="G18" s="9" t="s">
        <v>57</v>
      </c>
      <c r="H18" s="3">
        <f ca="1">MAX(0,Ic*SIN(sunhgt))</f>
        <v>860.56992164255485</v>
      </c>
    </row>
    <row r="19" spans="1:8" x14ac:dyDescent="0.2">
      <c r="D19" s="2" t="s">
        <v>18</v>
      </c>
      <c r="G19" s="10" t="s">
        <v>17</v>
      </c>
      <c r="H19" s="3">
        <f ca="1">PI()*Itd/86400</f>
        <v>220.28139130261309</v>
      </c>
    </row>
    <row r="20" spans="1:8" ht="15" x14ac:dyDescent="0.25">
      <c r="D20" s="6" t="s">
        <v>34</v>
      </c>
      <c r="E20" s="3">
        <f>-0.4093*COS(2*PI()*(doy+10)/365)</f>
        <v>-0.32047375643502179</v>
      </c>
      <c r="G20" s="10" t="s">
        <v>69</v>
      </c>
      <c r="H20" s="3">
        <f ca="1">E22*ACOS(-E24)+E23*SQRT(1-E24^2)</f>
        <v>0.53764428443535961</v>
      </c>
    </row>
    <row r="21" spans="1:8" ht="15" x14ac:dyDescent="0.25">
      <c r="A21" s="2"/>
      <c r="D21" s="6" t="s">
        <v>35</v>
      </c>
      <c r="E21" s="3">
        <f>PI()/12*(th-12)</f>
        <v>-0.14737234699934618</v>
      </c>
      <c r="G21" s="12" t="s">
        <v>58</v>
      </c>
      <c r="H21" s="3">
        <f ca="1">H19/H20</f>
        <v>409.71586173180509</v>
      </c>
    </row>
    <row r="22" spans="1:8" ht="15" x14ac:dyDescent="0.25">
      <c r="A22" s="2"/>
      <c r="D22" s="7" t="s">
        <v>19</v>
      </c>
      <c r="E22" s="3">
        <f ca="1">SIN(decl)*SIN(lat)</f>
        <v>-0.17382325896302267</v>
      </c>
      <c r="G22" s="12" t="s">
        <v>62</v>
      </c>
      <c r="H22" s="3">
        <f ca="1">E22*H21</f>
        <v>-71.218146335065541</v>
      </c>
    </row>
    <row r="23" spans="1:8" ht="15" x14ac:dyDescent="0.25">
      <c r="D23" s="7" t="s">
        <v>20</v>
      </c>
      <c r="E23" s="3">
        <f ca="1">COS(decl)*COS(lat)</f>
        <v>0.79152101038125022</v>
      </c>
      <c r="G23" s="12" t="s">
        <v>61</v>
      </c>
      <c r="H23" s="3">
        <f ca="1">E23*H21</f>
        <v>324.29871284718297</v>
      </c>
    </row>
    <row r="24" spans="1:8" ht="19.5" x14ac:dyDescent="0.35">
      <c r="D24" s="8" t="s">
        <v>96</v>
      </c>
      <c r="E24" s="3">
        <f ca="1">E22/E23</f>
        <v>-0.21960662658758431</v>
      </c>
      <c r="G24" s="9" t="s">
        <v>60</v>
      </c>
      <c r="H24" s="3">
        <f ca="1">MAX(0,H22-H23*COS(PI()*th/12))</f>
        <v>249.56527727634088</v>
      </c>
    </row>
    <row r="25" spans="1:8" ht="15" x14ac:dyDescent="0.25">
      <c r="D25" s="5" t="s">
        <v>46</v>
      </c>
      <c r="E25" s="3">
        <f ca="1">ACOS(E22+E23*COS(ha))</f>
        <v>0.91584842107291053</v>
      </c>
    </row>
    <row r="26" spans="1:8" ht="19.5" x14ac:dyDescent="0.35">
      <c r="D26" s="6" t="s">
        <v>95</v>
      </c>
      <c r="E26" s="3">
        <f ca="1">(PI()/2)-suninc</f>
        <v>0.65494790572198602</v>
      </c>
      <c r="G26" s="9" t="s">
        <v>63</v>
      </c>
      <c r="H26" s="3">
        <f ca="1">IF(Iet&lt;=0,0,It/Iet)</f>
        <v>0.28999999999999998</v>
      </c>
    </row>
    <row r="27" spans="1:8" x14ac:dyDescent="0.2">
      <c r="D27" s="8" t="s">
        <v>14</v>
      </c>
      <c r="E27" s="3">
        <f ca="1">(SIN(lat)*SIN(sunhgt)-SIN(decl))/(COS(lat)*COS(sunhgt))</f>
        <v>0.98443942818246188</v>
      </c>
      <c r="G27" s="11" t="s">
        <v>21</v>
      </c>
      <c r="H27" s="3">
        <f ca="1">0.847-1.61*SIN(sunhgt)+1.04*SIN(sunhgt)^2</f>
        <v>0.25218577171285012</v>
      </c>
    </row>
    <row r="28" spans="1:8" x14ac:dyDescent="0.2">
      <c r="D28" s="8" t="s">
        <v>15</v>
      </c>
      <c r="E28" s="3">
        <f ca="1">ACOS(MAX(-1,MIN(1,E27)))</f>
        <v>0.1766414183918934</v>
      </c>
      <c r="G28" s="11" t="s">
        <v>23</v>
      </c>
      <c r="H28" s="3">
        <f ca="1">(1.47-H27)/1.66</f>
        <v>0.73362302908864452</v>
      </c>
    </row>
    <row r="29" spans="1:8" ht="19.5" x14ac:dyDescent="0.35">
      <c r="A29" s="2"/>
      <c r="D29" s="5" t="s">
        <v>47</v>
      </c>
      <c r="E29" s="3">
        <f ca="1">PI()+IF(th&lt;12,-E28,E28)</f>
        <v>2.9649512351978995</v>
      </c>
      <c r="G29" s="10" t="s">
        <v>74</v>
      </c>
      <c r="H29" s="3">
        <f ca="1">It</f>
        <v>249.56527727634088</v>
      </c>
    </row>
    <row r="30" spans="1:8" ht="19.5" x14ac:dyDescent="0.35">
      <c r="D30" s="5"/>
      <c r="G30" s="10" t="s">
        <v>75</v>
      </c>
      <c r="H30" s="3">
        <f ca="1">It*(1-6.4*(H26-0.22)^2)</f>
        <v>241.73891018095483</v>
      </c>
    </row>
    <row r="31" spans="1:8" ht="19.5" x14ac:dyDescent="0.35">
      <c r="D31" s="2" t="s">
        <v>101</v>
      </c>
      <c r="G31" s="10" t="s">
        <v>76</v>
      </c>
      <c r="H31" s="3">
        <f ca="1">It*(1.47-1.66*H26)</f>
        <v>246.72023311539061</v>
      </c>
    </row>
    <row r="32" spans="1:8" ht="19.5" x14ac:dyDescent="0.35">
      <c r="D32" s="5" t="s">
        <v>38</v>
      </c>
      <c r="E32" s="3">
        <f ca="1">Tmin+(Tmax-Tmin)*SIN((PI()*(tss-tsr-1.5))/DL)</f>
        <v>19.612411244237325</v>
      </c>
      <c r="G32" s="10" t="s">
        <v>77</v>
      </c>
      <c r="H32" s="3">
        <f ca="1">It*H27</f>
        <v>62.936812042665444</v>
      </c>
    </row>
    <row r="33" spans="4:9" ht="19.5" x14ac:dyDescent="0.35">
      <c r="D33" s="8" t="s">
        <v>41</v>
      </c>
      <c r="E33" s="3">
        <f ca="1">Tset+((Tmin-Tset)*(th+tsr))/((tsr+1.5)+tsr)</f>
        <v>17.912584638617428</v>
      </c>
      <c r="G33" s="10" t="s">
        <v>97</v>
      </c>
      <c r="H33" s="3" t="b">
        <f ca="1">H26&lt;=0.22</f>
        <v>0</v>
      </c>
    </row>
    <row r="34" spans="4:9" ht="19.5" x14ac:dyDescent="0.35">
      <c r="D34" s="8" t="s">
        <v>42</v>
      </c>
      <c r="E34" s="3">
        <f ca="1">Tset+((Tmin-Tset)*(th-tss))/((tsr+1.5)+tsr)</f>
        <v>20.143961741836364</v>
      </c>
      <c r="G34" s="10" t="s">
        <v>98</v>
      </c>
      <c r="H34" s="3" t="b">
        <f ca="1">AND(H26&gt;0.22,H26&lt;=0.35)</f>
        <v>1</v>
      </c>
    </row>
    <row r="35" spans="4:9" ht="19.5" x14ac:dyDescent="0.35">
      <c r="D35" s="8" t="s">
        <v>43</v>
      </c>
      <c r="E35" s="3">
        <f ca="1">Tmin+(Tmax-Tmin)*SIN((PI()*(th-tsr-1.5))/DL)</f>
        <v>20.788159262706593</v>
      </c>
      <c r="G35" s="10" t="s">
        <v>99</v>
      </c>
      <c r="H35" s="3" t="b">
        <f ca="1">AND(H26&gt;0.35,H26&lt;=H28)</f>
        <v>0</v>
      </c>
    </row>
    <row r="36" spans="4:9" ht="19.5" x14ac:dyDescent="0.35">
      <c r="D36" s="5" t="s">
        <v>39</v>
      </c>
      <c r="E36" s="3">
        <f ca="1">IF(th&lt;(tsr+1.5),E33,IF(th&gt;tss,E34,E35))</f>
        <v>20.788159262706593</v>
      </c>
      <c r="G36" s="9" t="s">
        <v>65</v>
      </c>
      <c r="H36" s="3">
        <f ca="1">IF(H33,H29,IF(H34,H30,IF(H35,H31,H32)))</f>
        <v>241.73891018095483</v>
      </c>
      <c r="I36" s="3"/>
    </row>
    <row r="37" spans="4:9" ht="19.5" x14ac:dyDescent="0.35">
      <c r="D37" s="5" t="s">
        <v>40</v>
      </c>
      <c r="E37" s="3">
        <f ca="1">Ta+273.15</f>
        <v>293.93815926270656</v>
      </c>
      <c r="G37" s="9" t="s">
        <v>64</v>
      </c>
      <c r="H37" s="3">
        <f ca="1">It-Idf</f>
        <v>7.8263670953860469</v>
      </c>
    </row>
    <row r="39" spans="4:9" x14ac:dyDescent="0.2">
      <c r="D39" s="2" t="s">
        <v>280</v>
      </c>
      <c r="G39" s="4" t="s">
        <v>67</v>
      </c>
    </row>
    <row r="40" spans="4:9" ht="19.5" x14ac:dyDescent="0.35">
      <c r="D40" s="5" t="s">
        <v>93</v>
      </c>
      <c r="E40" s="3">
        <f ca="1">MIN(Ta,Tdmax)</f>
        <v>20.788159262706593</v>
      </c>
      <c r="G40" s="21" t="s">
        <v>100</v>
      </c>
      <c r="H40" s="3">
        <f ca="1">0.98*SB*Tak^4*(1.31*(ea/Tak)^(1/7)-1)</f>
        <v>-33.672796299074918</v>
      </c>
    </row>
    <row r="41" spans="4:9" ht="19.5" x14ac:dyDescent="0.35">
      <c r="D41" s="5" t="s">
        <v>44</v>
      </c>
      <c r="E41" s="3">
        <f ca="1">6.1078*EXP(17.269*Ta/(Ta+237.3))</f>
        <v>24.54549307426846</v>
      </c>
      <c r="G41" s="9" t="s">
        <v>66</v>
      </c>
      <c r="H41" s="3">
        <f ca="1">(1-p)*It+RnL</f>
        <v>178.45768938581483</v>
      </c>
    </row>
    <row r="42" spans="4:9" ht="19.5" x14ac:dyDescent="0.35">
      <c r="D42" s="5" t="s">
        <v>45</v>
      </c>
      <c r="E42" s="3">
        <f ca="1">6.1078*EXP(17.269*Tdcal/(Tdcal+237.3))</f>
        <v>24.54549307426846</v>
      </c>
    </row>
    <row r="43" spans="4:9" x14ac:dyDescent="0.2">
      <c r="D43" s="5" t="s">
        <v>59</v>
      </c>
      <c r="E43">
        <f ca="1">es-ea</f>
        <v>0</v>
      </c>
    </row>
    <row r="44" spans="4:9" x14ac:dyDescent="0.2">
      <c r="D44" s="24" t="s">
        <v>59</v>
      </c>
      <c r="E44" s="16">
        <f ca="1">(25029.4*EXP(17.269*Ta/(Ta+237.3)))/(Ta+237.3)^2</f>
        <v>1.5100844367951112</v>
      </c>
    </row>
    <row r="45" spans="4:9" x14ac:dyDescent="0.2">
      <c r="G45" s="20"/>
    </row>
    <row r="46" spans="4:9" x14ac:dyDescent="0.2">
      <c r="D46" s="2" t="s">
        <v>279</v>
      </c>
    </row>
    <row r="47" spans="4:9" x14ac:dyDescent="0.2">
      <c r="D47" s="5" t="s">
        <v>28</v>
      </c>
      <c r="E47" s="3">
        <f ca="1">100*ea/es</f>
        <v>100</v>
      </c>
    </row>
    <row r="48" spans="4:9" x14ac:dyDescent="0.2">
      <c r="G48" s="9"/>
    </row>
    <row r="49" spans="4:5" x14ac:dyDescent="0.2">
      <c r="D49" s="2" t="s">
        <v>25</v>
      </c>
    </row>
    <row r="50" spans="4:5" ht="19.5" x14ac:dyDescent="0.35">
      <c r="D50" s="5" t="s">
        <v>79</v>
      </c>
      <c r="E50" s="3">
        <f ca="1">0.5*ud</f>
        <v>0.29012345679012347</v>
      </c>
    </row>
    <row r="51" spans="4:5" ht="19.5" x14ac:dyDescent="0.35">
      <c r="D51" s="5" t="s">
        <v>80</v>
      </c>
      <c r="E51" s="3">
        <f ca="1">umin-(12*PI()*(umin-ud))/DL</f>
        <v>1.3511266369773829</v>
      </c>
    </row>
    <row r="52" spans="4:5" x14ac:dyDescent="0.2">
      <c r="D52" s="5" t="s">
        <v>81</v>
      </c>
      <c r="E52" s="3">
        <f ca="1">umax-umin</f>
        <v>1.0610031801872595</v>
      </c>
    </row>
    <row r="53" spans="4:5" x14ac:dyDescent="0.2">
      <c r="D53" s="5" t="s">
        <v>29</v>
      </c>
      <c r="E53" s="3">
        <f ca="1">umin+IF(OR(th&lt;tsr+1.5,th&gt;tss+1.5),0,E52*SIN(PI()/DL*(th-tsr-1.5)))</f>
        <v>1.1482625844660013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workbookViewId="0">
      <selection activeCell="D32" sqref="D32"/>
    </sheetView>
  </sheetViews>
  <sheetFormatPr defaultColWidth="9.140625" defaultRowHeight="12" x14ac:dyDescent="0.2"/>
  <cols>
    <col min="1" max="1" width="7" style="16" bestFit="1" customWidth="1"/>
    <col min="2" max="2" width="5.7109375" style="16" bestFit="1" customWidth="1"/>
    <col min="3" max="3" width="2.28515625" style="16" bestFit="1" customWidth="1"/>
    <col min="4" max="4" width="19" style="16" bestFit="1" customWidth="1"/>
    <col min="5" max="5" width="1.140625" style="16" customWidth="1"/>
    <col min="6" max="6" width="7.140625" style="16" bestFit="1" customWidth="1"/>
    <col min="7" max="7" width="14" style="16" customWidth="1"/>
    <col min="8" max="8" width="1.140625" style="16" customWidth="1"/>
    <col min="9" max="9" width="10.42578125" style="16" bestFit="1" customWidth="1"/>
    <col min="10" max="10" width="18" style="16" bestFit="1" customWidth="1"/>
    <col min="11" max="11" width="1.140625" style="16" customWidth="1"/>
    <col min="12" max="16384" width="9.140625" style="16"/>
  </cols>
  <sheetData>
    <row r="1" spans="1:10" x14ac:dyDescent="0.2">
      <c r="A1" s="17" t="s">
        <v>11</v>
      </c>
    </row>
    <row r="2" spans="1:10" ht="18.75" customHeight="1" x14ac:dyDescent="0.35">
      <c r="A2" s="22" t="s">
        <v>103</v>
      </c>
      <c r="B2" s="16">
        <v>3</v>
      </c>
      <c r="F2" s="32" t="s">
        <v>154</v>
      </c>
      <c r="I2" s="17" t="s">
        <v>156</v>
      </c>
    </row>
    <row r="3" spans="1:10" ht="19.5" x14ac:dyDescent="0.35">
      <c r="F3" s="16" t="s">
        <v>114</v>
      </c>
      <c r="G3" s="16">
        <f ca="1">ET!K2</f>
        <v>24.201789844173852</v>
      </c>
      <c r="I3" s="16" t="s">
        <v>132</v>
      </c>
      <c r="J3" s="16">
        <f ca="1">(1-pp)*Qdr*EXP(-kdr*L)</f>
        <v>1.4565624365862122</v>
      </c>
    </row>
    <row r="4" spans="1:10" ht="19.5" x14ac:dyDescent="0.35">
      <c r="A4" s="17" t="s">
        <v>102</v>
      </c>
      <c r="F4" s="23" t="s">
        <v>144</v>
      </c>
      <c r="G4" s="23">
        <f>Lmax</f>
        <v>3</v>
      </c>
      <c r="I4" s="16" t="s">
        <v>133</v>
      </c>
      <c r="J4" s="16">
        <f ca="1">(1-pp)*Qdr*EXP(-SQRT(alpha)*kdr*L)</f>
        <v>1.8890241434054105</v>
      </c>
    </row>
    <row r="5" spans="1:10" ht="19.5" x14ac:dyDescent="0.35">
      <c r="A5" s="25" t="s">
        <v>152</v>
      </c>
      <c r="B5" s="26" t="s">
        <v>104</v>
      </c>
      <c r="C5" s="26" t="s">
        <v>105</v>
      </c>
      <c r="D5" s="26" t="s">
        <v>106</v>
      </c>
      <c r="I5" s="16" t="s">
        <v>134</v>
      </c>
      <c r="J5" s="16">
        <f ca="1">(J3-J4)/2</f>
        <v>-0.21623085340959913</v>
      </c>
    </row>
    <row r="6" spans="1:10" ht="19.5" x14ac:dyDescent="0.35">
      <c r="A6" s="16" t="s">
        <v>112</v>
      </c>
      <c r="B6" s="16">
        <v>300</v>
      </c>
      <c r="C6" s="16">
        <v>2.1</v>
      </c>
      <c r="D6" s="16">
        <f ca="1">B6*C6^((Tf-25)/10)</f>
        <v>282.74919905662426</v>
      </c>
      <c r="F6" s="17" t="s">
        <v>145</v>
      </c>
      <c r="I6" s="27" t="s">
        <v>16</v>
      </c>
      <c r="J6" s="16">
        <f>SQRT(alpha)*kdf*L</f>
        <v>2.1247551161315155</v>
      </c>
    </row>
    <row r="7" spans="1:10" ht="19.5" x14ac:dyDescent="0.35">
      <c r="A7" s="16" t="s">
        <v>113</v>
      </c>
      <c r="B7" s="16">
        <v>300000</v>
      </c>
      <c r="C7" s="16">
        <v>1.2</v>
      </c>
      <c r="D7" s="16">
        <f ca="1">B7*C7^((Tf-25)/10)</f>
        <v>295665.68777178589</v>
      </c>
      <c r="F7" s="30" t="s">
        <v>124</v>
      </c>
      <c r="G7" s="16">
        <f>IF(L&lt;Lmax,1-L/Lmax,0)</f>
        <v>0</v>
      </c>
      <c r="I7" s="16" t="s">
        <v>135</v>
      </c>
      <c r="J7" s="16">
        <f ca="1">(1-pp)*Qdf*(1-EXP(-J6))/J6</f>
        <v>218.79545946684968</v>
      </c>
    </row>
    <row r="8" spans="1:10" ht="19.5" x14ac:dyDescent="0.35">
      <c r="A8" s="24" t="s">
        <v>35</v>
      </c>
      <c r="B8" s="16">
        <v>2600</v>
      </c>
      <c r="C8" s="16">
        <v>0.56999999999999995</v>
      </c>
      <c r="D8" s="16">
        <f ca="1">B8*C8^((Tf-25)/10)</f>
        <v>2719.3159180316925</v>
      </c>
      <c r="F8" s="30" t="s">
        <v>127</v>
      </c>
      <c r="G8" s="16">
        <f>1-G7</f>
        <v>1</v>
      </c>
    </row>
    <row r="9" spans="1:10" ht="19.5" x14ac:dyDescent="0.35">
      <c r="A9" s="16" t="s">
        <v>111</v>
      </c>
      <c r="B9" s="16">
        <v>200</v>
      </c>
      <c r="C9" s="16">
        <v>2.4</v>
      </c>
      <c r="D9" s="16">
        <f ca="1">(B9*C9^((Tf-25)/10))/(1+EXP(0.29*(Tf-40)))</f>
        <v>184.61063159298016</v>
      </c>
      <c r="F9" s="27" t="s">
        <v>125</v>
      </c>
      <c r="G9" s="16">
        <f ca="1">-2*COS(suninc)/L*LN(G7+G8*EXP(-L/(2*G8*COS(suninc))))</f>
        <v>1</v>
      </c>
      <c r="I9" s="17" t="s">
        <v>146</v>
      </c>
    </row>
    <row r="10" spans="1:10" ht="19.5" x14ac:dyDescent="0.35">
      <c r="F10" s="27" t="s">
        <v>126</v>
      </c>
      <c r="G10" s="16">
        <f ca="1">G9^(1-2*suninc/PI())</f>
        <v>1</v>
      </c>
      <c r="I10" s="16" t="s">
        <v>136</v>
      </c>
      <c r="J10" s="16">
        <f ca="1">alpha*(kdr*Qdr+J7+J5)</f>
        <v>186.55569026650963</v>
      </c>
    </row>
    <row r="11" spans="1:10" ht="19.5" x14ac:dyDescent="0.35">
      <c r="A11" s="16" t="s">
        <v>107</v>
      </c>
      <c r="B11" s="16">
        <v>210000</v>
      </c>
      <c r="E11" s="17"/>
      <c r="F11" s="16" t="s">
        <v>128</v>
      </c>
      <c r="G11" s="16">
        <f ca="1">MAX(0,G10/(2*COS(suninc)))</f>
        <v>0.82085910789210315</v>
      </c>
      <c r="I11" s="16" t="s">
        <v>137</v>
      </c>
      <c r="J11" s="16">
        <f ca="1">alpha*(J7+J5)</f>
        <v>174.86338289075206</v>
      </c>
    </row>
    <row r="12" spans="1:10" ht="19.5" x14ac:dyDescent="0.35">
      <c r="A12" s="16" t="s">
        <v>108</v>
      </c>
      <c r="B12" s="16">
        <v>270</v>
      </c>
      <c r="F12" s="27" t="s">
        <v>14</v>
      </c>
      <c r="G12" s="16">
        <f>B18+B20*L+B22*L^2+B24*L^3+B26*L^4+B28*L^5</f>
        <v>12.529728160000001</v>
      </c>
    </row>
    <row r="13" spans="1:10" ht="19.5" x14ac:dyDescent="0.35">
      <c r="A13" s="16" t="s">
        <v>109</v>
      </c>
      <c r="B13" s="16">
        <v>0.04</v>
      </c>
      <c r="F13" s="27" t="s">
        <v>15</v>
      </c>
      <c r="G13" s="16">
        <f>1+B19*L+B21*L^2+B23*L^3+B25*L^4+B27*L^5</f>
        <v>15.823371094000001</v>
      </c>
      <c r="I13" s="17" t="s">
        <v>147</v>
      </c>
    </row>
    <row r="14" spans="1:10" ht="19.5" x14ac:dyDescent="0.35">
      <c r="A14" s="24" t="s">
        <v>19</v>
      </c>
      <c r="B14" s="16">
        <v>0.8</v>
      </c>
      <c r="F14" s="16" t="s">
        <v>129</v>
      </c>
      <c r="G14" s="16">
        <f>G12/G13</f>
        <v>0.79184947920175475</v>
      </c>
      <c r="I14" s="16" t="s">
        <v>138</v>
      </c>
      <c r="J14" s="16">
        <f ca="1">Oa/(2*tau)</f>
        <v>38.612652286462385</v>
      </c>
    </row>
    <row r="15" spans="1:10" ht="19.5" x14ac:dyDescent="0.35">
      <c r="A15" s="16" t="s">
        <v>110</v>
      </c>
      <c r="B15" s="16">
        <v>0.08</v>
      </c>
      <c r="I15" s="22" t="s">
        <v>139</v>
      </c>
      <c r="J15" s="16">
        <f ca="1">Vcmax*(Ci-co2pt)/(Kc*(1+Oa/Ko)+Ci)</f>
        <v>56.685211200647053</v>
      </c>
    </row>
    <row r="16" spans="1:10" ht="15.75" customHeight="1" x14ac:dyDescent="0.35">
      <c r="F16" s="33" t="s">
        <v>157</v>
      </c>
      <c r="I16" s="22" t="s">
        <v>140</v>
      </c>
      <c r="J16" s="16">
        <f ca="1">0.5*Vcmax</f>
        <v>92.305315796490078</v>
      </c>
    </row>
    <row r="17" spans="1:10" ht="19.5" x14ac:dyDescent="0.35">
      <c r="A17" s="25" t="s">
        <v>153</v>
      </c>
      <c r="B17" s="28"/>
      <c r="F17" s="16" t="s">
        <v>130</v>
      </c>
      <c r="G17" s="16">
        <f ca="1">(1-EXP(-kdr*L))/kdr</f>
        <v>1.114423839911227</v>
      </c>
      <c r="I17" s="22" t="s">
        <v>141</v>
      </c>
      <c r="J17" s="16">
        <f ca="1">em*alpha*Qsl*((Ci-co2pt)/(Ci+2*co2pt))</f>
        <v>7.9564019424871111</v>
      </c>
    </row>
    <row r="18" spans="1:10" ht="19.5" x14ac:dyDescent="0.35">
      <c r="A18" s="29" t="s">
        <v>19</v>
      </c>
      <c r="B18" s="18">
        <v>1.002331825</v>
      </c>
      <c r="F18" s="16" t="s">
        <v>131</v>
      </c>
      <c r="G18" s="16">
        <f ca="1">L-Lsl</f>
        <v>1.885576160088773</v>
      </c>
      <c r="I18" s="22" t="s">
        <v>142</v>
      </c>
      <c r="J18" s="16">
        <f ca="1">em*alpha*Qsh*((Ci-co2pt)/(Ci+2*co2pt))</f>
        <v>7.457737457990631</v>
      </c>
    </row>
    <row r="19" spans="1:10" ht="19.5" x14ac:dyDescent="0.35">
      <c r="A19" s="29" t="s">
        <v>20</v>
      </c>
      <c r="B19" s="18">
        <v>2.8618412059999998</v>
      </c>
      <c r="I19" s="16" t="s">
        <v>143</v>
      </c>
      <c r="J19" s="16">
        <f ca="1">Lsl*MIN(vc,vs,vqsl)+Lsh*MIN(vc,vs,vqsh)</f>
        <v>22.928935963611814</v>
      </c>
    </row>
    <row r="20" spans="1:10" ht="18" customHeight="1" x14ac:dyDescent="0.35">
      <c r="A20" s="29" t="s">
        <v>115</v>
      </c>
      <c r="B20" s="18">
        <v>2.1227020350000001</v>
      </c>
      <c r="F20" s="33" t="s">
        <v>155</v>
      </c>
      <c r="I20" s="27" t="s">
        <v>148</v>
      </c>
      <c r="J20" s="16">
        <v>150.55154298714098</v>
      </c>
    </row>
    <row r="21" spans="1:10" ht="20.25" x14ac:dyDescent="0.35">
      <c r="A21" s="29" t="s">
        <v>34</v>
      </c>
      <c r="B21" s="18">
        <v>9.3153495000000003E-2</v>
      </c>
      <c r="F21" s="16" t="s">
        <v>123</v>
      </c>
      <c r="G21" s="16">
        <f ca="1">0.5*Idr*4.55</f>
        <v>17.804985142003257</v>
      </c>
      <c r="I21" s="16" t="s">
        <v>151</v>
      </c>
      <c r="J21" s="16">
        <f>J20*3600*30*10^-6</f>
        <v>16.259566642611222</v>
      </c>
    </row>
    <row r="22" spans="1:10" ht="19.5" x14ac:dyDescent="0.35">
      <c r="A22" s="29" t="s">
        <v>116</v>
      </c>
      <c r="B22" s="18">
        <v>0.47701111000000002</v>
      </c>
      <c r="F22" s="16" t="s">
        <v>122</v>
      </c>
      <c r="G22" s="16">
        <f ca="1">0.5*Idf*4.55</f>
        <v>549.95602066167226</v>
      </c>
    </row>
    <row r="23" spans="1:10" x14ac:dyDescent="0.2">
      <c r="A23" s="29" t="s">
        <v>90</v>
      </c>
      <c r="B23" s="18">
        <v>0.14858605</v>
      </c>
    </row>
    <row r="24" spans="1:10" x14ac:dyDescent="0.2">
      <c r="A24" s="29" t="s">
        <v>117</v>
      </c>
      <c r="B24" s="18">
        <v>3.0599924000000001E-2</v>
      </c>
    </row>
    <row r="25" spans="1:10" x14ac:dyDescent="0.2">
      <c r="A25" s="29" t="s">
        <v>118</v>
      </c>
      <c r="B25" s="18">
        <v>1.5715751E-2</v>
      </c>
    </row>
    <row r="26" spans="1:10" x14ac:dyDescent="0.2">
      <c r="A26" s="29" t="s">
        <v>119</v>
      </c>
      <c r="B26" s="18">
        <v>4.9165000000000005E-4</v>
      </c>
    </row>
    <row r="27" spans="1:10" x14ac:dyDescent="0.2">
      <c r="A27" s="29" t="s">
        <v>120</v>
      </c>
      <c r="B27" s="18">
        <v>4.7187999999999999E-4</v>
      </c>
    </row>
    <row r="28" spans="1:10" x14ac:dyDescent="0.2">
      <c r="A28" s="29" t="s">
        <v>121</v>
      </c>
      <c r="B28" s="18">
        <v>6.9400000000000005E-7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topLeftCell="B10" workbookViewId="0">
      <selection activeCell="E4" sqref="E4"/>
    </sheetView>
  </sheetViews>
  <sheetFormatPr defaultColWidth="9.140625" defaultRowHeight="12" x14ac:dyDescent="0.2"/>
  <cols>
    <col min="1" max="1" width="6.42578125" style="35" bestFit="1" customWidth="1"/>
    <col min="2" max="2" width="5.42578125" style="35" bestFit="1" customWidth="1"/>
    <col min="3" max="3" width="1.140625" style="16" customWidth="1"/>
    <col min="4" max="4" width="7.5703125" style="16" customWidth="1"/>
    <col min="5" max="5" width="16.42578125" style="16" bestFit="1" customWidth="1"/>
    <col min="6" max="6" width="1.28515625" style="16" customWidth="1"/>
    <col min="7" max="7" width="8" style="16" customWidth="1"/>
    <col min="8" max="8" width="23" style="16" bestFit="1" customWidth="1"/>
    <col min="9" max="9" width="1.140625" style="16" customWidth="1"/>
    <col min="10" max="10" width="7.7109375" style="16" customWidth="1"/>
    <col min="11" max="11" width="14.42578125" style="16" bestFit="1" customWidth="1"/>
    <col min="12" max="16384" width="9.140625" style="16"/>
  </cols>
  <sheetData>
    <row r="1" spans="1:11" x14ac:dyDescent="0.2">
      <c r="A1" s="34" t="s">
        <v>11</v>
      </c>
      <c r="D1" s="36" t="s">
        <v>154</v>
      </c>
      <c r="G1" s="17" t="s">
        <v>219</v>
      </c>
      <c r="J1" s="17" t="s">
        <v>226</v>
      </c>
    </row>
    <row r="2" spans="1:11" ht="19.5" x14ac:dyDescent="0.35">
      <c r="A2" s="35" t="s">
        <v>180</v>
      </c>
      <c r="B2" s="35">
        <v>2</v>
      </c>
      <c r="D2" s="35" t="s">
        <v>118</v>
      </c>
      <c r="E2" s="35">
        <v>1</v>
      </c>
      <c r="G2" s="27" t="s">
        <v>158</v>
      </c>
      <c r="H2" s="16">
        <f ca="1">(slopesvp+psycho)*raa</f>
        <v>44.914644242984622</v>
      </c>
      <c r="J2" s="16" t="s">
        <v>114</v>
      </c>
      <c r="K2" s="16">
        <f ca="1">((Hc*rca+(Hs+Hc)*raa)/pcp)+Ta</f>
        <v>24.201789844173852</v>
      </c>
    </row>
    <row r="3" spans="1:11" ht="19.5" x14ac:dyDescent="0.35">
      <c r="A3" s="35" t="s">
        <v>172</v>
      </c>
      <c r="B3" s="35">
        <v>4.0000000000000001E-3</v>
      </c>
      <c r="D3" s="35" t="s">
        <v>171</v>
      </c>
      <c r="E3" s="35">
        <v>0.08</v>
      </c>
      <c r="G3" s="27" t="s">
        <v>159</v>
      </c>
      <c r="H3" s="16">
        <f ca="1">(slopesvp+psycho)*rca+psycho*rcs</f>
        <v>200.09654740500031</v>
      </c>
    </row>
    <row r="4" spans="1:11" ht="15.75" x14ac:dyDescent="0.3">
      <c r="A4" s="40" t="s">
        <v>285</v>
      </c>
      <c r="B4" s="35">
        <v>0.3</v>
      </c>
      <c r="D4" s="23" t="s">
        <v>173</v>
      </c>
      <c r="E4" s="35">
        <f>Water!H4</f>
        <v>0.02</v>
      </c>
      <c r="G4" s="27" t="s">
        <v>160</v>
      </c>
      <c r="H4" s="16">
        <f ca="1">(slopesvp+psycho)*rsa+psycho*rss</f>
        <v>113.70056876663132</v>
      </c>
    </row>
    <row r="5" spans="1:11" ht="19.5" x14ac:dyDescent="0.35">
      <c r="A5" s="35" t="s">
        <v>176</v>
      </c>
      <c r="B5" s="35">
        <v>51.21</v>
      </c>
      <c r="D5" s="35" t="s">
        <v>174</v>
      </c>
      <c r="E5" s="35">
        <f>Water!H3</f>
        <v>0.39</v>
      </c>
      <c r="G5" s="27" t="s">
        <v>204</v>
      </c>
      <c r="H5" s="16">
        <f ca="1">(1+(H3*H2)/(H4*(H3+H2)))^-1</f>
        <v>0.75608028100700253</v>
      </c>
    </row>
    <row r="6" spans="1:11" ht="19.5" x14ac:dyDescent="0.35">
      <c r="A6" s="35" t="s">
        <v>177</v>
      </c>
      <c r="B6" s="35">
        <v>5.0000000000000001E-3</v>
      </c>
      <c r="D6" s="35" t="s">
        <v>175</v>
      </c>
      <c r="E6" s="35">
        <f>Water!H9</f>
        <v>0.30252053471380747</v>
      </c>
      <c r="G6" s="27" t="s">
        <v>205</v>
      </c>
      <c r="H6" s="16">
        <f ca="1">(1+(H4*H2)/(H3*(H4+H2)))^-1</f>
        <v>0.86139785447288719</v>
      </c>
    </row>
    <row r="7" spans="1:11" ht="19.5" x14ac:dyDescent="0.35">
      <c r="A7" s="35" t="s">
        <v>179</v>
      </c>
      <c r="B7" s="35">
        <v>2</v>
      </c>
      <c r="G7" s="27" t="s">
        <v>198</v>
      </c>
      <c r="H7" s="16">
        <f ca="1">slopesvp*A+(pcp*vpd-slopesvp*rca*As)/(raa+rca)</f>
        <v>188.32626076498491</v>
      </c>
    </row>
    <row r="8" spans="1:11" ht="19.5" x14ac:dyDescent="0.35">
      <c r="A8" s="35" t="s">
        <v>178</v>
      </c>
      <c r="B8" s="35">
        <v>2</v>
      </c>
      <c r="D8" s="17" t="s">
        <v>186</v>
      </c>
      <c r="G8" s="27" t="s">
        <v>199</v>
      </c>
      <c r="H8" s="16">
        <f ca="1">slopesvp+psycho*(1+rcs/(raa+rca))</f>
        <v>4.3802532551434421</v>
      </c>
    </row>
    <row r="9" spans="1:11" ht="19.5" x14ac:dyDescent="0.35">
      <c r="D9" s="16" t="s">
        <v>227</v>
      </c>
      <c r="E9" s="16">
        <f>EXP(-kRn*L)</f>
        <v>0.40656965974059917</v>
      </c>
      <c r="G9" s="27" t="s">
        <v>202</v>
      </c>
      <c r="H9" s="16">
        <f ca="1">H7/H8</f>
        <v>42.994377218679269</v>
      </c>
    </row>
    <row r="10" spans="1:11" x14ac:dyDescent="0.2">
      <c r="A10" s="34" t="s">
        <v>161</v>
      </c>
      <c r="D10" s="16" t="s">
        <v>182</v>
      </c>
      <c r="E10" s="16">
        <f ca="1">0.3*pRn*Rn</f>
        <v>21.766644615505282</v>
      </c>
      <c r="G10" s="27" t="s">
        <v>200</v>
      </c>
      <c r="H10" s="16">
        <f ca="1">slopesvp*A+(pcp*vpd-slopesvp*rsa*Ac)/(raa+rsa)</f>
        <v>134.38279939268131</v>
      </c>
    </row>
    <row r="11" spans="1:11" ht="19.5" x14ac:dyDescent="0.35">
      <c r="A11" s="38" t="s">
        <v>35</v>
      </c>
      <c r="B11" s="35">
        <v>2</v>
      </c>
      <c r="D11" s="16" t="s">
        <v>184</v>
      </c>
      <c r="E11" s="16">
        <f ca="1">(1-pRn)*Rn</f>
        <v>105.90220733413055</v>
      </c>
      <c r="G11" s="27" t="s">
        <v>201</v>
      </c>
      <c r="H11" s="16">
        <f ca="1">slopesvp+psycho*(1+rss/(raa+rsa))</f>
        <v>2.7618973630485799</v>
      </c>
    </row>
    <row r="12" spans="1:11" ht="19.5" x14ac:dyDescent="0.35">
      <c r="A12" s="37" t="s">
        <v>181</v>
      </c>
      <c r="B12" s="35">
        <v>0.42</v>
      </c>
      <c r="D12" s="16" t="s">
        <v>185</v>
      </c>
      <c r="E12" s="16">
        <f ca="1">pRn*Rn-G</f>
        <v>50.78883743617898</v>
      </c>
      <c r="G12" s="27" t="s">
        <v>203</v>
      </c>
      <c r="H12" s="16">
        <f ca="1">H10/H11</f>
        <v>48.655971503716451</v>
      </c>
    </row>
    <row r="13" spans="1:11" ht="12.75" x14ac:dyDescent="0.2">
      <c r="A13" s="38" t="s">
        <v>173</v>
      </c>
      <c r="B13" s="35">
        <v>0.18</v>
      </c>
      <c r="D13" s="16" t="s">
        <v>183</v>
      </c>
      <c r="E13" s="16">
        <f ca="1">Ac+As</f>
        <v>156.69104477030953</v>
      </c>
      <c r="G13" s="16" t="s">
        <v>206</v>
      </c>
      <c r="H13" s="16">
        <f ca="1">H5*H9+H6*H12</f>
        <v>74.419350269815368</v>
      </c>
    </row>
    <row r="15" spans="1:11" ht="19.5" x14ac:dyDescent="0.35">
      <c r="A15" s="34" t="s">
        <v>26</v>
      </c>
      <c r="D15" s="17" t="s">
        <v>197</v>
      </c>
      <c r="G15" s="16" t="s">
        <v>207</v>
      </c>
      <c r="H15" s="16">
        <f ca="1">vpd+(raa/pcp)*(slopesvp*A-(slopesvp+psycho)*LET)</f>
        <v>1.2769733057465278</v>
      </c>
    </row>
    <row r="16" spans="1:11" ht="19.5" x14ac:dyDescent="0.35">
      <c r="A16" s="38" t="s">
        <v>117</v>
      </c>
      <c r="B16" s="35">
        <v>0.65800000000000003</v>
      </c>
      <c r="D16" s="16" t="s">
        <v>188</v>
      </c>
      <c r="E16" s="16">
        <f>0.13*h</f>
        <v>0.13</v>
      </c>
    </row>
    <row r="17" spans="1:8" x14ac:dyDescent="0.2">
      <c r="A17" s="35" t="s">
        <v>121</v>
      </c>
      <c r="B17" s="35">
        <v>0.4</v>
      </c>
      <c r="D17" s="16" t="s">
        <v>34</v>
      </c>
      <c r="E17" s="16">
        <f>0.64*h</f>
        <v>0.64</v>
      </c>
      <c r="G17" s="27" t="s">
        <v>208</v>
      </c>
      <c r="H17" s="16">
        <f ca="1">slopesvp*As+pcp*vpd0/rsa</f>
        <v>119.16750692188565</v>
      </c>
    </row>
    <row r="18" spans="1:8" ht="13.5" x14ac:dyDescent="0.25">
      <c r="A18" s="23" t="s">
        <v>187</v>
      </c>
      <c r="B18" s="35">
        <v>1221.0899999999999</v>
      </c>
      <c r="D18" s="16" t="s">
        <v>189</v>
      </c>
      <c r="E18" s="16">
        <f ca="1">k*u/LN((zr-d)/z0)</f>
        <v>0.19563996772796899</v>
      </c>
      <c r="G18" s="27" t="s">
        <v>209</v>
      </c>
      <c r="H18" s="16">
        <f ca="1">slopesvp+psycho*(rss+rsa)/rsa</f>
        <v>3.0969672463751028</v>
      </c>
    </row>
    <row r="19" spans="1:8" ht="19.5" x14ac:dyDescent="0.35">
      <c r="A19" s="35" t="s">
        <v>196</v>
      </c>
      <c r="B19" s="35">
        <f>24.7*10^-6</f>
        <v>2.4699999999999997E-5</v>
      </c>
      <c r="D19" s="16" t="s">
        <v>190</v>
      </c>
      <c r="E19" s="16">
        <f ca="1">(ustar/k)*LN((h-d)/z0)</f>
        <v>0.49818229988617296</v>
      </c>
      <c r="G19" s="16" t="s">
        <v>210</v>
      </c>
      <c r="H19" s="16">
        <f ca="1">(H17/H18)</f>
        <v>38.478775344287946</v>
      </c>
    </row>
    <row r="20" spans="1:8" ht="19.5" x14ac:dyDescent="0.35">
      <c r="D20" s="16" t="s">
        <v>191</v>
      </c>
      <c r="E20" s="16">
        <f ca="1">k*ustar*h</f>
        <v>7.8255987091187598E-2</v>
      </c>
      <c r="G20" s="27" t="s">
        <v>214</v>
      </c>
      <c r="H20" s="16">
        <v>34.766982187826784</v>
      </c>
    </row>
    <row r="21" spans="1:8" ht="18" x14ac:dyDescent="0.2">
      <c r="G21" s="16" t="s">
        <v>216</v>
      </c>
      <c r="H21" s="16">
        <f>H20*2*3600/2454000</f>
        <v>0.10200581571000523</v>
      </c>
    </row>
    <row r="22" spans="1:8" x14ac:dyDescent="0.2">
      <c r="D22" s="17" t="s">
        <v>162</v>
      </c>
    </row>
    <row r="23" spans="1:8" x14ac:dyDescent="0.2">
      <c r="D23" s="27" t="s">
        <v>14</v>
      </c>
      <c r="E23" s="16">
        <f ca="1">(h*EXP(nK))/(nK*Kh)</f>
        <v>47.210803758187666</v>
      </c>
      <c r="G23" s="27" t="s">
        <v>212</v>
      </c>
      <c r="H23" s="16">
        <f ca="1">slopesvp*Ac+pcp*vpd0/rca</f>
        <v>204.19551022816424</v>
      </c>
    </row>
    <row r="24" spans="1:8" x14ac:dyDescent="0.2">
      <c r="D24" s="27" t="s">
        <v>15</v>
      </c>
      <c r="E24" s="16">
        <f>EXP(-nK*zs0/h)</f>
        <v>0.99203191483706066</v>
      </c>
      <c r="G24" s="27" t="s">
        <v>213</v>
      </c>
      <c r="H24" s="16">
        <f ca="1">slopesvp+psycho*(rcs+rca)/rca</f>
        <v>5.6814758987934502</v>
      </c>
    </row>
    <row r="25" spans="1:8" ht="19.5" x14ac:dyDescent="0.35">
      <c r="D25" s="27" t="s">
        <v>16</v>
      </c>
      <c r="E25" s="16">
        <f>EXP(-nK*(z0+d)/h)</f>
        <v>0.21438110142697794</v>
      </c>
      <c r="G25" s="16" t="s">
        <v>211</v>
      </c>
      <c r="H25" s="16">
        <f ca="1">H23/H24</f>
        <v>35.940574925527422</v>
      </c>
    </row>
    <row r="26" spans="1:8" ht="19.5" x14ac:dyDescent="0.35">
      <c r="D26" s="16" t="s">
        <v>163</v>
      </c>
      <c r="E26" s="16">
        <f ca="1">E23*(E24-E25)</f>
        <v>36.713519944298426</v>
      </c>
      <c r="G26" s="27" t="s">
        <v>215</v>
      </c>
      <c r="H26" s="16">
        <v>202.1030589229951</v>
      </c>
    </row>
    <row r="27" spans="1:8" ht="18" x14ac:dyDescent="0.2">
      <c r="G27" s="16" t="s">
        <v>217</v>
      </c>
      <c r="H27" s="16">
        <f>H26*2*3600/2454000</f>
        <v>0.59296741004301745</v>
      </c>
    </row>
    <row r="28" spans="1:8" x14ac:dyDescent="0.2">
      <c r="D28" s="27" t="s">
        <v>17</v>
      </c>
      <c r="E28" s="16">
        <f ca="1">LN((zr-d)/(h-d))/(k*ustar)</f>
        <v>16.984463383372439</v>
      </c>
    </row>
    <row r="29" spans="1:8" ht="18" x14ac:dyDescent="0.2">
      <c r="D29" s="27" t="s">
        <v>69</v>
      </c>
      <c r="E29" s="16">
        <f ca="1">1/(nK*k*ustar)</f>
        <v>6.3892874984424672</v>
      </c>
      <c r="G29" s="16" t="s">
        <v>218</v>
      </c>
      <c r="H29" s="16">
        <f>PETs+PETc</f>
        <v>0.69497322575302267</v>
      </c>
    </row>
    <row r="30" spans="1:8" x14ac:dyDescent="0.2">
      <c r="D30" s="27" t="s">
        <v>192</v>
      </c>
      <c r="E30" s="16">
        <f>EXP(nK*(1-(z0+d)/h))-1</f>
        <v>0.58407398499448182</v>
      </c>
    </row>
    <row r="31" spans="1:8" x14ac:dyDescent="0.2">
      <c r="D31" s="16" t="s">
        <v>164</v>
      </c>
      <c r="E31" s="16">
        <f ca="1">E28+E29*E30</f>
        <v>20.716279993863154</v>
      </c>
      <c r="G31" s="17" t="s">
        <v>166</v>
      </c>
    </row>
    <row r="32" spans="1:8" x14ac:dyDescent="0.2">
      <c r="G32" s="27" t="s">
        <v>220</v>
      </c>
      <c r="H32" s="16">
        <f ca="1">psycho*As*(rss+rsa)-pcp*vpd0</f>
        <v>1399.6610614005581</v>
      </c>
    </row>
    <row r="33" spans="4:8" x14ac:dyDescent="0.2">
      <c r="D33" s="27" t="s">
        <v>193</v>
      </c>
      <c r="E33" s="16">
        <f>0.012*L*(1-EXP(-nu/2))</f>
        <v>2.2756340117828077E-2</v>
      </c>
      <c r="G33" s="27" t="s">
        <v>221</v>
      </c>
      <c r="H33" s="16">
        <f ca="1">slopesvp*rsa+psycho*(rss+rsa)</f>
        <v>113.70056876663132</v>
      </c>
    </row>
    <row r="34" spans="4:8" ht="19.5" x14ac:dyDescent="0.35">
      <c r="D34" s="27" t="s">
        <v>194</v>
      </c>
      <c r="E34" s="16">
        <f ca="1">SQRT(E19/leafwidth)</f>
        <v>2.495451612149024</v>
      </c>
      <c r="G34" s="16" t="s">
        <v>222</v>
      </c>
      <c r="H34" s="16">
        <f ca="1">H32/H33</f>
        <v>12.310062091891036</v>
      </c>
    </row>
    <row r="35" spans="4:8" x14ac:dyDescent="0.2">
      <c r="D35" s="16" t="s">
        <v>165</v>
      </c>
      <c r="E35" s="16">
        <f ca="1">nu/(E33*E34)</f>
        <v>35.219114006537268</v>
      </c>
      <c r="G35" s="27"/>
    </row>
    <row r="36" spans="4:8" x14ac:dyDescent="0.2">
      <c r="G36" s="27" t="s">
        <v>223</v>
      </c>
      <c r="H36" s="16">
        <f ca="1">psycho*Ac*(rcs+rca)-pcp*vpd0</f>
        <v>13999.081095779264</v>
      </c>
    </row>
    <row r="37" spans="4:8" x14ac:dyDescent="0.2">
      <c r="D37" s="16" t="s">
        <v>167</v>
      </c>
      <c r="E37" s="16">
        <f ca="1">MAX(0.1,It*0.5)</f>
        <v>124.78263863817044</v>
      </c>
      <c r="G37" s="27" t="s">
        <v>224</v>
      </c>
      <c r="H37" s="16">
        <f ca="1">slopesvp*rca+psycho*(rcs+rca)</f>
        <v>200.09654740500031</v>
      </c>
    </row>
    <row r="38" spans="4:8" ht="19.5" x14ac:dyDescent="0.35">
      <c r="D38" s="16" t="s">
        <v>168</v>
      </c>
      <c r="E38" s="16">
        <f ca="1">(stom_a1+E37)/(stom_a2*E37)</f>
        <v>282.07872594919638</v>
      </c>
      <c r="G38" s="16" t="s">
        <v>225</v>
      </c>
      <c r="H38" s="16">
        <f ca="1">H36/H37</f>
        <v>69.961632408603137</v>
      </c>
    </row>
    <row r="39" spans="4:8" x14ac:dyDescent="0.2">
      <c r="D39" s="16" t="s">
        <v>169</v>
      </c>
      <c r="E39" s="16">
        <f ca="1">IF(L&lt;=0.5*Lmax,rst/L,rst/(0.5*Lmax))</f>
        <v>188.05248396613092</v>
      </c>
    </row>
    <row r="41" spans="4:8" x14ac:dyDescent="0.2">
      <c r="D41" s="16" t="s">
        <v>195</v>
      </c>
      <c r="E41" s="16">
        <f>(B11*E4)/(B12*Dmv)</f>
        <v>3855.7933294775403</v>
      </c>
      <c r="G41" s="27"/>
    </row>
    <row r="42" spans="4:8" x14ac:dyDescent="0.2">
      <c r="D42" s="16" t="s">
        <v>170</v>
      </c>
      <c r="E42" s="16">
        <f>E41*EXP(-(1/B13)*E6/E5)</f>
        <v>51.827595069044058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zoomScale="98" zoomScaleNormal="98" workbookViewId="0">
      <pane ySplit="1" topLeftCell="A2" activePane="bottomLeft" state="frozen"/>
      <selection activeCell="F1" sqref="F1"/>
      <selection pane="bottomLeft" activeCell="E2" sqref="E2"/>
    </sheetView>
  </sheetViews>
  <sheetFormatPr defaultColWidth="9" defaultRowHeight="12" x14ac:dyDescent="0.2"/>
  <cols>
    <col min="1" max="1" width="4.140625" style="16" bestFit="1" customWidth="1"/>
    <col min="2" max="2" width="4.85546875" style="16" customWidth="1"/>
    <col min="3" max="3" width="0.85546875" style="16" customWidth="1"/>
    <col min="4" max="4" width="6.42578125" style="16" customWidth="1"/>
    <col min="5" max="5" width="19.140625" style="16" bestFit="1" customWidth="1"/>
    <col min="6" max="6" width="1" style="16" customWidth="1"/>
    <col min="7" max="7" width="5.28515625" style="16" bestFit="1" customWidth="1"/>
    <col min="8" max="8" width="17.140625" style="16" customWidth="1"/>
    <col min="9" max="9" width="16.85546875" style="16" customWidth="1"/>
    <col min="10" max="10" width="17.140625" style="16" customWidth="1"/>
    <col min="11" max="11" width="0.85546875" style="16" customWidth="1"/>
    <col min="12" max="12" width="9" style="16" customWidth="1"/>
    <col min="13" max="14" width="9.28515625" style="16" bestFit="1" customWidth="1"/>
    <col min="15" max="15" width="9.5703125" style="16" customWidth="1"/>
    <col min="16" max="16" width="9.85546875" style="16" customWidth="1"/>
    <col min="17" max="16384" width="9" style="16"/>
  </cols>
  <sheetData>
    <row r="1" spans="1:10" x14ac:dyDescent="0.2">
      <c r="A1" s="17" t="s">
        <v>11</v>
      </c>
      <c r="D1" s="36" t="s">
        <v>154</v>
      </c>
      <c r="G1" s="25" t="s">
        <v>252</v>
      </c>
      <c r="H1" s="26">
        <v>1</v>
      </c>
      <c r="I1" s="26">
        <v>2</v>
      </c>
      <c r="J1" s="26">
        <v>3</v>
      </c>
    </row>
    <row r="2" spans="1:10" ht="18.600000000000001" customHeight="1" x14ac:dyDescent="0.35">
      <c r="A2" s="41" t="s">
        <v>251</v>
      </c>
      <c r="B2" s="41">
        <v>0.26350000000000001</v>
      </c>
      <c r="D2" s="23" t="s">
        <v>240</v>
      </c>
      <c r="E2" s="23">
        <v>0.3</v>
      </c>
      <c r="G2" s="41" t="s">
        <v>275</v>
      </c>
      <c r="H2" s="16">
        <f>[1]!interpolate(matric_Hm,matric_vwc,150)</f>
        <v>0.12</v>
      </c>
      <c r="I2" s="16">
        <f>[1]!interpolate(matric_Hm,matric_vwc,150)</f>
        <v>0.12</v>
      </c>
      <c r="J2" s="16">
        <f>[1]!interpolate(matric_Hm,matric_vwc,150)</f>
        <v>0.12</v>
      </c>
    </row>
    <row r="3" spans="1:10" ht="15.6" customHeight="1" x14ac:dyDescent="0.35">
      <c r="A3" s="16" t="s">
        <v>264</v>
      </c>
      <c r="B3" s="16">
        <v>0.1</v>
      </c>
      <c r="G3" s="41" t="s">
        <v>235</v>
      </c>
      <c r="H3" s="16">
        <f>[1]!interpolate(matric_Hm,matric_vwc,0)</f>
        <v>0.39</v>
      </c>
      <c r="I3" s="16">
        <f>[1]!interpolate(matric_Hm,matric_vwc,0)</f>
        <v>0.39</v>
      </c>
      <c r="J3" s="16">
        <f>[1]!interpolate(matric_Hm,matric_vwc,0)</f>
        <v>0.39</v>
      </c>
    </row>
    <row r="4" spans="1:10" ht="19.5" x14ac:dyDescent="0.35">
      <c r="D4" s="17" t="s">
        <v>233</v>
      </c>
      <c r="G4" s="16" t="s">
        <v>230</v>
      </c>
      <c r="H4" s="16">
        <v>0.02</v>
      </c>
      <c r="I4" s="16">
        <v>0.46</v>
      </c>
      <c r="J4" s="16">
        <v>0.52</v>
      </c>
    </row>
    <row r="5" spans="1:10" ht="19.5" x14ac:dyDescent="0.35">
      <c r="D5" s="16" t="s">
        <v>245</v>
      </c>
      <c r="E5" s="16">
        <f>1/(1+(3.6073*H9/H3)^-9.3172)</f>
        <v>0.99993139281271592</v>
      </c>
      <c r="G5" s="43" t="s">
        <v>232</v>
      </c>
      <c r="H5" s="16">
        <f>H4</f>
        <v>0.02</v>
      </c>
      <c r="I5" s="16">
        <f>I4+H5</f>
        <v>0.48000000000000004</v>
      </c>
      <c r="J5" s="16">
        <f>J4+I5</f>
        <v>1</v>
      </c>
    </row>
    <row r="6" spans="1:10" ht="19.5" x14ac:dyDescent="0.35">
      <c r="D6" s="16" t="s">
        <v>276</v>
      </c>
      <c r="E6" s="16">
        <f>(PETs*E5)*0.75</f>
        <v>7.6499113033427074E-2</v>
      </c>
      <c r="G6" s="16" t="s">
        <v>231</v>
      </c>
      <c r="H6" s="16">
        <f>0.5*H4</f>
        <v>0.01</v>
      </c>
      <c r="I6" s="16">
        <f>H6+0.5*(H4+I4)</f>
        <v>0.25</v>
      </c>
      <c r="J6" s="16">
        <f>I6+0.5*(I4+J4)</f>
        <v>0.74</v>
      </c>
    </row>
    <row r="7" spans="1:10" ht="15.75" customHeight="1" x14ac:dyDescent="0.35">
      <c r="G7" s="41" t="s">
        <v>269</v>
      </c>
      <c r="H7" s="16">
        <f>$B$2*H4*1000</f>
        <v>5.2700000000000005</v>
      </c>
      <c r="I7" s="16">
        <f>$B$2*I4*1000</f>
        <v>121.21000000000001</v>
      </c>
      <c r="J7" s="16">
        <f>$B$2*J4*1000</f>
        <v>137.02000000000001</v>
      </c>
    </row>
    <row r="8" spans="1:10" ht="15.6" customHeight="1" x14ac:dyDescent="0.35">
      <c r="D8" s="17" t="s">
        <v>234</v>
      </c>
      <c r="G8" s="41" t="s">
        <v>270</v>
      </c>
      <c r="H8" s="16">
        <v>6.0504106942761497</v>
      </c>
      <c r="I8" s="16">
        <v>150.30228221743954</v>
      </c>
      <c r="J8" s="16">
        <v>175.49050473177411</v>
      </c>
    </row>
    <row r="9" spans="1:10" ht="18" customHeight="1" x14ac:dyDescent="0.35">
      <c r="D9" s="41" t="s">
        <v>274</v>
      </c>
      <c r="E9" s="16">
        <f>AVERAGE(H2:J2)</f>
        <v>0.12</v>
      </c>
      <c r="G9" s="41" t="s">
        <v>271</v>
      </c>
      <c r="H9" s="16">
        <f>MAX(0.01,MIN(H3,(H8/1000)/H4))</f>
        <v>0.30252053471380747</v>
      </c>
      <c r="I9" s="16">
        <f>MAX(0.01,MIN(I3,(I8/1000)/I4))</f>
        <v>0.3267440917770425</v>
      </c>
      <c r="J9" s="16">
        <f>MAX(0.01,MIN(J3,(J8/1000)/J4))</f>
        <v>0.33748173986879637</v>
      </c>
    </row>
    <row r="10" spans="1:10" ht="17.25" customHeight="1" x14ac:dyDescent="0.35">
      <c r="D10" s="41" t="s">
        <v>243</v>
      </c>
      <c r="E10" s="16">
        <f>AVERAGE(H3:J3)</f>
        <v>0.38999999999999996</v>
      </c>
      <c r="G10" s="16" t="s">
        <v>268</v>
      </c>
      <c r="H10" s="16">
        <f>[1]!interpolate(hydraulic_vwc,hydraulic_K,H9)</f>
        <v>4.8618741152966232</v>
      </c>
      <c r="I10" s="16">
        <f>[1]!interpolate(hydraulic_vwc,hydraulic_K,I9)</f>
        <v>12.122171285676659</v>
      </c>
      <c r="J10" s="16">
        <f>[1]!interpolate(hydraulic_vwc,hydraulic_K,J9)</f>
        <v>16.869564516794615</v>
      </c>
    </row>
    <row r="11" spans="1:10" ht="16.5" customHeight="1" x14ac:dyDescent="0.35">
      <c r="D11" s="41" t="s">
        <v>242</v>
      </c>
      <c r="E11" s="16">
        <f>E9+0.5*(E10-E9)</f>
        <v>0.255</v>
      </c>
      <c r="G11" s="16" t="s">
        <v>237</v>
      </c>
      <c r="H11" s="16">
        <f>[1]!interpolate(matric_vwc,matric_Hm,H9)</f>
        <v>0.43739732643096257</v>
      </c>
      <c r="I11" s="16">
        <f>[1]!interpolate(matric_vwc,matric_Hm,I9)</f>
        <v>0.31627954111478745</v>
      </c>
      <c r="J11" s="16">
        <f>[1]!interpolate(matric_vwc,matric_Hm,J9)</f>
        <v>0.2625913006560181</v>
      </c>
    </row>
    <row r="12" spans="1:10" ht="18.75" customHeight="1" x14ac:dyDescent="0.35">
      <c r="D12" s="41" t="s">
        <v>241</v>
      </c>
      <c r="E12" s="16">
        <f>SUM(H16:J16)/droot</f>
        <v>0.32512918797282681</v>
      </c>
      <c r="G12" s="16" t="s">
        <v>238</v>
      </c>
      <c r="H12" s="16">
        <f>H6</f>
        <v>0.01</v>
      </c>
      <c r="I12" s="16">
        <f>I6</f>
        <v>0.25</v>
      </c>
      <c r="J12" s="16">
        <f>J6</f>
        <v>0.74</v>
      </c>
    </row>
    <row r="13" spans="1:10" ht="18.75" customHeight="1" x14ac:dyDescent="0.35">
      <c r="D13" s="16" t="s">
        <v>244</v>
      </c>
      <c r="E13" s="16">
        <f>IF(E12&gt;=E11,1,MAX(0,(E12-E9)/(E11-E9)))</f>
        <v>1</v>
      </c>
      <c r="G13" s="16" t="s">
        <v>239</v>
      </c>
      <c r="H13" s="16">
        <f>H11+H12</f>
        <v>0.44739732643096258</v>
      </c>
      <c r="I13" s="16">
        <f>I11+I12</f>
        <v>0.5662795411147874</v>
      </c>
      <c r="J13" s="16">
        <f t="shared" ref="J13" si="0">J11+J12</f>
        <v>1.0025913006560181</v>
      </c>
    </row>
    <row r="14" spans="1:10" ht="19.5" x14ac:dyDescent="0.35">
      <c r="D14" s="16" t="s">
        <v>277</v>
      </c>
      <c r="E14" s="16">
        <f>(PETc*E13)</f>
        <v>0.59296741004301745</v>
      </c>
      <c r="G14" s="16" t="s">
        <v>267</v>
      </c>
      <c r="I14" s="16">
        <f>(H10*H4+I10*I4)/(I4+H4)</f>
        <v>11.819658903577491</v>
      </c>
      <c r="J14" s="16">
        <f>(I10*I4+J10*J4)/(J4+I4)</f>
        <v>14.641196265453534</v>
      </c>
    </row>
    <row r="15" spans="1:10" ht="18.75" customHeight="1" x14ac:dyDescent="0.35">
      <c r="G15" s="43" t="s">
        <v>265</v>
      </c>
      <c r="H15" s="16">
        <f>MAX(0,H5-droot)</f>
        <v>0</v>
      </c>
      <c r="I15" s="16">
        <f>MAX(0,I5-droot)</f>
        <v>0.18000000000000005</v>
      </c>
      <c r="J15" s="16">
        <f>MAX(0,J5-droot)</f>
        <v>0.7</v>
      </c>
    </row>
    <row r="16" spans="1:10" ht="15.75" customHeight="1" x14ac:dyDescent="0.35">
      <c r="D16" s="17" t="s">
        <v>263</v>
      </c>
      <c r="G16" s="41" t="s">
        <v>266</v>
      </c>
      <c r="H16" s="16">
        <f>MAX(0,H9*(H4-H15))</f>
        <v>6.0504106942761496E-3</v>
      </c>
      <c r="I16" s="16">
        <f t="shared" ref="I16:J16" si="1">MAX(0,I9*(I4-I15))</f>
        <v>9.1488345697571888E-2</v>
      </c>
      <c r="J16" s="16">
        <f t="shared" si="1"/>
        <v>0</v>
      </c>
    </row>
    <row r="17" spans="4:10" ht="15.75" customHeight="1" x14ac:dyDescent="0.35">
      <c r="D17" s="16" t="s">
        <v>273</v>
      </c>
      <c r="E17" s="16">
        <f ca="1">(1-MIN(m,L/Lmax*m))*Pg</f>
        <v>174.6</v>
      </c>
      <c r="G17" s="16" t="s">
        <v>248</v>
      </c>
      <c r="H17" s="16">
        <f>E6</f>
        <v>7.6499113033427074E-2</v>
      </c>
    </row>
    <row r="18" spans="4:10" ht="15" customHeight="1" x14ac:dyDescent="0.35">
      <c r="G18" s="41" t="s">
        <v>246</v>
      </c>
      <c r="H18" s="16">
        <f>MIN(1,H5/droot)</f>
        <v>6.6666666666666666E-2</v>
      </c>
      <c r="I18" s="16">
        <f>MIN(1,I5/droot)</f>
        <v>1</v>
      </c>
      <c r="J18" s="16">
        <f>MIN(1,J5/droot)</f>
        <v>1</v>
      </c>
    </row>
    <row r="19" spans="4:10" ht="19.5" x14ac:dyDescent="0.35">
      <c r="G19" s="41" t="s">
        <v>247</v>
      </c>
      <c r="H19" s="16">
        <f t="shared" ref="H19:J19" si="2">1.8*H18-0.8*H18^2</f>
        <v>0.11644444444444443</v>
      </c>
      <c r="I19" s="16">
        <f t="shared" si="2"/>
        <v>1</v>
      </c>
      <c r="J19" s="16">
        <f t="shared" si="2"/>
        <v>1</v>
      </c>
    </row>
    <row r="20" spans="4:10" ht="19.5" customHeight="1" x14ac:dyDescent="0.35">
      <c r="G20" s="16" t="s">
        <v>278</v>
      </c>
      <c r="H20" s="16">
        <f>H19*AETc</f>
        <v>6.9047760636120253E-2</v>
      </c>
      <c r="I20" s="16">
        <f>(I19-H19)*AETc</f>
        <v>0.52391964940689717</v>
      </c>
      <c r="J20" s="16">
        <f>(J19-I19)*AETc</f>
        <v>0</v>
      </c>
    </row>
    <row r="21" spans="4:10" ht="19.5" x14ac:dyDescent="0.35">
      <c r="G21" s="16" t="s">
        <v>249</v>
      </c>
      <c r="H21" s="16">
        <f ca="1">Pn-H17-H20</f>
        <v>174.45445312633043</v>
      </c>
      <c r="I21" s="16">
        <f>I14*(I13-H13)/(I6-H6)-I20</f>
        <v>5.330860464195939</v>
      </c>
      <c r="J21" s="16">
        <f>J14*(J13-I13)/(J6-I6)-J20</f>
        <v>13.036992049731689</v>
      </c>
    </row>
    <row r="22" spans="4:10" ht="19.5" x14ac:dyDescent="0.35">
      <c r="G22" s="28" t="s">
        <v>250</v>
      </c>
      <c r="H22" s="28">
        <f ca="1">H21-I21</f>
        <v>169.12359266213448</v>
      </c>
      <c r="I22" s="28">
        <f>I21-J21</f>
        <v>-7.7061315855357497</v>
      </c>
      <c r="J22" s="28">
        <f>J21-J14</f>
        <v>-1.604204215721845</v>
      </c>
    </row>
    <row r="32" spans="4:10" x14ac:dyDescent="0.2">
      <c r="G32" s="42"/>
      <c r="H32" s="42"/>
      <c r="I32" s="42"/>
      <c r="J32" s="42"/>
    </row>
    <row r="42" spans="4:4" s="42" customFormat="1" x14ac:dyDescent="0.2"/>
    <row r="43" spans="4:4" s="42" customFormat="1" x14ac:dyDescent="0.2"/>
    <row r="44" spans="4:4" s="42" customFormat="1" x14ac:dyDescent="0.2"/>
    <row r="45" spans="4:4" s="42" customFormat="1" x14ac:dyDescent="0.2"/>
    <row r="46" spans="4:4" s="42" customFormat="1" x14ac:dyDescent="0.2"/>
    <row r="47" spans="4:4" s="42" customFormat="1" x14ac:dyDescent="0.2"/>
    <row r="48" spans="4:4" s="42" customFormat="1" x14ac:dyDescent="0.2">
      <c r="D48" s="44"/>
    </row>
    <row r="49" s="42" customFormat="1" x14ac:dyDescent="0.2"/>
    <row r="50" s="42" customFormat="1" x14ac:dyDescent="0.2"/>
    <row r="51" s="42" customFormat="1" x14ac:dyDescent="0.2"/>
    <row r="52" s="42" customFormat="1" x14ac:dyDescent="0.2"/>
    <row r="53" s="42" customFormat="1" x14ac:dyDescent="0.2"/>
    <row r="54" s="42" customFormat="1" x14ac:dyDescent="0.2"/>
    <row r="55" s="42" customFormat="1" x14ac:dyDescent="0.2"/>
    <row r="56" s="42" customFormat="1" x14ac:dyDescent="0.2"/>
    <row r="57" s="42" customFormat="1" x14ac:dyDescent="0.2"/>
    <row r="58" s="42" customFormat="1" x14ac:dyDescent="0.2"/>
    <row r="59" s="42" customFormat="1" x14ac:dyDescent="0.2"/>
    <row r="60" s="42" customFormat="1" x14ac:dyDescent="0.2"/>
    <row r="61" s="42" customFormat="1" x14ac:dyDescent="0.2"/>
    <row r="62" s="42" customFormat="1" x14ac:dyDescent="0.2"/>
    <row r="63" s="42" customFormat="1" x14ac:dyDescent="0.2"/>
    <row r="64" s="42" customFormat="1" x14ac:dyDescent="0.2"/>
    <row r="65" s="42" customFormat="1" x14ac:dyDescent="0.2"/>
    <row r="66" s="42" customFormat="1" x14ac:dyDescent="0.2"/>
    <row r="67" s="42" customFormat="1" x14ac:dyDescent="0.2"/>
    <row r="68" s="42" customFormat="1" x14ac:dyDescent="0.2"/>
    <row r="69" s="42" customFormat="1" x14ac:dyDescent="0.2"/>
    <row r="70" s="42" customFormat="1" x14ac:dyDescent="0.2"/>
    <row r="71" s="42" customFormat="1" x14ac:dyDescent="0.2"/>
    <row r="72" s="42" customFormat="1" x14ac:dyDescent="0.2"/>
    <row r="73" s="42" customFormat="1" x14ac:dyDescent="0.2"/>
    <row r="74" s="42" customFormat="1" x14ac:dyDescent="0.2"/>
    <row r="75" s="42" customFormat="1" x14ac:dyDescent="0.2"/>
    <row r="76" s="42" customFormat="1" x14ac:dyDescent="0.2"/>
    <row r="77" s="42" customFormat="1" x14ac:dyDescent="0.2"/>
    <row r="78" s="42" customFormat="1" x14ac:dyDescent="0.2"/>
    <row r="79" s="42" customFormat="1" x14ac:dyDescent="0.2"/>
    <row r="80" s="42" customFormat="1" x14ac:dyDescent="0.2"/>
    <row r="81" s="42" customFormat="1" x14ac:dyDescent="0.2"/>
    <row r="82" s="42" customFormat="1" x14ac:dyDescent="0.2"/>
    <row r="83" s="42" customFormat="1" x14ac:dyDescent="0.2"/>
    <row r="84" s="42" customFormat="1" x14ac:dyDescent="0.2"/>
    <row r="85" s="42" customFormat="1" x14ac:dyDescent="0.2"/>
    <row r="86" s="42" customFormat="1" x14ac:dyDescent="0.2"/>
    <row r="87" s="42" customFormat="1" x14ac:dyDescent="0.2"/>
    <row r="88" s="42" customFormat="1" x14ac:dyDescent="0.2"/>
    <row r="89" s="42" customFormat="1" x14ac:dyDescent="0.2"/>
    <row r="90" s="42" customFormat="1" x14ac:dyDescent="0.2"/>
    <row r="91" s="42" customFormat="1" x14ac:dyDescent="0.2"/>
    <row r="92" s="42" customFormat="1" x14ac:dyDescent="0.2"/>
    <row r="93" s="42" customFormat="1" x14ac:dyDescent="0.2"/>
    <row r="94" s="42" customFormat="1" x14ac:dyDescent="0.2"/>
    <row r="95" s="42" customFormat="1" x14ac:dyDescent="0.2"/>
    <row r="96" s="42" customFormat="1" x14ac:dyDescent="0.2"/>
    <row r="97" s="42" customFormat="1" x14ac:dyDescent="0.2"/>
    <row r="98" s="42" customFormat="1" x14ac:dyDescent="0.2"/>
    <row r="99" s="42" customFormat="1" x14ac:dyDescent="0.2"/>
    <row r="100" s="42" customFormat="1" x14ac:dyDescent="0.2"/>
    <row r="101" s="42" customFormat="1" x14ac:dyDescent="0.2"/>
    <row r="102" s="42" customFormat="1" x14ac:dyDescent="0.2"/>
    <row r="103" s="42" customFormat="1" x14ac:dyDescent="0.2"/>
    <row r="104" s="42" customFormat="1" x14ac:dyDescent="0.2"/>
    <row r="105" s="42" customFormat="1" x14ac:dyDescent="0.2"/>
    <row r="106" s="42" customFormat="1" x14ac:dyDescent="0.2"/>
    <row r="107" s="42" customFormat="1" x14ac:dyDescent="0.2"/>
    <row r="108" s="42" customFormat="1" x14ac:dyDescent="0.2"/>
    <row r="109" s="42" customFormat="1" x14ac:dyDescent="0.2"/>
    <row r="110" s="42" customFormat="1" x14ac:dyDescent="0.2"/>
    <row r="111" s="42" customFormat="1" x14ac:dyDescent="0.2"/>
    <row r="112" s="42" customFormat="1" x14ac:dyDescent="0.2"/>
    <row r="113" s="42" customFormat="1" x14ac:dyDescent="0.2"/>
    <row r="114" s="42" customFormat="1" x14ac:dyDescent="0.2"/>
    <row r="115" s="42" customFormat="1" x14ac:dyDescent="0.2"/>
    <row r="116" s="42" customFormat="1" x14ac:dyDescent="0.2"/>
    <row r="117" s="42" customFormat="1" x14ac:dyDescent="0.2"/>
    <row r="118" s="42" customFormat="1" x14ac:dyDescent="0.2"/>
    <row r="119" s="42" customFormat="1" x14ac:dyDescent="0.2"/>
    <row r="120" s="42" customFormat="1" x14ac:dyDescent="0.2"/>
    <row r="121" s="42" customFormat="1" x14ac:dyDescent="0.2"/>
    <row r="122" s="42" customFormat="1" x14ac:dyDescent="0.2"/>
    <row r="123" s="42" customFormat="1" x14ac:dyDescent="0.2"/>
    <row r="124" s="42" customFormat="1" x14ac:dyDescent="0.2"/>
    <row r="125" s="42" customFormat="1" x14ac:dyDescent="0.2"/>
    <row r="126" s="42" customFormat="1" x14ac:dyDescent="0.2"/>
    <row r="127" s="42" customFormat="1" x14ac:dyDescent="0.2"/>
    <row r="128" s="42" customFormat="1" x14ac:dyDescent="0.2"/>
    <row r="129" s="42" customFormat="1" x14ac:dyDescent="0.2"/>
    <row r="130" s="42" customFormat="1" x14ac:dyDescent="0.2"/>
    <row r="131" s="42" customFormat="1" x14ac:dyDescent="0.2"/>
    <row r="132" s="42" customFormat="1" x14ac:dyDescent="0.2"/>
    <row r="133" s="42" customFormat="1" x14ac:dyDescent="0.2"/>
    <row r="134" s="42" customFormat="1" x14ac:dyDescent="0.2"/>
    <row r="135" s="42" customFormat="1" x14ac:dyDescent="0.2"/>
    <row r="136" s="42" customFormat="1" x14ac:dyDescent="0.2"/>
    <row r="137" s="42" customFormat="1" x14ac:dyDescent="0.2"/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I34"/>
  <sheetViews>
    <sheetView workbookViewId="0">
      <selection activeCell="E11" sqref="E11"/>
    </sheetView>
  </sheetViews>
  <sheetFormatPr defaultColWidth="9" defaultRowHeight="12" x14ac:dyDescent="0.2"/>
  <cols>
    <col min="1" max="1" width="7.85546875" style="16" customWidth="1"/>
    <col min="2" max="2" width="8.28515625" style="16" customWidth="1"/>
    <col min="3" max="3" width="2.42578125" style="16" customWidth="1"/>
    <col min="4" max="4" width="7.7109375" style="16" customWidth="1"/>
    <col min="5" max="5" width="14.140625" style="16" customWidth="1"/>
    <col min="6" max="6" width="8.7109375" style="16" customWidth="1"/>
    <col min="7" max="16384" width="9" style="16"/>
  </cols>
  <sheetData>
    <row r="2" spans="1:9" x14ac:dyDescent="0.2">
      <c r="A2" s="17" t="s">
        <v>229</v>
      </c>
      <c r="D2" s="17" t="s">
        <v>236</v>
      </c>
    </row>
    <row r="3" spans="1:9" ht="20.25" x14ac:dyDescent="0.35">
      <c r="A3" s="45" t="s">
        <v>258</v>
      </c>
      <c r="B3" s="26" t="s">
        <v>257</v>
      </c>
      <c r="D3" s="45" t="s">
        <v>258</v>
      </c>
      <c r="E3" s="26" t="s">
        <v>272</v>
      </c>
    </row>
    <row r="4" spans="1:9" x14ac:dyDescent="0.2">
      <c r="A4" s="16">
        <v>0.01</v>
      </c>
      <c r="B4" s="16">
        <v>1250</v>
      </c>
      <c r="D4" s="16">
        <v>0.01</v>
      </c>
      <c r="E4" s="47">
        <f>4.75E-28</f>
        <v>4.75E-28</v>
      </c>
    </row>
    <row r="5" spans="1:9" x14ac:dyDescent="0.2">
      <c r="A5" s="16">
        <v>0.12</v>
      </c>
      <c r="B5" s="16">
        <v>150</v>
      </c>
      <c r="D5" s="16">
        <v>0.05</v>
      </c>
      <c r="E5" s="47">
        <f>0.000000000000039</f>
        <v>3.8999999999999998E-14</v>
      </c>
    </row>
    <row r="6" spans="1:9" x14ac:dyDescent="0.2">
      <c r="A6" s="16">
        <v>0.13</v>
      </c>
      <c r="B6" s="16">
        <v>50</v>
      </c>
      <c r="D6" s="16">
        <v>0.11360000000000001</v>
      </c>
      <c r="E6" s="47">
        <f>0.00000004494</f>
        <v>4.4939999999999997E-8</v>
      </c>
      <c r="I6"/>
    </row>
    <row r="7" spans="1:9" x14ac:dyDescent="0.2">
      <c r="A7" s="16">
        <v>0.17</v>
      </c>
      <c r="B7" s="16">
        <v>10</v>
      </c>
      <c r="D7" s="16">
        <v>0.14630000000000001</v>
      </c>
      <c r="E7" s="47">
        <f xml:space="preserve"> 0.0001607</f>
        <v>1.607E-4</v>
      </c>
    </row>
    <row r="8" spans="1:9" x14ac:dyDescent="0.2">
      <c r="A8" s="16">
        <v>0.19</v>
      </c>
      <c r="B8" s="16">
        <v>4</v>
      </c>
      <c r="D8" s="16">
        <v>0.19989999999999999</v>
      </c>
      <c r="E8" s="47">
        <f xml:space="preserve"> 0.02794</f>
        <v>2.794E-2</v>
      </c>
    </row>
    <row r="9" spans="1:9" x14ac:dyDescent="0.2">
      <c r="A9" s="16">
        <v>0.2</v>
      </c>
      <c r="B9" s="16">
        <v>3</v>
      </c>
      <c r="D9" s="16">
        <v>0.23680000000000001</v>
      </c>
      <c r="E9" s="47">
        <f xml:space="preserve"> 0.2362</f>
        <v>0.23619999999999999</v>
      </c>
    </row>
    <row r="10" spans="1:9" x14ac:dyDescent="0.2">
      <c r="A10" s="16">
        <v>0.23</v>
      </c>
      <c r="B10" s="16">
        <v>2</v>
      </c>
      <c r="D10" s="16">
        <v>0.31180000000000002</v>
      </c>
      <c r="E10" s="47">
        <f>5.515</f>
        <v>5.5149999999999997</v>
      </c>
    </row>
    <row r="11" spans="1:9" x14ac:dyDescent="0.2">
      <c r="A11" s="16">
        <v>0.28000000000000003</v>
      </c>
      <c r="B11" s="16">
        <v>1</v>
      </c>
      <c r="D11" s="16">
        <v>0.34989999999999999</v>
      </c>
      <c r="E11" s="16">
        <f xml:space="preserve"> 22.36</f>
        <v>22.36</v>
      </c>
    </row>
    <row r="12" spans="1:9" x14ac:dyDescent="0.2">
      <c r="A12" s="16">
        <v>0.28999999999999998</v>
      </c>
      <c r="B12" s="16">
        <v>0.5</v>
      </c>
      <c r="D12" s="16">
        <v>0.39</v>
      </c>
      <c r="E12" s="64">
        <f xml:space="preserve"> 314.2</f>
        <v>314.2</v>
      </c>
    </row>
    <row r="13" spans="1:9" x14ac:dyDescent="0.2">
      <c r="A13" s="16">
        <v>0.39</v>
      </c>
      <c r="B13" s="16">
        <v>0</v>
      </c>
    </row>
    <row r="18" spans="1:1" x14ac:dyDescent="0.2">
      <c r="A18" s="17"/>
    </row>
    <row r="34" spans="1:1" x14ac:dyDescent="0.2">
      <c r="A34" s="17"/>
    </row>
  </sheetData>
  <phoneticPr fontId="22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1"/>
  <sheetViews>
    <sheetView showFormulas="1" workbookViewId="0">
      <selection activeCell="B8" sqref="B8"/>
    </sheetView>
  </sheetViews>
  <sheetFormatPr defaultRowHeight="12" x14ac:dyDescent="0.2"/>
  <cols>
    <col min="1" max="1" width="5.28515625" bestFit="1" customWidth="1"/>
    <col min="2" max="2" width="8.28515625" customWidth="1"/>
    <col min="3" max="3" width="1" customWidth="1"/>
    <col min="4" max="4" width="5.42578125" bestFit="1" customWidth="1"/>
    <col min="5" max="5" width="12" customWidth="1"/>
    <col min="6" max="6" width="0.85546875" customWidth="1"/>
    <col min="7" max="7" width="5.140625" customWidth="1"/>
    <col min="8" max="8" width="6.4257812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11</v>
      </c>
      <c r="C1" s="2"/>
      <c r="G1" s="2" t="s">
        <v>149</v>
      </c>
    </row>
    <row r="2" spans="1:12" x14ac:dyDescent="0.2">
      <c r="A2" s="5" t="s">
        <v>4</v>
      </c>
      <c r="B2" s="1">
        <f>DATE(2017,9,22)</f>
        <v>43000</v>
      </c>
      <c r="D2" s="5" t="s">
        <v>150</v>
      </c>
      <c r="E2" s="1">
        <f>B2+INT(_step)</f>
        <v>43029</v>
      </c>
      <c r="G2" s="31" t="s">
        <v>228</v>
      </c>
      <c r="H2">
        <f>th</f>
        <v>11.4370791</v>
      </c>
      <c r="I2">
        <f ca="1">assim</f>
        <v>22.928935963611814</v>
      </c>
      <c r="J2">
        <f>Photosynthesis!J20</f>
        <v>150.55154298714098</v>
      </c>
      <c r="K2">
        <f ca="1">tsr</f>
        <v>6.8457286226508955</v>
      </c>
      <c r="L2">
        <f ca="1">tss</f>
        <v>17.154271377349104</v>
      </c>
    </row>
    <row r="3" spans="1:12" x14ac:dyDescent="0.2">
      <c r="D3" s="5" t="s">
        <v>88</v>
      </c>
      <c r="E3" s="1">
        <f>date-DATE(YEAR(date),9,22)</f>
        <v>29</v>
      </c>
      <c r="G3" s="31" t="s">
        <v>228</v>
      </c>
      <c r="H3">
        <f>th</f>
        <v>11.4370791</v>
      </c>
      <c r="I3">
        <f ca="1">LETs</f>
        <v>38.478775344287946</v>
      </c>
      <c r="J3">
        <f>ET!H20</f>
        <v>34.766982187826784</v>
      </c>
      <c r="K3">
        <v>0</v>
      </c>
      <c r="L3">
        <v>12</v>
      </c>
    </row>
    <row r="4" spans="1:12" x14ac:dyDescent="0.2">
      <c r="A4" s="2" t="s">
        <v>0</v>
      </c>
      <c r="D4" s="5" t="s">
        <v>91</v>
      </c>
      <c r="E4">
        <v>11.4370791</v>
      </c>
      <c r="G4" s="31" t="s">
        <v>228</v>
      </c>
      <c r="H4">
        <f>th</f>
        <v>11.4370791</v>
      </c>
      <c r="I4">
        <f ca="1">LETc</f>
        <v>35.940574925527422</v>
      </c>
      <c r="J4">
        <f>ET!H26</f>
        <v>202.1030589229951</v>
      </c>
      <c r="K4">
        <v>0</v>
      </c>
      <c r="L4">
        <v>12</v>
      </c>
    </row>
    <row r="5" spans="1:12" x14ac:dyDescent="0.2">
      <c r="A5" s="5" t="s">
        <v>84</v>
      </c>
      <c r="B5">
        <v>29</v>
      </c>
      <c r="G5" s="31" t="s">
        <v>255</v>
      </c>
      <c r="H5">
        <f>Water!H8:J8</f>
        <v>6.0504106942761497</v>
      </c>
      <c r="I5">
        <f>Water!H22:J22</f>
        <v>-7.7061315855357497</v>
      </c>
      <c r="J5">
        <v>100</v>
      </c>
    </row>
    <row r="6" spans="1:12" x14ac:dyDescent="0.2">
      <c r="A6" s="5" t="s">
        <v>85</v>
      </c>
      <c r="B6">
        <v>1</v>
      </c>
      <c r="G6" s="31"/>
    </row>
    <row r="7" spans="1:12" x14ac:dyDescent="0.2">
      <c r="A7" s="5" t="s">
        <v>86</v>
      </c>
      <c r="B7">
        <v>29</v>
      </c>
    </row>
    <row r="8" spans="1:12" x14ac:dyDescent="0.2">
      <c r="A8" s="5" t="s">
        <v>87</v>
      </c>
      <c r="B8" t="b">
        <f>_step&lt;B5</f>
        <v>0</v>
      </c>
    </row>
    <row r="20" spans="7:9" x14ac:dyDescent="0.2">
      <c r="G20" s="2" t="s">
        <v>253</v>
      </c>
    </row>
    <row r="21" spans="7:9" x14ac:dyDescent="0.2">
      <c r="G21" s="31" t="s">
        <v>254</v>
      </c>
      <c r="H21">
        <f>Water!H8:J8</f>
        <v>6.0504106942761497</v>
      </c>
      <c r="I21">
        <f>Water!H7:J7</f>
        <v>121.21000000000001</v>
      </c>
    </row>
  </sheetData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39"/>
  <sheetViews>
    <sheetView tabSelected="1" zoomScaleNormal="100" workbookViewId="0">
      <selection activeCell="L8" sqref="L8"/>
    </sheetView>
  </sheetViews>
  <sheetFormatPr defaultRowHeight="12" x14ac:dyDescent="0.2"/>
  <cols>
    <col min="1" max="1" width="10.42578125" bestFit="1" customWidth="1"/>
    <col min="2" max="2" width="12.5703125" customWidth="1"/>
    <col min="3" max="5" width="8.7109375" customWidth="1"/>
    <col min="6" max="6" width="9.85546875" customWidth="1"/>
    <col min="7" max="7" width="8.28515625" customWidth="1"/>
    <col min="8" max="8" width="9.85546875" customWidth="1"/>
    <col min="9" max="9" width="7.85546875" customWidth="1"/>
    <col min="10" max="10" width="7.7109375" customWidth="1"/>
    <col min="11" max="11" width="8.7109375" customWidth="1"/>
    <col min="12" max="12" width="9.42578125" customWidth="1"/>
  </cols>
  <sheetData>
    <row r="1" spans="1:18" x14ac:dyDescent="0.2">
      <c r="A1" s="2" t="s">
        <v>89</v>
      </c>
      <c r="B1" s="2"/>
      <c r="C1" s="2"/>
    </row>
    <row r="2" spans="1:18" ht="14.25" x14ac:dyDescent="0.25">
      <c r="A2" s="13" t="s">
        <v>88</v>
      </c>
      <c r="B2" s="19" t="s">
        <v>256</v>
      </c>
      <c r="C2" s="46" t="s">
        <v>260</v>
      </c>
      <c r="D2" s="46" t="s">
        <v>261</v>
      </c>
      <c r="E2" s="46" t="s">
        <v>262</v>
      </c>
      <c r="F2" s="46" t="s">
        <v>259</v>
      </c>
      <c r="G2" s="14"/>
      <c r="H2" s="14"/>
      <c r="I2" s="14"/>
      <c r="J2" s="14"/>
      <c r="K2" s="14"/>
    </row>
    <row r="3" spans="1:18" x14ac:dyDescent="0.2">
      <c r="A3">
        <f>doy</f>
        <v>29</v>
      </c>
      <c r="B3">
        <f ca="1">Pg</f>
        <v>194</v>
      </c>
      <c r="C3">
        <f>Water!H9</f>
        <v>0.30252053471380747</v>
      </c>
      <c r="D3">
        <f>Water!I9</f>
        <v>0.3267440917770425</v>
      </c>
      <c r="E3">
        <f>Water!J9</f>
        <v>0.33748173986879637</v>
      </c>
      <c r="F3">
        <f>SUM(Water!H8:J8)</f>
        <v>331.84319764348982</v>
      </c>
    </row>
    <row r="4" spans="1:18" x14ac:dyDescent="0.2">
      <c r="C4" t="b">
        <v>0</v>
      </c>
      <c r="D4" t="b">
        <v>0</v>
      </c>
      <c r="E4" t="b">
        <v>0</v>
      </c>
      <c r="F4" t="b">
        <v>0</v>
      </c>
    </row>
    <row r="7" spans="1:18" x14ac:dyDescent="0.2">
      <c r="A7" s="2" t="s">
        <v>92</v>
      </c>
      <c r="B7" s="2"/>
      <c r="C7" s="2"/>
      <c r="F7" s="61" t="s">
        <v>287</v>
      </c>
      <c r="G7" s="61" t="s">
        <v>288</v>
      </c>
      <c r="H7" s="61" t="s">
        <v>289</v>
      </c>
      <c r="I7" s="61" t="s">
        <v>286</v>
      </c>
      <c r="J7" s="61" t="s">
        <v>290</v>
      </c>
      <c r="K7" s="61" t="s">
        <v>291</v>
      </c>
      <c r="L7" s="61" t="s">
        <v>292</v>
      </c>
      <c r="P7" s="13"/>
      <c r="Q7" s="13"/>
      <c r="R7" s="13"/>
    </row>
    <row r="8" spans="1:18" x14ac:dyDescent="0.2">
      <c r="A8" s="3">
        <v>0</v>
      </c>
      <c r="B8" s="3">
        <v>6</v>
      </c>
      <c r="C8" s="3">
        <v>0.26350000000000001</v>
      </c>
      <c r="D8" s="3">
        <v>0.26350000000000001</v>
      </c>
      <c r="E8" s="3">
        <v>0.26350000000000001</v>
      </c>
      <c r="F8" s="3">
        <v>263.5</v>
      </c>
      <c r="G8" s="60">
        <v>26.354107142857298</v>
      </c>
      <c r="H8" s="3">
        <f>G8*10</f>
        <v>263.54107142857299</v>
      </c>
      <c r="I8" s="62">
        <f>(ABS(H8-F8)/F8)</f>
        <v>1.5586879913848559E-4</v>
      </c>
      <c r="J8" s="15">
        <f>H8-F8</f>
        <v>4.1071428572990953E-2</v>
      </c>
      <c r="K8" s="63">
        <f>J8^2</f>
        <v>1.6868622450262978E-3</v>
      </c>
      <c r="L8">
        <f>SQRT(SUM(K8:K36)/29)</f>
        <v>14.459566656831244</v>
      </c>
      <c r="N8" s="3"/>
      <c r="O8" s="3"/>
      <c r="P8" s="3"/>
      <c r="Q8" s="3"/>
    </row>
    <row r="9" spans="1:18" x14ac:dyDescent="0.2">
      <c r="A9" s="3">
        <v>1</v>
      </c>
      <c r="B9" s="3">
        <v>1</v>
      </c>
      <c r="C9" s="3">
        <v>0.28143810400127095</v>
      </c>
      <c r="D9" s="3">
        <v>0.26899235478401978</v>
      </c>
      <c r="E9" s="3">
        <v>0.26392374431070537</v>
      </c>
      <c r="F9" s="3">
        <v>266.60559232224136</v>
      </c>
      <c r="G9" s="54">
        <v>26.273270365997799</v>
      </c>
      <c r="H9" s="3">
        <f t="shared" ref="H9:H37" si="0">G9*10</f>
        <v>262.73270365997797</v>
      </c>
      <c r="I9" s="62">
        <f t="shared" ref="I9:I37" si="1">(ABS(H9-F9)/F9)</f>
        <v>1.4526659506760464E-2</v>
      </c>
      <c r="J9" s="15">
        <f t="shared" ref="J9:J26" si="2">H9-F9</f>
        <v>-3.8728886622633922</v>
      </c>
      <c r="K9" s="63">
        <f t="shared" ref="K9:K37" si="3">J9^2</f>
        <v>14.999266590288327</v>
      </c>
      <c r="M9" s="3"/>
      <c r="N9" s="3"/>
      <c r="O9" s="3"/>
      <c r="P9" s="3"/>
    </row>
    <row r="10" spans="1:18" x14ac:dyDescent="0.2">
      <c r="A10" s="3">
        <v>2</v>
      </c>
      <c r="B10" s="3">
        <v>0</v>
      </c>
      <c r="C10" s="3">
        <v>0.25964255725196478</v>
      </c>
      <c r="D10" s="3">
        <v>0.2652134925496808</v>
      </c>
      <c r="E10" s="3">
        <v>0.26447564521085459</v>
      </c>
      <c r="F10" s="3">
        <v>264.71839322753686</v>
      </c>
      <c r="G10" s="54">
        <v>26.247820965842383</v>
      </c>
      <c r="H10" s="3">
        <f t="shared" si="0"/>
        <v>262.47820965842385</v>
      </c>
      <c r="I10" s="62">
        <f t="shared" si="1"/>
        <v>8.4625157390838361E-3</v>
      </c>
      <c r="J10" s="15">
        <f t="shared" si="2"/>
        <v>-2.2401835691130145</v>
      </c>
      <c r="K10" s="63">
        <f t="shared" si="3"/>
        <v>5.0184224233239245</v>
      </c>
      <c r="M10" s="3"/>
      <c r="N10" s="3"/>
      <c r="O10" s="3"/>
      <c r="P10" s="3"/>
    </row>
    <row r="11" spans="1:18" x14ac:dyDescent="0.2">
      <c r="A11" s="3">
        <v>3</v>
      </c>
      <c r="B11" s="3">
        <v>0</v>
      </c>
      <c r="C11" s="3">
        <v>0.2511589447467259</v>
      </c>
      <c r="D11" s="3">
        <v>0.26018473636187106</v>
      </c>
      <c r="E11" s="3">
        <v>0.26419549602879078</v>
      </c>
      <c r="F11" s="3">
        <v>262.08981555636637</v>
      </c>
      <c r="G11" s="54">
        <v>26.155535924617304</v>
      </c>
      <c r="H11" s="3">
        <f t="shared" si="0"/>
        <v>261.55535924617305</v>
      </c>
      <c r="I11" s="62">
        <f t="shared" si="1"/>
        <v>2.0392105242959258E-3</v>
      </c>
      <c r="J11" s="15">
        <f t="shared" si="2"/>
        <v>-0.53445631019332041</v>
      </c>
      <c r="K11" s="63">
        <f t="shared" si="3"/>
        <v>0.28564354750545873</v>
      </c>
      <c r="M11" s="3"/>
      <c r="N11" s="3"/>
      <c r="O11" s="3"/>
      <c r="P11" s="3"/>
    </row>
    <row r="12" spans="1:18" x14ac:dyDescent="0.2">
      <c r="A12" s="3">
        <v>4</v>
      </c>
      <c r="B12" s="3">
        <v>0</v>
      </c>
      <c r="C12" s="3">
        <v>0.2472903037445148</v>
      </c>
      <c r="D12" s="3">
        <v>0.25601785796805054</v>
      </c>
      <c r="E12" s="3">
        <v>0.2633216638240512</v>
      </c>
      <c r="F12" s="3">
        <v>259.6412859287002</v>
      </c>
      <c r="G12" s="54">
        <v>26.130672169811412</v>
      </c>
      <c r="H12" s="3">
        <f t="shared" si="0"/>
        <v>261.30672169811413</v>
      </c>
      <c r="I12" s="62">
        <f t="shared" si="1"/>
        <v>6.4143719033623783E-3</v>
      </c>
      <c r="J12" s="15">
        <f t="shared" si="2"/>
        <v>1.6654357694139321</v>
      </c>
      <c r="K12" s="63">
        <f t="shared" si="3"/>
        <v>2.7736763020433761</v>
      </c>
      <c r="M12" s="3"/>
      <c r="N12" s="3"/>
      <c r="O12" s="3"/>
      <c r="P12" s="3"/>
    </row>
    <row r="13" spans="1:18" x14ac:dyDescent="0.2">
      <c r="A13" s="3">
        <v>5</v>
      </c>
      <c r="B13" s="3">
        <v>21</v>
      </c>
      <c r="C13" s="3">
        <v>0.24436571590277884</v>
      </c>
      <c r="D13" s="3">
        <v>0.25246032966124404</v>
      </c>
      <c r="E13" s="3">
        <v>0.26212994269573037</v>
      </c>
      <c r="F13" s="3">
        <v>257.32663616400765</v>
      </c>
      <c r="G13" s="54">
        <v>26.091453692848845</v>
      </c>
      <c r="H13" s="3">
        <f t="shared" si="0"/>
        <v>260.91453692848847</v>
      </c>
      <c r="I13" s="62">
        <f t="shared" si="1"/>
        <v>1.3942982420965023E-2</v>
      </c>
      <c r="J13" s="15">
        <f t="shared" si="2"/>
        <v>3.5879007644808212</v>
      </c>
      <c r="K13" s="63">
        <f t="shared" si="3"/>
        <v>12.873031895762061</v>
      </c>
      <c r="M13" s="3"/>
      <c r="N13" s="3"/>
      <c r="O13" s="3"/>
      <c r="P13" s="3"/>
    </row>
    <row r="14" spans="1:18" x14ac:dyDescent="0.2">
      <c r="A14" s="39">
        <v>6</v>
      </c>
      <c r="B14" s="39">
        <v>4</v>
      </c>
      <c r="C14" s="39">
        <v>0.35199178491929828</v>
      </c>
      <c r="D14" s="39">
        <v>0.2823940174704303</v>
      </c>
      <c r="E14" s="39">
        <v>0.26306651039785706</v>
      </c>
      <c r="F14" s="3">
        <v>273.73566914166952</v>
      </c>
      <c r="G14" s="54">
        <v>27.064112149532793</v>
      </c>
      <c r="H14" s="3">
        <f t="shared" si="0"/>
        <v>270.64112149532792</v>
      </c>
      <c r="I14" s="62">
        <f t="shared" si="1"/>
        <v>1.1304875451726532E-2</v>
      </c>
      <c r="J14" s="15">
        <f t="shared" si="2"/>
        <v>-3.0945476463415957</v>
      </c>
      <c r="K14" s="63">
        <f t="shared" si="3"/>
        <v>9.5762251354783103</v>
      </c>
      <c r="M14" s="39"/>
      <c r="N14" s="39"/>
      <c r="O14" s="39"/>
      <c r="P14" s="39"/>
    </row>
    <row r="15" spans="1:18" x14ac:dyDescent="0.2">
      <c r="A15" s="39">
        <v>7</v>
      </c>
      <c r="B15" s="39">
        <v>0</v>
      </c>
      <c r="C15" s="39">
        <v>0.28101297275425974</v>
      </c>
      <c r="D15" s="39">
        <v>0.2803229586640455</v>
      </c>
      <c r="E15" s="39">
        <v>0.26754355709731753</v>
      </c>
      <c r="F15" s="3">
        <v>273.69147013115128</v>
      </c>
      <c r="G15" s="54">
        <v>27.079415204678142</v>
      </c>
      <c r="H15" s="3">
        <f t="shared" si="0"/>
        <v>270.79415204678139</v>
      </c>
      <c r="I15" s="62">
        <f t="shared" si="1"/>
        <v>1.0586073738364987E-2</v>
      </c>
      <c r="J15" s="15">
        <f t="shared" si="2"/>
        <v>-2.8973180843698856</v>
      </c>
      <c r="K15" s="63">
        <f t="shared" si="3"/>
        <v>8.3944520820167838</v>
      </c>
      <c r="M15" s="39"/>
      <c r="N15" s="39"/>
      <c r="O15" s="39"/>
      <c r="P15" s="39"/>
    </row>
    <row r="16" spans="1:18" x14ac:dyDescent="0.2">
      <c r="A16" s="3">
        <v>8</v>
      </c>
      <c r="B16" s="3">
        <v>0</v>
      </c>
      <c r="C16" s="3">
        <v>0.26195640653012059</v>
      </c>
      <c r="D16" s="3">
        <v>0.27236424607129467</v>
      </c>
      <c r="E16" s="3">
        <v>0.26922725247184703</v>
      </c>
      <c r="F16" s="3">
        <v>270.52485260875841</v>
      </c>
      <c r="G16" s="54">
        <v>26.87383838383834</v>
      </c>
      <c r="H16" s="3">
        <f t="shared" si="0"/>
        <v>268.73838383838341</v>
      </c>
      <c r="I16" s="62">
        <f t="shared" si="1"/>
        <v>6.6037140512137816E-3</v>
      </c>
      <c r="J16" s="15">
        <f t="shared" si="2"/>
        <v>-1.7864687703749951</v>
      </c>
      <c r="K16" s="63">
        <f t="shared" si="3"/>
        <v>3.191470667525147</v>
      </c>
      <c r="M16" s="3"/>
      <c r="N16" s="3"/>
      <c r="O16" s="3"/>
      <c r="P16" s="3"/>
    </row>
    <row r="17" spans="1:16" x14ac:dyDescent="0.2">
      <c r="A17" s="3">
        <v>9</v>
      </c>
      <c r="B17" s="3">
        <v>0</v>
      </c>
      <c r="C17" s="3">
        <v>0.25653232305468815</v>
      </c>
      <c r="D17" s="3">
        <v>0.2663502193623955</v>
      </c>
      <c r="E17" s="3">
        <v>0.26921863576665533</v>
      </c>
      <c r="F17" s="3">
        <v>267.64543796645648</v>
      </c>
      <c r="G17" s="54">
        <v>26.659346733668354</v>
      </c>
      <c r="H17" s="3">
        <f t="shared" si="0"/>
        <v>266.59346733668355</v>
      </c>
      <c r="I17" s="62">
        <f t="shared" si="1"/>
        <v>3.9304635183237463E-3</v>
      </c>
      <c r="J17" s="15">
        <f t="shared" si="2"/>
        <v>-1.0519706297729385</v>
      </c>
      <c r="K17" s="63">
        <f t="shared" si="3"/>
        <v>1.1066422059048728</v>
      </c>
      <c r="M17" s="3"/>
      <c r="N17" s="3"/>
      <c r="O17" s="3"/>
      <c r="P17" s="3"/>
    </row>
    <row r="18" spans="1:16" x14ac:dyDescent="0.2">
      <c r="A18" s="3">
        <v>10</v>
      </c>
      <c r="B18" s="3">
        <v>44</v>
      </c>
      <c r="C18" s="3">
        <v>0.25222194054429659</v>
      </c>
      <c r="D18" s="3">
        <v>0.26165260401212381</v>
      </c>
      <c r="E18" s="3">
        <v>0.26832835000217703</v>
      </c>
      <c r="F18" s="3">
        <v>264.93537865759492</v>
      </c>
      <c r="G18" s="54">
        <v>28.415022321428484</v>
      </c>
      <c r="H18" s="3">
        <f t="shared" si="0"/>
        <v>284.15022321428484</v>
      </c>
      <c r="I18" s="62">
        <f t="shared" si="1"/>
        <v>7.2526533277850233E-2</v>
      </c>
      <c r="J18" s="15">
        <f t="shared" si="2"/>
        <v>19.214844556689911</v>
      </c>
      <c r="K18" s="63">
        <f t="shared" si="3"/>
        <v>369.21025133775589</v>
      </c>
      <c r="M18" s="3"/>
      <c r="N18" s="3"/>
      <c r="O18" s="3"/>
      <c r="P18" s="3"/>
    </row>
    <row r="19" spans="1:16" x14ac:dyDescent="0.2">
      <c r="A19">
        <v>11</v>
      </c>
      <c r="B19">
        <v>5</v>
      </c>
      <c r="C19">
        <v>0.37556969825841457</v>
      </c>
      <c r="D19">
        <v>0.32502459473217926</v>
      </c>
      <c r="E19">
        <v>0.27647169058023269</v>
      </c>
      <c r="F19">
        <v>300.78798664369174</v>
      </c>
      <c r="G19" s="54">
        <v>30.714938900203716</v>
      </c>
      <c r="H19" s="3">
        <f t="shared" si="0"/>
        <v>307.14938900203714</v>
      </c>
      <c r="I19" s="62">
        <f t="shared" si="1"/>
        <v>2.1149123770960336E-2</v>
      </c>
      <c r="J19" s="15">
        <f t="shared" si="2"/>
        <v>6.3614023583454014</v>
      </c>
      <c r="K19" s="63">
        <f t="shared" si="3"/>
        <v>40.467439964762434</v>
      </c>
    </row>
    <row r="20" spans="1:16" x14ac:dyDescent="0.2">
      <c r="A20">
        <v>12</v>
      </c>
      <c r="B20">
        <v>0</v>
      </c>
      <c r="C20">
        <v>0.30159886611159081</v>
      </c>
      <c r="D20">
        <v>0.31179440821174437</v>
      </c>
      <c r="E20">
        <v>0.28735280414458308</v>
      </c>
      <c r="F20">
        <v>298.88086325481743</v>
      </c>
      <c r="G20" s="54">
        <v>29.206933614330836</v>
      </c>
      <c r="H20" s="3">
        <f t="shared" si="0"/>
        <v>292.06933614330836</v>
      </c>
      <c r="I20" s="62">
        <f t="shared" si="1"/>
        <v>2.2790107862147562E-2</v>
      </c>
      <c r="J20" s="15">
        <f t="shared" si="2"/>
        <v>-6.811527111509065</v>
      </c>
      <c r="K20" s="63">
        <f t="shared" si="3"/>
        <v>46.396901590823028</v>
      </c>
    </row>
    <row r="21" spans="1:16" x14ac:dyDescent="0.2">
      <c r="A21">
        <v>13</v>
      </c>
      <c r="B21">
        <v>7</v>
      </c>
      <c r="C21">
        <v>0.28631475683216906</v>
      </c>
      <c r="D21">
        <v>0.29917629447136179</v>
      </c>
      <c r="E21">
        <v>0.28975017496426642</v>
      </c>
      <c r="F21">
        <v>294.01748157488834</v>
      </c>
      <c r="G21" s="54">
        <v>28.585930232558329</v>
      </c>
      <c r="H21" s="3">
        <f t="shared" si="0"/>
        <v>285.85930232558331</v>
      </c>
      <c r="I21" s="62">
        <f t="shared" si="1"/>
        <v>2.7747259127607605E-2</v>
      </c>
      <c r="J21" s="15">
        <f t="shared" si="2"/>
        <v>-8.1581792493050216</v>
      </c>
      <c r="K21" s="63">
        <f t="shared" si="3"/>
        <v>66.555888663791052</v>
      </c>
    </row>
    <row r="22" spans="1:16" x14ac:dyDescent="0.2">
      <c r="A22">
        <v>14</v>
      </c>
      <c r="B22">
        <v>62</v>
      </c>
      <c r="C22">
        <v>0.31672872930669932</v>
      </c>
      <c r="D22">
        <v>0.30113166271222913</v>
      </c>
      <c r="E22">
        <v>0.29058623107283793</v>
      </c>
      <c r="F22">
        <v>295.95997959163515</v>
      </c>
      <c r="G22" s="54">
        <v>30.62329648241213</v>
      </c>
      <c r="H22" s="3">
        <f t="shared" si="0"/>
        <v>306.23296482412127</v>
      </c>
      <c r="I22" s="62">
        <f t="shared" si="1"/>
        <v>3.4710724222446428E-2</v>
      </c>
      <c r="J22" s="15">
        <f t="shared" si="2"/>
        <v>10.272985232486121</v>
      </c>
      <c r="K22" s="63">
        <f t="shared" si="3"/>
        <v>105.53422558687792</v>
      </c>
    </row>
    <row r="23" spans="1:16" x14ac:dyDescent="0.2">
      <c r="A23">
        <v>15</v>
      </c>
      <c r="B23">
        <v>3</v>
      </c>
      <c r="C23">
        <v>0.3468154331636743</v>
      </c>
      <c r="D23">
        <v>0.35686243376608057</v>
      </c>
      <c r="E23">
        <v>0.30992384868163958</v>
      </c>
      <c r="F23">
        <v>332.25342951012317</v>
      </c>
      <c r="G23" s="54">
        <v>32.222954545454598</v>
      </c>
      <c r="H23" s="3">
        <f t="shared" si="0"/>
        <v>322.22954545454598</v>
      </c>
      <c r="I23" s="62">
        <f t="shared" si="1"/>
        <v>3.0169392292974887E-2</v>
      </c>
      <c r="J23" s="15">
        <f t="shared" si="2"/>
        <v>-10.023884055577184</v>
      </c>
      <c r="K23" s="63">
        <f t="shared" si="3"/>
        <v>100.47825155965451</v>
      </c>
    </row>
    <row r="24" spans="1:16" x14ac:dyDescent="0.2">
      <c r="A24">
        <v>16</v>
      </c>
      <c r="B24">
        <v>0</v>
      </c>
      <c r="C24">
        <v>0.29243827757715102</v>
      </c>
      <c r="D24">
        <v>0.32718355757740258</v>
      </c>
      <c r="E24">
        <v>0.31704615752017856</v>
      </c>
      <c r="F24">
        <v>321.21720394764105</v>
      </c>
      <c r="G24" s="54">
        <v>30.610346232179136</v>
      </c>
      <c r="H24" s="3">
        <f t="shared" si="0"/>
        <v>306.10346232179137</v>
      </c>
      <c r="I24" s="62">
        <f t="shared" si="1"/>
        <v>4.7051469971431698E-2</v>
      </c>
      <c r="J24" s="15">
        <f t="shared" si="2"/>
        <v>-15.113741625849684</v>
      </c>
      <c r="K24" s="63">
        <f t="shared" si="3"/>
        <v>228.42518593294145</v>
      </c>
    </row>
    <row r="25" spans="1:16" x14ac:dyDescent="0.2">
      <c r="A25">
        <v>17</v>
      </c>
      <c r="B25">
        <v>3</v>
      </c>
      <c r="C25">
        <v>0.28738771657024831</v>
      </c>
      <c r="D25">
        <v>0.30865326634681539</v>
      </c>
      <c r="E25">
        <v>0.31712836876865858</v>
      </c>
      <c r="F25">
        <v>312.6350086106425</v>
      </c>
      <c r="G25" s="54">
        <v>30.109012605041972</v>
      </c>
      <c r="H25" s="3">
        <f t="shared" si="0"/>
        <v>301.09012605041971</v>
      </c>
      <c r="I25" s="62">
        <f t="shared" si="1"/>
        <v>3.6927670421583701E-2</v>
      </c>
      <c r="J25" s="15">
        <f t="shared" si="2"/>
        <v>-11.544882560222788</v>
      </c>
      <c r="K25" s="63">
        <f t="shared" si="3"/>
        <v>133.2843133293363</v>
      </c>
    </row>
    <row r="26" spans="1:16" x14ac:dyDescent="0.2">
      <c r="A26">
        <v>18</v>
      </c>
      <c r="B26">
        <v>0</v>
      </c>
      <c r="C26">
        <v>0.28932593225172698</v>
      </c>
      <c r="D26">
        <v>0.30096453954511065</v>
      </c>
      <c r="E26">
        <v>0.31565667132274922</v>
      </c>
      <c r="F26">
        <v>308.37167592361504</v>
      </c>
      <c r="G26" s="54">
        <v>29.602070707070748</v>
      </c>
      <c r="H26" s="3">
        <f t="shared" si="0"/>
        <v>296.02070707070749</v>
      </c>
      <c r="I26" s="62">
        <f t="shared" si="1"/>
        <v>4.00522156125874E-2</v>
      </c>
      <c r="J26" s="15">
        <f t="shared" si="2"/>
        <v>-12.350968852907556</v>
      </c>
      <c r="K26" s="63">
        <f t="shared" si="3"/>
        <v>152.54643160549259</v>
      </c>
    </row>
    <row r="27" spans="1:16" x14ac:dyDescent="0.2">
      <c r="A27">
        <v>19</v>
      </c>
      <c r="B27">
        <v>0</v>
      </c>
      <c r="C27">
        <v>0.28555426882711027</v>
      </c>
      <c r="D27">
        <v>0.29002543036185829</v>
      </c>
      <c r="E27">
        <v>0.313534726754156</v>
      </c>
      <c r="F27">
        <v>302.16084125515818</v>
      </c>
      <c r="G27" s="54">
        <v>29.36105263157847</v>
      </c>
      <c r="H27" s="3">
        <f t="shared" si="0"/>
        <v>293.61052631578468</v>
      </c>
      <c r="I27" s="62">
        <f t="shared" si="1"/>
        <v>2.8297230388477847E-2</v>
      </c>
      <c r="J27" s="15">
        <f>H27-F27</f>
        <v>-8.550314939373493</v>
      </c>
      <c r="K27" s="63">
        <f t="shared" si="3"/>
        <v>73.107885562473541</v>
      </c>
    </row>
    <row r="28" spans="1:16" x14ac:dyDescent="0.2">
      <c r="A28">
        <v>20</v>
      </c>
      <c r="B28">
        <v>0</v>
      </c>
      <c r="C28">
        <v>0.27983090518355908</v>
      </c>
      <c r="D28">
        <v>0.28423733081833003</v>
      </c>
      <c r="E28">
        <v>0.3084869134873236</v>
      </c>
      <c r="F28">
        <v>296.75898529351127</v>
      </c>
      <c r="G28" s="54">
        <v>29.091244813278049</v>
      </c>
      <c r="H28" s="3">
        <f t="shared" si="0"/>
        <v>290.91244813278047</v>
      </c>
      <c r="I28" s="62">
        <f t="shared" si="1"/>
        <v>1.9701297856064077E-2</v>
      </c>
      <c r="J28" s="15">
        <f t="shared" ref="J28:J37" si="4">H28-F28</f>
        <v>-5.8465371607308043</v>
      </c>
      <c r="K28" s="63">
        <f t="shared" si="3"/>
        <v>34.181996771806212</v>
      </c>
    </row>
    <row r="29" spans="1:16" x14ac:dyDescent="0.2">
      <c r="A29">
        <v>21</v>
      </c>
      <c r="B29">
        <v>0</v>
      </c>
      <c r="C29">
        <v>0.2740758572682907</v>
      </c>
      <c r="D29">
        <v>0.28191388347243029</v>
      </c>
      <c r="E29">
        <v>0.30128069764962284</v>
      </c>
      <c r="F29">
        <v>291.8278663204876</v>
      </c>
      <c r="G29" s="54">
        <v>28.736221532091296</v>
      </c>
      <c r="H29" s="3">
        <f t="shared" si="0"/>
        <v>287.36221532091298</v>
      </c>
      <c r="I29" s="62">
        <f t="shared" si="1"/>
        <v>1.5302346057214455E-2</v>
      </c>
      <c r="J29" s="15">
        <f t="shared" si="4"/>
        <v>-4.4656509995746205</v>
      </c>
      <c r="K29" s="63">
        <f t="shared" si="3"/>
        <v>19.942038850001808</v>
      </c>
    </row>
    <row r="30" spans="1:16" x14ac:dyDescent="0.2">
      <c r="A30">
        <v>22</v>
      </c>
      <c r="B30">
        <v>1</v>
      </c>
      <c r="C30">
        <v>0.27150427878944783</v>
      </c>
      <c r="D30">
        <v>0.28094829793099091</v>
      </c>
      <c r="E30">
        <v>0.29398043335561597</v>
      </c>
      <c r="F30">
        <v>287.5361279689651</v>
      </c>
      <c r="G30" s="54">
        <v>28.294567901234753</v>
      </c>
      <c r="H30" s="3">
        <f t="shared" si="0"/>
        <v>282.94567901234751</v>
      </c>
      <c r="I30" s="62">
        <f t="shared" si="1"/>
        <v>1.5964772806264741E-2</v>
      </c>
      <c r="J30" s="15">
        <f t="shared" si="4"/>
        <v>-4.5904489566175926</v>
      </c>
      <c r="K30" s="63">
        <f t="shared" si="3"/>
        <v>21.072221623311545</v>
      </c>
    </row>
    <row r="31" spans="1:16" x14ac:dyDescent="0.2">
      <c r="A31">
        <v>23</v>
      </c>
      <c r="B31">
        <v>36</v>
      </c>
      <c r="C31">
        <v>0.27548364749499021</v>
      </c>
      <c r="D31">
        <v>0.28116261383107449</v>
      </c>
      <c r="E31">
        <v>0.28778532490411673</v>
      </c>
      <c r="F31">
        <v>284.49284426233476</v>
      </c>
      <c r="G31" s="54">
        <v>32.810615224191977</v>
      </c>
      <c r="H31" s="3">
        <f t="shared" si="0"/>
        <v>328.10615224191974</v>
      </c>
      <c r="I31" s="62">
        <f t="shared" si="1"/>
        <v>0.15330195067883168</v>
      </c>
      <c r="J31" s="15">
        <f t="shared" si="4"/>
        <v>43.613307979584988</v>
      </c>
      <c r="K31" s="63">
        <f t="shared" si="3"/>
        <v>1902.1206329221316</v>
      </c>
    </row>
    <row r="32" spans="1:16" x14ac:dyDescent="0.2">
      <c r="A32">
        <v>24</v>
      </c>
      <c r="B32">
        <v>38</v>
      </c>
      <c r="C32">
        <v>0.36508666460589634</v>
      </c>
      <c r="D32">
        <v>0.33286335590983729</v>
      </c>
      <c r="E32">
        <v>0.29064281489722626</v>
      </c>
      <c r="F32">
        <v>311.55314075720077</v>
      </c>
      <c r="G32" s="54">
        <v>35.124786585365882</v>
      </c>
      <c r="H32" s="3">
        <f t="shared" si="0"/>
        <v>351.24786585365882</v>
      </c>
      <c r="I32" s="62">
        <f t="shared" si="1"/>
        <v>0.12740916365016813</v>
      </c>
      <c r="J32" s="15">
        <f t="shared" si="4"/>
        <v>39.694725096458058</v>
      </c>
      <c r="K32" s="63">
        <f t="shared" si="3"/>
        <v>1575.6712004833771</v>
      </c>
    </row>
    <row r="33" spans="1:11" x14ac:dyDescent="0.2">
      <c r="A33">
        <v>25</v>
      </c>
      <c r="B33">
        <v>24</v>
      </c>
      <c r="C33">
        <v>0.34393740259063915</v>
      </c>
      <c r="D33">
        <v>0.35278274247871189</v>
      </c>
      <c r="E33">
        <v>0.30722165061391477</v>
      </c>
      <c r="F33">
        <v>328.91406791125593</v>
      </c>
      <c r="G33" s="54">
        <v>35.361196120689549</v>
      </c>
      <c r="H33" s="3">
        <f t="shared" si="0"/>
        <v>353.6119612068955</v>
      </c>
      <c r="I33" s="62">
        <f t="shared" si="1"/>
        <v>7.5089197164723565E-2</v>
      </c>
      <c r="J33" s="15">
        <f t="shared" si="4"/>
        <v>24.697893295639574</v>
      </c>
      <c r="K33" s="63">
        <f t="shared" si="3"/>
        <v>609.98593324279818</v>
      </c>
    </row>
    <row r="34" spans="1:11" x14ac:dyDescent="0.2">
      <c r="A34">
        <v>26</v>
      </c>
      <c r="B34">
        <v>29</v>
      </c>
      <c r="C34">
        <v>0.34503218142855874</v>
      </c>
      <c r="D34">
        <v>0.35023831676123857</v>
      </c>
      <c r="E34">
        <v>0.31914262149513128</v>
      </c>
      <c r="F34">
        <v>333.96443251620917</v>
      </c>
      <c r="G34" s="54">
        <v>34.058111814345885</v>
      </c>
      <c r="H34" s="3">
        <f t="shared" si="0"/>
        <v>340.58111814345887</v>
      </c>
      <c r="I34" s="62">
        <f t="shared" si="1"/>
        <v>1.9812545837283285E-2</v>
      </c>
      <c r="J34" s="15">
        <f t="shared" si="4"/>
        <v>6.6166856272496943</v>
      </c>
      <c r="K34" s="63">
        <f t="shared" si="3"/>
        <v>43.78052868985268</v>
      </c>
    </row>
    <row r="35" spans="1:11" x14ac:dyDescent="0.2">
      <c r="A35">
        <v>27</v>
      </c>
      <c r="B35">
        <v>30</v>
      </c>
      <c r="C35">
        <v>0.34518930421334793</v>
      </c>
      <c r="D35">
        <v>0.35099154264996013</v>
      </c>
      <c r="E35">
        <v>0.32957525124324655</v>
      </c>
      <c r="F35">
        <v>339.73902634973683</v>
      </c>
      <c r="G35" s="54">
        <v>36.169025157232795</v>
      </c>
      <c r="H35" s="3">
        <f t="shared" si="0"/>
        <v>361.69025157232795</v>
      </c>
      <c r="I35" s="62">
        <f t="shared" si="1"/>
        <v>6.4612021346037288E-2</v>
      </c>
      <c r="J35" s="15">
        <f t="shared" si="4"/>
        <v>21.95122522259112</v>
      </c>
      <c r="K35" s="63">
        <f t="shared" si="3"/>
        <v>481.85628877292055</v>
      </c>
    </row>
    <row r="36" spans="1:11" x14ac:dyDescent="0.2">
      <c r="A36">
        <v>28</v>
      </c>
      <c r="B36">
        <v>6</v>
      </c>
      <c r="C36">
        <v>0.34551720247643669</v>
      </c>
      <c r="D36">
        <v>0.35110214153020175</v>
      </c>
      <c r="E36">
        <v>0.33733794225709246</v>
      </c>
      <c r="F36">
        <v>343.83305912710966</v>
      </c>
      <c r="G36" s="54">
        <v>34.450747368421041</v>
      </c>
      <c r="H36" s="3">
        <f t="shared" si="0"/>
        <v>344.50747368421042</v>
      </c>
      <c r="I36" s="62">
        <f t="shared" si="1"/>
        <v>1.9614593163696931E-3</v>
      </c>
      <c r="J36" s="15">
        <f t="shared" si="4"/>
        <v>0.6744145571007607</v>
      </c>
      <c r="K36" s="63">
        <f t="shared" si="3"/>
        <v>0.4548349948294152</v>
      </c>
    </row>
    <row r="37" spans="1:11" x14ac:dyDescent="0.2">
      <c r="A37">
        <v>29</v>
      </c>
      <c r="B37">
        <v>194</v>
      </c>
      <c r="C37">
        <v>0.3024150260233367</v>
      </c>
      <c r="D37">
        <v>0.32672984070920996</v>
      </c>
      <c r="E37">
        <v>0.33744362386005561</v>
      </c>
      <c r="F37">
        <v>331.81471165393225</v>
      </c>
      <c r="G37" s="54">
        <v>36.951029106028834</v>
      </c>
      <c r="H37" s="3">
        <f t="shared" si="0"/>
        <v>369.51029106028835</v>
      </c>
      <c r="I37" s="62">
        <f t="shared" si="1"/>
        <v>0.11360430409629001</v>
      </c>
      <c r="J37" s="15">
        <f t="shared" si="4"/>
        <v>37.695579406356103</v>
      </c>
      <c r="K37" s="63">
        <f t="shared" si="3"/>
        <v>1420.9567067808982</v>
      </c>
    </row>
    <row r="38" spans="1:11" x14ac:dyDescent="0.2">
      <c r="A38">
        <v>30</v>
      </c>
      <c r="B38" t="e">
        <v>#N/A</v>
      </c>
      <c r="C38">
        <v>0.12357761986907743</v>
      </c>
      <c r="D38">
        <v>0.39</v>
      </c>
      <c r="E38">
        <v>0.37766680326531049</v>
      </c>
      <c r="F38">
        <v>383.46880334986236</v>
      </c>
    </row>
    <row r="39" spans="1:11" ht="15" x14ac:dyDescent="0.2">
      <c r="G39" s="48"/>
    </row>
  </sheetData>
  <phoneticPr fontId="2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127</vt:i4>
      </vt:variant>
    </vt:vector>
  </HeadingPairs>
  <TitlesOfParts>
    <vt:vector size="135" baseType="lpstr">
      <vt:lpstr>Kumano</vt:lpstr>
      <vt:lpstr>Meteorology</vt:lpstr>
      <vt:lpstr>Photosynthesis</vt:lpstr>
      <vt:lpstr>ET</vt:lpstr>
      <vt:lpstr>Water</vt:lpstr>
      <vt:lpstr>Tables</vt:lpstr>
      <vt:lpstr>Control</vt:lpstr>
      <vt:lpstr>Output</vt:lpstr>
      <vt:lpstr>_criteria</vt:lpstr>
      <vt:lpstr>_operation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decl</vt:lpstr>
      <vt:lpstr>DL</vt:lpstr>
      <vt:lpstr>Dmv</vt:lpstr>
      <vt:lpstr>doy</vt:lpstr>
      <vt:lpstr>droot</vt:lpstr>
      <vt:lpstr>ea</vt:lpstr>
      <vt:lpstr>em</vt:lpstr>
      <vt:lpstr>es</vt:lpstr>
      <vt:lpstr>G</vt:lpstr>
      <vt:lpstr>h</vt:lpstr>
      <vt:lpstr>ha</vt:lpstr>
      <vt:lpstr>Hc</vt:lpstr>
      <vt:lpstr>Hs</vt:lpstr>
      <vt:lpstr>hydraulic_K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RH</vt:lpstr>
      <vt:lpstr>RHd</vt:lpstr>
      <vt:lpstr>Rn</vt:lpstr>
      <vt:lpstr>RnL</vt:lpstr>
      <vt:lpstr>rsa</vt:lpstr>
      <vt:lpstr>rss</vt:lpstr>
      <vt:lpstr>rst</vt:lpstr>
      <vt:lpstr>SB</vt:lpstr>
      <vt:lpstr>site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2018-03-01T08:12:18Z</dcterms:modified>
</cp:coreProperties>
</file>