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2402\mysite\"/>
    </mc:Choice>
  </mc:AlternateContent>
  <xr:revisionPtr revIDLastSave="0" documentId="13_ncr:1_{442A39AE-B662-4CBB-B569-F0876B56C6FD}" xr6:coauthVersionLast="31" xr6:coauthVersionMax="31" xr10:uidLastSave="{00000000-0000-0000-0000-000000000000}"/>
  <bookViews>
    <workbookView xWindow="3000" yWindow="-375" windowWidth="6570" windowHeight="7815" tabRatio="546" firstSheet="2" activeTab="7" xr2:uid="{00000000-000D-0000-FFFF-FFFF00000000}"/>
  </bookViews>
  <sheets>
    <sheet name="Kumano" sheetId="14" r:id="rId1"/>
    <sheet name="Meteorology" sheetId="9" r:id="rId2"/>
    <sheet name="Photosynthesis" sheetId="15" r:id="rId3"/>
    <sheet name="ET" sheetId="16" r:id="rId4"/>
    <sheet name="Water" sheetId="17" r:id="rId5"/>
    <sheet name="Tables" sheetId="18" r:id="rId6"/>
    <sheet name="Control" sheetId="10" r:id="rId7"/>
    <sheet name="Output" sheetId="11" r:id="rId8"/>
  </sheets>
  <externalReferences>
    <externalReference r:id="rId9"/>
  </externalReferences>
  <definedNames>
    <definedName name="_criteria">Control!$B$8</definedName>
    <definedName name="_operation">Control!$G$2</definedName>
    <definedName name="_prerun">Control!$G$21</definedName>
    <definedName name="_read">Output!$A$3</definedName>
    <definedName name="_step">Control!$B$7</definedName>
    <definedName name="_stepsize">Control!$B$6</definedName>
    <definedName name="_write">Output!$A$8</definedName>
    <definedName name="A">ET!$E$13</definedName>
    <definedName name="Ac">ET!$E$11</definedName>
    <definedName name="AETc">Water!$E$14</definedName>
    <definedName name="AETs">Water!$E$6</definedName>
    <definedName name="alpha">Photosynthesis!$B$14</definedName>
    <definedName name="As">ET!$E$12</definedName>
    <definedName name="assim">Photosynthesis!$J$19</definedName>
    <definedName name="Ci">Photosynthesis!$B$12</definedName>
    <definedName name="co2pt">Photosynthesis!$J$14</definedName>
    <definedName name="d">ET!$E$17</definedName>
    <definedName name="date">Control!$E$2</definedName>
    <definedName name="dayassim">Photosynthesis!$J$21</definedName>
    <definedName name="decl">Meteorology!$E$20</definedName>
    <definedName name="DL">Meteorology!$E$17</definedName>
    <definedName name="Dmv">ET!$B$19</definedName>
    <definedName name="doy">Control!$E$3</definedName>
    <definedName name="droot">Water!$E$2</definedName>
    <definedName name="ea">Meteorology!$E$42</definedName>
    <definedName name="em">Photosynthesis!$B$15</definedName>
    <definedName name="es">Meteorology!$E$41</definedName>
    <definedName name="G">ET!$E$10</definedName>
    <definedName name="h">ET!$E$2</definedName>
    <definedName name="ha">Meteorology!$E$21</definedName>
    <definedName name="Hc">ET!$H$38</definedName>
    <definedName name="Hs">ET!$H$34</definedName>
    <definedName name="hydraulic_K">Tables!$E$4:$E$12</definedName>
    <definedName name="hydraulic_vwc">Tables!$D$4:$D$12</definedName>
    <definedName name="Ic">Meteorology!$H$2</definedName>
    <definedName name="Idf">Meteorology!$H$36</definedName>
    <definedName name="Idfd">Meteorology!$H$15</definedName>
    <definedName name="Idr">Meteorology!$H$37</definedName>
    <definedName name="Idrd">Meteorology!$H$16</definedName>
    <definedName name="Iet">Meteorology!$H$18</definedName>
    <definedName name="Ietd">Meteorology!$H$4</definedName>
    <definedName name="It">Meteorology!$H$24</definedName>
    <definedName name="Itd">Meteorology!$H$5</definedName>
    <definedName name="k">ET!$B$17</definedName>
    <definedName name="Kc">Photosynthesis!$D$6</definedName>
    <definedName name="kdf">Photosynthesis!$G$14</definedName>
    <definedName name="kdr">Photosynthesis!$G$11</definedName>
    <definedName name="Kh">ET!$E$20</definedName>
    <definedName name="Ko">Photosynthesis!$D$7</definedName>
    <definedName name="kRn">ET!$B$4</definedName>
    <definedName name="L">Photosynthesis!$G$4</definedName>
    <definedName name="lat">Meteorology!$E$2</definedName>
    <definedName name="leafwidth">ET!$E$3</definedName>
    <definedName name="LET">ET!$H$13</definedName>
    <definedName name="LETc">ET!$H$25</definedName>
    <definedName name="LETs">ET!$H$19</definedName>
    <definedName name="Lmax">Photosynthesis!$B$2</definedName>
    <definedName name="Lsh">Photosynthesis!$G$18</definedName>
    <definedName name="Lsl">Photosynthesis!$G$17</definedName>
    <definedName name="m">Water!$B$3</definedName>
    <definedName name="matric_Hm">Tables!$B$4:$B$13</definedName>
    <definedName name="matric_vwc">Tables!$A$4:$A$13</definedName>
    <definedName name="nK">ET!$B$8</definedName>
    <definedName name="nu">ET!$B$7</definedName>
    <definedName name="Oa">Photosynthesis!$B$11</definedName>
    <definedName name="p">Meteorology!$B$5</definedName>
    <definedName name="pcp">ET!$B$18</definedName>
    <definedName name="PET">ET!$H$29</definedName>
    <definedName name="PETc">ET!$H$27</definedName>
    <definedName name="PETs">ET!$H$21</definedName>
    <definedName name="Pg">Meteorology!$E$12</definedName>
    <definedName name="Pn">Water!$E$17</definedName>
    <definedName name="pp">Photosynthesis!$B$13</definedName>
    <definedName name="pRn">ET!$E$9</definedName>
    <definedName name="psycho">ET!$B$16</definedName>
    <definedName name="Qdf">Photosynthesis!$G$22</definedName>
    <definedName name="Qdr">Photosynthesis!$G$21</definedName>
    <definedName name="Qsh">Photosynthesis!$J$11</definedName>
    <definedName name="Qsl">Photosynthesis!$J$10</definedName>
    <definedName name="raa">ET!$E$31</definedName>
    <definedName name="rca">ET!$E$35</definedName>
    <definedName name="rcs">ET!$E$39</definedName>
    <definedName name="RH">Meteorology!$E$47</definedName>
    <definedName name="RHd">Meteorology!$E$10</definedName>
    <definedName name="Rn">Meteorology!$H$41</definedName>
    <definedName name="RnL">Meteorology!$H$40</definedName>
    <definedName name="rsa">ET!$E$26</definedName>
    <definedName name="rss">ET!$E$42</definedName>
    <definedName name="rst">ET!$E$38</definedName>
    <definedName name="SB">Meteorology!$B$9</definedName>
    <definedName name="site">Meteorology!$B$2</definedName>
    <definedName name="slopesvp">Meteorology!$E$44</definedName>
    <definedName name="solver_adj" localSheetId="5" hidden="1">Tables!#REF!</definedName>
    <definedName name="solver_cvg" localSheetId="5" hidden="1">0.0001</definedName>
    <definedName name="solver_drv" localSheetId="5" hidden="1">1</definedName>
    <definedName name="solver_eng" localSheetId="7" hidden="1">1</definedName>
    <definedName name="solver_eng" localSheetId="5" hidden="1">1</definedName>
    <definedName name="solver_est" localSheetId="5" hidden="1">1</definedName>
    <definedName name="solver_itr" localSheetId="5" hidden="1">2147483647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7" hidden="1">1</definedName>
    <definedName name="solver_neg" localSheetId="5" hidden="1">1</definedName>
    <definedName name="solver_nod" localSheetId="5" hidden="1">2147483647</definedName>
    <definedName name="solver_num" localSheetId="7" hidden="1">0</definedName>
    <definedName name="solver_num" localSheetId="5" hidden="1">0</definedName>
    <definedName name="solver_nwt" localSheetId="5" hidden="1">1</definedName>
    <definedName name="solver_opt" localSheetId="7" hidden="1">Output!$F$8</definedName>
    <definedName name="solver_opt" localSheetId="5" hidden="1">Tables!#REF!</definedName>
    <definedName name="solver_pre" localSheetId="5" hidden="1">0.000001</definedName>
    <definedName name="solver_rbv" localSheetId="5" hidden="1">1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7" hidden="1">1</definedName>
    <definedName name="solver_typ" localSheetId="5" hidden="1">3</definedName>
    <definedName name="solver_val" localSheetId="7" hidden="1">0</definedName>
    <definedName name="solver_val" localSheetId="5" hidden="1">0</definedName>
    <definedName name="solver_ver" localSheetId="7" hidden="1">3</definedName>
    <definedName name="solver_ver" localSheetId="5" hidden="1">3</definedName>
    <definedName name="stom_a1">ET!$B$5</definedName>
    <definedName name="stom_a2">ET!$B$6</definedName>
    <definedName name="sunazi">Meteorology!$E$29</definedName>
    <definedName name="sunhgt">Meteorology!$E$26</definedName>
    <definedName name="sunhr">Meteorology!$E$6</definedName>
    <definedName name="suninc">Meteorology!$E$25</definedName>
    <definedName name="Ta">Meteorology!$E$36</definedName>
    <definedName name="Tak">Meteorology!$E$37</definedName>
    <definedName name="tau">Photosynthesis!$D$8</definedName>
    <definedName name="Tdcal">Meteorology!$E$40</definedName>
    <definedName name="Tdmax">Meteorology!$B$6</definedName>
    <definedName name="Tf">Photosynthesis!$G$3</definedName>
    <definedName name="th">Control!$E$4</definedName>
    <definedName name="Tmax">Meteorology!$E$8</definedName>
    <definedName name="Tmean">Meteorology!$E$9</definedName>
    <definedName name="Tmin">Meteorology!$E$7</definedName>
    <definedName name="Tset">Meteorology!$E$32</definedName>
    <definedName name="tsr">Meteorology!$E$15</definedName>
    <definedName name="tss">Meteorology!$E$16</definedName>
    <definedName name="u">Meteorology!$E$53</definedName>
    <definedName name="ud">Meteorology!$E$11</definedName>
    <definedName name="uh">ET!$E$19</definedName>
    <definedName name="umax">Meteorology!$E$51</definedName>
    <definedName name="umin">Meteorology!$E$50</definedName>
    <definedName name="ustar">ET!$E$18</definedName>
    <definedName name="vc">Photosynthesis!$J$15</definedName>
    <definedName name="Vcmax">Photosynthesis!$D$9</definedName>
    <definedName name="vpd">Meteorology!$E$43</definedName>
    <definedName name="vpd0">ET!$H$15</definedName>
    <definedName name="vqsh">Photosynthesis!$J$18</definedName>
    <definedName name="vqsl">Photosynthesis!$J$17</definedName>
    <definedName name="vs">Photosynthesis!$J$16</definedName>
    <definedName name="z0">ET!$E$16</definedName>
    <definedName name="zr">ET!$B$2</definedName>
    <definedName name="zs0">ET!$B$3</definedName>
  </definedNames>
  <calcPr calcId="179017"/>
</workbook>
</file>

<file path=xl/calcChain.xml><?xml version="1.0" encoding="utf-8"?>
<calcChain xmlns="http://schemas.openxmlformats.org/spreadsheetml/2006/main">
  <c r="G39" i="11" l="1"/>
  <c r="G37" i="11"/>
  <c r="G38" i="11"/>
  <c r="E10" i="18"/>
  <c r="E11" i="18" l="1"/>
  <c r="J31" i="14"/>
  <c r="G36" i="11" l="1"/>
  <c r="F47" i="11"/>
  <c r="J38" i="11"/>
  <c r="K36" i="11"/>
  <c r="L36" i="11" s="1"/>
  <c r="K37" i="11"/>
  <c r="L37" i="11" s="1"/>
  <c r="K38" i="11"/>
  <c r="L38" i="11" s="1"/>
  <c r="K39" i="11"/>
  <c r="L39" i="11" s="1"/>
  <c r="J36" i="11"/>
  <c r="J37" i="11"/>
  <c r="J39" i="11"/>
  <c r="G9" i="11"/>
  <c r="K9" i="11" s="1"/>
  <c r="L9" i="11" s="1"/>
  <c r="G10" i="11"/>
  <c r="K10" i="11" s="1"/>
  <c r="L10" i="11" s="1"/>
  <c r="G11" i="11"/>
  <c r="K11" i="11" s="1"/>
  <c r="L11" i="11" s="1"/>
  <c r="G12" i="11"/>
  <c r="K12" i="11" s="1"/>
  <c r="L12" i="11" s="1"/>
  <c r="G13" i="11"/>
  <c r="K13" i="11" s="1"/>
  <c r="L13" i="11" s="1"/>
  <c r="G14" i="11"/>
  <c r="K14" i="11" s="1"/>
  <c r="L14" i="11" s="1"/>
  <c r="G15" i="11"/>
  <c r="K15" i="11" s="1"/>
  <c r="L15" i="11" s="1"/>
  <c r="G16" i="11"/>
  <c r="K16" i="11" s="1"/>
  <c r="L16" i="11" s="1"/>
  <c r="G17" i="11"/>
  <c r="K17" i="11" s="1"/>
  <c r="L17" i="11" s="1"/>
  <c r="G18" i="11"/>
  <c r="K18" i="11" s="1"/>
  <c r="L18" i="11" s="1"/>
  <c r="G19" i="11"/>
  <c r="K19" i="11" s="1"/>
  <c r="L19" i="11" s="1"/>
  <c r="G20" i="11"/>
  <c r="K20" i="11" s="1"/>
  <c r="L20" i="11" s="1"/>
  <c r="G21" i="11"/>
  <c r="K21" i="11" s="1"/>
  <c r="L21" i="11" s="1"/>
  <c r="G22" i="11"/>
  <c r="K22" i="11" s="1"/>
  <c r="L22" i="11" s="1"/>
  <c r="G23" i="11"/>
  <c r="K23" i="11" s="1"/>
  <c r="L23" i="11" s="1"/>
  <c r="G24" i="11"/>
  <c r="K24" i="11" s="1"/>
  <c r="L24" i="11" s="1"/>
  <c r="G25" i="11"/>
  <c r="K25" i="11" s="1"/>
  <c r="L25" i="11" s="1"/>
  <c r="G26" i="11"/>
  <c r="K26" i="11" s="1"/>
  <c r="L26" i="11" s="1"/>
  <c r="G27" i="11"/>
  <c r="K27" i="11" s="1"/>
  <c r="L27" i="11" s="1"/>
  <c r="G28" i="11"/>
  <c r="K28" i="11" s="1"/>
  <c r="L28" i="11" s="1"/>
  <c r="G29" i="11"/>
  <c r="K29" i="11" s="1"/>
  <c r="L29" i="11" s="1"/>
  <c r="G30" i="11"/>
  <c r="K30" i="11" s="1"/>
  <c r="L30" i="11" s="1"/>
  <c r="G31" i="11"/>
  <c r="K31" i="11" s="1"/>
  <c r="L31" i="11" s="1"/>
  <c r="G32" i="11"/>
  <c r="K32" i="11" s="1"/>
  <c r="L32" i="11" s="1"/>
  <c r="G33" i="11"/>
  <c r="K33" i="11" s="1"/>
  <c r="L33" i="11" s="1"/>
  <c r="G34" i="11"/>
  <c r="K34" i="11" s="1"/>
  <c r="L34" i="11" s="1"/>
  <c r="G35" i="11"/>
  <c r="K35" i="11" s="1"/>
  <c r="L35" i="11" s="1"/>
  <c r="G40" i="11"/>
  <c r="K40" i="11" s="1"/>
  <c r="L40" i="11" s="1"/>
  <c r="G41" i="11"/>
  <c r="K41" i="11" s="1"/>
  <c r="L41" i="11" s="1"/>
  <c r="G42" i="11"/>
  <c r="K42" i="11" s="1"/>
  <c r="L42" i="11" s="1"/>
  <c r="G8" i="11"/>
  <c r="K8" i="11" s="1"/>
  <c r="D31" i="14"/>
  <c r="M8" i="11" l="1"/>
  <c r="J42" i="11"/>
  <c r="J41" i="11"/>
  <c r="J40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I38" i="11"/>
  <c r="I39" i="11"/>
  <c r="I40" i="11"/>
  <c r="I41" i="11"/>
  <c r="I42" i="11"/>
  <c r="D32" i="14"/>
  <c r="D33" i="14"/>
  <c r="D34" i="14"/>
  <c r="D35" i="14"/>
  <c r="D36" i="14"/>
  <c r="D37" i="14"/>
  <c r="E9" i="18" l="1"/>
  <c r="E8" i="18"/>
  <c r="E7" i="18"/>
  <c r="E6" i="18"/>
  <c r="E5" i="18"/>
  <c r="E4" i="18"/>
  <c r="H27" i="16"/>
  <c r="H21" i="16"/>
  <c r="I37" i="11"/>
  <c r="I34" i="11"/>
  <c r="I36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I9" i="11"/>
  <c r="I27" i="11"/>
  <c r="B8" i="10"/>
  <c r="I35" i="11"/>
  <c r="I33" i="11"/>
  <c r="I32" i="11"/>
  <c r="I31" i="11"/>
  <c r="I30" i="11"/>
  <c r="I29" i="11"/>
  <c r="I28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8" i="11"/>
  <c r="L8" i="11" s="1"/>
  <c r="J7" i="17"/>
  <c r="I7" i="17"/>
  <c r="H7" i="17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B2" i="10"/>
  <c r="E2" i="10" s="1"/>
  <c r="H21" i="10"/>
  <c r="F3" i="11"/>
  <c r="E3" i="9"/>
  <c r="H5" i="10"/>
  <c r="I21" i="10"/>
  <c r="E4" i="16"/>
  <c r="H6" i="17"/>
  <c r="I6" i="17" s="1"/>
  <c r="H5" i="17"/>
  <c r="H15" i="17" s="1"/>
  <c r="H18" i="17"/>
  <c r="H12" i="17"/>
  <c r="H19" i="17"/>
  <c r="G4" i="15"/>
  <c r="E9" i="16"/>
  <c r="J4" i="10"/>
  <c r="H4" i="10"/>
  <c r="J3" i="10"/>
  <c r="H3" i="10"/>
  <c r="B19" i="16"/>
  <c r="E41" i="16"/>
  <c r="E33" i="16"/>
  <c r="E24" i="16"/>
  <c r="E17" i="16"/>
  <c r="E16" i="16"/>
  <c r="H29" i="16"/>
  <c r="E30" i="16"/>
  <c r="E25" i="16"/>
  <c r="J2" i="10"/>
  <c r="G13" i="15"/>
  <c r="G12" i="15"/>
  <c r="G7" i="15"/>
  <c r="G8" i="15"/>
  <c r="J21" i="15"/>
  <c r="G14" i="15"/>
  <c r="J6" i="15" s="1"/>
  <c r="H2" i="10"/>
  <c r="E21" i="9"/>
  <c r="B9" i="9"/>
  <c r="H3" i="17"/>
  <c r="I3" i="17"/>
  <c r="J3" i="17"/>
  <c r="H2" i="17"/>
  <c r="I2" i="17"/>
  <c r="J2" i="17"/>
  <c r="E2" i="9"/>
  <c r="E7" i="9"/>
  <c r="E8" i="9"/>
  <c r="E12" i="9"/>
  <c r="E11" i="9"/>
  <c r="E10" i="9"/>
  <c r="E17" i="17" l="1"/>
  <c r="E9" i="17"/>
  <c r="E10" i="17"/>
  <c r="E50" i="9"/>
  <c r="B3" i="11"/>
  <c r="E9" i="9"/>
  <c r="J9" i="17"/>
  <c r="I9" i="17"/>
  <c r="H9" i="17"/>
  <c r="E5" i="16"/>
  <c r="J6" i="17"/>
  <c r="J12" i="17" s="1"/>
  <c r="I12" i="17"/>
  <c r="E3" i="10"/>
  <c r="I5" i="17"/>
  <c r="J10" i="17"/>
  <c r="J11" i="17"/>
  <c r="I10" i="17"/>
  <c r="I11" i="17"/>
  <c r="H10" i="17"/>
  <c r="H11" i="17"/>
  <c r="E6" i="9"/>
  <c r="H13" i="17" l="1"/>
  <c r="I14" i="17"/>
  <c r="I13" i="17"/>
  <c r="J14" i="17"/>
  <c r="J13" i="17"/>
  <c r="I15" i="17"/>
  <c r="J5" i="17"/>
  <c r="I18" i="17"/>
  <c r="I19" i="17" s="1"/>
  <c r="E20" i="9"/>
  <c r="A3" i="11"/>
  <c r="H2" i="9"/>
  <c r="H16" i="17"/>
  <c r="E5" i="17"/>
  <c r="E6" i="17" s="1"/>
  <c r="C3" i="11"/>
  <c r="E6" i="16"/>
  <c r="E42" i="16" s="1"/>
  <c r="I16" i="17"/>
  <c r="D3" i="11"/>
  <c r="E3" i="11"/>
  <c r="E11" i="17"/>
  <c r="H17" i="17" l="1"/>
  <c r="E22" i="9"/>
  <c r="E23" i="9"/>
  <c r="J15" i="17"/>
  <c r="J16" i="17" s="1"/>
  <c r="E12" i="17" s="1"/>
  <c r="E13" i="17" s="1"/>
  <c r="E14" i="17" s="1"/>
  <c r="J18" i="17"/>
  <c r="J19" i="17" s="1"/>
  <c r="H20" i="17" l="1"/>
  <c r="H21" i="17" s="1"/>
  <c r="I20" i="17"/>
  <c r="I21" i="17" s="1"/>
  <c r="J20" i="17"/>
  <c r="J21" i="17" s="1"/>
  <c r="J22" i="17" s="1"/>
  <c r="E16" i="9"/>
  <c r="E24" i="9"/>
  <c r="H3" i="9"/>
  <c r="H4" i="9" s="1"/>
  <c r="E25" i="9"/>
  <c r="H20" i="9"/>
  <c r="G9" i="15" l="1"/>
  <c r="G10" i="15" s="1"/>
  <c r="G11" i="15" s="1"/>
  <c r="E26" i="9"/>
  <c r="E15" i="9"/>
  <c r="E17" i="9"/>
  <c r="E51" i="9" s="1"/>
  <c r="E52" i="9" s="1"/>
  <c r="L2" i="10"/>
  <c r="E32" i="9"/>
  <c r="I22" i="17"/>
  <c r="I5" i="10" s="1"/>
  <c r="H22" i="17"/>
  <c r="E33" i="9" l="1"/>
  <c r="E34" i="9"/>
  <c r="K2" i="10"/>
  <c r="E35" i="9"/>
  <c r="E36" i="9" s="1"/>
  <c r="E53" i="9"/>
  <c r="E18" i="16" s="1"/>
  <c r="H5" i="9"/>
  <c r="H27" i="9"/>
  <c r="H28" i="9" s="1"/>
  <c r="E27" i="9"/>
  <c r="E28" i="9" s="1"/>
  <c r="E29" i="9" s="1"/>
  <c r="H18" i="9"/>
  <c r="G17" i="15"/>
  <c r="E37" i="9" l="1"/>
  <c r="E40" i="9"/>
  <c r="E42" i="9" s="1"/>
  <c r="E41" i="9"/>
  <c r="E43" i="9" s="1"/>
  <c r="E44" i="9"/>
  <c r="G18" i="15"/>
  <c r="H19" i="9"/>
  <c r="H21" i="9" s="1"/>
  <c r="H7" i="9"/>
  <c r="H10" i="9"/>
  <c r="H11" i="9"/>
  <c r="H8" i="9"/>
  <c r="H9" i="9"/>
  <c r="E29" i="16"/>
  <c r="E28" i="16"/>
  <c r="E31" i="16" s="1"/>
  <c r="E20" i="16"/>
  <c r="E23" i="16" s="1"/>
  <c r="E26" i="16" s="1"/>
  <c r="E19" i="16"/>
  <c r="E34" i="16" s="1"/>
  <c r="E35" i="16" s="1"/>
  <c r="H12" i="9" l="1"/>
  <c r="H14" i="9"/>
  <c r="H13" i="9"/>
  <c r="H23" i="9"/>
  <c r="H22" i="9"/>
  <c r="H24" i="9" s="1"/>
  <c r="H2" i="16"/>
  <c r="H4" i="16"/>
  <c r="H11" i="16"/>
  <c r="H18" i="16"/>
  <c r="H33" i="16"/>
  <c r="E47" i="9"/>
  <c r="H40" i="9"/>
  <c r="H15" i="9" l="1"/>
  <c r="H16" i="9" s="1"/>
  <c r="E37" i="16"/>
  <c r="E38" i="16" s="1"/>
  <c r="E39" i="16" s="1"/>
  <c r="H32" i="9"/>
  <c r="H29" i="9"/>
  <c r="H41" i="9"/>
  <c r="H26" i="9"/>
  <c r="H35" i="9" l="1"/>
  <c r="H33" i="9"/>
  <c r="H34" i="9"/>
  <c r="H30" i="9"/>
  <c r="H31" i="9"/>
  <c r="E10" i="16"/>
  <c r="E11" i="16"/>
  <c r="E12" i="16"/>
  <c r="H37" i="16"/>
  <c r="H3" i="16"/>
  <c r="H24" i="16"/>
  <c r="H8" i="16"/>
  <c r="H36" i="9" l="1"/>
  <c r="H5" i="16"/>
  <c r="H6" i="16"/>
  <c r="E13" i="16"/>
  <c r="G22" i="15"/>
  <c r="J7" i="15" s="1"/>
  <c r="H37" i="9"/>
  <c r="G21" i="15" s="1"/>
  <c r="J4" i="15" l="1"/>
  <c r="J3" i="15"/>
  <c r="J5" i="15" s="1"/>
  <c r="J10" i="15"/>
  <c r="J11" i="15"/>
  <c r="H7" i="16"/>
  <c r="H9" i="16" s="1"/>
  <c r="H10" i="16"/>
  <c r="H12" i="16" s="1"/>
  <c r="H13" i="16"/>
  <c r="H15" i="16" s="1"/>
  <c r="H32" i="16" l="1"/>
  <c r="H34" i="16" s="1"/>
  <c r="H17" i="16"/>
  <c r="H19" i="16" s="1"/>
  <c r="I3" i="10" s="1"/>
  <c r="H36" i="16"/>
  <c r="H38" i="16" s="1"/>
  <c r="K2" i="16" s="1"/>
  <c r="G3" i="15" s="1"/>
  <c r="H23" i="16"/>
  <c r="H25" i="16" s="1"/>
  <c r="I4" i="10" s="1"/>
  <c r="D8" i="15" l="1"/>
  <c r="J14" i="15" s="1"/>
  <c r="D6" i="15"/>
  <c r="D9" i="15"/>
  <c r="D7" i="15"/>
  <c r="J16" i="15" l="1"/>
  <c r="J15" i="15"/>
  <c r="J18" i="15"/>
  <c r="J17" i="15"/>
  <c r="J19" i="15" l="1"/>
  <c r="I2" i="10" s="1"/>
</calcChain>
</file>

<file path=xl/sharedStrings.xml><?xml version="1.0" encoding="utf-8"?>
<sst xmlns="http://schemas.openxmlformats.org/spreadsheetml/2006/main" count="331" uniqueCount="294">
  <si>
    <t>CONTROL</t>
  </si>
  <si>
    <t>year</t>
  </si>
  <si>
    <t>month</t>
  </si>
  <si>
    <t>day</t>
  </si>
  <si>
    <t>date</t>
  </si>
  <si>
    <t>sunhr</t>
  </si>
  <si>
    <t>tmin</t>
  </si>
  <si>
    <t>rh</t>
  </si>
  <si>
    <t>wind</t>
  </si>
  <si>
    <t>rain</t>
  </si>
  <si>
    <t>*Feb 1991 weather data not collected due to faulty equipment</t>
  </si>
  <si>
    <t>INPUT</t>
  </si>
  <si>
    <t>SOLAR RADIATION</t>
  </si>
  <si>
    <t>DAILY WEATHER</t>
  </si>
  <si>
    <t>n1</t>
  </si>
  <si>
    <t>n2</t>
  </si>
  <si>
    <t>n3</t>
  </si>
  <si>
    <t>n4</t>
  </si>
  <si>
    <t>SOLAR POSITION</t>
  </si>
  <si>
    <t>a</t>
  </si>
  <si>
    <t>b</t>
  </si>
  <si>
    <t>R</t>
  </si>
  <si>
    <t>SUNRISE/SET</t>
  </si>
  <si>
    <t>K</t>
  </si>
  <si>
    <t>Stefan-Boltzmann</t>
  </si>
  <si>
    <t>WIND SPEED</t>
  </si>
  <si>
    <t>CONSTANTS</t>
  </si>
  <si>
    <t>DL</t>
  </si>
  <si>
    <t>RH</t>
  </si>
  <si>
    <t>u</t>
  </si>
  <si>
    <r>
      <t>T</t>
    </r>
    <r>
      <rPr>
        <vertAlign val="subscript"/>
        <sz val="12"/>
        <rFont val="Arial"/>
        <family val="2"/>
      </rPr>
      <t>max</t>
    </r>
  </si>
  <si>
    <r>
      <t>T</t>
    </r>
    <r>
      <rPr>
        <vertAlign val="subscript"/>
        <sz val="12"/>
        <rFont val="Arial"/>
        <family val="2"/>
      </rPr>
      <t>min</t>
    </r>
  </si>
  <si>
    <r>
      <t>T</t>
    </r>
    <r>
      <rPr>
        <vertAlign val="subscript"/>
        <sz val="12"/>
        <rFont val="Arial"/>
        <family val="2"/>
      </rPr>
      <t>mean</t>
    </r>
  </si>
  <si>
    <r>
      <t xml:space="preserve">latitude, </t>
    </r>
    <r>
      <rPr>
        <sz val="11"/>
        <rFont val="Symbol"/>
        <family val="1"/>
        <charset val="2"/>
      </rPr>
      <t xml:space="preserve"> l</t>
    </r>
    <r>
      <rPr>
        <sz val="9"/>
        <rFont val="Arial"/>
        <family val="2"/>
      </rPr>
      <t xml:space="preserve"> (rad)</t>
    </r>
  </si>
  <si>
    <t>d</t>
  </si>
  <si>
    <t>t</t>
  </si>
  <si>
    <r>
      <t>t</t>
    </r>
    <r>
      <rPr>
        <vertAlign val="subscript"/>
        <sz val="12"/>
        <rFont val="Arial"/>
        <family val="2"/>
      </rPr>
      <t>sr</t>
    </r>
  </si>
  <si>
    <r>
      <t>t</t>
    </r>
    <r>
      <rPr>
        <vertAlign val="subscript"/>
        <sz val="12"/>
        <rFont val="Arial"/>
        <family val="2"/>
      </rPr>
      <t>ss</t>
    </r>
  </si>
  <si>
    <r>
      <t>T</t>
    </r>
    <r>
      <rPr>
        <vertAlign val="subscript"/>
        <sz val="12"/>
        <rFont val="Arial"/>
        <family val="2"/>
      </rPr>
      <t>set</t>
    </r>
  </si>
  <si>
    <r>
      <t>T</t>
    </r>
    <r>
      <rPr>
        <vertAlign val="subscript"/>
        <sz val="12"/>
        <rFont val="Arial"/>
        <family val="2"/>
      </rPr>
      <t>a</t>
    </r>
    <r>
      <rPr>
        <sz val="9"/>
        <rFont val="Arial"/>
        <family val="2"/>
      </rPr>
      <t xml:space="preserve"> (</t>
    </r>
    <r>
      <rPr>
        <sz val="9"/>
        <rFont val="Symbol"/>
        <family val="1"/>
        <charset val="2"/>
      </rPr>
      <t>°</t>
    </r>
    <r>
      <rPr>
        <sz val="9"/>
        <rFont val="Arial"/>
        <family val="2"/>
      </rPr>
      <t>C)</t>
    </r>
  </si>
  <si>
    <r>
      <t>T</t>
    </r>
    <r>
      <rPr>
        <vertAlign val="subscript"/>
        <sz val="12"/>
        <rFont val="Arial"/>
        <family val="2"/>
      </rPr>
      <t>a</t>
    </r>
    <r>
      <rPr>
        <sz val="9"/>
        <rFont val="Arial"/>
        <family val="2"/>
      </rPr>
      <t xml:space="preserve"> (K)</t>
    </r>
  </si>
  <si>
    <r>
      <t>T</t>
    </r>
    <r>
      <rPr>
        <vertAlign val="subscript"/>
        <sz val="12"/>
        <rFont val="Arial"/>
        <family val="2"/>
      </rPr>
      <t>a</t>
    </r>
    <r>
      <rPr>
        <sz val="9"/>
        <rFont val="Arial"/>
        <family val="2"/>
      </rPr>
      <t xml:space="preserve"> (1)</t>
    </r>
  </si>
  <si>
    <r>
      <t>T</t>
    </r>
    <r>
      <rPr>
        <vertAlign val="subscript"/>
        <sz val="12"/>
        <rFont val="Arial"/>
        <family val="2"/>
      </rPr>
      <t xml:space="preserve">a </t>
    </r>
    <r>
      <rPr>
        <sz val="9"/>
        <rFont val="Arial"/>
        <family val="2"/>
      </rPr>
      <t>(2)</t>
    </r>
  </si>
  <si>
    <r>
      <t>T</t>
    </r>
    <r>
      <rPr>
        <vertAlign val="subscript"/>
        <sz val="12"/>
        <rFont val="Arial"/>
        <family val="2"/>
      </rPr>
      <t>a</t>
    </r>
    <r>
      <rPr>
        <sz val="9"/>
        <rFont val="Arial"/>
        <family val="2"/>
      </rPr>
      <t xml:space="preserve"> (3)</t>
    </r>
  </si>
  <si>
    <r>
      <t>e</t>
    </r>
    <r>
      <rPr>
        <vertAlign val="subscript"/>
        <sz val="12"/>
        <rFont val="Arial"/>
        <family val="2"/>
      </rPr>
      <t>s</t>
    </r>
    <r>
      <rPr>
        <sz val="9"/>
        <rFont val="Arial"/>
        <family val="2"/>
      </rPr>
      <t>[T</t>
    </r>
    <r>
      <rPr>
        <vertAlign val="subscript"/>
        <sz val="12"/>
        <rFont val="Arial"/>
        <family val="2"/>
      </rPr>
      <t>a</t>
    </r>
    <r>
      <rPr>
        <sz val="9"/>
        <rFont val="Arial"/>
        <family val="2"/>
      </rPr>
      <t>]</t>
    </r>
  </si>
  <si>
    <r>
      <t>e</t>
    </r>
    <r>
      <rPr>
        <vertAlign val="subscript"/>
        <sz val="12"/>
        <rFont val="Arial"/>
        <family val="2"/>
      </rPr>
      <t>a</t>
    </r>
  </si>
  <si>
    <r>
      <rPr>
        <sz val="11"/>
        <rFont val="Symbol"/>
        <family val="1"/>
        <charset val="2"/>
      </rPr>
      <t>q</t>
    </r>
    <r>
      <rPr>
        <sz val="9"/>
        <rFont val="Arial"/>
        <family val="2"/>
      </rPr>
      <t xml:space="preserve"> (rad)</t>
    </r>
  </si>
  <si>
    <r>
      <rPr>
        <sz val="11"/>
        <rFont val="Symbol"/>
        <family val="1"/>
        <charset val="2"/>
      </rPr>
      <t>f</t>
    </r>
    <r>
      <rPr>
        <sz val="9"/>
        <rFont val="Arial"/>
        <family val="2"/>
      </rPr>
      <t xml:space="preserve"> (rad)</t>
    </r>
  </si>
  <si>
    <r>
      <t>Angstrom, b</t>
    </r>
    <r>
      <rPr>
        <vertAlign val="subscript"/>
        <sz val="12"/>
        <rFont val="Arial"/>
        <family val="2"/>
      </rPr>
      <t>0</t>
    </r>
  </si>
  <si>
    <r>
      <t>Angstrom, b</t>
    </r>
    <r>
      <rPr>
        <vertAlign val="subscript"/>
        <sz val="12"/>
        <rFont val="Arial"/>
        <family val="2"/>
      </rPr>
      <t>1</t>
    </r>
  </si>
  <si>
    <r>
      <t>I</t>
    </r>
    <r>
      <rPr>
        <vertAlign val="subscript"/>
        <sz val="12"/>
        <rFont val="Arial"/>
        <family val="2"/>
      </rPr>
      <t>c</t>
    </r>
  </si>
  <si>
    <r>
      <t>I</t>
    </r>
    <r>
      <rPr>
        <vertAlign val="subscript"/>
        <sz val="12"/>
        <rFont val="Arial"/>
        <family val="2"/>
      </rPr>
      <t>et,d</t>
    </r>
  </si>
  <si>
    <r>
      <t>I</t>
    </r>
    <r>
      <rPr>
        <vertAlign val="subscript"/>
        <sz val="12"/>
        <rFont val="Arial"/>
        <family val="2"/>
      </rPr>
      <t>t,d</t>
    </r>
  </si>
  <si>
    <r>
      <t>I</t>
    </r>
    <r>
      <rPr>
        <vertAlign val="subscript"/>
        <sz val="12"/>
        <rFont val="Arial"/>
        <family val="2"/>
      </rPr>
      <t>t,d</t>
    </r>
    <r>
      <rPr>
        <sz val="9"/>
        <rFont val="Arial"/>
        <family val="2"/>
      </rPr>
      <t xml:space="preserve"> / I</t>
    </r>
    <r>
      <rPr>
        <vertAlign val="subscript"/>
        <sz val="12"/>
        <rFont val="Arial"/>
        <family val="2"/>
      </rPr>
      <t>et,d</t>
    </r>
  </si>
  <si>
    <r>
      <t>I</t>
    </r>
    <r>
      <rPr>
        <vertAlign val="subscript"/>
        <sz val="12"/>
        <rFont val="Arial"/>
        <family val="2"/>
      </rPr>
      <t>df,d</t>
    </r>
  </si>
  <si>
    <r>
      <t>I</t>
    </r>
    <r>
      <rPr>
        <vertAlign val="subscript"/>
        <sz val="12"/>
        <rFont val="Arial"/>
        <family val="2"/>
      </rPr>
      <t>dr,d</t>
    </r>
  </si>
  <si>
    <t>s</t>
  </si>
  <si>
    <r>
      <t>I</t>
    </r>
    <r>
      <rPr>
        <vertAlign val="subscript"/>
        <sz val="12"/>
        <rFont val="Arial"/>
        <family val="2"/>
      </rPr>
      <t>et</t>
    </r>
  </si>
  <si>
    <t>y</t>
  </si>
  <si>
    <t>D</t>
  </si>
  <si>
    <r>
      <t>I</t>
    </r>
    <r>
      <rPr>
        <vertAlign val="subscript"/>
        <sz val="12"/>
        <rFont val="Arial"/>
        <family val="2"/>
      </rPr>
      <t>t</t>
    </r>
  </si>
  <si>
    <r>
      <rPr>
        <sz val="9"/>
        <rFont val="Arial"/>
        <family val="2"/>
      </rPr>
      <t>b</t>
    </r>
    <r>
      <rPr>
        <sz val="11"/>
        <rFont val="Symbol"/>
        <family val="1"/>
        <charset val="2"/>
      </rPr>
      <t>y</t>
    </r>
  </si>
  <si>
    <r>
      <rPr>
        <sz val="9"/>
        <rFont val="Arial"/>
        <family val="2"/>
      </rPr>
      <t>a</t>
    </r>
    <r>
      <rPr>
        <sz val="11"/>
        <rFont val="Symbol"/>
        <family val="1"/>
        <charset val="2"/>
      </rPr>
      <t>y</t>
    </r>
  </si>
  <si>
    <r>
      <t>I</t>
    </r>
    <r>
      <rPr>
        <vertAlign val="subscript"/>
        <sz val="12"/>
        <rFont val="Arial"/>
        <family val="2"/>
      </rPr>
      <t>t</t>
    </r>
    <r>
      <rPr>
        <sz val="9"/>
        <rFont val="Arial"/>
        <family val="2"/>
      </rPr>
      <t xml:space="preserve"> / I</t>
    </r>
    <r>
      <rPr>
        <vertAlign val="subscript"/>
        <sz val="12"/>
        <rFont val="Arial"/>
        <family val="2"/>
      </rPr>
      <t>et</t>
    </r>
  </si>
  <si>
    <r>
      <t>I</t>
    </r>
    <r>
      <rPr>
        <vertAlign val="subscript"/>
        <sz val="12"/>
        <rFont val="Arial"/>
        <family val="2"/>
      </rPr>
      <t>dr</t>
    </r>
  </si>
  <si>
    <r>
      <t>I</t>
    </r>
    <r>
      <rPr>
        <vertAlign val="subscript"/>
        <sz val="12"/>
        <rFont val="Arial"/>
        <family val="2"/>
      </rPr>
      <t>df</t>
    </r>
  </si>
  <si>
    <r>
      <t>R</t>
    </r>
    <r>
      <rPr>
        <vertAlign val="subscript"/>
        <sz val="12"/>
        <rFont val="Arial"/>
        <family val="2"/>
      </rPr>
      <t>n</t>
    </r>
  </si>
  <si>
    <t>NET RADIATION</t>
  </si>
  <si>
    <r>
      <t>RH</t>
    </r>
    <r>
      <rPr>
        <vertAlign val="subscript"/>
        <sz val="12"/>
        <rFont val="Arial"/>
        <family val="2"/>
      </rPr>
      <t>d</t>
    </r>
  </si>
  <si>
    <t>n5</t>
  </si>
  <si>
    <r>
      <t>I</t>
    </r>
    <r>
      <rPr>
        <vertAlign val="subscript"/>
        <sz val="12"/>
        <rFont val="Arial"/>
        <family val="2"/>
      </rPr>
      <t>df,d</t>
    </r>
    <r>
      <rPr>
        <sz val="9"/>
        <rFont val="Arial"/>
        <family val="2"/>
      </rPr>
      <t xml:space="preserve"> (1)</t>
    </r>
  </si>
  <si>
    <r>
      <t>I</t>
    </r>
    <r>
      <rPr>
        <vertAlign val="subscript"/>
        <sz val="12"/>
        <rFont val="Arial"/>
        <family val="2"/>
      </rPr>
      <t>df,d</t>
    </r>
    <r>
      <rPr>
        <sz val="9"/>
        <rFont val="Arial"/>
        <family val="2"/>
      </rPr>
      <t xml:space="preserve"> (2)</t>
    </r>
  </si>
  <si>
    <r>
      <t>I</t>
    </r>
    <r>
      <rPr>
        <vertAlign val="subscript"/>
        <sz val="12"/>
        <rFont val="Arial"/>
        <family val="2"/>
      </rPr>
      <t>df,d</t>
    </r>
    <r>
      <rPr>
        <sz val="9"/>
        <rFont val="Arial"/>
        <family val="2"/>
      </rPr>
      <t xml:space="preserve"> (3)</t>
    </r>
  </si>
  <si>
    <r>
      <t>I</t>
    </r>
    <r>
      <rPr>
        <vertAlign val="subscript"/>
        <sz val="12"/>
        <rFont val="Arial"/>
        <family val="2"/>
      </rPr>
      <t>df,d</t>
    </r>
    <r>
      <rPr>
        <sz val="9"/>
        <rFont val="Arial"/>
        <family val="2"/>
      </rPr>
      <t xml:space="preserve"> (4)</t>
    </r>
  </si>
  <si>
    <r>
      <t>I</t>
    </r>
    <r>
      <rPr>
        <vertAlign val="subscript"/>
        <sz val="12"/>
        <rFont val="Arial"/>
        <family val="2"/>
      </rPr>
      <t>df</t>
    </r>
    <r>
      <rPr>
        <sz val="9"/>
        <rFont val="Arial"/>
        <family val="2"/>
      </rPr>
      <t xml:space="preserve"> (1)</t>
    </r>
  </si>
  <si>
    <r>
      <t>I</t>
    </r>
    <r>
      <rPr>
        <vertAlign val="subscript"/>
        <sz val="12"/>
        <rFont val="Arial"/>
        <family val="2"/>
      </rPr>
      <t>df</t>
    </r>
    <r>
      <rPr>
        <sz val="9"/>
        <rFont val="Arial"/>
        <family val="2"/>
      </rPr>
      <t xml:space="preserve"> (2)</t>
    </r>
  </si>
  <si>
    <r>
      <t>I</t>
    </r>
    <r>
      <rPr>
        <vertAlign val="subscript"/>
        <sz val="12"/>
        <rFont val="Arial"/>
        <family val="2"/>
      </rPr>
      <t>df</t>
    </r>
    <r>
      <rPr>
        <sz val="9"/>
        <rFont val="Arial"/>
        <family val="2"/>
      </rPr>
      <t xml:space="preserve"> (3)</t>
    </r>
  </si>
  <si>
    <r>
      <t>I</t>
    </r>
    <r>
      <rPr>
        <vertAlign val="subscript"/>
        <sz val="12"/>
        <rFont val="Arial"/>
        <family val="2"/>
      </rPr>
      <t>df</t>
    </r>
    <r>
      <rPr>
        <sz val="9"/>
        <rFont val="Arial"/>
        <family val="2"/>
      </rPr>
      <t xml:space="preserve"> (4)</t>
    </r>
  </si>
  <si>
    <t>Weather ref.</t>
  </si>
  <si>
    <r>
      <t>u</t>
    </r>
    <r>
      <rPr>
        <vertAlign val="subscript"/>
        <sz val="12"/>
        <rFont val="Arial"/>
        <family val="2"/>
      </rPr>
      <t>min</t>
    </r>
  </si>
  <si>
    <r>
      <t>u</t>
    </r>
    <r>
      <rPr>
        <vertAlign val="subscript"/>
        <sz val="12"/>
        <rFont val="Arial"/>
        <family val="2"/>
      </rPr>
      <t>max</t>
    </r>
  </si>
  <si>
    <r>
      <rPr>
        <sz val="9"/>
        <rFont val="Symbol"/>
        <family val="1"/>
        <charset val="2"/>
      </rPr>
      <t>D</t>
    </r>
    <r>
      <rPr>
        <sz val="9"/>
        <rFont val="Arial"/>
        <family val="2"/>
      </rPr>
      <t>u</t>
    </r>
  </si>
  <si>
    <r>
      <t>u</t>
    </r>
    <r>
      <rPr>
        <vertAlign val="subscript"/>
        <sz val="12"/>
        <rFont val="Arial"/>
        <family val="2"/>
      </rPr>
      <t>d</t>
    </r>
  </si>
  <si>
    <t>site</t>
  </si>
  <si>
    <t>maxsteps</t>
  </si>
  <si>
    <t>stepsize</t>
  </si>
  <si>
    <t>step</t>
  </si>
  <si>
    <t>criteria</t>
  </si>
  <si>
    <t>doy</t>
  </si>
  <si>
    <t>TO OUTPUT</t>
  </si>
  <si>
    <t>f</t>
  </si>
  <si>
    <t>hour</t>
  </si>
  <si>
    <t>OUTPUT</t>
  </si>
  <si>
    <r>
      <t>T</t>
    </r>
    <r>
      <rPr>
        <vertAlign val="subscript"/>
        <sz val="12"/>
        <rFont val="Arial"/>
        <family val="2"/>
      </rPr>
      <t>d(cal)</t>
    </r>
  </si>
  <si>
    <r>
      <t>T</t>
    </r>
    <r>
      <rPr>
        <vertAlign val="subscript"/>
        <sz val="12"/>
        <rFont val="Arial"/>
        <family val="2"/>
      </rPr>
      <t>d(max)</t>
    </r>
  </si>
  <si>
    <r>
      <t>b</t>
    </r>
    <r>
      <rPr>
        <sz val="9"/>
        <rFont val="Arial"/>
        <family val="2"/>
      </rPr>
      <t xml:space="preserve"> (rad)</t>
    </r>
  </si>
  <si>
    <t>a/b</t>
  </si>
  <si>
    <t xml:space="preserve"> case (1) true?</t>
  </si>
  <si>
    <t>case (2) true?</t>
  </si>
  <si>
    <t>case (3) true?</t>
  </si>
  <si>
    <r>
      <t>R</t>
    </r>
    <r>
      <rPr>
        <vertAlign val="subscript"/>
        <sz val="12"/>
        <rFont val="Arial"/>
        <family val="2"/>
      </rPr>
      <t>nL</t>
    </r>
  </si>
  <si>
    <t>AIR TEMP.</t>
  </si>
  <si>
    <t>PARAMETERS</t>
  </si>
  <si>
    <r>
      <t>L</t>
    </r>
    <r>
      <rPr>
        <vertAlign val="subscript"/>
        <sz val="12"/>
        <rFont val="Arial"/>
        <family val="2"/>
      </rPr>
      <t>max</t>
    </r>
  </si>
  <si>
    <r>
      <rPr>
        <b/>
        <sz val="9"/>
        <rFont val="Symbol"/>
        <family val="1"/>
        <charset val="2"/>
      </rPr>
      <t xml:space="preserve"> x</t>
    </r>
    <r>
      <rPr>
        <b/>
        <vertAlign val="subscript"/>
        <sz val="12"/>
        <rFont val="Arial"/>
        <family val="2"/>
      </rPr>
      <t>(25)</t>
    </r>
  </si>
  <si>
    <r>
      <t>Q</t>
    </r>
    <r>
      <rPr>
        <b/>
        <vertAlign val="subscript"/>
        <sz val="12"/>
        <rFont val="Arial"/>
        <family val="2"/>
      </rPr>
      <t>10</t>
    </r>
  </si>
  <si>
    <r>
      <rPr>
        <b/>
        <sz val="9"/>
        <rFont val="Symbol"/>
        <family val="1"/>
        <charset val="2"/>
      </rPr>
      <t xml:space="preserve"> x</t>
    </r>
    <r>
      <rPr>
        <b/>
        <vertAlign val="subscript"/>
        <sz val="12"/>
        <rFont val="Arial"/>
        <family val="2"/>
      </rPr>
      <t>(Tf)</t>
    </r>
  </si>
  <si>
    <r>
      <t>O</t>
    </r>
    <r>
      <rPr>
        <vertAlign val="subscript"/>
        <sz val="12"/>
        <rFont val="Arial"/>
        <family val="2"/>
      </rPr>
      <t>a</t>
    </r>
  </si>
  <si>
    <r>
      <t>C</t>
    </r>
    <r>
      <rPr>
        <vertAlign val="subscript"/>
        <sz val="12"/>
        <rFont val="Arial"/>
        <family val="2"/>
      </rPr>
      <t>i</t>
    </r>
  </si>
  <si>
    <r>
      <t>p</t>
    </r>
    <r>
      <rPr>
        <vertAlign val="subscript"/>
        <sz val="12"/>
        <rFont val="Arial"/>
        <family val="2"/>
      </rPr>
      <t>p</t>
    </r>
  </si>
  <si>
    <r>
      <t>e</t>
    </r>
    <r>
      <rPr>
        <vertAlign val="subscript"/>
        <sz val="12"/>
        <rFont val="Arial"/>
        <family val="2"/>
      </rPr>
      <t>m</t>
    </r>
  </si>
  <si>
    <r>
      <t>V</t>
    </r>
    <r>
      <rPr>
        <vertAlign val="subscript"/>
        <sz val="12"/>
        <rFont val="Arial"/>
        <family val="2"/>
      </rPr>
      <t>c,max</t>
    </r>
  </si>
  <si>
    <r>
      <t>K</t>
    </r>
    <r>
      <rPr>
        <vertAlign val="subscript"/>
        <sz val="12"/>
        <rFont val="Arial"/>
        <family val="2"/>
      </rPr>
      <t>c</t>
    </r>
  </si>
  <si>
    <r>
      <t>K</t>
    </r>
    <r>
      <rPr>
        <vertAlign val="subscript"/>
        <sz val="12"/>
        <rFont val="Arial"/>
        <family val="2"/>
      </rPr>
      <t>o</t>
    </r>
  </si>
  <si>
    <r>
      <t>T</t>
    </r>
    <r>
      <rPr>
        <vertAlign val="subscript"/>
        <sz val="12"/>
        <rFont val="Arial"/>
        <family val="2"/>
      </rPr>
      <t>f</t>
    </r>
  </si>
  <si>
    <t>c</t>
  </si>
  <si>
    <t>e</t>
  </si>
  <si>
    <t>g</t>
  </si>
  <si>
    <t>h</t>
  </si>
  <si>
    <t>i</t>
  </si>
  <si>
    <t>j</t>
  </si>
  <si>
    <t>k</t>
  </si>
  <si>
    <r>
      <t>Q</t>
    </r>
    <r>
      <rPr>
        <vertAlign val="subscript"/>
        <sz val="12"/>
        <rFont val="Arial"/>
        <family val="2"/>
      </rPr>
      <t>df</t>
    </r>
  </si>
  <si>
    <r>
      <t>Q</t>
    </r>
    <r>
      <rPr>
        <vertAlign val="subscript"/>
        <sz val="12"/>
        <rFont val="Arial"/>
        <family val="2"/>
      </rPr>
      <t>dr</t>
    </r>
  </si>
  <si>
    <r>
      <t>t</t>
    </r>
    <r>
      <rPr>
        <vertAlign val="subscript"/>
        <sz val="12"/>
        <rFont val="Arial"/>
        <family val="2"/>
      </rPr>
      <t>b</t>
    </r>
  </si>
  <si>
    <r>
      <rPr>
        <sz val="9"/>
        <rFont val="Symbol"/>
        <family val="1"/>
        <charset val="2"/>
      </rPr>
      <t>w</t>
    </r>
    <r>
      <rPr>
        <vertAlign val="subscript"/>
        <sz val="12"/>
        <rFont val="Arial"/>
        <family val="2"/>
      </rPr>
      <t>0</t>
    </r>
    <r>
      <rPr>
        <sz val="9"/>
        <rFont val="Arial"/>
        <family val="2"/>
      </rPr>
      <t xml:space="preserve"> </t>
    </r>
  </si>
  <si>
    <r>
      <rPr>
        <sz val="9"/>
        <rFont val="Symbol"/>
        <family val="1"/>
        <charset val="2"/>
      </rPr>
      <t>w</t>
    </r>
    <r>
      <rPr>
        <sz val="9"/>
        <rFont val="Arial"/>
        <family val="2"/>
      </rPr>
      <t/>
    </r>
  </si>
  <si>
    <r>
      <rPr>
        <sz val="9"/>
        <rFont val="Arial"/>
        <family val="2"/>
      </rPr>
      <t xml:space="preserve">1 - </t>
    </r>
    <r>
      <rPr>
        <sz val="9"/>
        <rFont val="Symbol"/>
        <family val="1"/>
        <charset val="2"/>
      </rPr>
      <t>t</t>
    </r>
    <r>
      <rPr>
        <vertAlign val="subscript"/>
        <sz val="12"/>
        <rFont val="Arial"/>
        <family val="2"/>
      </rPr>
      <t>b</t>
    </r>
  </si>
  <si>
    <r>
      <t>k</t>
    </r>
    <r>
      <rPr>
        <vertAlign val="subscript"/>
        <sz val="12"/>
        <rFont val="Arial"/>
        <family val="2"/>
      </rPr>
      <t>dr</t>
    </r>
  </si>
  <si>
    <r>
      <t>k</t>
    </r>
    <r>
      <rPr>
        <vertAlign val="subscript"/>
        <sz val="12"/>
        <rFont val="Arial"/>
        <family val="2"/>
      </rPr>
      <t>df</t>
    </r>
  </si>
  <si>
    <r>
      <t>L</t>
    </r>
    <r>
      <rPr>
        <vertAlign val="subscript"/>
        <sz val="12"/>
        <rFont val="Arial"/>
        <family val="2"/>
      </rPr>
      <t>sl</t>
    </r>
  </si>
  <si>
    <r>
      <t>L</t>
    </r>
    <r>
      <rPr>
        <vertAlign val="subscript"/>
        <sz val="12"/>
        <rFont val="Arial"/>
        <family val="2"/>
      </rPr>
      <t>sh</t>
    </r>
  </si>
  <si>
    <r>
      <t>Q</t>
    </r>
    <r>
      <rPr>
        <vertAlign val="subscript"/>
        <sz val="12"/>
        <rFont val="Arial"/>
        <family val="2"/>
      </rPr>
      <t>p,dr</t>
    </r>
  </si>
  <si>
    <r>
      <t>Q</t>
    </r>
    <r>
      <rPr>
        <vertAlign val="subscript"/>
        <sz val="12"/>
        <rFont val="Arial"/>
        <family val="2"/>
      </rPr>
      <t>p,dr,dr</t>
    </r>
  </si>
  <si>
    <r>
      <t>Q</t>
    </r>
    <r>
      <rPr>
        <vertAlign val="subscript"/>
        <sz val="12"/>
        <rFont val="Arial"/>
        <family val="2"/>
      </rPr>
      <t>p,dr,</t>
    </r>
    <r>
      <rPr>
        <vertAlign val="subscript"/>
        <sz val="12"/>
        <rFont val="Symbol"/>
        <family val="1"/>
        <charset val="2"/>
      </rPr>
      <t>a</t>
    </r>
  </si>
  <si>
    <r>
      <t>Q</t>
    </r>
    <r>
      <rPr>
        <vertAlign val="subscript"/>
        <sz val="12"/>
        <rFont val="Arial"/>
        <family val="2"/>
      </rPr>
      <t>p,df</t>
    </r>
  </si>
  <si>
    <r>
      <t>Q</t>
    </r>
    <r>
      <rPr>
        <vertAlign val="subscript"/>
        <sz val="12"/>
        <rFont val="Arial"/>
        <family val="2"/>
      </rPr>
      <t>sl</t>
    </r>
  </si>
  <si>
    <r>
      <t>Q</t>
    </r>
    <r>
      <rPr>
        <vertAlign val="subscript"/>
        <sz val="12"/>
        <rFont val="Arial"/>
        <family val="2"/>
      </rPr>
      <t>sh</t>
    </r>
  </si>
  <si>
    <r>
      <rPr>
        <sz val="9"/>
        <rFont val="Symbol"/>
        <family val="1"/>
        <charset val="2"/>
      </rPr>
      <t>G</t>
    </r>
    <r>
      <rPr>
        <sz val="9"/>
        <rFont val="Arial"/>
        <family val="2"/>
      </rPr>
      <t>*</t>
    </r>
  </si>
  <si>
    <r>
      <t>v</t>
    </r>
    <r>
      <rPr>
        <vertAlign val="subscript"/>
        <sz val="12"/>
        <rFont val="Arial"/>
        <family val="2"/>
      </rPr>
      <t>c</t>
    </r>
  </si>
  <si>
    <r>
      <t>v</t>
    </r>
    <r>
      <rPr>
        <vertAlign val="subscript"/>
        <sz val="12"/>
        <rFont val="Arial"/>
        <family val="2"/>
      </rPr>
      <t>s</t>
    </r>
  </si>
  <si>
    <r>
      <t>v</t>
    </r>
    <r>
      <rPr>
        <vertAlign val="subscript"/>
        <sz val="12"/>
        <rFont val="Arial"/>
        <family val="2"/>
      </rPr>
      <t>q,sl</t>
    </r>
  </si>
  <si>
    <r>
      <t>v</t>
    </r>
    <r>
      <rPr>
        <vertAlign val="subscript"/>
        <sz val="12"/>
        <rFont val="Arial"/>
        <family val="2"/>
      </rPr>
      <t>q,sh</t>
    </r>
  </si>
  <si>
    <r>
      <rPr>
        <sz val="9"/>
        <rFont val="Symbol"/>
        <family val="1"/>
        <charset val="2"/>
      </rPr>
      <t>L</t>
    </r>
    <r>
      <rPr>
        <vertAlign val="subscript"/>
        <sz val="12"/>
        <rFont val="Arial"/>
        <family val="2"/>
      </rPr>
      <t>canopy</t>
    </r>
  </si>
  <si>
    <t>L</t>
  </si>
  <si>
    <t>EXT. COEF.</t>
  </si>
  <si>
    <t>PAR ABSORBED</t>
  </si>
  <si>
    <r>
      <t>CO</t>
    </r>
    <r>
      <rPr>
        <b/>
        <vertAlign val="subscript"/>
        <sz val="12"/>
        <rFont val="Arial"/>
        <family val="2"/>
      </rPr>
      <t>2</t>
    </r>
    <r>
      <rPr>
        <b/>
        <sz val="9"/>
        <rFont val="Arial"/>
        <family val="2"/>
      </rPr>
      <t xml:space="preserve"> ASSIM.</t>
    </r>
  </si>
  <si>
    <r>
      <rPr>
        <sz val="12"/>
        <rFont val="Symbol"/>
        <family val="1"/>
        <charset val="2"/>
      </rPr>
      <t>ò</t>
    </r>
    <r>
      <rPr>
        <sz val="9"/>
        <rFont val="Symbol"/>
        <family val="1"/>
        <charset val="2"/>
      </rPr>
      <t xml:space="preserve"> L</t>
    </r>
    <r>
      <rPr>
        <vertAlign val="subscript"/>
        <sz val="12"/>
        <rFont val="Arial"/>
        <family val="2"/>
      </rPr>
      <t>canopy</t>
    </r>
    <r>
      <rPr>
        <sz val="9"/>
        <rFont val="Arial"/>
        <family val="2"/>
      </rPr>
      <t xml:space="preserve"> dt</t>
    </r>
  </si>
  <si>
    <t>OPERATION</t>
  </si>
  <si>
    <t>current date</t>
  </si>
  <si>
    <r>
      <rPr>
        <sz val="9"/>
        <rFont val="Symbol"/>
        <family val="1"/>
        <charset val="2"/>
      </rPr>
      <t>L</t>
    </r>
    <r>
      <rPr>
        <vertAlign val="subscript"/>
        <sz val="12"/>
        <rFont val="Arial"/>
        <family val="2"/>
      </rPr>
      <t>canopy,d</t>
    </r>
    <r>
      <rPr>
        <sz val="9"/>
        <rFont val="Arial"/>
        <family val="2"/>
      </rPr>
      <t xml:space="preserve"> (g CH</t>
    </r>
    <r>
      <rPr>
        <vertAlign val="subscript"/>
        <sz val="12"/>
        <rFont val="Arial"/>
        <family val="2"/>
      </rPr>
      <t>2</t>
    </r>
    <r>
      <rPr>
        <sz val="9"/>
        <rFont val="Arial"/>
        <family val="2"/>
      </rPr>
      <t>O m</t>
    </r>
    <r>
      <rPr>
        <vertAlign val="superscript"/>
        <sz val="12"/>
        <rFont val="Arial"/>
        <family val="2"/>
      </rPr>
      <t>-2</t>
    </r>
    <r>
      <rPr>
        <sz val="9"/>
        <rFont val="Arial"/>
        <family val="2"/>
      </rPr>
      <t>)</t>
    </r>
  </si>
  <si>
    <t>param.</t>
  </si>
  <si>
    <r>
      <t>k</t>
    </r>
    <r>
      <rPr>
        <b/>
        <vertAlign val="subscript"/>
        <sz val="12"/>
        <rFont val="Arial"/>
        <family val="2"/>
      </rPr>
      <t>df</t>
    </r>
    <r>
      <rPr>
        <b/>
        <sz val="9"/>
        <rFont val="Arial"/>
        <family val="2"/>
      </rPr>
      <t xml:space="preserve"> coef.</t>
    </r>
  </si>
  <si>
    <t>PROVISIONAL</t>
  </si>
  <si>
    <t>PAR ABOVE</t>
  </si>
  <si>
    <t>PAR CANOPIES</t>
  </si>
  <si>
    <t>SUNLIT/SHADED</t>
  </si>
  <si>
    <t>Ra</t>
  </si>
  <si>
    <t>Rc</t>
  </si>
  <si>
    <t>Rs</t>
  </si>
  <si>
    <t>SOIL</t>
  </si>
  <si>
    <t>RESISTANCES</t>
  </si>
  <si>
    <t>rsa</t>
  </si>
  <si>
    <t>raa</t>
  </si>
  <si>
    <t>rca</t>
  </si>
  <si>
    <t>SENSIBLE HEAT</t>
  </si>
  <si>
    <t>total PAR</t>
  </si>
  <si>
    <t>rst</t>
  </si>
  <si>
    <t>rcs</t>
  </si>
  <si>
    <t>rss</t>
  </si>
  <si>
    <t>w</t>
  </si>
  <si>
    <r>
      <t>z</t>
    </r>
    <r>
      <rPr>
        <vertAlign val="subscript"/>
        <sz val="12"/>
        <rFont val="Arial"/>
        <family val="2"/>
      </rPr>
      <t>s0</t>
    </r>
  </si>
  <si>
    <t>l</t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</si>
  <si>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v,sat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</si>
  <si>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v,1</t>
    </r>
  </si>
  <si>
    <r>
      <t>stomata, a</t>
    </r>
    <r>
      <rPr>
        <vertAlign val="subscript"/>
        <sz val="12"/>
        <rFont val="Arial"/>
        <family val="2"/>
      </rPr>
      <t>1</t>
    </r>
  </si>
  <si>
    <r>
      <t>stomata, a</t>
    </r>
    <r>
      <rPr>
        <vertAlign val="subscript"/>
        <sz val="12"/>
        <rFont val="Arial"/>
        <family val="2"/>
      </rPr>
      <t>2</t>
    </r>
  </si>
  <si>
    <r>
      <t>n</t>
    </r>
    <r>
      <rPr>
        <vertAlign val="subscript"/>
        <sz val="12"/>
        <rFont val="Arial"/>
        <family val="2"/>
      </rPr>
      <t>K</t>
    </r>
  </si>
  <si>
    <r>
      <t>n</t>
    </r>
    <r>
      <rPr>
        <vertAlign val="subscript"/>
        <sz val="12"/>
        <rFont val="Arial"/>
        <family val="2"/>
      </rPr>
      <t>u</t>
    </r>
  </si>
  <si>
    <r>
      <t>z</t>
    </r>
    <r>
      <rPr>
        <vertAlign val="subscript"/>
        <sz val="12"/>
        <rFont val="Arial"/>
        <family val="2"/>
      </rPr>
      <t>r</t>
    </r>
  </si>
  <si>
    <r>
      <rPr>
        <sz val="10"/>
        <rFont val="Symbol"/>
        <family val="1"/>
        <charset val="2"/>
      </rPr>
      <t>f</t>
    </r>
    <r>
      <rPr>
        <vertAlign val="subscript"/>
        <sz val="10"/>
        <rFont val="Arial"/>
        <family val="2"/>
      </rPr>
      <t>p</t>
    </r>
  </si>
  <si>
    <t>G</t>
  </si>
  <si>
    <t>A</t>
  </si>
  <si>
    <r>
      <t>A</t>
    </r>
    <r>
      <rPr>
        <vertAlign val="subscript"/>
        <sz val="12"/>
        <rFont val="Arial"/>
        <family val="2"/>
      </rPr>
      <t>c</t>
    </r>
  </si>
  <si>
    <r>
      <t>A</t>
    </r>
    <r>
      <rPr>
        <vertAlign val="subscript"/>
        <sz val="12"/>
        <rFont val="Arial"/>
        <family val="2"/>
      </rPr>
      <t>s</t>
    </r>
  </si>
  <si>
    <t>AVAIL. ENERGY</t>
  </si>
  <si>
    <r>
      <rPr>
        <sz val="9"/>
        <rFont val="Symbol"/>
        <family val="1"/>
        <charset val="2"/>
      </rPr>
      <t>r</t>
    </r>
    <r>
      <rPr>
        <sz val="9"/>
        <rFont val="Arial"/>
        <family val="2"/>
      </rPr>
      <t>c</t>
    </r>
    <r>
      <rPr>
        <vertAlign val="subscript"/>
        <sz val="9"/>
        <rFont val="Arial"/>
        <family val="2"/>
      </rPr>
      <t>p</t>
    </r>
  </si>
  <si>
    <r>
      <t>z</t>
    </r>
    <r>
      <rPr>
        <vertAlign val="subscript"/>
        <sz val="12"/>
        <rFont val="Arial"/>
        <family val="2"/>
      </rPr>
      <t>0</t>
    </r>
  </si>
  <si>
    <t>u*</t>
  </si>
  <si>
    <t>u[h]</t>
  </si>
  <si>
    <r>
      <t>K</t>
    </r>
    <r>
      <rPr>
        <vertAlign val="subscript"/>
        <sz val="12"/>
        <rFont val="Arial"/>
        <family val="2"/>
      </rPr>
      <t>h</t>
    </r>
  </si>
  <si>
    <t>n6</t>
  </si>
  <si>
    <t>n7</t>
  </si>
  <si>
    <t>n8</t>
  </si>
  <si>
    <t>rss (dry)</t>
  </si>
  <si>
    <r>
      <t>D</t>
    </r>
    <r>
      <rPr>
        <vertAlign val="subscript"/>
        <sz val="12"/>
        <rFont val="Arial"/>
        <family val="2"/>
      </rPr>
      <t>m,v</t>
    </r>
  </si>
  <si>
    <t>PROFILE</t>
  </si>
  <si>
    <t>n9</t>
  </si>
  <si>
    <t>n10</t>
  </si>
  <si>
    <t>n11</t>
  </si>
  <si>
    <t>n12</t>
  </si>
  <si>
    <r>
      <t>PM</t>
    </r>
    <r>
      <rPr>
        <vertAlign val="subscript"/>
        <sz val="12"/>
        <rFont val="Arial"/>
        <family val="2"/>
      </rPr>
      <t>c</t>
    </r>
  </si>
  <si>
    <r>
      <t>PM</t>
    </r>
    <r>
      <rPr>
        <vertAlign val="subscript"/>
        <sz val="12"/>
        <rFont val="Arial"/>
        <family val="2"/>
      </rPr>
      <t>s</t>
    </r>
  </si>
  <si>
    <r>
      <t>C</t>
    </r>
    <r>
      <rPr>
        <vertAlign val="subscript"/>
        <sz val="12"/>
        <rFont val="Arial"/>
        <family val="2"/>
      </rPr>
      <t>c</t>
    </r>
  </si>
  <si>
    <r>
      <t>C</t>
    </r>
    <r>
      <rPr>
        <vertAlign val="subscript"/>
        <sz val="12"/>
        <rFont val="Arial"/>
        <family val="2"/>
      </rPr>
      <t>s</t>
    </r>
  </si>
  <si>
    <r>
      <rPr>
        <sz val="9"/>
        <rFont val="Symbol"/>
        <family val="1"/>
        <charset val="2"/>
      </rPr>
      <t>l</t>
    </r>
    <r>
      <rPr>
        <sz val="9"/>
        <rFont val="Arial"/>
        <family val="2"/>
      </rPr>
      <t>ET</t>
    </r>
  </si>
  <si>
    <r>
      <t>D</t>
    </r>
    <r>
      <rPr>
        <vertAlign val="subscript"/>
        <sz val="12"/>
        <rFont val="Arial"/>
        <family val="2"/>
      </rPr>
      <t>0</t>
    </r>
  </si>
  <si>
    <t>n13</t>
  </si>
  <si>
    <t>n14</t>
  </si>
  <si>
    <r>
      <rPr>
        <sz val="9"/>
        <rFont val="Symbol"/>
        <family val="1"/>
        <charset val="2"/>
      </rPr>
      <t>l</t>
    </r>
    <r>
      <rPr>
        <sz val="9"/>
        <rFont val="Arial"/>
        <family val="2"/>
      </rPr>
      <t>ET</t>
    </r>
    <r>
      <rPr>
        <vertAlign val="subscript"/>
        <sz val="12"/>
        <rFont val="Arial"/>
        <family val="2"/>
      </rPr>
      <t>s</t>
    </r>
  </si>
  <si>
    <r>
      <rPr>
        <sz val="9"/>
        <rFont val="Symbol"/>
        <family val="1"/>
        <charset val="2"/>
      </rPr>
      <t>l</t>
    </r>
    <r>
      <rPr>
        <sz val="9"/>
        <rFont val="Arial"/>
        <family val="2"/>
      </rPr>
      <t>ET</t>
    </r>
    <r>
      <rPr>
        <vertAlign val="subscript"/>
        <sz val="12"/>
        <rFont val="Arial"/>
        <family val="2"/>
      </rPr>
      <t>c</t>
    </r>
  </si>
  <si>
    <t>n15</t>
  </si>
  <si>
    <t>n16</t>
  </si>
  <si>
    <r>
      <rPr>
        <sz val="9"/>
        <rFont val="Symbol"/>
        <family val="1"/>
        <charset val="2"/>
      </rPr>
      <t>ò l</t>
    </r>
    <r>
      <rPr>
        <sz val="9"/>
        <rFont val="Arial"/>
        <family val="2"/>
      </rPr>
      <t>ET</t>
    </r>
    <r>
      <rPr>
        <vertAlign val="subscript"/>
        <sz val="12"/>
        <rFont val="Arial"/>
        <family val="2"/>
      </rPr>
      <t>s</t>
    </r>
    <r>
      <rPr>
        <sz val="9"/>
        <rFont val="Arial"/>
        <family val="2"/>
      </rPr>
      <t xml:space="preserve"> dt</t>
    </r>
  </si>
  <si>
    <r>
      <rPr>
        <sz val="9"/>
        <rFont val="Symbol"/>
        <family val="1"/>
        <charset val="2"/>
      </rPr>
      <t>ò l</t>
    </r>
    <r>
      <rPr>
        <sz val="9"/>
        <rFont val="Arial"/>
        <family val="2"/>
      </rPr>
      <t>ET</t>
    </r>
    <r>
      <rPr>
        <vertAlign val="subscript"/>
        <sz val="12"/>
        <rFont val="Arial"/>
        <family val="2"/>
      </rPr>
      <t>c</t>
    </r>
    <r>
      <rPr>
        <sz val="9"/>
        <rFont val="Arial"/>
        <family val="2"/>
      </rPr>
      <t xml:space="preserve"> dt</t>
    </r>
  </si>
  <si>
    <r>
      <t>E (mm day</t>
    </r>
    <r>
      <rPr>
        <vertAlign val="superscript"/>
        <sz val="12"/>
        <rFont val="Arial"/>
        <family val="2"/>
      </rPr>
      <t>-1</t>
    </r>
    <r>
      <rPr>
        <sz val="9"/>
        <rFont val="Arial"/>
        <family val="2"/>
      </rPr>
      <t>)</t>
    </r>
  </si>
  <si>
    <r>
      <t>T (mm day</t>
    </r>
    <r>
      <rPr>
        <vertAlign val="superscript"/>
        <sz val="12"/>
        <rFont val="Arial"/>
        <family val="2"/>
      </rPr>
      <t>-1</t>
    </r>
    <r>
      <rPr>
        <sz val="9"/>
        <rFont val="Arial"/>
        <family val="2"/>
      </rPr>
      <t>)</t>
    </r>
  </si>
  <si>
    <r>
      <t>ET (mm day</t>
    </r>
    <r>
      <rPr>
        <vertAlign val="superscript"/>
        <sz val="12"/>
        <rFont val="Arial"/>
        <family val="2"/>
      </rPr>
      <t>-1</t>
    </r>
    <r>
      <rPr>
        <sz val="9"/>
        <rFont val="Arial"/>
        <family val="2"/>
      </rPr>
      <t>)</t>
    </r>
  </si>
  <si>
    <t>LATENT HEAT</t>
  </si>
  <si>
    <t>n17</t>
  </si>
  <si>
    <t>n18</t>
  </si>
  <si>
    <r>
      <t>H</t>
    </r>
    <r>
      <rPr>
        <vertAlign val="subscript"/>
        <sz val="12"/>
        <rFont val="Arial"/>
        <family val="2"/>
      </rPr>
      <t>s</t>
    </r>
  </si>
  <si>
    <t>n19</t>
  </si>
  <si>
    <t>n20</t>
  </si>
  <si>
    <r>
      <t>H</t>
    </r>
    <r>
      <rPr>
        <vertAlign val="subscript"/>
        <sz val="12"/>
        <rFont val="Arial"/>
        <family val="2"/>
      </rPr>
      <t>c</t>
    </r>
  </si>
  <si>
    <t>CANOPY TEMP.</t>
  </si>
  <si>
    <r>
      <t>p</t>
    </r>
    <r>
      <rPr>
        <vertAlign val="subscript"/>
        <sz val="12"/>
        <rFont val="Arial"/>
        <family val="2"/>
      </rPr>
      <t>Rn</t>
    </r>
  </si>
  <si>
    <t>ITG</t>
  </si>
  <si>
    <t>SOIL SUCTION</t>
  </si>
  <si>
    <r>
      <t>s</t>
    </r>
    <r>
      <rPr>
        <vertAlign val="subscript"/>
        <sz val="12"/>
        <rFont val="Arial"/>
        <family val="2"/>
      </rPr>
      <t>i</t>
    </r>
  </si>
  <si>
    <r>
      <t>z</t>
    </r>
    <r>
      <rPr>
        <vertAlign val="subscript"/>
        <sz val="12"/>
        <rFont val="Arial"/>
        <family val="2"/>
      </rPr>
      <t>i</t>
    </r>
  </si>
  <si>
    <r>
      <rPr>
        <sz val="9"/>
        <rFont val="Arial"/>
        <family val="2"/>
      </rPr>
      <t>S</t>
    </r>
    <r>
      <rPr>
        <vertAlign val="subscript"/>
        <sz val="12"/>
        <rFont val="Arial"/>
        <family val="2"/>
      </rPr>
      <t>i</t>
    </r>
  </si>
  <si>
    <t>ACTUAL E</t>
  </si>
  <si>
    <t>ACTUAL T</t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</si>
  <si>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v,sat,i</t>
    </r>
  </si>
  <si>
    <t>HYDRAULIC COND.</t>
  </si>
  <si>
    <r>
      <t>H</t>
    </r>
    <r>
      <rPr>
        <vertAlign val="subscript"/>
        <sz val="12"/>
        <rFont val="Arial"/>
        <family val="2"/>
      </rPr>
      <t>m,i</t>
    </r>
  </si>
  <si>
    <r>
      <t>H</t>
    </r>
    <r>
      <rPr>
        <vertAlign val="subscript"/>
        <sz val="12"/>
        <rFont val="Arial"/>
        <family val="2"/>
      </rPr>
      <t>g,i</t>
    </r>
  </si>
  <si>
    <r>
      <t>H</t>
    </r>
    <r>
      <rPr>
        <vertAlign val="subscript"/>
        <sz val="12"/>
        <rFont val="Arial"/>
        <family val="2"/>
      </rPr>
      <t>i</t>
    </r>
  </si>
  <si>
    <r>
      <t>d</t>
    </r>
    <r>
      <rPr>
        <vertAlign val="subscript"/>
        <sz val="12"/>
        <rFont val="Arial"/>
        <family val="2"/>
      </rPr>
      <t>root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</si>
  <si>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v,root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</si>
  <si>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v,cr</t>
    </r>
  </si>
  <si>
    <r>
      <t xml:space="preserve">mean </t>
    </r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v,sat</t>
    </r>
  </si>
  <si>
    <r>
      <t>R</t>
    </r>
    <r>
      <rPr>
        <vertAlign val="subscript"/>
        <sz val="12"/>
        <rFont val="Arial"/>
        <family val="2"/>
      </rPr>
      <t>D,T</t>
    </r>
  </si>
  <si>
    <r>
      <t>R</t>
    </r>
    <r>
      <rPr>
        <vertAlign val="subscript"/>
        <sz val="12"/>
        <rFont val="Arial"/>
        <family val="2"/>
      </rPr>
      <t>D,E</t>
    </r>
  </si>
  <si>
    <r>
      <t>c</t>
    </r>
    <r>
      <rPr>
        <vertAlign val="subscript"/>
        <sz val="12"/>
        <rFont val="Arial"/>
        <family val="2"/>
      </rPr>
      <t>j</t>
    </r>
  </si>
  <si>
    <r>
      <rPr>
        <sz val="9"/>
        <rFont val="Symbol"/>
        <family val="1"/>
        <charset val="2"/>
      </rPr>
      <t xml:space="preserve"> j</t>
    </r>
    <r>
      <rPr>
        <vertAlign val="subscript"/>
        <sz val="12"/>
        <rFont val="Arial"/>
        <family val="2"/>
      </rPr>
      <t>j</t>
    </r>
  </si>
  <si>
    <r>
      <t>E</t>
    </r>
    <r>
      <rPr>
        <vertAlign val="subscript"/>
        <sz val="12"/>
        <rFont val="Arial"/>
        <family val="2"/>
      </rPr>
      <t>a,i</t>
    </r>
  </si>
  <si>
    <r>
      <t>q</t>
    </r>
    <r>
      <rPr>
        <vertAlign val="subscript"/>
        <sz val="12"/>
        <rFont val="Arial"/>
        <family val="2"/>
      </rPr>
      <t>i</t>
    </r>
  </si>
  <si>
    <r>
      <t>net q</t>
    </r>
    <r>
      <rPr>
        <vertAlign val="subscript"/>
        <sz val="12"/>
        <rFont val="Arial"/>
        <family val="2"/>
      </rPr>
      <t>i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</si>
  <si>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 (initial)</t>
    </r>
  </si>
  <si>
    <t>LAYER NO.</t>
  </si>
  <si>
    <t>PRERUN</t>
  </si>
  <si>
    <t>INI</t>
  </si>
  <si>
    <t>UPD</t>
  </si>
  <si>
    <t>Rain</t>
  </si>
  <si>
    <r>
      <t>H</t>
    </r>
    <r>
      <rPr>
        <b/>
        <vertAlign val="subscript"/>
        <sz val="12"/>
        <rFont val="Arial"/>
        <family val="2"/>
      </rPr>
      <t>m</t>
    </r>
    <r>
      <rPr>
        <b/>
        <sz val="9"/>
        <rFont val="Arial"/>
        <family val="2"/>
      </rPr>
      <t xml:space="preserve"> (m)</t>
    </r>
  </si>
  <si>
    <r>
      <rPr>
        <b/>
        <sz val="10"/>
        <rFont val="Symbol"/>
        <family val="1"/>
        <charset val="2"/>
      </rPr>
      <t>Q</t>
    </r>
    <r>
      <rPr>
        <b/>
        <vertAlign val="subscript"/>
        <sz val="10"/>
        <rFont val="Arial"/>
        <family val="2"/>
      </rPr>
      <t>v,i</t>
    </r>
  </si>
  <si>
    <r>
      <rPr>
        <b/>
        <sz val="9"/>
        <rFont val="Arial"/>
        <family val="2"/>
      </rPr>
      <t xml:space="preserve">total </t>
    </r>
    <r>
      <rPr>
        <b/>
        <sz val="10"/>
        <rFont val="Symbol"/>
        <family val="1"/>
        <charset val="2"/>
      </rPr>
      <t>Q</t>
    </r>
  </si>
  <si>
    <r>
      <rPr>
        <b/>
        <sz val="10"/>
        <rFont val="Symbol"/>
        <family val="1"/>
        <charset val="2"/>
      </rPr>
      <t>Q</t>
    </r>
    <r>
      <rPr>
        <b/>
        <vertAlign val="subscript"/>
        <sz val="10"/>
        <rFont val="Arial"/>
        <family val="2"/>
      </rPr>
      <t>v,1</t>
    </r>
  </si>
  <si>
    <r>
      <rPr>
        <b/>
        <sz val="10"/>
        <rFont val="Symbol"/>
        <family val="1"/>
        <charset val="2"/>
      </rPr>
      <t>Q</t>
    </r>
    <r>
      <rPr>
        <b/>
        <vertAlign val="subscript"/>
        <sz val="10"/>
        <rFont val="Arial"/>
        <family val="2"/>
      </rPr>
      <t>v,2</t>
    </r>
  </si>
  <si>
    <r>
      <rPr>
        <b/>
        <sz val="10"/>
        <rFont val="Symbol"/>
        <family val="1"/>
        <charset val="2"/>
      </rPr>
      <t>Q</t>
    </r>
    <r>
      <rPr>
        <b/>
        <vertAlign val="subscript"/>
        <sz val="10"/>
        <rFont val="Arial"/>
        <family val="2"/>
      </rPr>
      <t>v,3</t>
    </r>
  </si>
  <si>
    <t>NET RAIN</t>
  </si>
  <si>
    <t>m</t>
  </si>
  <si>
    <r>
      <rPr>
        <sz val="9"/>
        <rFont val="Arial"/>
        <family val="2"/>
      </rPr>
      <t>n</t>
    </r>
    <r>
      <rPr>
        <vertAlign val="subscript"/>
        <sz val="12"/>
        <rFont val="Arial"/>
        <family val="2"/>
      </rPr>
      <t>i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</si>
  <si>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 xml:space="preserve">v,i </t>
    </r>
    <r>
      <rPr>
        <sz val="9"/>
        <rFont val="Arial"/>
        <family val="2"/>
      </rPr>
      <t>(s</t>
    </r>
    <r>
      <rPr>
        <vertAlign val="subscript"/>
        <sz val="12"/>
        <rFont val="Arial"/>
        <family val="2"/>
      </rPr>
      <t>i</t>
    </r>
    <r>
      <rPr>
        <sz val="9"/>
        <rFont val="Arial"/>
        <family val="2"/>
      </rPr>
      <t xml:space="preserve"> - n</t>
    </r>
    <r>
      <rPr>
        <vertAlign val="subscript"/>
        <sz val="12"/>
        <rFont val="Arial"/>
        <family val="2"/>
      </rPr>
      <t>i</t>
    </r>
    <r>
      <rPr>
        <sz val="9"/>
        <rFont val="Arial"/>
        <family val="2"/>
      </rPr>
      <t>)</t>
    </r>
  </si>
  <si>
    <r>
      <t>mean K</t>
    </r>
    <r>
      <rPr>
        <vertAlign val="subscript"/>
        <sz val="12"/>
        <rFont val="Arial"/>
        <family val="2"/>
      </rPr>
      <t>i</t>
    </r>
  </si>
  <si>
    <r>
      <t>K</t>
    </r>
    <r>
      <rPr>
        <vertAlign val="subscript"/>
        <sz val="12"/>
        <rFont val="Arial"/>
        <family val="2"/>
      </rPr>
      <t>i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</si>
  <si>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i (initial)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</si>
  <si>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i (current)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</si>
  <si>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v,i (current)</t>
    </r>
  </si>
  <si>
    <r>
      <t>K (mm day</t>
    </r>
    <r>
      <rPr>
        <b/>
        <vertAlign val="superscript"/>
        <sz val="12"/>
        <rFont val="Arial"/>
        <family val="2"/>
      </rPr>
      <t>-1</t>
    </r>
    <r>
      <rPr>
        <b/>
        <sz val="9"/>
        <rFont val="Arial"/>
        <family val="2"/>
      </rPr>
      <t>)</t>
    </r>
  </si>
  <si>
    <r>
      <t>P</t>
    </r>
    <r>
      <rPr>
        <vertAlign val="subscript"/>
        <sz val="12"/>
        <rFont val="Arial"/>
        <family val="2"/>
      </rPr>
      <t>n</t>
    </r>
  </si>
  <si>
    <r>
      <t xml:space="preserve">mean </t>
    </r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v,wp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</si>
  <si>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v,wp,i</t>
    </r>
  </si>
  <si>
    <r>
      <t>AET</t>
    </r>
    <r>
      <rPr>
        <vertAlign val="subscript"/>
        <sz val="12"/>
        <rFont val="Arial"/>
        <family val="2"/>
      </rPr>
      <t>s</t>
    </r>
  </si>
  <si>
    <r>
      <t>AET</t>
    </r>
    <r>
      <rPr>
        <vertAlign val="subscript"/>
        <sz val="12"/>
        <rFont val="Arial"/>
        <family val="2"/>
      </rPr>
      <t>c</t>
    </r>
  </si>
  <si>
    <r>
      <t>AET</t>
    </r>
    <r>
      <rPr>
        <vertAlign val="subscript"/>
        <sz val="12"/>
        <rFont val="Arial"/>
        <family val="2"/>
      </rPr>
      <t>c,i</t>
    </r>
  </si>
  <si>
    <t>HUMIDITY</t>
  </si>
  <si>
    <t>VAP. PRESS.</t>
  </si>
  <si>
    <t>surface albedo, p</t>
    <phoneticPr fontId="3" type="noConversion"/>
  </si>
  <si>
    <t>Lat (deg)</t>
    <phoneticPr fontId="22"/>
  </si>
  <si>
    <t>Kumano</t>
    <phoneticPr fontId="3" type="noConversion"/>
  </si>
  <si>
    <t>tmax</t>
    <phoneticPr fontId="22"/>
  </si>
  <si>
    <r>
      <t>k</t>
    </r>
    <r>
      <rPr>
        <vertAlign val="subscript"/>
        <sz val="10"/>
        <rFont val="Arial"/>
        <family val="2"/>
      </rPr>
      <t>Rn</t>
    </r>
    <phoneticPr fontId="22"/>
  </si>
  <si>
    <t>誤差率</t>
    <rPh sb="0" eb="2">
      <t>ゴサ</t>
    </rPh>
    <rPh sb="2" eb="3">
      <t>リツ</t>
    </rPh>
    <phoneticPr fontId="22"/>
  </si>
  <si>
    <t>推定値[mm]</t>
    <rPh sb="0" eb="3">
      <t>スイテイチ</t>
    </rPh>
    <phoneticPr fontId="22"/>
  </si>
  <si>
    <t>実測値[mm]</t>
    <rPh sb="0" eb="3">
      <t>ジッソクチ</t>
    </rPh>
    <phoneticPr fontId="22"/>
  </si>
  <si>
    <r>
      <rPr>
        <sz val="9"/>
        <rFont val="ＭＳ Ｐゴシック"/>
        <family val="3"/>
        <charset val="128"/>
      </rPr>
      <t>実測値</t>
    </r>
    <r>
      <rPr>
        <sz val="9"/>
        <rFont val="Arial"/>
        <family val="2"/>
      </rPr>
      <t>[%]</t>
    </r>
    <rPh sb="0" eb="3">
      <t>ジッソクチ</t>
    </rPh>
    <phoneticPr fontId="22"/>
  </si>
  <si>
    <t>RAIN</t>
    <phoneticPr fontId="22"/>
  </si>
  <si>
    <t>残差</t>
    <rPh sb="0" eb="2">
      <t>ザンサ</t>
    </rPh>
    <phoneticPr fontId="22"/>
  </si>
  <si>
    <t>平方根</t>
    <rPh sb="0" eb="3">
      <t>ヘイホウコン</t>
    </rPh>
    <phoneticPr fontId="22"/>
  </si>
  <si>
    <t>RSME</t>
    <phoneticPr fontId="2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</si>
</sst>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_ "/>
    <numFmt numFmtId="177" formatCode="#,##0.00_ "/>
    <numFmt numFmtId="178" formatCode="0.0_ "/>
    <numFmt numFmtId="179" formatCode="0.0%"/>
    <numFmt numFmtId="180" formatCode="0.0000_ "/>
    <numFmt numFmtId="181" formatCode="0.00_ "/>
    <numFmt numFmtId="182" formatCode="0.0_);[Red]\(0.0\)"/>
    <numFmt numFmtId="183" formatCode="0.00_);[Red]\(0.00\)"/>
  </numFmts>
  <fonts count="25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Symbol"/>
      <family val="1"/>
      <charset val="2"/>
    </font>
    <font>
      <vertAlign val="subscript"/>
      <sz val="12"/>
      <name val="Arial"/>
      <family val="2"/>
    </font>
    <font>
      <sz val="11"/>
      <name val="Symbol"/>
      <family val="1"/>
      <charset val="2"/>
    </font>
    <font>
      <b/>
      <vertAlign val="subscript"/>
      <sz val="12"/>
      <name val="Arial"/>
      <family val="2"/>
    </font>
    <font>
      <b/>
      <sz val="9"/>
      <name val="Symbol"/>
      <family val="1"/>
      <charset val="2"/>
    </font>
    <font>
      <i/>
      <sz val="9"/>
      <name val="Arial"/>
      <family val="2"/>
    </font>
    <font>
      <vertAlign val="subscript"/>
      <sz val="12"/>
      <name val="Symbol"/>
      <family val="1"/>
      <charset val="2"/>
    </font>
    <font>
      <sz val="12"/>
      <name val="Symbol"/>
      <family val="1"/>
      <charset val="2"/>
    </font>
    <font>
      <b/>
      <i/>
      <sz val="9"/>
      <name val="Arial"/>
      <family val="2"/>
    </font>
    <font>
      <vertAlign val="superscript"/>
      <sz val="12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vertAlign val="subscript"/>
      <sz val="10"/>
      <name val="Arial"/>
      <family val="2"/>
    </font>
    <font>
      <vertAlign val="subscript"/>
      <sz val="9"/>
      <name val="Arial"/>
      <family val="2"/>
    </font>
    <font>
      <b/>
      <sz val="10"/>
      <name val="Arial"/>
      <family val="2"/>
    </font>
    <font>
      <b/>
      <sz val="10"/>
      <name val="Symbol"/>
      <family val="1"/>
      <charset val="2"/>
    </font>
    <font>
      <b/>
      <vertAlign val="subscript"/>
      <sz val="10"/>
      <name val="Arial"/>
      <family val="2"/>
    </font>
    <font>
      <b/>
      <vertAlign val="superscript"/>
      <sz val="12"/>
      <name val="Arial"/>
      <family val="2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6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NumberFormat="1"/>
    <xf numFmtId="0" fontId="2" fillId="0" borderId="0" xfId="0" applyNumberFormat="1" applyFont="1"/>
    <xf numFmtId="0" fontId="1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2" fontId="0" fillId="0" borderId="0" xfId="0" applyNumberFormat="1"/>
    <xf numFmtId="0" fontId="1" fillId="0" borderId="0" xfId="1"/>
    <xf numFmtId="14" fontId="1" fillId="0" borderId="0" xfId="1" applyNumberFormat="1"/>
    <xf numFmtId="0" fontId="2" fillId="0" borderId="0" xfId="1" applyFont="1"/>
    <xf numFmtId="0" fontId="1" fillId="0" borderId="0" xfId="1" applyNumberFormat="1"/>
    <xf numFmtId="0" fontId="2" fillId="0" borderId="0" xfId="1" applyFont="1" applyAlignment="1">
      <alignment horizontal="center"/>
    </xf>
    <xf numFmtId="0" fontId="0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left"/>
    </xf>
    <xf numFmtId="0" fontId="1" fillId="0" borderId="0" xfId="1" applyFont="1"/>
    <xf numFmtId="0" fontId="1" fillId="0" borderId="0" xfId="1" applyFont="1" applyFill="1"/>
    <xf numFmtId="0" fontId="4" fillId="0" borderId="0" xfId="1" applyFont="1"/>
    <xf numFmtId="0" fontId="2" fillId="0" borderId="1" xfId="1" applyFont="1" applyBorder="1"/>
    <xf numFmtId="0" fontId="2" fillId="0" borderId="1" xfId="1" applyFont="1" applyBorder="1" applyAlignment="1">
      <alignment horizontal="center"/>
    </xf>
    <xf numFmtId="0" fontId="1" fillId="0" borderId="0" xfId="1" applyAlignment="1">
      <alignment horizontal="right"/>
    </xf>
    <xf numFmtId="0" fontId="1" fillId="0" borderId="1" xfId="1" applyBorder="1"/>
    <xf numFmtId="0" fontId="9" fillId="0" borderId="0" xfId="1" applyFont="1" applyAlignment="1">
      <alignment horizontal="right"/>
    </xf>
    <xf numFmtId="0" fontId="4" fillId="0" borderId="0" xfId="1" applyFont="1" applyAlignment="1">
      <alignment horizontal="right"/>
    </xf>
    <xf numFmtId="0" fontId="1" fillId="0" borderId="0" xfId="0" applyFont="1" applyAlignment="1">
      <alignment horizontal="center"/>
    </xf>
    <xf numFmtId="0" fontId="12" fillId="0" borderId="0" xfId="1" applyFont="1" applyAlignment="1">
      <alignment wrapText="1"/>
    </xf>
    <xf numFmtId="0" fontId="2" fillId="0" borderId="0" xfId="1" applyFont="1" applyAlignment="1">
      <alignment wrapText="1"/>
    </xf>
    <xf numFmtId="0" fontId="2" fillId="0" borderId="0" xfId="1" applyFont="1" applyFill="1"/>
    <xf numFmtId="0" fontId="1" fillId="0" borderId="0" xfId="1" applyFill="1"/>
    <xf numFmtId="0" fontId="12" fillId="0" borderId="0" xfId="1" applyFont="1"/>
    <xf numFmtId="0" fontId="14" fillId="0" borderId="0" xfId="1" applyFont="1" applyFill="1"/>
    <xf numFmtId="0" fontId="15" fillId="0" borderId="0" xfId="1" applyFont="1" applyFill="1"/>
    <xf numFmtId="0" fontId="0" fillId="0" borderId="0" xfId="0" applyNumberFormat="1" applyFill="1"/>
    <xf numFmtId="0" fontId="1" fillId="0" borderId="0" xfId="1" applyAlignment="1">
      <alignment horizontal="left"/>
    </xf>
    <xf numFmtId="0" fontId="1" fillId="0" borderId="0" xfId="1" applyAlignment="1">
      <alignment wrapText="1"/>
    </xf>
    <xf numFmtId="0" fontId="1" fillId="0" borderId="0" xfId="1" applyBorder="1"/>
    <xf numFmtId="0" fontId="5" fillId="0" borderId="0" xfId="1" applyFont="1"/>
    <xf numFmtId="0" fontId="1" fillId="0" borderId="0" xfId="1" applyBorder="1" applyAlignment="1">
      <alignment wrapText="1"/>
    </xf>
    <xf numFmtId="0" fontId="18" fillId="0" borderId="1" xfId="1" applyFont="1" applyBorder="1" applyAlignment="1">
      <alignment horizontal="center" wrapText="1"/>
    </xf>
    <xf numFmtId="0" fontId="18" fillId="0" borderId="0" xfId="1" applyFont="1" applyAlignment="1">
      <alignment horizontal="center" wrapText="1"/>
    </xf>
    <xf numFmtId="11" fontId="1" fillId="0" borderId="0" xfId="1" applyNumberFormat="1"/>
    <xf numFmtId="176" fontId="0" fillId="0" borderId="2" xfId="0" applyNumberFormat="1" applyBorder="1"/>
    <xf numFmtId="0" fontId="1" fillId="0" borderId="2" xfId="1" applyBorder="1"/>
    <xf numFmtId="14" fontId="1" fillId="0" borderId="2" xfId="1" applyNumberFormat="1" applyBorder="1"/>
    <xf numFmtId="0" fontId="2" fillId="2" borderId="2" xfId="1" applyFont="1" applyFill="1" applyBorder="1" applyAlignment="1">
      <alignment horizontal="center"/>
    </xf>
    <xf numFmtId="177" fontId="0" fillId="0" borderId="2" xfId="0" applyNumberFormat="1" applyFont="1" applyBorder="1"/>
    <xf numFmtId="49" fontId="2" fillId="2" borderId="2" xfId="1" applyNumberFormat="1" applyFont="1" applyFill="1" applyBorder="1" applyAlignment="1">
      <alignment horizontal="center"/>
    </xf>
    <xf numFmtId="178" fontId="0" fillId="0" borderId="2" xfId="0" applyNumberFormat="1" applyBorder="1" applyAlignment="1">
      <alignment vertical="center"/>
    </xf>
    <xf numFmtId="178" fontId="0" fillId="0" borderId="2" xfId="0" applyNumberFormat="1" applyFont="1" applyBorder="1"/>
    <xf numFmtId="0" fontId="0" fillId="0" borderId="2" xfId="0" applyNumberFormat="1" applyFont="1" applyBorder="1"/>
    <xf numFmtId="0" fontId="23" fillId="0" borderId="0" xfId="0" applyFont="1"/>
    <xf numFmtId="179" fontId="1" fillId="0" borderId="0" xfId="0" applyNumberFormat="1" applyFont="1"/>
    <xf numFmtId="0" fontId="24" fillId="0" borderId="0" xfId="0" applyFont="1"/>
    <xf numFmtId="0" fontId="2" fillId="0" borderId="2" xfId="0" applyFont="1" applyBorder="1"/>
    <xf numFmtId="0" fontId="0" fillId="0" borderId="2" xfId="0" applyNumberFormat="1" applyBorder="1"/>
    <xf numFmtId="180" fontId="0" fillId="0" borderId="2" xfId="0" applyNumberFormat="1" applyBorder="1"/>
    <xf numFmtId="0" fontId="0" fillId="0" borderId="2" xfId="0" applyNumberFormat="1" applyFill="1" applyBorder="1"/>
    <xf numFmtId="0" fontId="0" fillId="0" borderId="2" xfId="0" applyBorder="1"/>
    <xf numFmtId="0" fontId="0" fillId="4" borderId="2" xfId="0" applyNumberFormat="1" applyFill="1" applyBorder="1"/>
    <xf numFmtId="0" fontId="0" fillId="4" borderId="2" xfId="0" applyFill="1" applyBorder="1"/>
    <xf numFmtId="0" fontId="2" fillId="3" borderId="2" xfId="0" applyFont="1" applyFill="1" applyBorder="1"/>
    <xf numFmtId="0" fontId="23" fillId="3" borderId="2" xfId="0" applyFont="1" applyFill="1" applyBorder="1"/>
    <xf numFmtId="181" fontId="0" fillId="0" borderId="0" xfId="0" applyNumberFormat="1"/>
    <xf numFmtId="182" fontId="1" fillId="0" borderId="2" xfId="1" applyNumberFormat="1" applyBorder="1"/>
    <xf numFmtId="183" fontId="1" fillId="0" borderId="2" xfId="1" applyNumberFormat="1" applyBorder="1"/>
    <xf numFmtId="181" fontId="1" fillId="0" borderId="2" xfId="1" applyNumberFormat="1" applyBorder="1"/>
    <xf numFmtId="176" fontId="1" fillId="0" borderId="2" xfId="1" applyNumberFormat="1" applyBorder="1"/>
    <xf numFmtId="11" fontId="1" fillId="0" borderId="0" xfId="0" applyNumberFormat="1" applyFont="1" applyAlignment="1">
      <alignment horizontal="right"/>
    </xf>
  </cellXfs>
  <cellStyles count="2">
    <cellStyle name="Normal 2" xfId="1" xr:uid="{00000000-0005-0000-0000-000000000000}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chemeClr val="tx1"/>
            </a:solidFill>
            <a:ln w="12700">
              <a:solidFill>
                <a:schemeClr val="tx1"/>
              </a:solidFill>
            </a:ln>
          </c:spPr>
          <c:invertIfNegative val="0"/>
          <c:cat>
            <c:numRef>
              <c:f>Output!$A$8:$A$37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Output!$B$8:$B$37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89</c:v>
                </c:pt>
                <c:pt idx="11">
                  <c:v>5</c:v>
                </c:pt>
                <c:pt idx="12">
                  <c:v>0</c:v>
                </c:pt>
                <c:pt idx="13">
                  <c:v>13</c:v>
                </c:pt>
                <c:pt idx="14">
                  <c:v>87</c:v>
                </c:pt>
                <c:pt idx="15">
                  <c:v>7</c:v>
                </c:pt>
                <c:pt idx="16">
                  <c:v>0</c:v>
                </c:pt>
                <c:pt idx="17">
                  <c:v>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44</c:v>
                </c:pt>
                <c:pt idx="24">
                  <c:v>53</c:v>
                </c:pt>
                <c:pt idx="25">
                  <c:v>27</c:v>
                </c:pt>
                <c:pt idx="26">
                  <c:v>34</c:v>
                </c:pt>
                <c:pt idx="27">
                  <c:v>42</c:v>
                </c:pt>
                <c:pt idx="28">
                  <c:v>6</c:v>
                </c:pt>
                <c:pt idx="29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5-40C0-ACF1-C0660230A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5136896"/>
        <c:axId val="125130624"/>
      </c:barChart>
      <c:scatterChart>
        <c:scatterStyle val="lineMarker"/>
        <c:varyColors val="0"/>
        <c:ser>
          <c:idx val="3"/>
          <c:order val="1"/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Output!$A$8:$A$37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Output!$C$8:$C$37</c:f>
              <c:numCache>
                <c:formatCode>General</c:formatCode>
                <c:ptCount val="30"/>
                <c:pt idx="0">
                  <c:v>0.23830000000000001</c:v>
                </c:pt>
                <c:pt idx="1">
                  <c:v>0.23403204351248397</c:v>
                </c:pt>
                <c:pt idx="2">
                  <c:v>0.26117937569439165</c:v>
                </c:pt>
                <c:pt idx="3">
                  <c:v>0.24170764666603825</c:v>
                </c:pt>
                <c:pt idx="4">
                  <c:v>0.23646748388171643</c:v>
                </c:pt>
                <c:pt idx="5">
                  <c:v>0.23484406991797507</c:v>
                </c:pt>
                <c:pt idx="6">
                  <c:v>0.31898598666159678</c:v>
                </c:pt>
                <c:pt idx="7">
                  <c:v>0.28438963987343863</c:v>
                </c:pt>
                <c:pt idx="8">
                  <c:v>0.25535613191185053</c:v>
                </c:pt>
                <c:pt idx="9">
                  <c:v>0.25023920038381497</c:v>
                </c:pt>
                <c:pt idx="10">
                  <c:v>0.24634432234695039</c:v>
                </c:pt>
                <c:pt idx="11">
                  <c:v>0.32722317683116026</c:v>
                </c:pt>
                <c:pt idx="12">
                  <c:v>0.30168549324023275</c:v>
                </c:pt>
                <c:pt idx="13">
                  <c:v>0.28622835526344786</c:v>
                </c:pt>
                <c:pt idx="14">
                  <c:v>0.32993825029497692</c:v>
                </c:pt>
                <c:pt idx="15">
                  <c:v>0.32593741094575851</c:v>
                </c:pt>
                <c:pt idx="16">
                  <c:v>0.31397611601011699</c:v>
                </c:pt>
                <c:pt idx="17">
                  <c:v>0.27784398833179541</c:v>
                </c:pt>
                <c:pt idx="18">
                  <c:v>0.30804135716248526</c:v>
                </c:pt>
                <c:pt idx="19">
                  <c:v>0.27922628559070323</c:v>
                </c:pt>
                <c:pt idx="20">
                  <c:v>0.2724663018261414</c:v>
                </c:pt>
                <c:pt idx="21">
                  <c:v>0.26874589221829398</c:v>
                </c:pt>
                <c:pt idx="22">
                  <c:v>0.26573582157673259</c:v>
                </c:pt>
                <c:pt idx="23">
                  <c:v>0.26675222894034384</c:v>
                </c:pt>
                <c:pt idx="24">
                  <c:v>0.31353318966881999</c:v>
                </c:pt>
                <c:pt idx="25">
                  <c:v>0.31282890184375955</c:v>
                </c:pt>
                <c:pt idx="26">
                  <c:v>0.30811774779315582</c:v>
                </c:pt>
                <c:pt idx="27">
                  <c:v>0.31383399137328399</c:v>
                </c:pt>
                <c:pt idx="28">
                  <c:v>0.31741725320858494</c:v>
                </c:pt>
                <c:pt idx="29">
                  <c:v>0.31016985970481259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05-40C0-ACF1-C0660230A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22432"/>
        <c:axId val="125128704"/>
      </c:scatterChart>
      <c:valAx>
        <c:axId val="125122432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DOY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900"/>
            </a:pPr>
            <a:endParaRPr lang="ja-JP"/>
          </a:p>
        </c:txPr>
        <c:crossAx val="125128704"/>
        <c:crosses val="autoZero"/>
        <c:crossBetween val="midCat"/>
        <c:majorUnit val="52"/>
      </c:valAx>
      <c:valAx>
        <c:axId val="125128704"/>
        <c:scaling>
          <c:orientation val="minMax"/>
          <c:max val="0.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water content (m</a:t>
                </a:r>
                <a:r>
                  <a:rPr lang="en-US" b="0" baseline="30000"/>
                  <a:t>3</a:t>
                </a:r>
                <a:r>
                  <a:rPr lang="en-US" b="0"/>
                  <a:t> m</a:t>
                </a:r>
                <a:r>
                  <a:rPr lang="en-US" b="0" baseline="30000"/>
                  <a:t>-3</a:t>
                </a:r>
                <a:r>
                  <a:rPr lang="en-US" b="0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5122432"/>
        <c:crosses val="autoZero"/>
        <c:crossBetween val="midCat"/>
        <c:majorUnit val="0.1"/>
      </c:valAx>
      <c:valAx>
        <c:axId val="125130624"/>
        <c:scaling>
          <c:orientation val="minMax"/>
          <c:max val="7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rain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5136896"/>
        <c:crosses val="max"/>
        <c:crossBetween val="between"/>
      </c:valAx>
      <c:catAx>
        <c:axId val="12513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13062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chemeClr val="tx1"/>
            </a:solidFill>
            <a:ln w="12700">
              <a:solidFill>
                <a:schemeClr val="tx1"/>
              </a:solidFill>
            </a:ln>
          </c:spPr>
          <c:invertIfNegative val="0"/>
          <c:cat>
            <c:numRef>
              <c:f>Output!$A$8:$A$37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Output!$B$8:$B$37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89</c:v>
                </c:pt>
                <c:pt idx="11">
                  <c:v>5</c:v>
                </c:pt>
                <c:pt idx="12">
                  <c:v>0</c:v>
                </c:pt>
                <c:pt idx="13">
                  <c:v>13</c:v>
                </c:pt>
                <c:pt idx="14">
                  <c:v>87</c:v>
                </c:pt>
                <c:pt idx="15">
                  <c:v>7</c:v>
                </c:pt>
                <c:pt idx="16">
                  <c:v>0</c:v>
                </c:pt>
                <c:pt idx="17">
                  <c:v>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44</c:v>
                </c:pt>
                <c:pt idx="24">
                  <c:v>53</c:v>
                </c:pt>
                <c:pt idx="25">
                  <c:v>27</c:v>
                </c:pt>
                <c:pt idx="26">
                  <c:v>34</c:v>
                </c:pt>
                <c:pt idx="27">
                  <c:v>42</c:v>
                </c:pt>
                <c:pt idx="28">
                  <c:v>6</c:v>
                </c:pt>
                <c:pt idx="29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E-46B4-A83D-4C71259DE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5170816"/>
        <c:axId val="125164544"/>
      </c:barChart>
      <c:scatterChart>
        <c:scatterStyle val="lineMarker"/>
        <c:varyColors val="0"/>
        <c:ser>
          <c:idx val="4"/>
          <c:order val="1"/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Output!$A$8:$A$37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Output!$F$8:$F$37</c:f>
              <c:numCache>
                <c:formatCode>General</c:formatCode>
                <c:ptCount val="30"/>
                <c:pt idx="0">
                  <c:v>238.3</c:v>
                </c:pt>
                <c:pt idx="1">
                  <c:v>237.901642380829</c:v>
                </c:pt>
                <c:pt idx="2">
                  <c:v>237.99541711245371</c:v>
                </c:pt>
                <c:pt idx="3">
                  <c:v>237.23769903659797</c:v>
                </c:pt>
                <c:pt idx="4">
                  <c:v>236.45498597537718</c:v>
                </c:pt>
                <c:pt idx="5">
                  <c:v>235.73743233884693</c:v>
                </c:pt>
                <c:pt idx="6">
                  <c:v>251.75552796296353</c:v>
                </c:pt>
                <c:pt idx="7">
                  <c:v>256.66608096726185</c:v>
                </c:pt>
                <c:pt idx="8">
                  <c:v>254.75906616223756</c:v>
                </c:pt>
                <c:pt idx="9">
                  <c:v>253.015147188805</c:v>
                </c:pt>
                <c:pt idx="10">
                  <c:v>251.31710601385407</c:v>
                </c:pt>
                <c:pt idx="11">
                  <c:v>312.78203166487128</c:v>
                </c:pt>
                <c:pt idx="12">
                  <c:v>304.09391975244148</c:v>
                </c:pt>
                <c:pt idx="13">
                  <c:v>298.91734365857911</c:v>
                </c:pt>
                <c:pt idx="14">
                  <c:v>305.74139374840081</c:v>
                </c:pt>
                <c:pt idx="15">
                  <c:v>329.25115809508463</c:v>
                </c:pt>
                <c:pt idx="16">
                  <c:v>304.55624826294803</c:v>
                </c:pt>
                <c:pt idx="17">
                  <c:v>296.47489654402864</c:v>
                </c:pt>
                <c:pt idx="18">
                  <c:v>297.7006697148413</c:v>
                </c:pt>
                <c:pt idx="19">
                  <c:v>292.59242447868837</c:v>
                </c:pt>
                <c:pt idx="20">
                  <c:v>287.82006262439029</c:v>
                </c:pt>
                <c:pt idx="21">
                  <c:v>283.50256915467963</c:v>
                </c:pt>
                <c:pt idx="22">
                  <c:v>279.71213630501859</c:v>
                </c:pt>
                <c:pt idx="23">
                  <c:v>277.240520357901</c:v>
                </c:pt>
                <c:pt idx="24">
                  <c:v>306.6288064125016</c:v>
                </c:pt>
                <c:pt idx="25">
                  <c:v>319.00533945835741</c:v>
                </c:pt>
                <c:pt idx="26">
                  <c:v>316.26783447760749</c:v>
                </c:pt>
                <c:pt idx="27">
                  <c:v>317.92680314477229</c:v>
                </c:pt>
                <c:pt idx="28">
                  <c:v>319.76958735550772</c:v>
                </c:pt>
                <c:pt idx="29">
                  <c:v>306.14226379232321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CE-46B4-A83D-4C71259DE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60448"/>
        <c:axId val="125162624"/>
      </c:scatterChart>
      <c:valAx>
        <c:axId val="125160448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DOY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900"/>
            </a:pPr>
            <a:endParaRPr lang="ja-JP"/>
          </a:p>
        </c:txPr>
        <c:crossAx val="125162624"/>
        <c:crosses val="autoZero"/>
        <c:crossBetween val="midCat"/>
        <c:majorUnit val="52"/>
      </c:valAx>
      <c:valAx>
        <c:axId val="125162624"/>
        <c:scaling>
          <c:orientation val="minMax"/>
          <c:max val="4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water content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5160448"/>
        <c:crosses val="autoZero"/>
        <c:crossBetween val="midCat"/>
        <c:majorUnit val="80"/>
      </c:valAx>
      <c:valAx>
        <c:axId val="125164544"/>
        <c:scaling>
          <c:orientation val="minMax"/>
          <c:max val="7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rain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5170816"/>
        <c:crosses val="max"/>
        <c:crossBetween val="between"/>
      </c:valAx>
      <c:catAx>
        <c:axId val="125170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16454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chemeClr val="tx1"/>
            </a:solidFill>
            <a:ln w="12700">
              <a:solidFill>
                <a:schemeClr val="tx1"/>
              </a:solidFill>
            </a:ln>
          </c:spPr>
          <c:invertIfNegative val="0"/>
          <c:cat>
            <c:numRef>
              <c:f>Output!$A$9:$A$37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Output!$B$8:$B$37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89</c:v>
                </c:pt>
                <c:pt idx="11">
                  <c:v>5</c:v>
                </c:pt>
                <c:pt idx="12">
                  <c:v>0</c:v>
                </c:pt>
                <c:pt idx="13">
                  <c:v>13</c:v>
                </c:pt>
                <c:pt idx="14">
                  <c:v>87</c:v>
                </c:pt>
                <c:pt idx="15">
                  <c:v>7</c:v>
                </c:pt>
                <c:pt idx="16">
                  <c:v>0</c:v>
                </c:pt>
                <c:pt idx="17">
                  <c:v>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44</c:v>
                </c:pt>
                <c:pt idx="24">
                  <c:v>53</c:v>
                </c:pt>
                <c:pt idx="25">
                  <c:v>27</c:v>
                </c:pt>
                <c:pt idx="26">
                  <c:v>34</c:v>
                </c:pt>
                <c:pt idx="27">
                  <c:v>42</c:v>
                </c:pt>
                <c:pt idx="28">
                  <c:v>6</c:v>
                </c:pt>
                <c:pt idx="29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A-4BEB-B530-E2CB0F736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644416"/>
        <c:axId val="127634048"/>
      </c:barChart>
      <c:scatterChart>
        <c:scatterStyle val="lineMarker"/>
        <c:varyColors val="0"/>
        <c:ser>
          <c:idx val="4"/>
          <c:order val="1"/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Output!$A$8:$A$37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Output!$D$8:$D$37</c:f>
              <c:numCache>
                <c:formatCode>General</c:formatCode>
                <c:ptCount val="30"/>
                <c:pt idx="0">
                  <c:v>0.23830000000000001</c:v>
                </c:pt>
                <c:pt idx="1">
                  <c:v>0.23762863050555053</c:v>
                </c:pt>
                <c:pt idx="2">
                  <c:v>0.2366852678970133</c:v>
                </c:pt>
                <c:pt idx="3">
                  <c:v>0.23593178056661521</c:v>
                </c:pt>
                <c:pt idx="4">
                  <c:v>0.23453209199489169</c:v>
                </c:pt>
                <c:pt idx="5">
                  <c:v>0.23314775257838416</c:v>
                </c:pt>
                <c:pt idx="6">
                  <c:v>0.26356650771759171</c:v>
                </c:pt>
                <c:pt idx="7">
                  <c:v>0.27215571704369573</c:v>
                </c:pt>
                <c:pt idx="8">
                  <c:v>0.26571178176910237</c:v>
                </c:pt>
                <c:pt idx="9">
                  <c:v>0.26000090401277481</c:v>
                </c:pt>
                <c:pt idx="10">
                  <c:v>0.25529175956351885</c:v>
                </c:pt>
                <c:pt idx="11">
                  <c:v>0.33468623828328309</c:v>
                </c:pt>
                <c:pt idx="12">
                  <c:v>0.31007082770363631</c:v>
                </c:pt>
                <c:pt idx="13">
                  <c:v>0.29890461389219264</c:v>
                </c:pt>
                <c:pt idx="14">
                  <c:v>0.31130250287053712</c:v>
                </c:pt>
                <c:pt idx="15">
                  <c:v>0.33499798047649754</c:v>
                </c:pt>
                <c:pt idx="16">
                  <c:v>0.2902844830575993</c:v>
                </c:pt>
                <c:pt idx="17">
                  <c:v>0.28358061435742549</c:v>
                </c:pt>
                <c:pt idx="18">
                  <c:v>0.28951080397108608</c:v>
                </c:pt>
                <c:pt idx="19">
                  <c:v>0.28402936198493195</c:v>
                </c:pt>
                <c:pt idx="20">
                  <c:v>0.28128219564703227</c:v>
                </c:pt>
                <c:pt idx="21">
                  <c:v>0.27954917864207357</c:v>
                </c:pt>
                <c:pt idx="22">
                  <c:v>0.27610823720821565</c:v>
                </c:pt>
                <c:pt idx="23">
                  <c:v>0.27360456694648821</c:v>
                </c:pt>
                <c:pt idx="24">
                  <c:v>0.32357678533763617</c:v>
                </c:pt>
                <c:pt idx="25">
                  <c:v>0.32963462264851917</c:v>
                </c:pt>
                <c:pt idx="26">
                  <c:v>0.31847130438681515</c:v>
                </c:pt>
                <c:pt idx="27">
                  <c:v>0.31932816434310868</c:v>
                </c:pt>
                <c:pt idx="28">
                  <c:v>0.32076580111405234</c:v>
                </c:pt>
                <c:pt idx="29">
                  <c:v>0.29584041154573426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EA-4BEB-B530-E2CB0F736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25856"/>
        <c:axId val="127632128"/>
      </c:scatterChart>
      <c:valAx>
        <c:axId val="127625856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DOY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900"/>
            </a:pPr>
            <a:endParaRPr lang="ja-JP"/>
          </a:p>
        </c:txPr>
        <c:crossAx val="127632128"/>
        <c:crosses val="autoZero"/>
        <c:crossBetween val="midCat"/>
        <c:majorUnit val="52"/>
      </c:valAx>
      <c:valAx>
        <c:axId val="127632128"/>
        <c:scaling>
          <c:orientation val="minMax"/>
          <c:max val="0.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water content (m</a:t>
                </a:r>
                <a:r>
                  <a:rPr lang="en-US" b="0" baseline="30000"/>
                  <a:t>3</a:t>
                </a:r>
                <a:r>
                  <a:rPr lang="en-US" b="0"/>
                  <a:t> m</a:t>
                </a:r>
                <a:r>
                  <a:rPr lang="en-US" b="0" baseline="30000"/>
                  <a:t>-3</a:t>
                </a:r>
                <a:r>
                  <a:rPr lang="en-US" b="0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7625856"/>
        <c:crosses val="autoZero"/>
        <c:crossBetween val="midCat"/>
        <c:majorUnit val="0.1"/>
      </c:valAx>
      <c:valAx>
        <c:axId val="127634048"/>
        <c:scaling>
          <c:orientation val="minMax"/>
          <c:max val="7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rain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7644416"/>
        <c:crosses val="max"/>
        <c:crossBetween val="between"/>
      </c:valAx>
      <c:catAx>
        <c:axId val="127644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76340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chemeClr val="tx1"/>
            </a:solidFill>
            <a:ln w="12700">
              <a:solidFill>
                <a:schemeClr val="tx1"/>
              </a:solidFill>
            </a:ln>
          </c:spPr>
          <c:invertIfNegative val="0"/>
          <c:cat>
            <c:numRef>
              <c:f>Output!$A$8:$A$37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Output!$B$8:$B$37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89</c:v>
                </c:pt>
                <c:pt idx="11">
                  <c:v>5</c:v>
                </c:pt>
                <c:pt idx="12">
                  <c:v>0</c:v>
                </c:pt>
                <c:pt idx="13">
                  <c:v>13</c:v>
                </c:pt>
                <c:pt idx="14">
                  <c:v>87</c:v>
                </c:pt>
                <c:pt idx="15">
                  <c:v>7</c:v>
                </c:pt>
                <c:pt idx="16">
                  <c:v>0</c:v>
                </c:pt>
                <c:pt idx="17">
                  <c:v>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44</c:v>
                </c:pt>
                <c:pt idx="24">
                  <c:v>53</c:v>
                </c:pt>
                <c:pt idx="25">
                  <c:v>27</c:v>
                </c:pt>
                <c:pt idx="26">
                  <c:v>34</c:v>
                </c:pt>
                <c:pt idx="27">
                  <c:v>42</c:v>
                </c:pt>
                <c:pt idx="28">
                  <c:v>6</c:v>
                </c:pt>
                <c:pt idx="29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6-4909-8FAE-43B85F04A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8209280"/>
        <c:axId val="128203008"/>
      </c:barChart>
      <c:scatterChart>
        <c:scatterStyle val="lineMarker"/>
        <c:varyColors val="0"/>
        <c:ser>
          <c:idx val="0"/>
          <c:order val="1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Output!$A$8:$A$37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Output!$E$8:$E$37</c:f>
              <c:numCache>
                <c:formatCode>General</c:formatCode>
                <c:ptCount val="30"/>
                <c:pt idx="0">
                  <c:v>0.23830000000000001</c:v>
                </c:pt>
                <c:pt idx="1">
                  <c:v>0.23829198361158857</c:v>
                </c:pt>
                <c:pt idx="2">
                  <c:v>0.23826270454988407</c:v>
                </c:pt>
                <c:pt idx="3">
                  <c:v>0.23822101354352732</c:v>
                </c:pt>
                <c:pt idx="4">
                  <c:v>0.23815552688479358</c:v>
                </c:pt>
                <c:pt idx="5">
                  <c:v>0.23806266298928982</c:v>
                </c:pt>
                <c:pt idx="6">
                  <c:v>0.23872156669161421</c:v>
                </c:pt>
                <c:pt idx="7">
                  <c:v>0.24189741986479432</c:v>
                </c:pt>
                <c:pt idx="8">
                  <c:v>0.24504716136579507</c:v>
                </c:pt>
                <c:pt idx="9">
                  <c:v>0.24694220641394665</c:v>
                </c:pt>
                <c:pt idx="10">
                  <c:v>0.24799232724556999</c:v>
                </c:pt>
                <c:pt idx="11">
                  <c:v>0.29284980484218825</c:v>
                </c:pt>
                <c:pt idx="12">
                  <c:v>0.29889928681531563</c:v>
                </c:pt>
                <c:pt idx="13">
                  <c:v>0.29941664262096446</c:v>
                </c:pt>
                <c:pt idx="14">
                  <c:v>0.29989130273471964</c:v>
                </c:pt>
                <c:pt idx="15">
                  <c:v>0.32429488241727034</c:v>
                </c:pt>
                <c:pt idx="16">
                  <c:v>0.31681896872355775</c:v>
                </c:pt>
                <c:pt idx="17">
                  <c:v>0.30859795033264803</c:v>
                </c:pt>
                <c:pt idx="18">
                  <c:v>0.30454783220171533</c:v>
                </c:pt>
                <c:pt idx="19">
                  <c:v>0.30068152356501077</c:v>
                </c:pt>
                <c:pt idx="20">
                  <c:v>0.29419408959660115</c:v>
                </c:pt>
                <c:pt idx="21">
                  <c:v>0.28756736372107672</c:v>
                </c:pt>
                <c:pt idx="22">
                  <c:v>0.28343775145712441</c:v>
                </c:pt>
                <c:pt idx="23">
                  <c:v>0.2808603365071336</c:v>
                </c:pt>
                <c:pt idx="24">
                  <c:v>0.29137081031502415</c:v>
                </c:pt>
                <c:pt idx="25">
                  <c:v>0.30984006731377584</c:v>
                </c:pt>
                <c:pt idx="26">
                  <c:v>0.31463207596886433</c:v>
                </c:pt>
                <c:pt idx="27">
                  <c:v>0.31684455330668587</c:v>
                </c:pt>
                <c:pt idx="28">
                  <c:v>0.31897879572859983</c:v>
                </c:pt>
                <c:pt idx="29">
                  <c:v>0.31510053324459458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66-4909-8FAE-43B85F04A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90720"/>
        <c:axId val="128201088"/>
      </c:scatterChart>
      <c:valAx>
        <c:axId val="128190720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DOY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900"/>
            </a:pPr>
            <a:endParaRPr lang="ja-JP"/>
          </a:p>
        </c:txPr>
        <c:crossAx val="128201088"/>
        <c:crosses val="autoZero"/>
        <c:crossBetween val="midCat"/>
        <c:majorUnit val="52"/>
      </c:valAx>
      <c:valAx>
        <c:axId val="128201088"/>
        <c:scaling>
          <c:orientation val="minMax"/>
          <c:max val="0.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water content (m</a:t>
                </a:r>
                <a:r>
                  <a:rPr lang="en-US" b="0" baseline="30000"/>
                  <a:t>3</a:t>
                </a:r>
                <a:r>
                  <a:rPr lang="en-US" b="0"/>
                  <a:t> m</a:t>
                </a:r>
                <a:r>
                  <a:rPr lang="en-US" b="0" baseline="30000"/>
                  <a:t>-3</a:t>
                </a:r>
                <a:r>
                  <a:rPr lang="en-US" b="0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8190720"/>
        <c:crosses val="autoZero"/>
        <c:crossBetween val="midCat"/>
        <c:majorUnit val="0.1"/>
      </c:valAx>
      <c:valAx>
        <c:axId val="128203008"/>
        <c:scaling>
          <c:orientation val="minMax"/>
          <c:max val="7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rain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8209280"/>
        <c:crosses val="max"/>
        <c:crossBetween val="between"/>
      </c:valAx>
      <c:catAx>
        <c:axId val="128209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2030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42946909000243"/>
          <c:y val="0.17685185185185184"/>
          <c:w val="0.72217919462397318"/>
          <c:h val="0.54675410053238616"/>
        </c:manualLayout>
      </c:layout>
      <c:barChart>
        <c:barDir val="col"/>
        <c:grouping val="clustered"/>
        <c:varyColors val="0"/>
        <c:ser>
          <c:idx val="2"/>
          <c:order val="2"/>
          <c:tx>
            <c:v>降水量[mm/day]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Output!$B$8:$B$36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89</c:v>
                </c:pt>
                <c:pt idx="11">
                  <c:v>5</c:v>
                </c:pt>
                <c:pt idx="12">
                  <c:v>0</c:v>
                </c:pt>
                <c:pt idx="13">
                  <c:v>13</c:v>
                </c:pt>
                <c:pt idx="14">
                  <c:v>87</c:v>
                </c:pt>
                <c:pt idx="15">
                  <c:v>7</c:v>
                </c:pt>
                <c:pt idx="16">
                  <c:v>0</c:v>
                </c:pt>
                <c:pt idx="17">
                  <c:v>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44</c:v>
                </c:pt>
                <c:pt idx="24">
                  <c:v>53</c:v>
                </c:pt>
                <c:pt idx="25">
                  <c:v>27</c:v>
                </c:pt>
                <c:pt idx="26">
                  <c:v>34</c:v>
                </c:pt>
                <c:pt idx="27">
                  <c:v>42</c:v>
                </c:pt>
                <c:pt idx="2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6F-4CB0-BEAD-B87422B9F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5082744"/>
        <c:axId val="575085040"/>
      </c:barChart>
      <c:lineChart>
        <c:grouping val="standard"/>
        <c:varyColors val="0"/>
        <c:ser>
          <c:idx val="0"/>
          <c:order val="0"/>
          <c:tx>
            <c:strRef>
              <c:f>Output!$F$7</c:f>
              <c:strCache>
                <c:ptCount val="1"/>
                <c:pt idx="0">
                  <c:v>推定値[mm]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Output!$G$8:$G$42</c:f>
              <c:numCache>
                <c:formatCode>General</c:formatCode>
                <c:ptCount val="35"/>
                <c:pt idx="0">
                  <c:v>238.3</c:v>
                </c:pt>
                <c:pt idx="1">
                  <c:v>237.901642380829</c:v>
                </c:pt>
                <c:pt idx="2">
                  <c:v>237.99541711245371</c:v>
                </c:pt>
                <c:pt idx="3">
                  <c:v>237.23769903659797</c:v>
                </c:pt>
                <c:pt idx="4">
                  <c:v>236.45498597537718</c:v>
                </c:pt>
                <c:pt idx="5">
                  <c:v>235.73743233884693</c:v>
                </c:pt>
                <c:pt idx="6">
                  <c:v>251.75552796296353</c:v>
                </c:pt>
                <c:pt idx="7">
                  <c:v>256.66608096726185</c:v>
                </c:pt>
                <c:pt idx="8">
                  <c:v>254.75906616223756</c:v>
                </c:pt>
                <c:pt idx="9">
                  <c:v>253.015147188805</c:v>
                </c:pt>
                <c:pt idx="10">
                  <c:v>251.31710601385407</c:v>
                </c:pt>
                <c:pt idx="11">
                  <c:v>312.78203166487128</c:v>
                </c:pt>
                <c:pt idx="12">
                  <c:v>304.09391975244148</c:v>
                </c:pt>
                <c:pt idx="13">
                  <c:v>298.91734365857911</c:v>
                </c:pt>
                <c:pt idx="14">
                  <c:v>305.74139374840081</c:v>
                </c:pt>
                <c:pt idx="15">
                  <c:v>329.25115809508463</c:v>
                </c:pt>
                <c:pt idx="16">
                  <c:v>304.55624826294803</c:v>
                </c:pt>
                <c:pt idx="17">
                  <c:v>296.47489654402864</c:v>
                </c:pt>
                <c:pt idx="18">
                  <c:v>297.7006697148413</c:v>
                </c:pt>
                <c:pt idx="19">
                  <c:v>292.59242447868837</c:v>
                </c:pt>
                <c:pt idx="20">
                  <c:v>287.82006262439029</c:v>
                </c:pt>
                <c:pt idx="21">
                  <c:v>283.50256915467963</c:v>
                </c:pt>
                <c:pt idx="22">
                  <c:v>279.71213630501859</c:v>
                </c:pt>
                <c:pt idx="23">
                  <c:v>277.240520357901</c:v>
                </c:pt>
                <c:pt idx="24">
                  <c:v>306.6288064125016</c:v>
                </c:pt>
                <c:pt idx="25">
                  <c:v>319.00533945835741</c:v>
                </c:pt>
                <c:pt idx="26">
                  <c:v>316.26783447760749</c:v>
                </c:pt>
                <c:pt idx="27">
                  <c:v>317.92680314477229</c:v>
                </c:pt>
                <c:pt idx="28">
                  <c:v>319.76958735550772</c:v>
                </c:pt>
                <c:pt idx="29">
                  <c:v>459.21339568848481</c:v>
                </c:pt>
                <c:pt idx="30">
                  <c:v>558.26866363841884</c:v>
                </c:pt>
                <c:pt idx="31">
                  <c:v>369.72096084539254</c:v>
                </c:pt>
                <c:pt idx="32">
                  <c:v>310.74585673322423</c:v>
                </c:pt>
                <c:pt idx="33">
                  <c:v>328.35109580396829</c:v>
                </c:pt>
                <c:pt idx="34">
                  <c:v>357.75745981830016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C-4544-9712-EC7F7D4BA161}"/>
            </c:ext>
          </c:extLst>
        </c:ser>
        <c:ser>
          <c:idx val="1"/>
          <c:order val="1"/>
          <c:tx>
            <c:strRef>
              <c:f>Output!$I$7</c:f>
              <c:strCache>
                <c:ptCount val="1"/>
                <c:pt idx="0">
                  <c:v>実測値[mm]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Output!$I$8:$I$42</c:f>
              <c:numCache>
                <c:formatCode>General</c:formatCode>
                <c:ptCount val="35"/>
                <c:pt idx="0">
                  <c:v>238.331754874653</c:v>
                </c:pt>
                <c:pt idx="1">
                  <c:v>238.39117647058669</c:v>
                </c:pt>
                <c:pt idx="2">
                  <c:v>239.29065573770333</c:v>
                </c:pt>
                <c:pt idx="3">
                  <c:v>234.82235772357964</c:v>
                </c:pt>
                <c:pt idx="4">
                  <c:v>230.50303030303041</c:v>
                </c:pt>
                <c:pt idx="5">
                  <c:v>226.54267015706745</c:v>
                </c:pt>
                <c:pt idx="6">
                  <c:v>273.13671444322262</c:v>
                </c:pt>
                <c:pt idx="7">
                  <c:v>281.96189710610946</c:v>
                </c:pt>
                <c:pt idx="8">
                  <c:v>267.99947575360278</c:v>
                </c:pt>
                <c:pt idx="9">
                  <c:v>251.04677419354772</c:v>
                </c:pt>
                <c:pt idx="10">
                  <c:v>278.9791618160657</c:v>
                </c:pt>
                <c:pt idx="11">
                  <c:v>320.2956183057446</c:v>
                </c:pt>
                <c:pt idx="12">
                  <c:v>300.46079335793411</c:v>
                </c:pt>
                <c:pt idx="13">
                  <c:v>287.85596153846478</c:v>
                </c:pt>
                <c:pt idx="14">
                  <c:v>316.42643442622875</c:v>
                </c:pt>
                <c:pt idx="15">
                  <c:v>322.28456104944507</c:v>
                </c:pt>
                <c:pt idx="16">
                  <c:v>304.33051330798696</c:v>
                </c:pt>
                <c:pt idx="17">
                  <c:v>297.58445544554792</c:v>
                </c:pt>
                <c:pt idx="18">
                  <c:v>283.4689655172445</c:v>
                </c:pt>
                <c:pt idx="19">
                  <c:v>263.94255924170523</c:v>
                </c:pt>
                <c:pt idx="20">
                  <c:v>249.90241312741233</c:v>
                </c:pt>
                <c:pt idx="21">
                  <c:v>251.02738669238261</c:v>
                </c:pt>
                <c:pt idx="22">
                  <c:v>250.657142857145</c:v>
                </c:pt>
                <c:pt idx="23">
                  <c:v>297.65193717277481</c:v>
                </c:pt>
                <c:pt idx="24">
                  <c:v>334.04543630892624</c:v>
                </c:pt>
                <c:pt idx="25">
                  <c:v>327.96229838709723</c:v>
                </c:pt>
                <c:pt idx="26">
                  <c:v>316.39990029910285</c:v>
                </c:pt>
                <c:pt idx="27">
                  <c:v>331.25084409136065</c:v>
                </c:pt>
                <c:pt idx="28">
                  <c:v>312.53610567514585</c:v>
                </c:pt>
                <c:pt idx="29">
                  <c:v>493.94859359844446</c:v>
                </c:pt>
                <c:pt idx="30">
                  <c:v>532.45215264187698</c:v>
                </c:pt>
                <c:pt idx="31">
                  <c:v>380.59320175438501</c:v>
                </c:pt>
                <c:pt idx="32">
                  <c:v>310.54798076922918</c:v>
                </c:pt>
                <c:pt idx="33">
                  <c:v>360.95828677840183</c:v>
                </c:pt>
                <c:pt idx="34">
                  <c:v>308.13527168731986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C-4544-9712-EC7F7D4BA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629688"/>
        <c:axId val="552631328"/>
      </c:lineChart>
      <c:catAx>
        <c:axId val="552629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日数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2631328"/>
        <c:crosses val="autoZero"/>
        <c:auto val="1"/>
        <c:lblAlgn val="ctr"/>
        <c:lblOffset val="100"/>
        <c:noMultiLvlLbl val="0"/>
      </c:catAx>
      <c:valAx>
        <c:axId val="5526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土壌水分量</a:t>
                </a:r>
                <a:r>
                  <a:rPr lang="en-US"/>
                  <a:t>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2629688"/>
        <c:crosses val="autoZero"/>
        <c:crossBetween val="between"/>
      </c:valAx>
      <c:valAx>
        <c:axId val="5750850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sz="1050"/>
                  <a:t>降水量</a:t>
                </a:r>
                <a:r>
                  <a:rPr lang="en-US" sz="1050"/>
                  <a:t>[mm/day]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5082744"/>
        <c:crosses val="max"/>
        <c:crossBetween val="between"/>
      </c:valAx>
      <c:catAx>
        <c:axId val="575082744"/>
        <c:scaling>
          <c:orientation val="minMax"/>
        </c:scaling>
        <c:delete val="1"/>
        <c:axPos val="b"/>
        <c:majorTickMark val="out"/>
        <c:minorTickMark val="none"/>
        <c:tickLblPos val="nextTo"/>
        <c:crossAx val="575085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12791278702607078"/>
          <c:y val="1.5797191981480305E-2"/>
          <c:w val="0.30778592844407415"/>
          <c:h val="0.306820475695765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42946909000243"/>
          <c:y val="0.17685185185185184"/>
          <c:w val="0.72217919462397318"/>
          <c:h val="0.54675410053238616"/>
        </c:manualLayout>
      </c:layout>
      <c:barChart>
        <c:barDir val="col"/>
        <c:grouping val="clustered"/>
        <c:varyColors val="0"/>
        <c:ser>
          <c:idx val="2"/>
          <c:order val="2"/>
          <c:tx>
            <c:v>降水量[mm/h]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Output!$B$8:$B$37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89</c:v>
                </c:pt>
                <c:pt idx="11">
                  <c:v>5</c:v>
                </c:pt>
                <c:pt idx="12">
                  <c:v>0</c:v>
                </c:pt>
                <c:pt idx="13">
                  <c:v>13</c:v>
                </c:pt>
                <c:pt idx="14">
                  <c:v>87</c:v>
                </c:pt>
                <c:pt idx="15">
                  <c:v>7</c:v>
                </c:pt>
                <c:pt idx="16">
                  <c:v>0</c:v>
                </c:pt>
                <c:pt idx="17">
                  <c:v>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44</c:v>
                </c:pt>
                <c:pt idx="24">
                  <c:v>53</c:v>
                </c:pt>
                <c:pt idx="25">
                  <c:v>27</c:v>
                </c:pt>
                <c:pt idx="26">
                  <c:v>34</c:v>
                </c:pt>
                <c:pt idx="27">
                  <c:v>42</c:v>
                </c:pt>
                <c:pt idx="28">
                  <c:v>6</c:v>
                </c:pt>
                <c:pt idx="29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E-49E0-A242-08F94234C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5082744"/>
        <c:axId val="575085040"/>
      </c:barChart>
      <c:lineChart>
        <c:grouping val="standard"/>
        <c:varyColors val="0"/>
        <c:ser>
          <c:idx val="0"/>
          <c:order val="0"/>
          <c:tx>
            <c:strRef>
              <c:f>Output!$F$7</c:f>
              <c:strCache>
                <c:ptCount val="1"/>
                <c:pt idx="0">
                  <c:v>推定値[mm]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Output!$F$8:$F$37</c:f>
              <c:numCache>
                <c:formatCode>General</c:formatCode>
                <c:ptCount val="30"/>
                <c:pt idx="0">
                  <c:v>238.3</c:v>
                </c:pt>
                <c:pt idx="1">
                  <c:v>237.901642380829</c:v>
                </c:pt>
                <c:pt idx="2">
                  <c:v>237.99541711245371</c:v>
                </c:pt>
                <c:pt idx="3">
                  <c:v>237.23769903659797</c:v>
                </c:pt>
                <c:pt idx="4">
                  <c:v>236.45498597537718</c:v>
                </c:pt>
                <c:pt idx="5">
                  <c:v>235.73743233884693</c:v>
                </c:pt>
                <c:pt idx="6">
                  <c:v>251.75552796296353</c:v>
                </c:pt>
                <c:pt idx="7">
                  <c:v>256.66608096726185</c:v>
                </c:pt>
                <c:pt idx="8">
                  <c:v>254.75906616223756</c:v>
                </c:pt>
                <c:pt idx="9">
                  <c:v>253.015147188805</c:v>
                </c:pt>
                <c:pt idx="10">
                  <c:v>251.31710601385407</c:v>
                </c:pt>
                <c:pt idx="11">
                  <c:v>312.78203166487128</c:v>
                </c:pt>
                <c:pt idx="12">
                  <c:v>304.09391975244148</c:v>
                </c:pt>
                <c:pt idx="13">
                  <c:v>298.91734365857911</c:v>
                </c:pt>
                <c:pt idx="14">
                  <c:v>305.74139374840081</c:v>
                </c:pt>
                <c:pt idx="15">
                  <c:v>329.25115809508463</c:v>
                </c:pt>
                <c:pt idx="16">
                  <c:v>304.55624826294803</c:v>
                </c:pt>
                <c:pt idx="17">
                  <c:v>296.47489654402864</c:v>
                </c:pt>
                <c:pt idx="18">
                  <c:v>297.7006697148413</c:v>
                </c:pt>
                <c:pt idx="19">
                  <c:v>292.59242447868837</c:v>
                </c:pt>
                <c:pt idx="20">
                  <c:v>287.82006262439029</c:v>
                </c:pt>
                <c:pt idx="21">
                  <c:v>283.50256915467963</c:v>
                </c:pt>
                <c:pt idx="22">
                  <c:v>279.71213630501859</c:v>
                </c:pt>
                <c:pt idx="23">
                  <c:v>277.240520357901</c:v>
                </c:pt>
                <c:pt idx="24">
                  <c:v>306.6288064125016</c:v>
                </c:pt>
                <c:pt idx="25">
                  <c:v>319.00533945835741</c:v>
                </c:pt>
                <c:pt idx="26">
                  <c:v>316.26783447760749</c:v>
                </c:pt>
                <c:pt idx="27">
                  <c:v>317.92680314477229</c:v>
                </c:pt>
                <c:pt idx="28">
                  <c:v>319.76958735550772</c:v>
                </c:pt>
                <c:pt idx="29">
                  <c:v>306.14226379232321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9E-49E0-A242-08F94234CB5B}"/>
            </c:ext>
          </c:extLst>
        </c:ser>
        <c:ser>
          <c:idx val="1"/>
          <c:order val="1"/>
          <c:tx>
            <c:strRef>
              <c:f>Output!$I$7</c:f>
              <c:strCache>
                <c:ptCount val="1"/>
                <c:pt idx="0">
                  <c:v>実測値[mm]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Output!$I$8:$I$37</c:f>
              <c:numCache>
                <c:formatCode>General</c:formatCode>
                <c:ptCount val="30"/>
                <c:pt idx="0">
                  <c:v>238.331754874653</c:v>
                </c:pt>
                <c:pt idx="1">
                  <c:v>238.39117647058669</c:v>
                </c:pt>
                <c:pt idx="2">
                  <c:v>239.29065573770333</c:v>
                </c:pt>
                <c:pt idx="3">
                  <c:v>234.82235772357964</c:v>
                </c:pt>
                <c:pt idx="4">
                  <c:v>230.50303030303041</c:v>
                </c:pt>
                <c:pt idx="5">
                  <c:v>226.54267015706745</c:v>
                </c:pt>
                <c:pt idx="6">
                  <c:v>273.13671444322262</c:v>
                </c:pt>
                <c:pt idx="7">
                  <c:v>281.96189710610946</c:v>
                </c:pt>
                <c:pt idx="8">
                  <c:v>267.99947575360278</c:v>
                </c:pt>
                <c:pt idx="9">
                  <c:v>251.04677419354772</c:v>
                </c:pt>
                <c:pt idx="10">
                  <c:v>278.9791618160657</c:v>
                </c:pt>
                <c:pt idx="11">
                  <c:v>320.2956183057446</c:v>
                </c:pt>
                <c:pt idx="12">
                  <c:v>300.46079335793411</c:v>
                </c:pt>
                <c:pt idx="13">
                  <c:v>287.85596153846478</c:v>
                </c:pt>
                <c:pt idx="14">
                  <c:v>316.42643442622875</c:v>
                </c:pt>
                <c:pt idx="15">
                  <c:v>322.28456104944507</c:v>
                </c:pt>
                <c:pt idx="16">
                  <c:v>304.33051330798696</c:v>
                </c:pt>
                <c:pt idx="17">
                  <c:v>297.58445544554792</c:v>
                </c:pt>
                <c:pt idx="18">
                  <c:v>283.4689655172445</c:v>
                </c:pt>
                <c:pt idx="19">
                  <c:v>263.94255924170523</c:v>
                </c:pt>
                <c:pt idx="20">
                  <c:v>249.90241312741233</c:v>
                </c:pt>
                <c:pt idx="21">
                  <c:v>251.02738669238261</c:v>
                </c:pt>
                <c:pt idx="22">
                  <c:v>250.657142857145</c:v>
                </c:pt>
                <c:pt idx="23">
                  <c:v>297.65193717277481</c:v>
                </c:pt>
                <c:pt idx="24">
                  <c:v>334.04543630892624</c:v>
                </c:pt>
                <c:pt idx="25">
                  <c:v>327.96229838709723</c:v>
                </c:pt>
                <c:pt idx="26">
                  <c:v>316.39990029910285</c:v>
                </c:pt>
                <c:pt idx="27">
                  <c:v>331.25084409136065</c:v>
                </c:pt>
                <c:pt idx="28">
                  <c:v>312.53610567514585</c:v>
                </c:pt>
                <c:pt idx="29">
                  <c:v>493.94859359844446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9E-49E0-A242-08F94234C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629688"/>
        <c:axId val="552631328"/>
      </c:lineChart>
      <c:catAx>
        <c:axId val="552629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日数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2631328"/>
        <c:crosses val="autoZero"/>
        <c:auto val="1"/>
        <c:lblAlgn val="ctr"/>
        <c:lblOffset val="100"/>
        <c:noMultiLvlLbl val="0"/>
      </c:catAx>
      <c:valAx>
        <c:axId val="5526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土壌水分量</a:t>
                </a:r>
                <a:r>
                  <a:rPr lang="en-US"/>
                  <a:t>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2629688"/>
        <c:crosses val="autoZero"/>
        <c:crossBetween val="between"/>
      </c:valAx>
      <c:valAx>
        <c:axId val="5750850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sz="1050"/>
                  <a:t>降水量</a:t>
                </a:r>
                <a:r>
                  <a:rPr lang="en-US" sz="1050"/>
                  <a:t>[mm/day]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5082744"/>
        <c:crosses val="max"/>
        <c:crossBetween val="between"/>
      </c:valAx>
      <c:catAx>
        <c:axId val="575082744"/>
        <c:scaling>
          <c:orientation val="minMax"/>
        </c:scaling>
        <c:delete val="1"/>
        <c:axPos val="b"/>
        <c:majorTickMark val="out"/>
        <c:minorTickMark val="none"/>
        <c:tickLblPos val="nextTo"/>
        <c:crossAx val="575085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045059034167671"/>
          <c:y val="0.89809456756809825"/>
          <c:w val="0.65574751420731225"/>
          <c:h val="8.58784980779780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17</xdr:col>
      <xdr:colOff>590550</xdr:colOff>
      <xdr:row>4</xdr:row>
      <xdr:rowOff>114300</xdr:rowOff>
    </xdr:from>
    <xdr:to>
      <xdr:col>22</xdr:col>
      <xdr:colOff>422550</xdr:colOff>
      <xdr:row>21</xdr:row>
      <xdr:rowOff>43500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22</xdr:col>
      <xdr:colOff>428625</xdr:colOff>
      <xdr:row>21</xdr:row>
      <xdr:rowOff>57150</xdr:rowOff>
    </xdr:from>
    <xdr:to>
      <xdr:col>27</xdr:col>
      <xdr:colOff>306345</xdr:colOff>
      <xdr:row>37</xdr:row>
      <xdr:rowOff>138750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22</xdr:col>
      <xdr:colOff>428625</xdr:colOff>
      <xdr:row>4</xdr:row>
      <xdr:rowOff>123825</xdr:rowOff>
    </xdr:from>
    <xdr:to>
      <xdr:col>27</xdr:col>
      <xdr:colOff>306345</xdr:colOff>
      <xdr:row>21</xdr:row>
      <xdr:rowOff>53025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17</xdr:col>
      <xdr:colOff>600075</xdr:colOff>
      <xdr:row>21</xdr:row>
      <xdr:rowOff>57150</xdr:rowOff>
    </xdr:from>
    <xdr:to>
      <xdr:col>22</xdr:col>
      <xdr:colOff>432075</xdr:colOff>
      <xdr:row>37</xdr:row>
      <xdr:rowOff>138750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247650</xdr:colOff>
      <xdr:row>14</xdr:row>
      <xdr:rowOff>19050</xdr:rowOff>
    </xdr:from>
    <xdr:to>
      <xdr:col>18</xdr:col>
      <xdr:colOff>447676</xdr:colOff>
      <xdr:row>27</xdr:row>
      <xdr:rowOff>133349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F5BAEBBD-E798-4E08-939E-7467596C0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37</xdr:row>
      <xdr:rowOff>0</xdr:rowOff>
    </xdr:from>
    <xdr:to>
      <xdr:col>21</xdr:col>
      <xdr:colOff>590551</xdr:colOff>
      <xdr:row>52</xdr:row>
      <xdr:rowOff>38099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AAC5CC8A-A39E-42FC-962C-2D36CFD1A3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buildit/1a.%20Excel%202007%20and%20above/BuildIt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nterpola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224"/>
  <sheetViews>
    <sheetView workbookViewId="0">
      <pane ySplit="1" topLeftCell="A2" activePane="bottomLeft" state="frozen"/>
      <selection pane="bottomLeft" activeCell="J32" sqref="J32"/>
    </sheetView>
  </sheetViews>
  <sheetFormatPr defaultColWidth="9.140625" defaultRowHeight="12" x14ac:dyDescent="0.2"/>
  <cols>
    <col min="1" max="1" width="5.7109375" style="16" bestFit="1" customWidth="1"/>
    <col min="2" max="2" width="6.140625" style="16" bestFit="1" customWidth="1"/>
    <col min="3" max="3" width="3.85546875" style="16" bestFit="1" customWidth="1"/>
    <col min="4" max="4" width="9.85546875" style="16" bestFit="1" customWidth="1"/>
    <col min="5" max="5" width="6.5703125" style="16" customWidth="1"/>
    <col min="6" max="6" width="6" style="16" bestFit="1" customWidth="1"/>
    <col min="7" max="7" width="7" style="16" bestFit="1" customWidth="1"/>
    <col min="8" max="8" width="5" style="16" customWidth="1"/>
    <col min="9" max="9" width="12" style="16" customWidth="1"/>
    <col min="10" max="10" width="7.42578125" style="16" customWidth="1"/>
    <col min="11" max="11" width="3" style="16" customWidth="1"/>
    <col min="12" max="12" width="8" style="16" customWidth="1"/>
    <col min="13" max="13" width="5.85546875" style="16" customWidth="1"/>
    <col min="14" max="16384" width="9.140625" style="16"/>
  </cols>
  <sheetData>
    <row r="1" spans="1:13" x14ac:dyDescent="0.2">
      <c r="A1" s="52" t="s">
        <v>1</v>
      </c>
      <c r="B1" s="52" t="s">
        <v>2</v>
      </c>
      <c r="C1" s="52" t="s">
        <v>3</v>
      </c>
      <c r="D1" s="54" t="s">
        <v>4</v>
      </c>
      <c r="E1" s="52" t="s">
        <v>5</v>
      </c>
      <c r="F1" s="52" t="s">
        <v>6</v>
      </c>
      <c r="G1" s="52" t="s">
        <v>284</v>
      </c>
      <c r="H1" s="52" t="s">
        <v>7</v>
      </c>
      <c r="I1" s="52" t="s">
        <v>8</v>
      </c>
      <c r="J1" s="52" t="s">
        <v>9</v>
      </c>
    </row>
    <row r="2" spans="1:13" x14ac:dyDescent="0.2">
      <c r="A2" s="50">
        <v>2017</v>
      </c>
      <c r="B2" s="50">
        <v>9</v>
      </c>
      <c r="C2" s="50">
        <v>22</v>
      </c>
      <c r="D2" s="51">
        <f>DATE(A2,B2,C2)</f>
        <v>43000</v>
      </c>
      <c r="E2" s="55">
        <v>0</v>
      </c>
      <c r="F2" s="56">
        <v>20.8</v>
      </c>
      <c r="G2" s="56">
        <v>22.2</v>
      </c>
      <c r="H2" s="49">
        <v>96.9</v>
      </c>
      <c r="I2" s="53">
        <v>0.67213114754098358</v>
      </c>
      <c r="J2" s="56">
        <v>0</v>
      </c>
      <c r="L2" s="18" t="s">
        <v>282</v>
      </c>
      <c r="M2" s="16">
        <v>33.479999999999997</v>
      </c>
    </row>
    <row r="3" spans="1:13" x14ac:dyDescent="0.2">
      <c r="A3" s="50">
        <v>2017</v>
      </c>
      <c r="B3" s="50">
        <v>9</v>
      </c>
      <c r="C3" s="50">
        <v>23</v>
      </c>
      <c r="D3" s="51">
        <f t="shared" ref="D3:D37" si="0">DATE(A3,B3,C3)</f>
        <v>43001</v>
      </c>
      <c r="E3" s="55">
        <v>8.7833333333255723</v>
      </c>
      <c r="F3" s="56">
        <v>19.899999999999999</v>
      </c>
      <c r="G3" s="56">
        <v>28.2</v>
      </c>
      <c r="H3" s="49">
        <v>88.5</v>
      </c>
      <c r="I3" s="53">
        <v>0.83333333333333337</v>
      </c>
      <c r="J3" s="56">
        <v>1</v>
      </c>
    </row>
    <row r="4" spans="1:13" x14ac:dyDescent="0.2">
      <c r="A4" s="50">
        <v>2017</v>
      </c>
      <c r="B4" s="50">
        <v>9</v>
      </c>
      <c r="C4" s="50">
        <v>24</v>
      </c>
      <c r="D4" s="51">
        <f t="shared" si="0"/>
        <v>43002</v>
      </c>
      <c r="E4" s="55">
        <v>7.1166666666395031</v>
      </c>
      <c r="F4" s="56">
        <v>20.3</v>
      </c>
      <c r="G4" s="56">
        <v>27.2</v>
      </c>
      <c r="H4" s="49">
        <v>86.2</v>
      </c>
      <c r="I4" s="53">
        <v>0.78899082568807344</v>
      </c>
      <c r="J4" s="56">
        <v>0</v>
      </c>
    </row>
    <row r="5" spans="1:13" x14ac:dyDescent="0.2">
      <c r="A5" s="50">
        <v>2017</v>
      </c>
      <c r="B5" s="50">
        <v>9</v>
      </c>
      <c r="C5" s="50">
        <v>25</v>
      </c>
      <c r="D5" s="51">
        <f t="shared" si="0"/>
        <v>43003</v>
      </c>
      <c r="E5" s="55">
        <v>8.8000000000465661</v>
      </c>
      <c r="F5" s="56">
        <v>19.5</v>
      </c>
      <c r="G5" s="56">
        <v>28.8</v>
      </c>
      <c r="H5" s="49">
        <v>82.6</v>
      </c>
      <c r="I5" s="53">
        <v>1.2695652173913043</v>
      </c>
      <c r="J5" s="56">
        <v>0</v>
      </c>
    </row>
    <row r="6" spans="1:13" x14ac:dyDescent="0.2">
      <c r="A6" s="50">
        <v>2017</v>
      </c>
      <c r="B6" s="50">
        <v>9</v>
      </c>
      <c r="C6" s="50">
        <v>26</v>
      </c>
      <c r="D6" s="51">
        <f t="shared" si="0"/>
        <v>43004</v>
      </c>
      <c r="E6" s="55">
        <v>7.9333333333488554</v>
      </c>
      <c r="F6" s="56">
        <v>18.899999999999999</v>
      </c>
      <c r="G6" s="56">
        <v>28.4</v>
      </c>
      <c r="H6" s="49">
        <v>87.6</v>
      </c>
      <c r="I6" s="53">
        <v>1.0090090090090089</v>
      </c>
      <c r="J6" s="56">
        <v>0</v>
      </c>
      <c r="K6" s="17"/>
    </row>
    <row r="7" spans="1:13" x14ac:dyDescent="0.2">
      <c r="A7" s="50">
        <v>2017</v>
      </c>
      <c r="B7" s="50">
        <v>9</v>
      </c>
      <c r="C7" s="50">
        <v>27</v>
      </c>
      <c r="D7" s="51">
        <f t="shared" si="0"/>
        <v>43005</v>
      </c>
      <c r="E7" s="55">
        <v>6.1333333334187046</v>
      </c>
      <c r="F7" s="56">
        <v>20</v>
      </c>
      <c r="G7" s="56">
        <v>28.2</v>
      </c>
      <c r="H7" s="49">
        <v>89.6</v>
      </c>
      <c r="I7" s="53">
        <v>0.56818181818181823</v>
      </c>
      <c r="J7" s="56">
        <v>19</v>
      </c>
    </row>
    <row r="8" spans="1:13" x14ac:dyDescent="0.2">
      <c r="A8" s="50">
        <v>2017</v>
      </c>
      <c r="B8" s="50">
        <v>9</v>
      </c>
      <c r="C8" s="50">
        <v>28</v>
      </c>
      <c r="D8" s="51">
        <f t="shared" si="0"/>
        <v>43006</v>
      </c>
      <c r="E8" s="55">
        <v>7.6166666665230878</v>
      </c>
      <c r="F8" s="56">
        <v>19.100000000000001</v>
      </c>
      <c r="G8" s="56">
        <v>31.6</v>
      </c>
      <c r="H8" s="49">
        <v>80.8</v>
      </c>
      <c r="I8" s="53">
        <v>1.5126582278481013</v>
      </c>
      <c r="J8" s="56">
        <v>8</v>
      </c>
    </row>
    <row r="9" spans="1:13" x14ac:dyDescent="0.2">
      <c r="A9" s="50">
        <v>2017</v>
      </c>
      <c r="B9" s="50">
        <v>9</v>
      </c>
      <c r="C9" s="50">
        <v>29</v>
      </c>
      <c r="D9" s="51">
        <f t="shared" si="0"/>
        <v>43007</v>
      </c>
      <c r="E9" s="55">
        <v>8.433333333407063</v>
      </c>
      <c r="F9" s="56">
        <v>14.6</v>
      </c>
      <c r="G9" s="56">
        <v>26.8</v>
      </c>
      <c r="H9" s="49">
        <v>60.5</v>
      </c>
      <c r="I9" s="53">
        <v>1.9684210526315788</v>
      </c>
      <c r="J9" s="56">
        <v>0</v>
      </c>
    </row>
    <row r="10" spans="1:13" x14ac:dyDescent="0.2">
      <c r="A10" s="50">
        <v>2017</v>
      </c>
      <c r="B10" s="50">
        <v>9</v>
      </c>
      <c r="C10" s="50">
        <v>30</v>
      </c>
      <c r="D10" s="51">
        <f t="shared" si="0"/>
        <v>43008</v>
      </c>
      <c r="E10" s="55">
        <v>8.1000000000349246</v>
      </c>
      <c r="F10" s="56">
        <v>16.399999999999999</v>
      </c>
      <c r="G10" s="56">
        <v>26.6</v>
      </c>
      <c r="H10" s="49">
        <v>68.599999999999994</v>
      </c>
      <c r="I10" s="53">
        <v>1.9243697478991597</v>
      </c>
      <c r="J10" s="56">
        <v>0</v>
      </c>
    </row>
    <row r="11" spans="1:13" x14ac:dyDescent="0.2">
      <c r="A11" s="50">
        <v>2017</v>
      </c>
      <c r="B11" s="50">
        <v>10</v>
      </c>
      <c r="C11" s="50">
        <v>1</v>
      </c>
      <c r="D11" s="51">
        <f t="shared" si="0"/>
        <v>43009</v>
      </c>
      <c r="E11" s="55">
        <v>8.433333333407063</v>
      </c>
      <c r="F11" s="56">
        <v>14.5</v>
      </c>
      <c r="G11" s="56">
        <v>26.7</v>
      </c>
      <c r="H11" s="49">
        <v>71.3</v>
      </c>
      <c r="I11" s="53">
        <v>0.97841726618705038</v>
      </c>
      <c r="J11" s="56">
        <v>0</v>
      </c>
    </row>
    <row r="12" spans="1:13" x14ac:dyDescent="0.2">
      <c r="A12" s="50">
        <v>2017</v>
      </c>
      <c r="B12" s="50">
        <v>10</v>
      </c>
      <c r="C12" s="50">
        <v>2</v>
      </c>
      <c r="D12" s="51">
        <f t="shared" si="0"/>
        <v>43010</v>
      </c>
      <c r="E12" s="55">
        <v>0.29999999993015081</v>
      </c>
      <c r="F12" s="56">
        <v>21.5</v>
      </c>
      <c r="G12" s="56">
        <v>25.1</v>
      </c>
      <c r="H12" s="49">
        <v>88.8</v>
      </c>
      <c r="I12" s="53">
        <v>0.44525547445255476</v>
      </c>
      <c r="J12" s="56">
        <v>89</v>
      </c>
    </row>
    <row r="13" spans="1:13" x14ac:dyDescent="0.2">
      <c r="A13" s="50">
        <v>2017</v>
      </c>
      <c r="B13" s="50">
        <v>10</v>
      </c>
      <c r="C13" s="50">
        <v>3</v>
      </c>
      <c r="D13" s="51">
        <f t="shared" si="0"/>
        <v>43011</v>
      </c>
      <c r="E13" s="55">
        <v>7.4166666669188999</v>
      </c>
      <c r="F13" s="56">
        <v>20.3</v>
      </c>
      <c r="G13" s="56">
        <v>27.2</v>
      </c>
      <c r="H13" s="49">
        <v>89.8</v>
      </c>
      <c r="I13" s="53">
        <v>1.5209580838323353</v>
      </c>
      <c r="J13" s="56">
        <v>5</v>
      </c>
    </row>
    <row r="14" spans="1:13" x14ac:dyDescent="0.2">
      <c r="A14" s="50">
        <v>2017</v>
      </c>
      <c r="B14" s="50">
        <v>10</v>
      </c>
      <c r="C14" s="50">
        <v>4</v>
      </c>
      <c r="D14" s="51">
        <f t="shared" si="0"/>
        <v>43012</v>
      </c>
      <c r="E14" s="55">
        <v>9.2333333333954215</v>
      </c>
      <c r="F14" s="56">
        <v>18.2</v>
      </c>
      <c r="G14" s="56">
        <v>25.2</v>
      </c>
      <c r="H14" s="49">
        <v>62.3</v>
      </c>
      <c r="I14" s="53">
        <v>3.7055555555555557</v>
      </c>
      <c r="J14" s="56">
        <v>0</v>
      </c>
    </row>
    <row r="15" spans="1:13" x14ac:dyDescent="0.2">
      <c r="A15" s="50">
        <v>2017</v>
      </c>
      <c r="B15" s="50">
        <v>10</v>
      </c>
      <c r="C15" s="50">
        <v>5</v>
      </c>
      <c r="D15" s="51">
        <f t="shared" si="0"/>
        <v>43013</v>
      </c>
      <c r="E15" s="55">
        <v>0.31666666665114462</v>
      </c>
      <c r="F15" s="56">
        <v>18</v>
      </c>
      <c r="G15" s="56">
        <v>21.6</v>
      </c>
      <c r="H15" s="49">
        <v>75.599999999999994</v>
      </c>
      <c r="I15" s="53">
        <v>1.4634146341463414</v>
      </c>
      <c r="J15" s="56">
        <v>13</v>
      </c>
    </row>
    <row r="16" spans="1:13" x14ac:dyDescent="0.2">
      <c r="A16" s="50">
        <v>2017</v>
      </c>
      <c r="B16" s="50">
        <v>10</v>
      </c>
      <c r="C16" s="50">
        <v>6</v>
      </c>
      <c r="D16" s="51">
        <f t="shared" si="0"/>
        <v>43014</v>
      </c>
      <c r="E16" s="55">
        <v>0.66666666674427688</v>
      </c>
      <c r="F16" s="56">
        <v>18.3</v>
      </c>
      <c r="G16" s="56">
        <v>22.8</v>
      </c>
      <c r="H16" s="49">
        <v>90.2</v>
      </c>
      <c r="I16" s="53">
        <v>2.5337423312883436</v>
      </c>
      <c r="J16" s="56">
        <v>87</v>
      </c>
    </row>
    <row r="17" spans="1:11" x14ac:dyDescent="0.2">
      <c r="A17" s="50">
        <v>2017</v>
      </c>
      <c r="B17" s="50">
        <v>10</v>
      </c>
      <c r="C17" s="50">
        <v>7</v>
      </c>
      <c r="D17" s="51">
        <f t="shared" si="0"/>
        <v>43015</v>
      </c>
      <c r="E17" s="55">
        <v>6.6000000000349246</v>
      </c>
      <c r="F17" s="56">
        <v>18.8</v>
      </c>
      <c r="G17" s="56">
        <v>24.6</v>
      </c>
      <c r="H17" s="49">
        <v>97.4</v>
      </c>
      <c r="I17" s="53">
        <v>0.27329192546583853</v>
      </c>
      <c r="J17" s="56">
        <v>7</v>
      </c>
      <c r="K17" s="17"/>
    </row>
    <row r="18" spans="1:11" x14ac:dyDescent="0.2">
      <c r="A18" s="50">
        <v>2017</v>
      </c>
      <c r="B18" s="50">
        <v>10</v>
      </c>
      <c r="C18" s="50">
        <v>8</v>
      </c>
      <c r="D18" s="51">
        <f t="shared" si="0"/>
        <v>43016</v>
      </c>
      <c r="E18" s="55">
        <v>8.25</v>
      </c>
      <c r="F18" s="56">
        <v>19.100000000000001</v>
      </c>
      <c r="G18" s="56">
        <v>27.2</v>
      </c>
      <c r="H18" s="49">
        <v>89.9</v>
      </c>
      <c r="I18" s="53">
        <v>1.0414201183431953</v>
      </c>
      <c r="J18" s="56">
        <v>0</v>
      </c>
      <c r="K18" s="19"/>
    </row>
    <row r="19" spans="1:11" x14ac:dyDescent="0.2">
      <c r="A19" s="50">
        <v>2017</v>
      </c>
      <c r="B19" s="50">
        <v>10</v>
      </c>
      <c r="C19" s="50">
        <v>9</v>
      </c>
      <c r="D19" s="51">
        <f t="shared" si="0"/>
        <v>43017</v>
      </c>
      <c r="E19" s="55">
        <v>8.1000000000349246</v>
      </c>
      <c r="F19" s="56">
        <v>19.8</v>
      </c>
      <c r="G19" s="56">
        <v>27.2</v>
      </c>
      <c r="H19" s="49">
        <v>92.8</v>
      </c>
      <c r="I19" s="53">
        <v>0.83950617283950613</v>
      </c>
      <c r="J19" s="56">
        <v>7</v>
      </c>
    </row>
    <row r="20" spans="1:11" x14ac:dyDescent="0.2">
      <c r="A20" s="50">
        <v>2017</v>
      </c>
      <c r="B20" s="50">
        <v>10</v>
      </c>
      <c r="C20" s="50">
        <v>10</v>
      </c>
      <c r="D20" s="51">
        <f t="shared" si="0"/>
        <v>43018</v>
      </c>
      <c r="E20" s="55">
        <v>8.433333333407063</v>
      </c>
      <c r="F20" s="56">
        <v>20.5</v>
      </c>
      <c r="G20" s="56">
        <v>28.3</v>
      </c>
      <c r="H20" s="49">
        <v>89.4</v>
      </c>
      <c r="I20" s="53">
        <v>0.76984126984126988</v>
      </c>
      <c r="J20" s="56">
        <v>0</v>
      </c>
    </row>
    <row r="21" spans="1:11" x14ac:dyDescent="0.2">
      <c r="A21" s="50">
        <v>2017</v>
      </c>
      <c r="B21" s="50">
        <v>10</v>
      </c>
      <c r="C21" s="50">
        <v>11</v>
      </c>
      <c r="D21" s="51">
        <f t="shared" si="0"/>
        <v>43019</v>
      </c>
      <c r="E21" s="55">
        <v>8.9500000000116415</v>
      </c>
      <c r="F21" s="56">
        <v>20</v>
      </c>
      <c r="G21" s="56">
        <v>29.3</v>
      </c>
      <c r="H21" s="49">
        <v>90.5</v>
      </c>
      <c r="I21" s="53">
        <v>0.72121212121212119</v>
      </c>
      <c r="J21" s="56">
        <v>0</v>
      </c>
    </row>
    <row r="22" spans="1:11" x14ac:dyDescent="0.2">
      <c r="A22" s="50">
        <v>2017</v>
      </c>
      <c r="B22" s="50">
        <v>10</v>
      </c>
      <c r="C22" s="50">
        <v>12</v>
      </c>
      <c r="D22" s="51">
        <f t="shared" si="0"/>
        <v>43020</v>
      </c>
      <c r="E22" s="55">
        <v>7.7499999999417923</v>
      </c>
      <c r="F22" s="56">
        <v>19.5</v>
      </c>
      <c r="G22" s="56">
        <v>28.2</v>
      </c>
      <c r="H22" s="49">
        <v>89.4</v>
      </c>
      <c r="I22" s="53">
        <v>0.70129870129870131</v>
      </c>
      <c r="J22" s="56">
        <v>0</v>
      </c>
    </row>
    <row r="23" spans="1:11" x14ac:dyDescent="0.2">
      <c r="A23" s="50">
        <v>2017</v>
      </c>
      <c r="B23" s="50">
        <v>10</v>
      </c>
      <c r="C23" s="50">
        <v>13</v>
      </c>
      <c r="D23" s="51">
        <f t="shared" si="0"/>
        <v>43021</v>
      </c>
      <c r="E23" s="55">
        <v>3.8166666665347293</v>
      </c>
      <c r="F23" s="56">
        <v>20.3</v>
      </c>
      <c r="G23" s="56">
        <v>24.8</v>
      </c>
      <c r="H23" s="49">
        <v>92.7</v>
      </c>
      <c r="I23" s="53">
        <v>0.26347305389221559</v>
      </c>
      <c r="J23" s="56">
        <v>0</v>
      </c>
    </row>
    <row r="24" spans="1:11" x14ac:dyDescent="0.2">
      <c r="A24" s="50">
        <v>2017</v>
      </c>
      <c r="B24" s="50">
        <v>10</v>
      </c>
      <c r="C24" s="50">
        <v>14</v>
      </c>
      <c r="D24" s="51">
        <f t="shared" si="0"/>
        <v>43022</v>
      </c>
      <c r="E24" s="55">
        <v>0.9833333333954215</v>
      </c>
      <c r="F24" s="56">
        <v>19.100000000000001</v>
      </c>
      <c r="G24" s="56">
        <v>24.4</v>
      </c>
      <c r="H24" s="49">
        <v>92.8</v>
      </c>
      <c r="I24" s="53">
        <v>0.33132530120481929</v>
      </c>
      <c r="J24" s="56">
        <v>1</v>
      </c>
    </row>
    <row r="25" spans="1:11" x14ac:dyDescent="0.2">
      <c r="A25" s="50">
        <v>2017</v>
      </c>
      <c r="B25" s="50">
        <v>10</v>
      </c>
      <c r="C25" s="50">
        <v>15</v>
      </c>
      <c r="D25" s="51">
        <f t="shared" si="0"/>
        <v>43023</v>
      </c>
      <c r="E25" s="55">
        <v>0.48333333333721384</v>
      </c>
      <c r="F25" s="56">
        <v>16.899999999999999</v>
      </c>
      <c r="G25" s="56">
        <v>19.8</v>
      </c>
      <c r="H25" s="49">
        <v>99.3</v>
      </c>
      <c r="I25" s="53">
        <v>0.59876543209876543</v>
      </c>
      <c r="J25" s="56">
        <v>44</v>
      </c>
    </row>
    <row r="26" spans="1:11" x14ac:dyDescent="0.2">
      <c r="A26" s="50">
        <v>2017</v>
      </c>
      <c r="B26" s="50">
        <v>10</v>
      </c>
      <c r="C26" s="50">
        <v>16</v>
      </c>
      <c r="D26" s="51">
        <f t="shared" si="0"/>
        <v>43024</v>
      </c>
      <c r="E26" s="55">
        <v>0.16666666668606922</v>
      </c>
      <c r="F26" s="56">
        <v>16.8</v>
      </c>
      <c r="G26" s="56">
        <v>19.399999999999999</v>
      </c>
      <c r="H26" s="49">
        <v>101.8</v>
      </c>
      <c r="I26" s="53">
        <v>0.25153374233128833</v>
      </c>
      <c r="J26" s="56">
        <v>53</v>
      </c>
    </row>
    <row r="27" spans="1:11" x14ac:dyDescent="0.2">
      <c r="A27" s="50">
        <v>2017</v>
      </c>
      <c r="B27" s="50">
        <v>10</v>
      </c>
      <c r="C27" s="50">
        <v>17</v>
      </c>
      <c r="D27" s="51">
        <f t="shared" si="0"/>
        <v>43025</v>
      </c>
      <c r="E27" s="55">
        <v>3.6166666667559184</v>
      </c>
      <c r="F27" s="56">
        <v>16.100000000000001</v>
      </c>
      <c r="G27" s="56">
        <v>19.7</v>
      </c>
      <c r="H27" s="49">
        <v>99.9</v>
      </c>
      <c r="I27" s="53">
        <v>0.6875</v>
      </c>
      <c r="J27" s="56">
        <v>27</v>
      </c>
    </row>
    <row r="28" spans="1:11" x14ac:dyDescent="0.2">
      <c r="A28" s="50">
        <v>2017</v>
      </c>
      <c r="B28" s="50">
        <v>10</v>
      </c>
      <c r="C28" s="50">
        <v>18</v>
      </c>
      <c r="D28" s="51">
        <f t="shared" si="0"/>
        <v>43026</v>
      </c>
      <c r="E28" s="55">
        <v>1.9833333333372138</v>
      </c>
      <c r="F28" s="56">
        <v>16</v>
      </c>
      <c r="G28" s="56">
        <v>19.899999999999999</v>
      </c>
      <c r="H28" s="49">
        <v>92.3</v>
      </c>
      <c r="I28" s="53">
        <v>1.2962962962962963</v>
      </c>
      <c r="J28" s="56">
        <v>34</v>
      </c>
    </row>
    <row r="29" spans="1:11" x14ac:dyDescent="0.2">
      <c r="A29" s="50">
        <v>2017</v>
      </c>
      <c r="B29" s="50">
        <v>10</v>
      </c>
      <c r="C29" s="50">
        <v>19</v>
      </c>
      <c r="D29" s="51">
        <f t="shared" si="0"/>
        <v>43027</v>
      </c>
      <c r="E29" s="55">
        <v>2.5999999999185093</v>
      </c>
      <c r="F29" s="56">
        <v>15.5</v>
      </c>
      <c r="G29" s="56">
        <v>17.7</v>
      </c>
      <c r="H29" s="49">
        <v>95.9</v>
      </c>
      <c r="I29" s="53">
        <v>1.524390243902439</v>
      </c>
      <c r="J29" s="56">
        <v>42</v>
      </c>
    </row>
    <row r="30" spans="1:11" x14ac:dyDescent="0.2">
      <c r="A30" s="50">
        <v>2017</v>
      </c>
      <c r="B30" s="50">
        <v>10</v>
      </c>
      <c r="C30" s="50">
        <v>20</v>
      </c>
      <c r="D30" s="51">
        <f t="shared" si="0"/>
        <v>43028</v>
      </c>
      <c r="E30" s="55">
        <v>1.4833333332790062</v>
      </c>
      <c r="F30" s="56">
        <v>17.100000000000001</v>
      </c>
      <c r="G30" s="56">
        <v>19.899999999999999</v>
      </c>
      <c r="H30" s="49">
        <v>99.6</v>
      </c>
      <c r="I30" s="53">
        <v>9.6385542168674704E-2</v>
      </c>
      <c r="J30" s="56">
        <v>6</v>
      </c>
    </row>
    <row r="31" spans="1:11" x14ac:dyDescent="0.2">
      <c r="A31" s="50">
        <v>2017</v>
      </c>
      <c r="B31" s="50">
        <v>10</v>
      </c>
      <c r="C31" s="50">
        <v>21</v>
      </c>
      <c r="D31" s="51">
        <f t="shared" si="0"/>
        <v>43029</v>
      </c>
      <c r="E31" s="55">
        <v>0</v>
      </c>
      <c r="F31" s="56">
        <v>18.2</v>
      </c>
      <c r="G31" s="56">
        <v>21.8</v>
      </c>
      <c r="H31" s="49">
        <v>102.2</v>
      </c>
      <c r="I31" s="53">
        <v>0.9213483146067416</v>
      </c>
      <c r="J31" s="56">
        <f>269</f>
        <v>269</v>
      </c>
    </row>
    <row r="32" spans="1:11" x14ac:dyDescent="0.2">
      <c r="A32" s="50">
        <v>2017</v>
      </c>
      <c r="B32" s="50">
        <v>10</v>
      </c>
      <c r="C32" s="50">
        <v>22</v>
      </c>
      <c r="D32" s="51">
        <f t="shared" si="0"/>
        <v>43030</v>
      </c>
      <c r="E32" s="71">
        <v>0</v>
      </c>
      <c r="F32" s="50">
        <v>21.7</v>
      </c>
      <c r="G32" s="50">
        <v>17</v>
      </c>
      <c r="H32" s="50">
        <v>100.95690607734801</v>
      </c>
      <c r="I32" s="72">
        <v>1.2840909090909092</v>
      </c>
      <c r="J32" s="50">
        <v>0</v>
      </c>
    </row>
    <row r="33" spans="1:10" x14ac:dyDescent="0.2">
      <c r="A33" s="50">
        <v>2017</v>
      </c>
      <c r="B33" s="50">
        <v>10</v>
      </c>
      <c r="C33" s="50">
        <v>23</v>
      </c>
      <c r="D33" s="51">
        <f t="shared" si="0"/>
        <v>43031</v>
      </c>
      <c r="E33" s="71">
        <v>0</v>
      </c>
      <c r="F33" s="73">
        <v>22.5</v>
      </c>
      <c r="G33" s="50">
        <v>12.5</v>
      </c>
      <c r="H33" s="50">
        <v>65.315204678362619</v>
      </c>
      <c r="I33" s="72">
        <v>1.8846153846153846</v>
      </c>
      <c r="J33" s="50">
        <v>8</v>
      </c>
    </row>
    <row r="34" spans="1:10" x14ac:dyDescent="0.2">
      <c r="A34" s="50">
        <v>2017</v>
      </c>
      <c r="B34" s="50">
        <v>10</v>
      </c>
      <c r="C34" s="50">
        <v>24</v>
      </c>
      <c r="D34" s="51">
        <f t="shared" si="0"/>
        <v>43032</v>
      </c>
      <c r="E34" s="71">
        <v>8.066666666592937</v>
      </c>
      <c r="F34" s="50">
        <v>19</v>
      </c>
      <c r="G34" s="50">
        <v>13.3</v>
      </c>
      <c r="H34" s="74">
        <v>81.390355329949273</v>
      </c>
      <c r="I34" s="72">
        <v>2.5</v>
      </c>
      <c r="J34" s="50">
        <v>36</v>
      </c>
    </row>
    <row r="35" spans="1:10" x14ac:dyDescent="0.2">
      <c r="A35" s="50">
        <v>2017</v>
      </c>
      <c r="B35" s="50">
        <v>10</v>
      </c>
      <c r="C35" s="50">
        <v>25</v>
      </c>
      <c r="D35" s="51">
        <f t="shared" si="0"/>
        <v>43033</v>
      </c>
      <c r="E35" s="71">
        <v>5.7666666667792015</v>
      </c>
      <c r="F35" s="50">
        <v>22.8</v>
      </c>
      <c r="G35" s="50">
        <v>12.1</v>
      </c>
      <c r="H35" s="74">
        <v>84.65960591133009</v>
      </c>
      <c r="I35" s="72">
        <v>4.5436241610738257</v>
      </c>
      <c r="J35" s="50">
        <v>49</v>
      </c>
    </row>
    <row r="36" spans="1:10" x14ac:dyDescent="0.2">
      <c r="A36" s="50">
        <v>2017</v>
      </c>
      <c r="B36" s="50">
        <v>10</v>
      </c>
      <c r="C36" s="50">
        <v>26</v>
      </c>
      <c r="D36" s="51">
        <f t="shared" si="0"/>
        <v>43034</v>
      </c>
      <c r="E36" s="71">
        <v>8.3999999999650754</v>
      </c>
      <c r="F36" s="50">
        <v>23.6</v>
      </c>
      <c r="G36" s="50">
        <v>13.3</v>
      </c>
      <c r="H36" s="74">
        <v>76.431382978723391</v>
      </c>
      <c r="I36" s="72">
        <v>2.0363636363636362</v>
      </c>
      <c r="J36" s="50">
        <v>0</v>
      </c>
    </row>
    <row r="37" spans="1:10" x14ac:dyDescent="0.2">
      <c r="A37" s="50">
        <v>2017</v>
      </c>
      <c r="B37" s="50">
        <v>10</v>
      </c>
      <c r="C37" s="50">
        <v>27</v>
      </c>
      <c r="D37" s="51">
        <f t="shared" si="0"/>
        <v>43035</v>
      </c>
      <c r="E37" s="71">
        <v>8.5833333333721384</v>
      </c>
      <c r="F37" s="50">
        <v>22.8</v>
      </c>
      <c r="G37" s="50">
        <v>13.6</v>
      </c>
      <c r="H37" s="74">
        <v>79.861666666666665</v>
      </c>
      <c r="I37" s="72">
        <v>1.415929203539823</v>
      </c>
      <c r="J37" s="50">
        <v>0</v>
      </c>
    </row>
    <row r="2224" spans="12:12" x14ac:dyDescent="0.2">
      <c r="L2224" s="16" t="s">
        <v>10</v>
      </c>
    </row>
  </sheetData>
  <phoneticPr fontId="22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53"/>
  <sheetViews>
    <sheetView workbookViewId="0">
      <selection activeCell="E8" sqref="E8"/>
    </sheetView>
  </sheetViews>
  <sheetFormatPr defaultRowHeight="12" x14ac:dyDescent="0.2"/>
  <cols>
    <col min="1" max="1" width="15.5703125" bestFit="1" customWidth="1"/>
    <col min="2" max="2" width="9.28515625" bestFit="1" customWidth="1"/>
    <col min="3" max="3" width="2.42578125" customWidth="1"/>
    <col min="4" max="4" width="17.140625" bestFit="1" customWidth="1"/>
    <col min="5" max="5" width="13" style="3" bestFit="1" customWidth="1"/>
    <col min="6" max="6" width="1.7109375" style="3" customWidth="1"/>
    <col min="7" max="7" width="18.140625" style="3" bestFit="1" customWidth="1"/>
    <col min="8" max="8" width="12.42578125" style="3" bestFit="1" customWidth="1"/>
  </cols>
  <sheetData>
    <row r="1" spans="1:8" x14ac:dyDescent="0.2">
      <c r="A1" s="2" t="s">
        <v>11</v>
      </c>
      <c r="D1" s="2"/>
      <c r="G1" s="4" t="s">
        <v>12</v>
      </c>
    </row>
    <row r="2" spans="1:8" ht="19.5" x14ac:dyDescent="0.35">
      <c r="A2" s="5" t="s">
        <v>83</v>
      </c>
      <c r="B2" s="5" t="s">
        <v>283</v>
      </c>
      <c r="D2" s="5" t="s">
        <v>33</v>
      </c>
      <c r="E2" s="3">
        <f ca="1">RADIANS(INDIRECT(site&amp;"!M2"))</f>
        <v>0.58433623356770148</v>
      </c>
      <c r="G2" s="9" t="s">
        <v>50</v>
      </c>
      <c r="H2" s="3">
        <f>1370*(1+0.033*COS(2*PI()*(doy-10)/365))</f>
        <v>1411.0876453841188</v>
      </c>
    </row>
    <row r="3" spans="1:8" ht="19.5" x14ac:dyDescent="0.35">
      <c r="A3" s="5" t="s">
        <v>48</v>
      </c>
      <c r="B3">
        <v>0.28999999999999998</v>
      </c>
      <c r="D3" s="5" t="s">
        <v>78</v>
      </c>
      <c r="E3" t="str">
        <f>site&amp;"!D:J"</f>
        <v>Kumano!D:J</v>
      </c>
      <c r="G3" s="10" t="s">
        <v>16</v>
      </c>
      <c r="H3" s="3">
        <f ca="1">E22*ACOS(-E24)+E23*SQRT(1-(E24)^2)</f>
        <v>0.56467058547914695</v>
      </c>
    </row>
    <row r="4" spans="1:8" ht="19.5" x14ac:dyDescent="0.35">
      <c r="A4" s="5" t="s">
        <v>49</v>
      </c>
      <c r="B4">
        <v>0.42</v>
      </c>
      <c r="G4" s="9" t="s">
        <v>51</v>
      </c>
      <c r="H4" s="3">
        <f ca="1">3600*Ic*24/PI()*H3</f>
        <v>21913564.404313002</v>
      </c>
    </row>
    <row r="5" spans="1:8" ht="19.5" x14ac:dyDescent="0.35">
      <c r="A5" s="5" t="s">
        <v>281</v>
      </c>
      <c r="B5" s="3">
        <v>0.15</v>
      </c>
      <c r="D5" s="2" t="s">
        <v>13</v>
      </c>
      <c r="E5"/>
      <c r="G5" s="9" t="s">
        <v>52</v>
      </c>
      <c r="H5" s="3">
        <f ca="1">Ietd*(B3+B4*sunhr/DL)</f>
        <v>13901488.429655956</v>
      </c>
    </row>
    <row r="6" spans="1:8" ht="19.5" x14ac:dyDescent="0.35">
      <c r="A6" s="5" t="s">
        <v>94</v>
      </c>
      <c r="B6">
        <v>25</v>
      </c>
      <c r="D6" s="5" t="s">
        <v>56</v>
      </c>
      <c r="E6">
        <f ca="1">VLOOKUP(date,INDIRECT($E$3),2,FALSE)</f>
        <v>8.5833333333721384</v>
      </c>
      <c r="F6"/>
    </row>
    <row r="7" spans="1:8" ht="19.5" x14ac:dyDescent="0.35">
      <c r="A7" s="5"/>
      <c r="D7" s="5" t="s">
        <v>31</v>
      </c>
      <c r="E7">
        <f ca="1">VLOOKUP(date,INDIRECT($E$3),3,FALSE)</f>
        <v>22.8</v>
      </c>
      <c r="F7"/>
      <c r="G7" s="9" t="s">
        <v>53</v>
      </c>
      <c r="H7" s="3">
        <f ca="1">Itd/Ietd</f>
        <v>0.63437824048925062</v>
      </c>
    </row>
    <row r="8" spans="1:8" ht="19.5" x14ac:dyDescent="0.35">
      <c r="A8" s="2" t="s">
        <v>26</v>
      </c>
      <c r="D8" s="5" t="s">
        <v>30</v>
      </c>
      <c r="E8">
        <f ca="1">VLOOKUP(date,INDIRECT($E$3),4,FALSE)</f>
        <v>13.6</v>
      </c>
      <c r="F8"/>
      <c r="G8" s="10" t="s">
        <v>70</v>
      </c>
      <c r="H8" s="3">
        <f ca="1">Itd</f>
        <v>13901488.429655956</v>
      </c>
    </row>
    <row r="9" spans="1:8" ht="19.5" x14ac:dyDescent="0.35">
      <c r="A9" s="3" t="s">
        <v>24</v>
      </c>
      <c r="B9" s="3">
        <f>5.67*10^-8</f>
        <v>5.6699999999999998E-8</v>
      </c>
      <c r="D9" s="5" t="s">
        <v>32</v>
      </c>
      <c r="E9" s="3">
        <f ca="1">AVERAGE(E7:E8)</f>
        <v>18.2</v>
      </c>
      <c r="F9"/>
      <c r="G9" s="10" t="s">
        <v>71</v>
      </c>
      <c r="H9" s="3">
        <f ca="1">Itd*(1-2.3*(H7-0.07)^2)</f>
        <v>3717224.1396063031</v>
      </c>
    </row>
    <row r="10" spans="1:8" ht="19.5" x14ac:dyDescent="0.35">
      <c r="D10" s="5" t="s">
        <v>68</v>
      </c>
      <c r="E10">
        <f ca="1">VLOOKUP(date,INDIRECT($E$3),5,FALSE)</f>
        <v>79.861666666666665</v>
      </c>
      <c r="F10"/>
      <c r="G10" s="10" t="s">
        <v>72</v>
      </c>
      <c r="H10" s="3">
        <f ca="1">Itd*(1.33-1.46*H7)</f>
        <v>5613529.0269696638</v>
      </c>
    </row>
    <row r="11" spans="1:8" ht="19.5" x14ac:dyDescent="0.35">
      <c r="D11" s="5" t="s">
        <v>82</v>
      </c>
      <c r="E11">
        <f ca="1">VLOOKUP(date,INDIRECT($E$3),6,FALSE)</f>
        <v>1.415929203539823</v>
      </c>
      <c r="F11"/>
      <c r="G11" s="10" t="s">
        <v>73</v>
      </c>
      <c r="H11" s="3">
        <f ca="1">Itd*0.23</f>
        <v>3197342.33882087</v>
      </c>
    </row>
    <row r="12" spans="1:8" x14ac:dyDescent="0.2">
      <c r="D12" t="s">
        <v>9</v>
      </c>
      <c r="E12">
        <f ca="1">VLOOKUP(date,INDIRECT($E$3),7,FALSE)</f>
        <v>0</v>
      </c>
      <c r="G12" s="10" t="s">
        <v>97</v>
      </c>
      <c r="H12" s="3" t="b">
        <f ca="1">H7&lt;0.07</f>
        <v>0</v>
      </c>
    </row>
    <row r="13" spans="1:8" x14ac:dyDescent="0.2">
      <c r="G13" s="10" t="s">
        <v>98</v>
      </c>
      <c r="H13" s="3" t="b">
        <f ca="1">AND(H7&gt;=0.07,H7&lt;0.35)</f>
        <v>0</v>
      </c>
    </row>
    <row r="14" spans="1:8" x14ac:dyDescent="0.2">
      <c r="D14" s="2" t="s">
        <v>22</v>
      </c>
      <c r="G14" s="10" t="s">
        <v>99</v>
      </c>
      <c r="H14" s="3" t="b">
        <f ca="1">AND(H7&gt;=0.35,H7&lt;0.75)</f>
        <v>1</v>
      </c>
    </row>
    <row r="15" spans="1:8" ht="19.5" x14ac:dyDescent="0.35">
      <c r="D15" s="5" t="s">
        <v>36</v>
      </c>
      <c r="E15" s="3">
        <f ca="1">24-E16</f>
        <v>6.7659294691575838</v>
      </c>
      <c r="G15" s="9" t="s">
        <v>54</v>
      </c>
      <c r="H15" s="3">
        <f ca="1">IF(H12,H8,IF(H13,H9,IF(H14,H10,H11)))</f>
        <v>5613529.0269696638</v>
      </c>
    </row>
    <row r="16" spans="1:8" ht="19.5" x14ac:dyDescent="0.35">
      <c r="D16" s="5" t="s">
        <v>37</v>
      </c>
      <c r="E16" s="3">
        <f ca="1">12+(12/PI())*ACOS(-E22/E23)</f>
        <v>17.234070530842416</v>
      </c>
      <c r="G16" s="9" t="s">
        <v>55</v>
      </c>
      <c r="H16" s="3">
        <f ca="1">Itd-Idfd</f>
        <v>8287959.4026862923</v>
      </c>
    </row>
    <row r="17" spans="1:8" x14ac:dyDescent="0.2">
      <c r="D17" s="5" t="s">
        <v>27</v>
      </c>
      <c r="E17" s="3">
        <f ca="1">E16-E15</f>
        <v>10.468141061684832</v>
      </c>
    </row>
    <row r="18" spans="1:8" ht="19.5" x14ac:dyDescent="0.35">
      <c r="G18" s="9" t="s">
        <v>57</v>
      </c>
      <c r="H18" s="3">
        <f ca="1">MAX(0,Ic*SIN(sunhgt))</f>
        <v>890.2794014991598</v>
      </c>
    </row>
    <row r="19" spans="1:8" x14ac:dyDescent="0.2">
      <c r="D19" s="2" t="s">
        <v>18</v>
      </c>
      <c r="G19" s="10" t="s">
        <v>17</v>
      </c>
      <c r="H19" s="3">
        <f ca="1">PI()*Itd/86400</f>
        <v>505.47238338623453</v>
      </c>
    </row>
    <row r="20" spans="1:8" ht="15" x14ac:dyDescent="0.25">
      <c r="D20" s="6" t="s">
        <v>34</v>
      </c>
      <c r="E20" s="3">
        <f>-0.4093*COS(2*PI()*(doy+10)/365)</f>
        <v>-0.29251581690738393</v>
      </c>
      <c r="G20" s="10" t="s">
        <v>69</v>
      </c>
      <c r="H20" s="3">
        <f ca="1">E22*ACOS(-E24)+E23*SQRT(1-E24^2)</f>
        <v>0.56467058547914695</v>
      </c>
    </row>
    <row r="21" spans="1:8" ht="15" x14ac:dyDescent="0.25">
      <c r="A21" s="2"/>
      <c r="D21" s="6" t="s">
        <v>35</v>
      </c>
      <c r="E21" s="3">
        <f>PI()/12*(th-12)</f>
        <v>-0.14737234699934618</v>
      </c>
      <c r="G21" s="12" t="s">
        <v>58</v>
      </c>
      <c r="H21" s="3">
        <f ca="1">H19/H20</f>
        <v>895.16329765489695</v>
      </c>
    </row>
    <row r="22" spans="1:8" ht="15" x14ac:dyDescent="0.25">
      <c r="A22" s="2"/>
      <c r="D22" s="7" t="s">
        <v>19</v>
      </c>
      <c r="E22" s="3">
        <f ca="1">SIN(decl)*SIN(lat)</f>
        <v>-0.15907375275309613</v>
      </c>
      <c r="G22" s="12" t="s">
        <v>62</v>
      </c>
      <c r="H22" s="3">
        <f ca="1">E22*H21</f>
        <v>-142.39698508480126</v>
      </c>
    </row>
    <row r="23" spans="1:8" ht="15" x14ac:dyDescent="0.25">
      <c r="D23" s="7" t="s">
        <v>20</v>
      </c>
      <c r="E23" s="3">
        <f ca="1">COS(decl)*COS(lat)</f>
        <v>0.79864798308266782</v>
      </c>
      <c r="G23" s="12" t="s">
        <v>61</v>
      </c>
      <c r="H23" s="3">
        <f ca="1">E23*H21</f>
        <v>714.92036220171326</v>
      </c>
    </row>
    <row r="24" spans="1:8" ht="19.5" x14ac:dyDescent="0.35">
      <c r="D24" s="8" t="s">
        <v>96</v>
      </c>
      <c r="E24" s="3">
        <f ca="1">E22/E23</f>
        <v>-0.19917880733773849</v>
      </c>
      <c r="G24" s="9" t="s">
        <v>60</v>
      </c>
      <c r="H24" s="3">
        <f ca="1">MAX(0,H22-H23*COS(PI()*th/12))</f>
        <v>564.77388026686003</v>
      </c>
    </row>
    <row r="25" spans="1:8" ht="15" x14ac:dyDescent="0.25">
      <c r="D25" s="5" t="s">
        <v>46</v>
      </c>
      <c r="E25" s="3">
        <f ca="1">ACOS(E22+E23*COS(ha))</f>
        <v>0.88806155471980674</v>
      </c>
    </row>
    <row r="26" spans="1:8" ht="19.5" x14ac:dyDescent="0.35">
      <c r="D26" s="6" t="s">
        <v>95</v>
      </c>
      <c r="E26" s="3">
        <f ca="1">(PI()/2)-suninc</f>
        <v>0.68273477207508981</v>
      </c>
      <c r="G26" s="9" t="s">
        <v>63</v>
      </c>
      <c r="H26" s="3">
        <f ca="1">IF(Iet&lt;=0,0,It/Iet)</f>
        <v>0.63437824048925051</v>
      </c>
    </row>
    <row r="27" spans="1:8" x14ac:dyDescent="0.2">
      <c r="D27" s="8" t="s">
        <v>14</v>
      </c>
      <c r="E27" s="3">
        <f ca="1">(SIN(lat)*SIN(sunhgt)-SIN(decl))/(COS(lat)*COS(sunhgt))</f>
        <v>0.98344201923794727</v>
      </c>
      <c r="G27" s="11" t="s">
        <v>21</v>
      </c>
      <c r="H27" s="3">
        <f ca="1">0.847-1.61*SIN(sunhgt)+1.04*SIN(sunhgt)^2</f>
        <v>0.24520209543163818</v>
      </c>
    </row>
    <row r="28" spans="1:8" x14ac:dyDescent="0.2">
      <c r="D28" s="8" t="s">
        <v>15</v>
      </c>
      <c r="E28" s="3">
        <f ca="1">ACOS(MAX(-1,MIN(1,E27)))</f>
        <v>0.18222995395283803</v>
      </c>
      <c r="G28" s="11" t="s">
        <v>23</v>
      </c>
      <c r="H28" s="3">
        <f ca="1">(1.47-H27)/1.66</f>
        <v>0.73783006299298903</v>
      </c>
    </row>
    <row r="29" spans="1:8" ht="19.5" x14ac:dyDescent="0.35">
      <c r="A29" s="2"/>
      <c r="D29" s="5" t="s">
        <v>47</v>
      </c>
      <c r="E29" s="3">
        <f ca="1">PI()+IF(th&lt;12,-E28,E28)</f>
        <v>2.9593626996369551</v>
      </c>
      <c r="G29" s="10" t="s">
        <v>74</v>
      </c>
      <c r="H29" s="3">
        <f ca="1">It</f>
        <v>564.77388026686003</v>
      </c>
    </row>
    <row r="30" spans="1:8" ht="19.5" x14ac:dyDescent="0.35">
      <c r="D30" s="5"/>
      <c r="G30" s="10" t="s">
        <v>75</v>
      </c>
      <c r="H30" s="3">
        <f ca="1">It*(1-6.4*(H26-0.22)^2)</f>
        <v>-55.878551290775121</v>
      </c>
    </row>
    <row r="31" spans="1:8" ht="19.5" x14ac:dyDescent="0.35">
      <c r="D31" s="2" t="s">
        <v>101</v>
      </c>
      <c r="G31" s="10" t="s">
        <v>76</v>
      </c>
      <c r="H31" s="3">
        <f ca="1">It*(1.47-1.66*H26)</f>
        <v>235.47237166524198</v>
      </c>
    </row>
    <row r="32" spans="1:8" ht="19.5" x14ac:dyDescent="0.35">
      <c r="D32" s="5" t="s">
        <v>38</v>
      </c>
      <c r="E32" s="3">
        <f ca="1">Tmin+(Tmax-Tmin)*SIN((PI()*(tss-tsr-1.5))/DL)</f>
        <v>18.796951639331912</v>
      </c>
      <c r="G32" s="10" t="s">
        <v>77</v>
      </c>
      <c r="H32" s="3">
        <f ca="1">It*H27</f>
        <v>138.48373888649121</v>
      </c>
    </row>
    <row r="33" spans="4:9" ht="19.5" x14ac:dyDescent="0.35">
      <c r="D33" s="8" t="s">
        <v>41</v>
      </c>
      <c r="E33" s="3">
        <f ca="1">Tset+((Tmin-Tset)*(th+tsr))/((tsr+1.5)+tsr)</f>
        <v>23.644490716901299</v>
      </c>
      <c r="G33" s="10" t="s">
        <v>97</v>
      </c>
      <c r="H33" s="3" t="b">
        <f ca="1">H26&lt;=0.22</f>
        <v>0</v>
      </c>
    </row>
    <row r="34" spans="4:9" ht="19.5" x14ac:dyDescent="0.35">
      <c r="D34" s="8" t="s">
        <v>42</v>
      </c>
      <c r="E34" s="3">
        <f ca="1">Tset+((Tmin-Tset)*(th-tss))/((tsr+1.5)+tsr)</f>
        <v>17.253188014402522</v>
      </c>
      <c r="G34" s="10" t="s">
        <v>98</v>
      </c>
      <c r="H34" s="3" t="b">
        <f ca="1">AND(H26&gt;0.22,H26&lt;=0.35)</f>
        <v>0</v>
      </c>
    </row>
    <row r="35" spans="4:9" ht="19.5" x14ac:dyDescent="0.35">
      <c r="D35" s="8" t="s">
        <v>43</v>
      </c>
      <c r="E35" s="3">
        <f ca="1">Tmin+(Tmax-Tmin)*SIN((PI()*(th-tsr-1.5))/DL)</f>
        <v>15.307526077533723</v>
      </c>
      <c r="G35" s="10" t="s">
        <v>99</v>
      </c>
      <c r="H35" s="3" t="b">
        <f ca="1">AND(H26&gt;0.35,H26&lt;=H28)</f>
        <v>1</v>
      </c>
    </row>
    <row r="36" spans="4:9" ht="19.5" x14ac:dyDescent="0.35">
      <c r="D36" s="5" t="s">
        <v>39</v>
      </c>
      <c r="E36" s="3">
        <f ca="1">IF(th&lt;(tsr+1.5),E33,IF(th&gt;tss,E34,E35))</f>
        <v>15.307526077533723</v>
      </c>
      <c r="G36" s="9" t="s">
        <v>65</v>
      </c>
      <c r="H36" s="3">
        <f ca="1">IF(H33,H29,IF(H34,H30,IF(H35,H31,H32)))</f>
        <v>235.47237166524198</v>
      </c>
      <c r="I36" s="3"/>
    </row>
    <row r="37" spans="4:9" ht="19.5" x14ac:dyDescent="0.35">
      <c r="D37" s="5" t="s">
        <v>40</v>
      </c>
      <c r="E37" s="3">
        <f ca="1">Ta+273.15</f>
        <v>288.45752607753371</v>
      </c>
      <c r="G37" s="9" t="s">
        <v>64</v>
      </c>
      <c r="H37" s="3">
        <f ca="1">It-Idf</f>
        <v>329.30150860161802</v>
      </c>
    </row>
    <row r="39" spans="4:9" x14ac:dyDescent="0.2">
      <c r="D39" s="2" t="s">
        <v>280</v>
      </c>
      <c r="G39" s="4" t="s">
        <v>67</v>
      </c>
    </row>
    <row r="40" spans="4:9" ht="19.5" x14ac:dyDescent="0.35">
      <c r="D40" s="5" t="s">
        <v>93</v>
      </c>
      <c r="E40" s="3">
        <f ca="1">MIN(Ta,Tdmax)</f>
        <v>15.307526077533723</v>
      </c>
      <c r="G40" s="22" t="s">
        <v>100</v>
      </c>
      <c r="H40" s="3">
        <f ca="1">0.98*SB*Tak^4*(1.31*(ea/Tak)^(1/7)-1)</f>
        <v>-47.299687226477381</v>
      </c>
    </row>
    <row r="41" spans="4:9" ht="19.5" x14ac:dyDescent="0.35">
      <c r="D41" s="5" t="s">
        <v>44</v>
      </c>
      <c r="E41" s="3">
        <f ca="1">6.1078*EXP(17.269*Ta/(Ta+237.3))</f>
        <v>17.392421142920494</v>
      </c>
      <c r="G41" s="9" t="s">
        <v>66</v>
      </c>
      <c r="H41" s="3">
        <f ca="1">(1-p)*It+RnL</f>
        <v>432.75811100035367</v>
      </c>
    </row>
    <row r="42" spans="4:9" ht="19.5" x14ac:dyDescent="0.35">
      <c r="D42" s="5" t="s">
        <v>45</v>
      </c>
      <c r="E42" s="3">
        <f ca="1">6.1078*EXP(17.269*Tdcal/(Tdcal+237.3))</f>
        <v>17.392421142920494</v>
      </c>
    </row>
    <row r="43" spans="4:9" x14ac:dyDescent="0.2">
      <c r="D43" s="5" t="s">
        <v>59</v>
      </c>
      <c r="E43">
        <f ca="1">es-ea</f>
        <v>0</v>
      </c>
    </row>
    <row r="44" spans="4:9" x14ac:dyDescent="0.2">
      <c r="D44" s="25" t="s">
        <v>59</v>
      </c>
      <c r="E44" s="16">
        <f ca="1">(25029.4*EXP(17.269*Ta/(Ta+237.3)))/(Ta+237.3)^2</f>
        <v>1.1169483811971006</v>
      </c>
    </row>
    <row r="45" spans="4:9" x14ac:dyDescent="0.2">
      <c r="G45" s="21"/>
    </row>
    <row r="46" spans="4:9" x14ac:dyDescent="0.2">
      <c r="D46" s="2" t="s">
        <v>279</v>
      </c>
    </row>
    <row r="47" spans="4:9" x14ac:dyDescent="0.2">
      <c r="D47" s="5" t="s">
        <v>28</v>
      </c>
      <c r="E47" s="3">
        <f ca="1">100*ea/es</f>
        <v>100</v>
      </c>
    </row>
    <row r="48" spans="4:9" x14ac:dyDescent="0.2">
      <c r="G48" s="9"/>
    </row>
    <row r="49" spans="4:5" x14ac:dyDescent="0.2">
      <c r="D49" s="2" t="s">
        <v>25</v>
      </c>
    </row>
    <row r="50" spans="4:5" ht="19.5" x14ac:dyDescent="0.35">
      <c r="D50" s="5" t="s">
        <v>79</v>
      </c>
      <c r="E50" s="3">
        <f ca="1">0.5*ud</f>
        <v>0.70796460176991149</v>
      </c>
    </row>
    <row r="51" spans="4:5" ht="19.5" x14ac:dyDescent="0.35">
      <c r="D51" s="5" t="s">
        <v>80</v>
      </c>
      <c r="E51" s="3">
        <f ca="1">umin-(12*PI()*(umin-ud))/DL</f>
        <v>3.2575707396497604</v>
      </c>
    </row>
    <row r="52" spans="4:5" x14ac:dyDescent="0.2">
      <c r="D52" s="5" t="s">
        <v>81</v>
      </c>
      <c r="E52" s="3">
        <f ca="1">umax-umin</f>
        <v>2.5496061378798487</v>
      </c>
    </row>
    <row r="53" spans="4:5" x14ac:dyDescent="0.2">
      <c r="D53" s="5" t="s">
        <v>29</v>
      </c>
      <c r="E53" s="3">
        <f ca="1">umin+IF(OR(th&lt;tsr+1.5,th&gt;tss+1.5),0,E52*SIN(PI()/DL*(th-tsr-1.5)))</f>
        <v>2.7843621561856429</v>
      </c>
    </row>
  </sheetData>
  <phoneticPr fontId="3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J28"/>
  <sheetViews>
    <sheetView showFormulas="1" topLeftCell="B1" workbookViewId="0">
      <selection activeCell="D11" sqref="D11"/>
    </sheetView>
  </sheetViews>
  <sheetFormatPr defaultColWidth="9.140625" defaultRowHeight="12" x14ac:dyDescent="0.2"/>
  <cols>
    <col min="1" max="1" width="7" style="16" bestFit="1" customWidth="1"/>
    <col min="2" max="2" width="5.7109375" style="16" bestFit="1" customWidth="1"/>
    <col min="3" max="3" width="2.28515625" style="16" bestFit="1" customWidth="1"/>
    <col min="4" max="4" width="19" style="16" bestFit="1" customWidth="1"/>
    <col min="5" max="5" width="1.140625" style="16" customWidth="1"/>
    <col min="6" max="6" width="7.140625" style="16" bestFit="1" customWidth="1"/>
    <col min="7" max="7" width="14" style="16" customWidth="1"/>
    <col min="8" max="8" width="1.140625" style="16" customWidth="1"/>
    <col min="9" max="9" width="10.42578125" style="16" bestFit="1" customWidth="1"/>
    <col min="10" max="10" width="18" style="16" bestFit="1" customWidth="1"/>
    <col min="11" max="11" width="1.140625" style="16" customWidth="1"/>
    <col min="12" max="16384" width="9.140625" style="16"/>
  </cols>
  <sheetData>
    <row r="1" spans="1:10" x14ac:dyDescent="0.2">
      <c r="A1" s="18" t="s">
        <v>11</v>
      </c>
    </row>
    <row r="2" spans="1:10" ht="18.75" customHeight="1" x14ac:dyDescent="0.35">
      <c r="A2" s="23" t="s">
        <v>103</v>
      </c>
      <c r="B2" s="16">
        <v>3</v>
      </c>
      <c r="F2" s="33" t="s">
        <v>154</v>
      </c>
      <c r="I2" s="18" t="s">
        <v>156</v>
      </c>
    </row>
    <row r="3" spans="1:10" ht="19.5" x14ac:dyDescent="0.35">
      <c r="F3" s="16" t="s">
        <v>114</v>
      </c>
      <c r="G3" s="16">
        <f ca="1">ET!K2</f>
        <v>20.669631634814394</v>
      </c>
      <c r="I3" s="16" t="s">
        <v>132</v>
      </c>
      <c r="J3" s="16">
        <f ca="1">(1-pp)*Qdr*EXP(-kdr*L)</f>
        <v>66.729063982656967</v>
      </c>
    </row>
    <row r="4" spans="1:10" ht="19.5" x14ac:dyDescent="0.35">
      <c r="A4" s="18" t="s">
        <v>102</v>
      </c>
      <c r="F4" s="24" t="s">
        <v>144</v>
      </c>
      <c r="G4" s="24">
        <f>Lmax</f>
        <v>3</v>
      </c>
      <c r="I4" s="16" t="s">
        <v>133</v>
      </c>
      <c r="J4" s="16">
        <f ca="1">(1-pp)*Qdr*EXP(-SQRT(alpha)*kdr*L)</f>
        <v>85.767403975025871</v>
      </c>
    </row>
    <row r="5" spans="1:10" ht="19.5" x14ac:dyDescent="0.35">
      <c r="A5" s="26" t="s">
        <v>152</v>
      </c>
      <c r="B5" s="27" t="s">
        <v>104</v>
      </c>
      <c r="C5" s="27" t="s">
        <v>105</v>
      </c>
      <c r="D5" s="27" t="s">
        <v>106</v>
      </c>
      <c r="I5" s="16" t="s">
        <v>134</v>
      </c>
      <c r="J5" s="16">
        <f ca="1">(J3-J4)/2</f>
        <v>-9.519169996184452</v>
      </c>
    </row>
    <row r="6" spans="1:10" ht="19.5" x14ac:dyDescent="0.35">
      <c r="A6" s="16" t="s">
        <v>112</v>
      </c>
      <c r="B6" s="16">
        <v>300</v>
      </c>
      <c r="C6" s="16">
        <v>2.1</v>
      </c>
      <c r="D6" s="16">
        <f ca="1">B6*C6^((Tf-25)/10)</f>
        <v>217.56469922597188</v>
      </c>
      <c r="F6" s="18" t="s">
        <v>145</v>
      </c>
      <c r="I6" s="28" t="s">
        <v>16</v>
      </c>
      <c r="J6" s="16">
        <f>SQRT(alpha)*kdf*L</f>
        <v>2.1247551161315155</v>
      </c>
    </row>
    <row r="7" spans="1:10" ht="19.5" x14ac:dyDescent="0.35">
      <c r="A7" s="16" t="s">
        <v>113</v>
      </c>
      <c r="B7" s="16">
        <v>300000</v>
      </c>
      <c r="C7" s="16">
        <v>1.2</v>
      </c>
      <c r="D7" s="16">
        <f ca="1">B7*C7^((Tf-25)/10)</f>
        <v>277225.29763827013</v>
      </c>
      <c r="F7" s="31" t="s">
        <v>124</v>
      </c>
      <c r="G7" s="16">
        <f>IF(L&lt;Lmax,1-L/Lmax,0)</f>
        <v>0</v>
      </c>
      <c r="I7" s="16" t="s">
        <v>135</v>
      </c>
      <c r="J7" s="16">
        <f ca="1">(1-pp)*Qdf*(1-EXP(-J6))/J6</f>
        <v>213.1236784003024</v>
      </c>
    </row>
    <row r="8" spans="1:10" ht="19.5" x14ac:dyDescent="0.35">
      <c r="A8" s="25" t="s">
        <v>35</v>
      </c>
      <c r="B8" s="16">
        <v>2600</v>
      </c>
      <c r="C8" s="16">
        <v>0.56999999999999995</v>
      </c>
      <c r="D8" s="16">
        <f ca="1">B8*C8^((Tf-25)/10)</f>
        <v>3316.5651138432263</v>
      </c>
      <c r="F8" s="31" t="s">
        <v>127</v>
      </c>
      <c r="G8" s="16">
        <f>1-G7</f>
        <v>1</v>
      </c>
    </row>
    <row r="9" spans="1:10" ht="19.5" x14ac:dyDescent="0.35">
      <c r="A9" s="16" t="s">
        <v>111</v>
      </c>
      <c r="B9" s="16">
        <v>200</v>
      </c>
      <c r="C9" s="16">
        <v>2.4</v>
      </c>
      <c r="D9" s="16">
        <f ca="1">(B9*C9^((Tf-25)/10))/(1+EXP(0.29*(Tf-40)))</f>
        <v>136.39259329775211</v>
      </c>
      <c r="F9" s="28" t="s">
        <v>125</v>
      </c>
      <c r="G9" s="16">
        <f ca="1">-2*COS(suninc)/L*LN(G7+G8*EXP(-L/(2*G8*COS(suninc))))</f>
        <v>1</v>
      </c>
      <c r="I9" s="18" t="s">
        <v>146</v>
      </c>
    </row>
    <row r="10" spans="1:10" ht="19.5" x14ac:dyDescent="0.35">
      <c r="F10" s="28" t="s">
        <v>126</v>
      </c>
      <c r="G10" s="16">
        <f ca="1">G9^(1-2*suninc/PI())</f>
        <v>1</v>
      </c>
      <c r="I10" s="16" t="s">
        <v>136</v>
      </c>
      <c r="J10" s="16">
        <f ca="1">alpha*(kdr*Qdr+J7+J5)</f>
        <v>637.84988533939668</v>
      </c>
    </row>
    <row r="11" spans="1:10" ht="19.5" x14ac:dyDescent="0.35">
      <c r="A11" s="16" t="s">
        <v>107</v>
      </c>
      <c r="B11" s="16">
        <v>210000</v>
      </c>
      <c r="E11" s="18"/>
      <c r="F11" s="16" t="s">
        <v>128</v>
      </c>
      <c r="G11" s="16">
        <f ca="1">MAX(0,G10/(2*COS(suninc)))</f>
        <v>0.79249707620324539</v>
      </c>
      <c r="I11" s="16" t="s">
        <v>137</v>
      </c>
      <c r="J11" s="16">
        <f ca="1">alpha*(J7+J5)</f>
        <v>162.88360672329438</v>
      </c>
    </row>
    <row r="12" spans="1:10" ht="19.5" x14ac:dyDescent="0.35">
      <c r="A12" s="16" t="s">
        <v>108</v>
      </c>
      <c r="B12" s="16">
        <v>270</v>
      </c>
      <c r="F12" s="28" t="s">
        <v>14</v>
      </c>
      <c r="G12" s="16">
        <f>B18+B20*L+B22*L^2+B24*L^3+B26*L^4+B28*L^5</f>
        <v>12.529728160000001</v>
      </c>
    </row>
    <row r="13" spans="1:10" ht="19.5" x14ac:dyDescent="0.35">
      <c r="A13" s="16" t="s">
        <v>109</v>
      </c>
      <c r="B13" s="16">
        <v>0.04</v>
      </c>
      <c r="F13" s="28" t="s">
        <v>15</v>
      </c>
      <c r="G13" s="16">
        <f>1+B19*L+B21*L^2+B23*L^3+B25*L^4+B27*L^5</f>
        <v>15.823371094000001</v>
      </c>
      <c r="I13" s="18" t="s">
        <v>147</v>
      </c>
    </row>
    <row r="14" spans="1:10" ht="19.5" x14ac:dyDescent="0.35">
      <c r="A14" s="25" t="s">
        <v>19</v>
      </c>
      <c r="B14" s="16">
        <v>0.8</v>
      </c>
      <c r="F14" s="16" t="s">
        <v>129</v>
      </c>
      <c r="G14" s="16">
        <f>G12/G13</f>
        <v>0.79184947920175475</v>
      </c>
      <c r="I14" s="16" t="s">
        <v>138</v>
      </c>
      <c r="J14" s="16">
        <f ca="1">Oa/(2*tau)</f>
        <v>31.659260830349353</v>
      </c>
    </row>
    <row r="15" spans="1:10" ht="19.5" x14ac:dyDescent="0.35">
      <c r="A15" s="16" t="s">
        <v>110</v>
      </c>
      <c r="B15" s="16">
        <v>0.08</v>
      </c>
      <c r="I15" s="23" t="s">
        <v>139</v>
      </c>
      <c r="J15" s="16">
        <f ca="1">Vcmax*(Ci-co2pt)/(Kc*(1+Oa/Ko)+Ci)</f>
        <v>49.830374959150923</v>
      </c>
    </row>
    <row r="16" spans="1:10" ht="15.75" customHeight="1" x14ac:dyDescent="0.35">
      <c r="F16" s="34" t="s">
        <v>157</v>
      </c>
      <c r="I16" s="23" t="s">
        <v>140</v>
      </c>
      <c r="J16" s="16">
        <f ca="1">0.5*Vcmax</f>
        <v>68.196296648876057</v>
      </c>
    </row>
    <row r="17" spans="1:10" ht="19.5" x14ac:dyDescent="0.35">
      <c r="A17" s="26" t="s">
        <v>153</v>
      </c>
      <c r="B17" s="29"/>
      <c r="F17" s="16" t="s">
        <v>130</v>
      </c>
      <c r="G17" s="16">
        <f ca="1">(1-EXP(-kdr*L))/kdr</f>
        <v>1.1447574634567557</v>
      </c>
      <c r="I17" s="23" t="s">
        <v>141</v>
      </c>
      <c r="J17" s="16">
        <f ca="1">em*alpha*Qsl*((Ci-co2pt)/(Ci+2*co2pt))</f>
        <v>29.190214792722127</v>
      </c>
    </row>
    <row r="18" spans="1:10" ht="19.5" x14ac:dyDescent="0.35">
      <c r="A18" s="30" t="s">
        <v>19</v>
      </c>
      <c r="B18" s="19">
        <v>1.002331825</v>
      </c>
      <c r="F18" s="16" t="s">
        <v>131</v>
      </c>
      <c r="G18" s="16">
        <f ca="1">L-Lsl</f>
        <v>1.8552425365432443</v>
      </c>
      <c r="I18" s="23" t="s">
        <v>142</v>
      </c>
      <c r="J18" s="16">
        <f ca="1">em*alpha*Qsh*((Ci-co2pt)/(Ci+2*co2pt))</f>
        <v>7.4541166750172554</v>
      </c>
    </row>
    <row r="19" spans="1:10" ht="19.5" x14ac:dyDescent="0.35">
      <c r="A19" s="30" t="s">
        <v>20</v>
      </c>
      <c r="B19" s="19">
        <v>2.8618412059999998</v>
      </c>
      <c r="I19" s="16" t="s">
        <v>143</v>
      </c>
      <c r="J19" s="16">
        <f ca="1">Lsl*MIN(vc,vs,vqsl)+Lsh*MIN(vc,vs,vqsh)</f>
        <v>47.244910571722755</v>
      </c>
    </row>
    <row r="20" spans="1:10" ht="18" customHeight="1" x14ac:dyDescent="0.35">
      <c r="A20" s="30" t="s">
        <v>115</v>
      </c>
      <c r="B20" s="19">
        <v>2.1227020350000001</v>
      </c>
      <c r="F20" s="34" t="s">
        <v>155</v>
      </c>
      <c r="I20" s="28" t="s">
        <v>148</v>
      </c>
      <c r="J20" s="16">
        <v>331.33383660150815</v>
      </c>
    </row>
    <row r="21" spans="1:10" ht="20.25" x14ac:dyDescent="0.35">
      <c r="A21" s="30" t="s">
        <v>34</v>
      </c>
      <c r="B21" s="19">
        <v>9.3153495000000003E-2</v>
      </c>
      <c r="F21" s="16" t="s">
        <v>123</v>
      </c>
      <c r="G21" s="16">
        <f ca="1">0.5*Idr*4.55</f>
        <v>749.16093206868095</v>
      </c>
      <c r="I21" s="16" t="s">
        <v>151</v>
      </c>
      <c r="J21" s="16">
        <f>J20*3600*30*10^-6</f>
        <v>35.784054352962883</v>
      </c>
    </row>
    <row r="22" spans="1:10" ht="19.5" x14ac:dyDescent="0.35">
      <c r="A22" s="30" t="s">
        <v>116</v>
      </c>
      <c r="B22" s="19">
        <v>0.47701111000000002</v>
      </c>
      <c r="F22" s="16" t="s">
        <v>122</v>
      </c>
      <c r="G22" s="16">
        <f ca="1">0.5*Idf*4.55</f>
        <v>535.69964553842544</v>
      </c>
    </row>
    <row r="23" spans="1:10" x14ac:dyDescent="0.2">
      <c r="A23" s="30" t="s">
        <v>90</v>
      </c>
      <c r="B23" s="19">
        <v>0.14858605</v>
      </c>
    </row>
    <row r="24" spans="1:10" x14ac:dyDescent="0.2">
      <c r="A24" s="30" t="s">
        <v>117</v>
      </c>
      <c r="B24" s="19">
        <v>3.0599924000000001E-2</v>
      </c>
    </row>
    <row r="25" spans="1:10" x14ac:dyDescent="0.2">
      <c r="A25" s="30" t="s">
        <v>118</v>
      </c>
      <c r="B25" s="19">
        <v>1.5715751E-2</v>
      </c>
    </row>
    <row r="26" spans="1:10" x14ac:dyDescent="0.2">
      <c r="A26" s="30" t="s">
        <v>119</v>
      </c>
      <c r="B26" s="19">
        <v>4.9165000000000005E-4</v>
      </c>
    </row>
    <row r="27" spans="1:10" x14ac:dyDescent="0.2">
      <c r="A27" s="30" t="s">
        <v>120</v>
      </c>
      <c r="B27" s="19">
        <v>4.7187999999999999E-4</v>
      </c>
    </row>
    <row r="28" spans="1:10" x14ac:dyDescent="0.2">
      <c r="A28" s="30" t="s">
        <v>121</v>
      </c>
      <c r="B28" s="19">
        <v>6.9400000000000005E-7</v>
      </c>
    </row>
  </sheetData>
  <phoneticPr fontId="22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K42"/>
  <sheetViews>
    <sheetView showFormulas="1" topLeftCell="B1" workbookViewId="0">
      <selection activeCell="E10" sqref="E10"/>
    </sheetView>
  </sheetViews>
  <sheetFormatPr defaultColWidth="9.140625" defaultRowHeight="12" x14ac:dyDescent="0.2"/>
  <cols>
    <col min="1" max="1" width="6.42578125" style="36" bestFit="1" customWidth="1"/>
    <col min="2" max="2" width="5.42578125" style="36" bestFit="1" customWidth="1"/>
    <col min="3" max="3" width="1.140625" style="16" customWidth="1"/>
    <col min="4" max="4" width="7.5703125" style="16" customWidth="1"/>
    <col min="5" max="5" width="16.42578125" style="16" bestFit="1" customWidth="1"/>
    <col min="6" max="6" width="1.28515625" style="16" customWidth="1"/>
    <col min="7" max="7" width="8" style="16" customWidth="1"/>
    <col min="8" max="8" width="23" style="16" bestFit="1" customWidth="1"/>
    <col min="9" max="9" width="1.140625" style="16" customWidth="1"/>
    <col min="10" max="10" width="7.7109375" style="16" customWidth="1"/>
    <col min="11" max="11" width="14.42578125" style="16" bestFit="1" customWidth="1"/>
    <col min="12" max="16384" width="9.140625" style="16"/>
  </cols>
  <sheetData>
    <row r="1" spans="1:11" x14ac:dyDescent="0.2">
      <c r="A1" s="35" t="s">
        <v>11</v>
      </c>
      <c r="D1" s="37" t="s">
        <v>154</v>
      </c>
      <c r="G1" s="18" t="s">
        <v>219</v>
      </c>
      <c r="J1" s="18" t="s">
        <v>226</v>
      </c>
    </row>
    <row r="2" spans="1:11" ht="19.5" x14ac:dyDescent="0.35">
      <c r="A2" s="36" t="s">
        <v>180</v>
      </c>
      <c r="B2" s="36">
        <v>2</v>
      </c>
      <c r="D2" s="36" t="s">
        <v>118</v>
      </c>
      <c r="E2" s="36">
        <v>1</v>
      </c>
      <c r="G2" s="28" t="s">
        <v>158</v>
      </c>
      <c r="H2" s="16">
        <f ca="1">(slopesvp+psycho)*raa</f>
        <v>15.163972600774368</v>
      </c>
      <c r="J2" s="16" t="s">
        <v>114</v>
      </c>
      <c r="K2" s="16">
        <f ca="1">((Hc*rca+(Hs+Hc)*raa)/pcp)+Ta</f>
        <v>20.669631634814394</v>
      </c>
    </row>
    <row r="3" spans="1:11" ht="19.5" x14ac:dyDescent="0.35">
      <c r="A3" s="36" t="s">
        <v>172</v>
      </c>
      <c r="B3" s="36">
        <v>4.0000000000000001E-3</v>
      </c>
      <c r="D3" s="36" t="s">
        <v>171</v>
      </c>
      <c r="E3" s="36">
        <v>0.08</v>
      </c>
      <c r="G3" s="28" t="s">
        <v>159</v>
      </c>
      <c r="H3" s="16">
        <f ca="1">(slopesvp+psycho)*rca+psycho*rcs</f>
        <v>143.78761860482092</v>
      </c>
    </row>
    <row r="4" spans="1:11" ht="15.75" x14ac:dyDescent="0.3">
      <c r="A4" s="41" t="s">
        <v>285</v>
      </c>
      <c r="B4" s="36">
        <v>0.3</v>
      </c>
      <c r="D4" s="24" t="s">
        <v>173</v>
      </c>
      <c r="E4" s="36">
        <f>Water!H4</f>
        <v>0.02</v>
      </c>
      <c r="G4" s="28" t="s">
        <v>160</v>
      </c>
      <c r="H4" s="16">
        <f ca="1">(slopesvp+psycho)*rsa+psycho*rss</f>
        <v>36.681958750266645</v>
      </c>
    </row>
    <row r="5" spans="1:11" ht="19.5" x14ac:dyDescent="0.35">
      <c r="A5" s="36" t="s">
        <v>176</v>
      </c>
      <c r="B5" s="36">
        <v>51.21</v>
      </c>
      <c r="D5" s="36" t="s">
        <v>174</v>
      </c>
      <c r="E5" s="36">
        <f>Water!H3</f>
        <v>0.39</v>
      </c>
      <c r="G5" s="28" t="s">
        <v>204</v>
      </c>
      <c r="H5" s="16">
        <f ca="1">(1+(H3*H2)/(H4*(H3+H2)))^-1</f>
        <v>0.72782690592469279</v>
      </c>
    </row>
    <row r="6" spans="1:11" ht="19.5" x14ac:dyDescent="0.35">
      <c r="A6" s="36" t="s">
        <v>177</v>
      </c>
      <c r="B6" s="36">
        <v>5.0000000000000001E-3</v>
      </c>
      <c r="D6" s="36" t="s">
        <v>175</v>
      </c>
      <c r="E6" s="36">
        <f>Water!H9</f>
        <v>0.39</v>
      </c>
      <c r="G6" s="28" t="s">
        <v>205</v>
      </c>
      <c r="H6" s="16">
        <f ca="1">(1+(H4*H2)/(H3*(H4+H2)))^-1</f>
        <v>0.93056535530196116</v>
      </c>
    </row>
    <row r="7" spans="1:11" ht="19.5" x14ac:dyDescent="0.35">
      <c r="A7" s="36" t="s">
        <v>179</v>
      </c>
      <c r="B7" s="36">
        <v>2</v>
      </c>
      <c r="G7" s="28" t="s">
        <v>198</v>
      </c>
      <c r="H7" s="16">
        <f ca="1">slopesvp*A+(pcp*vpd-slopesvp*rca*As)/(raa+rca)</f>
        <v>324.56238840270163</v>
      </c>
    </row>
    <row r="8" spans="1:11" ht="19.5" x14ac:dyDescent="0.35">
      <c r="A8" s="36" t="s">
        <v>178</v>
      </c>
      <c r="B8" s="36">
        <v>2</v>
      </c>
      <c r="D8" s="18" t="s">
        <v>186</v>
      </c>
      <c r="G8" s="28" t="s">
        <v>199</v>
      </c>
      <c r="H8" s="16">
        <f ca="1">slopesvp+psycho*(1+rcs/(raa+rca))</f>
        <v>5.1010779131779911</v>
      </c>
    </row>
    <row r="9" spans="1:11" ht="19.5" x14ac:dyDescent="0.35">
      <c r="D9" s="16" t="s">
        <v>227</v>
      </c>
      <c r="E9" s="16">
        <f>EXP(-kRn*L)</f>
        <v>0.40656965974059917</v>
      </c>
      <c r="G9" s="28" t="s">
        <v>202</v>
      </c>
      <c r="H9" s="16">
        <f ca="1">H7/H8</f>
        <v>63.626236243958488</v>
      </c>
    </row>
    <row r="10" spans="1:11" x14ac:dyDescent="0.2">
      <c r="A10" s="35" t="s">
        <v>161</v>
      </c>
      <c r="D10" s="16" t="s">
        <v>182</v>
      </c>
      <c r="E10" s="16">
        <f ca="1">0.3*pRn*Rn</f>
        <v>52.78389538181947</v>
      </c>
      <c r="G10" s="28" t="s">
        <v>200</v>
      </c>
      <c r="H10" s="16">
        <f ca="1">slopesvp*A+(pcp*vpd-slopesvp*rsa*Ac)/(raa+rsa)</f>
        <v>241.03799495377152</v>
      </c>
    </row>
    <row r="11" spans="1:11" ht="19.5" x14ac:dyDescent="0.35">
      <c r="A11" s="39" t="s">
        <v>35</v>
      </c>
      <c r="B11" s="36">
        <v>2</v>
      </c>
      <c r="D11" s="16" t="s">
        <v>184</v>
      </c>
      <c r="E11" s="16">
        <f ca="1">(1-pRn)*Rn</f>
        <v>256.81179306095538</v>
      </c>
      <c r="G11" s="28" t="s">
        <v>201</v>
      </c>
      <c r="H11" s="16">
        <f ca="1">slopesvp+psycho*(1+rss/(raa+rsa))</f>
        <v>2.189081272845284</v>
      </c>
    </row>
    <row r="12" spans="1:11" ht="19.5" x14ac:dyDescent="0.35">
      <c r="A12" s="38" t="s">
        <v>181</v>
      </c>
      <c r="B12" s="36">
        <v>0.42</v>
      </c>
      <c r="D12" s="16" t="s">
        <v>185</v>
      </c>
      <c r="E12" s="16">
        <f ca="1">pRn*Rn-G</f>
        <v>123.16242255757876</v>
      </c>
      <c r="G12" s="28" t="s">
        <v>203</v>
      </c>
      <c r="H12" s="16">
        <f ca="1">H10/H11</f>
        <v>110.10920331910728</v>
      </c>
    </row>
    <row r="13" spans="1:11" ht="12.75" x14ac:dyDescent="0.2">
      <c r="A13" s="39" t="s">
        <v>173</v>
      </c>
      <c r="B13" s="36">
        <v>0.18</v>
      </c>
      <c r="D13" s="16" t="s">
        <v>183</v>
      </c>
      <c r="E13" s="16">
        <f ca="1">Ac+As</f>
        <v>379.97421561853412</v>
      </c>
      <c r="G13" s="16" t="s">
        <v>206</v>
      </c>
      <c r="H13" s="16">
        <f ca="1">H5*H9+H6*H12</f>
        <v>148.77269656973482</v>
      </c>
    </row>
    <row r="15" spans="1:11" ht="19.5" x14ac:dyDescent="0.35">
      <c r="A15" s="35" t="s">
        <v>26</v>
      </c>
      <c r="D15" s="18" t="s">
        <v>197</v>
      </c>
      <c r="G15" s="16" t="s">
        <v>207</v>
      </c>
      <c r="H15" s="16">
        <f ca="1">vpd+(raa/pcp)*(slopesvp*A-(slopesvp+psycho)*LET)</f>
        <v>1.1218696517312226</v>
      </c>
    </row>
    <row r="16" spans="1:11" ht="19.5" x14ac:dyDescent="0.35">
      <c r="A16" s="39" t="s">
        <v>117</v>
      </c>
      <c r="B16" s="36">
        <v>0.65800000000000003</v>
      </c>
      <c r="D16" s="16" t="s">
        <v>188</v>
      </c>
      <c r="E16" s="16">
        <f>0.13*h</f>
        <v>0.13</v>
      </c>
    </row>
    <row r="17" spans="1:8" x14ac:dyDescent="0.2">
      <c r="A17" s="36" t="s">
        <v>121</v>
      </c>
      <c r="B17" s="36">
        <v>0.4</v>
      </c>
      <c r="D17" s="16" t="s">
        <v>34</v>
      </c>
      <c r="E17" s="16">
        <f>0.64*h</f>
        <v>0.64</v>
      </c>
      <c r="G17" s="28" t="s">
        <v>208</v>
      </c>
      <c r="H17" s="16">
        <f ca="1">slopesvp*As+pcp*vpd0/rsa</f>
        <v>228.04522812596446</v>
      </c>
    </row>
    <row r="18" spans="1:8" ht="13.5" x14ac:dyDescent="0.25">
      <c r="A18" s="24" t="s">
        <v>187</v>
      </c>
      <c r="B18" s="36">
        <v>1221.0899999999999</v>
      </c>
      <c r="D18" s="16" t="s">
        <v>189</v>
      </c>
      <c r="E18" s="16">
        <f ca="1">k*u/LN((zr-d)/z0)</f>
        <v>0.4743971716473413</v>
      </c>
      <c r="G18" s="28" t="s">
        <v>209</v>
      </c>
      <c r="H18" s="16">
        <f ca="1">slopesvp+psycho*(rss+rsa)/rsa</f>
        <v>2.4227633864390885</v>
      </c>
    </row>
    <row r="19" spans="1:8" ht="19.5" x14ac:dyDescent="0.35">
      <c r="A19" s="36" t="s">
        <v>196</v>
      </c>
      <c r="B19" s="36">
        <f>24.7*10^-6</f>
        <v>2.4699999999999997E-5</v>
      </c>
      <c r="D19" s="16" t="s">
        <v>190</v>
      </c>
      <c r="E19" s="16">
        <f ca="1">(ustar/k)*LN((h-d)/z0)</f>
        <v>1.2080163208746075</v>
      </c>
      <c r="G19" s="16" t="s">
        <v>210</v>
      </c>
      <c r="H19" s="16">
        <f ca="1">H17/H18</f>
        <v>94.126083216545183</v>
      </c>
    </row>
    <row r="20" spans="1:8" ht="19.5" x14ac:dyDescent="0.35">
      <c r="D20" s="16" t="s">
        <v>191</v>
      </c>
      <c r="E20" s="16">
        <f ca="1">k*ustar*h</f>
        <v>0.18975886865893654</v>
      </c>
      <c r="G20" s="28" t="s">
        <v>214</v>
      </c>
      <c r="H20" s="16">
        <v>259.48071167619662</v>
      </c>
    </row>
    <row r="21" spans="1:8" ht="18" x14ac:dyDescent="0.2">
      <c r="G21" s="16" t="s">
        <v>216</v>
      </c>
      <c r="H21" s="16">
        <f>H20*2*3600/2454000</f>
        <v>0.76131260149495339</v>
      </c>
    </row>
    <row r="22" spans="1:8" x14ac:dyDescent="0.2">
      <c r="D22" s="18" t="s">
        <v>162</v>
      </c>
    </row>
    <row r="23" spans="1:8" x14ac:dyDescent="0.2">
      <c r="D23" s="28" t="s">
        <v>14</v>
      </c>
      <c r="E23" s="16">
        <f ca="1">(h*EXP(nK))/(nK*Kh)</f>
        <v>19.469593571964705</v>
      </c>
      <c r="G23" s="28" t="s">
        <v>212</v>
      </c>
      <c r="H23" s="16">
        <f ca="1">slopesvp*Ac+pcp*vpd0/rca</f>
        <v>347.4150045126853</v>
      </c>
    </row>
    <row r="24" spans="1:8" x14ac:dyDescent="0.2">
      <c r="D24" s="28" t="s">
        <v>15</v>
      </c>
      <c r="E24" s="16">
        <f>EXP(-nK*zs0/h)</f>
        <v>0.99203191483706066</v>
      </c>
      <c r="G24" s="28" t="s">
        <v>213</v>
      </c>
      <c r="H24" s="16">
        <f ca="1">slopesvp+psycho*(rcs+rca)/rca</f>
        <v>6.3574846306995756</v>
      </c>
    </row>
    <row r="25" spans="1:8" ht="19.5" x14ac:dyDescent="0.35">
      <c r="D25" s="28" t="s">
        <v>16</v>
      </c>
      <c r="E25" s="16">
        <f>EXP(-nK*(z0+d)/h)</f>
        <v>0.21438110142697794</v>
      </c>
      <c r="G25" s="16" t="s">
        <v>211</v>
      </c>
      <c r="H25" s="16">
        <f ca="1">H23/H24</f>
        <v>54.646613353189636</v>
      </c>
    </row>
    <row r="26" spans="1:8" ht="19.5" x14ac:dyDescent="0.35">
      <c r="D26" s="16" t="s">
        <v>163</v>
      </c>
      <c r="E26" s="16">
        <f ca="1">E23*(E24-E25)</f>
        <v>15.140545278002071</v>
      </c>
      <c r="G26" s="28" t="s">
        <v>215</v>
      </c>
      <c r="H26" s="16">
        <v>207.5276193799379</v>
      </c>
    </row>
    <row r="27" spans="1:8" ht="18" x14ac:dyDescent="0.2">
      <c r="G27" s="16" t="s">
        <v>217</v>
      </c>
      <c r="H27" s="16">
        <f>H26*2*3600/2454000</f>
        <v>0.60888299084578357</v>
      </c>
    </row>
    <row r="28" spans="1:8" x14ac:dyDescent="0.2">
      <c r="D28" s="28" t="s">
        <v>17</v>
      </c>
      <c r="E28" s="16">
        <f ca="1">LN((zr-d)/(h-d))/(k*ustar)</f>
        <v>7.004341650396678</v>
      </c>
    </row>
    <row r="29" spans="1:8" ht="18" x14ac:dyDescent="0.2">
      <c r="D29" s="28" t="s">
        <v>69</v>
      </c>
      <c r="E29" s="16">
        <f ca="1">1/(nK*k*ustar)</f>
        <v>2.6349229605635767</v>
      </c>
      <c r="G29" s="16" t="s">
        <v>218</v>
      </c>
      <c r="H29" s="16">
        <f>PETs+PETc</f>
        <v>1.370195592340737</v>
      </c>
    </row>
    <row r="30" spans="1:8" x14ac:dyDescent="0.2">
      <c r="D30" s="28" t="s">
        <v>192</v>
      </c>
      <c r="E30" s="16">
        <f>EXP(nK*(1-(z0+d)/h))-1</f>
        <v>0.58407398499448182</v>
      </c>
    </row>
    <row r="31" spans="1:8" x14ac:dyDescent="0.2">
      <c r="D31" s="16" t="s">
        <v>164</v>
      </c>
      <c r="E31" s="16">
        <f ca="1">E28+E29*E30</f>
        <v>8.5433316041265037</v>
      </c>
      <c r="G31" s="18" t="s">
        <v>166</v>
      </c>
    </row>
    <row r="32" spans="1:8" x14ac:dyDescent="0.2">
      <c r="G32" s="28" t="s">
        <v>220</v>
      </c>
      <c r="H32" s="16">
        <f ca="1">psycho*As*(rss+rsa)-pcp*vpd0</f>
        <v>1065.1098019665383</v>
      </c>
    </row>
    <row r="33" spans="4:8" x14ac:dyDescent="0.2">
      <c r="D33" s="28" t="s">
        <v>193</v>
      </c>
      <c r="E33" s="16">
        <f>0.012*L*(1-EXP(-nu/2))</f>
        <v>2.2756340117828077E-2</v>
      </c>
      <c r="G33" s="28" t="s">
        <v>221</v>
      </c>
      <c r="H33" s="16">
        <f ca="1">slopesvp*rsa+psycho*(rss+rsa)</f>
        <v>36.681958750266645</v>
      </c>
    </row>
    <row r="34" spans="4:8" ht="19.5" x14ac:dyDescent="0.35">
      <c r="D34" s="28" t="s">
        <v>194</v>
      </c>
      <c r="E34" s="16">
        <f ca="1">SQRT(E19/leafwidth)</f>
        <v>3.885898095798781</v>
      </c>
      <c r="G34" s="16" t="s">
        <v>222</v>
      </c>
      <c r="H34" s="16">
        <f ca="1">H32/H33</f>
        <v>29.036339341033578</v>
      </c>
    </row>
    <row r="35" spans="4:8" x14ac:dyDescent="0.2">
      <c r="D35" s="16" t="s">
        <v>165</v>
      </c>
      <c r="E35" s="16">
        <f ca="1">nu/(E33*E34)</f>
        <v>22.617061142466117</v>
      </c>
      <c r="G35" s="28"/>
    </row>
    <row r="36" spans="4:8" x14ac:dyDescent="0.2">
      <c r="G36" s="28" t="s">
        <v>223</v>
      </c>
      <c r="H36" s="16">
        <f ca="1">psycho*Ac*(rcs+rca)-pcp*vpd0</f>
        <v>29068.849754995306</v>
      </c>
    </row>
    <row r="37" spans="4:8" x14ac:dyDescent="0.2">
      <c r="D37" s="16" t="s">
        <v>167</v>
      </c>
      <c r="E37" s="16">
        <f ca="1">MAX(0.1,It*0.5)</f>
        <v>282.38694013343002</v>
      </c>
      <c r="G37" s="28" t="s">
        <v>224</v>
      </c>
      <c r="H37" s="16">
        <f ca="1">slopesvp*rca+psycho*(rcs+rca)</f>
        <v>143.78761860482092</v>
      </c>
    </row>
    <row r="38" spans="4:8" ht="19.5" x14ac:dyDescent="0.35">
      <c r="D38" s="16" t="s">
        <v>168</v>
      </c>
      <c r="E38" s="16">
        <f ca="1">(stom_a1+E37)/(stom_a2*E37)</f>
        <v>236.26938269581649</v>
      </c>
      <c r="G38" s="16" t="s">
        <v>225</v>
      </c>
      <c r="H38" s="16">
        <f ca="1">H36/H37</f>
        <v>202.16517970776576</v>
      </c>
    </row>
    <row r="39" spans="4:8" x14ac:dyDescent="0.2">
      <c r="D39" s="16" t="s">
        <v>169</v>
      </c>
      <c r="E39" s="16">
        <f ca="1">IF(L&lt;=0.5*Lmax,rst/L,rst/(0.5*Lmax))</f>
        <v>157.51292179721099</v>
      </c>
    </row>
    <row r="41" spans="4:8" x14ac:dyDescent="0.2">
      <c r="D41" s="16" t="s">
        <v>195</v>
      </c>
      <c r="E41" s="16">
        <f>(B11*E4)/(B12*Dmv)</f>
        <v>3855.7933294775403</v>
      </c>
      <c r="G41" s="28"/>
    </row>
    <row r="42" spans="4:8" x14ac:dyDescent="0.2">
      <c r="D42" s="16" t="s">
        <v>170</v>
      </c>
      <c r="E42" s="16">
        <f>E41*EXP(-(1/B13)*E6/E5)</f>
        <v>14.906189086072134</v>
      </c>
    </row>
  </sheetData>
  <phoneticPr fontId="22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J137"/>
  <sheetViews>
    <sheetView showFormulas="1" topLeftCell="C1" zoomScale="98" zoomScaleNormal="98" workbookViewId="0">
      <pane ySplit="1" topLeftCell="A2" activePane="bottomLeft" state="frozen"/>
      <selection activeCell="F1" sqref="F1"/>
      <selection pane="bottomLeft" activeCell="D17" sqref="D17"/>
    </sheetView>
  </sheetViews>
  <sheetFormatPr defaultColWidth="9" defaultRowHeight="12" x14ac:dyDescent="0.2"/>
  <cols>
    <col min="1" max="1" width="4.140625" style="16" bestFit="1" customWidth="1"/>
    <col min="2" max="2" width="3.28515625" style="16" customWidth="1"/>
    <col min="3" max="3" width="0.85546875" style="16" customWidth="1"/>
    <col min="4" max="4" width="6.42578125" style="16" customWidth="1"/>
    <col min="5" max="5" width="19.140625" style="16" bestFit="1" customWidth="1"/>
    <col min="6" max="6" width="1" style="16" customWidth="1"/>
    <col min="7" max="7" width="5.28515625" style="16" bestFit="1" customWidth="1"/>
    <col min="8" max="8" width="17.140625" style="16" customWidth="1"/>
    <col min="9" max="9" width="16.85546875" style="16" customWidth="1"/>
    <col min="10" max="10" width="17.140625" style="16" customWidth="1"/>
    <col min="11" max="11" width="0.85546875" style="16" customWidth="1"/>
    <col min="12" max="12" width="9" style="16" customWidth="1"/>
    <col min="13" max="14" width="9.28515625" style="16" bestFit="1" customWidth="1"/>
    <col min="15" max="15" width="9.5703125" style="16" customWidth="1"/>
    <col min="16" max="16" width="9.85546875" style="16" customWidth="1"/>
    <col min="17" max="16384" width="9" style="16"/>
  </cols>
  <sheetData>
    <row r="1" spans="1:10" x14ac:dyDescent="0.2">
      <c r="A1" s="18" t="s">
        <v>11</v>
      </c>
      <c r="D1" s="37" t="s">
        <v>154</v>
      </c>
      <c r="G1" s="26" t="s">
        <v>252</v>
      </c>
      <c r="H1" s="27">
        <v>1</v>
      </c>
      <c r="I1" s="27">
        <v>2</v>
      </c>
      <c r="J1" s="27">
        <v>3</v>
      </c>
    </row>
    <row r="2" spans="1:10" ht="18.600000000000001" customHeight="1" x14ac:dyDescent="0.35">
      <c r="A2" s="42" t="s">
        <v>251</v>
      </c>
      <c r="B2" s="16">
        <v>0.23830000000000001</v>
      </c>
      <c r="D2" s="24" t="s">
        <v>240</v>
      </c>
      <c r="E2" s="24">
        <v>0.25</v>
      </c>
      <c r="G2" s="42" t="s">
        <v>275</v>
      </c>
      <c r="H2" s="16">
        <f>[1]!interpolate(matric_Hm,matric_vwc,150)</f>
        <v>0.12</v>
      </c>
      <c r="I2" s="16">
        <f>[1]!interpolate(matric_Hm,matric_vwc,150)</f>
        <v>0.12</v>
      </c>
      <c r="J2" s="16">
        <f>[1]!interpolate(matric_Hm,matric_vwc,150)</f>
        <v>0.12</v>
      </c>
    </row>
    <row r="3" spans="1:10" ht="15.6" customHeight="1" x14ac:dyDescent="0.35">
      <c r="A3" s="16" t="s">
        <v>264</v>
      </c>
      <c r="B3" s="16">
        <v>0.1</v>
      </c>
      <c r="G3" s="42" t="s">
        <v>235</v>
      </c>
      <c r="H3" s="16">
        <f>[1]!interpolate(matric_Hm,matric_vwc,0)</f>
        <v>0.39</v>
      </c>
      <c r="I3" s="16">
        <f>[1]!interpolate(matric_Hm,matric_vwc,0)</f>
        <v>0.39</v>
      </c>
      <c r="J3" s="16">
        <f>[1]!interpolate(matric_Hm,matric_vwc,0)</f>
        <v>0.39</v>
      </c>
    </row>
    <row r="4" spans="1:10" ht="19.5" x14ac:dyDescent="0.35">
      <c r="D4" s="18" t="s">
        <v>233</v>
      </c>
      <c r="G4" s="16" t="s">
        <v>230</v>
      </c>
      <c r="H4" s="16">
        <v>0.02</v>
      </c>
      <c r="I4" s="16">
        <v>0.46</v>
      </c>
      <c r="J4" s="16">
        <v>0.52</v>
      </c>
    </row>
    <row r="5" spans="1:10" ht="19.5" x14ac:dyDescent="0.35">
      <c r="D5" s="16" t="s">
        <v>245</v>
      </c>
      <c r="E5" s="16">
        <f>1/(1+(3.6073*H9/H3)^-9.3172)</f>
        <v>0.99999356396147077</v>
      </c>
      <c r="G5" s="44" t="s">
        <v>232</v>
      </c>
      <c r="H5" s="16">
        <f>H4</f>
        <v>0.02</v>
      </c>
      <c r="I5" s="16">
        <f>I4+H5</f>
        <v>0.48000000000000004</v>
      </c>
      <c r="J5" s="16">
        <f>J4+I5</f>
        <v>1</v>
      </c>
    </row>
    <row r="6" spans="1:10" ht="19.5" x14ac:dyDescent="0.35">
      <c r="D6" s="16" t="s">
        <v>276</v>
      </c>
      <c r="E6" s="16">
        <f>(PETs*E5)*0.75</f>
        <v>0.57098077624328802</v>
      </c>
      <c r="G6" s="16" t="s">
        <v>231</v>
      </c>
      <c r="H6" s="16">
        <f>0.5*H4</f>
        <v>0.01</v>
      </c>
      <c r="I6" s="16">
        <f>H6+0.5*(H4+I4)</f>
        <v>0.25</v>
      </c>
      <c r="J6" s="16">
        <f>I6+0.5*(I4+J4)</f>
        <v>0.74</v>
      </c>
    </row>
    <row r="7" spans="1:10" ht="15.75" customHeight="1" x14ac:dyDescent="0.35">
      <c r="G7" s="42" t="s">
        <v>269</v>
      </c>
      <c r="H7" s="16">
        <f>$B$2*H4*1000</f>
        <v>4.766</v>
      </c>
      <c r="I7" s="16">
        <f>$B$2*I4*1000</f>
        <v>109.61800000000001</v>
      </c>
      <c r="J7" s="16">
        <f>$B$2*J4*1000</f>
        <v>123.91600000000001</v>
      </c>
    </row>
    <row r="8" spans="1:10" ht="15.6" customHeight="1" x14ac:dyDescent="0.35">
      <c r="D8" s="18" t="s">
        <v>234</v>
      </c>
      <c r="G8" s="42" t="s">
        <v>270</v>
      </c>
      <c r="H8" s="16">
        <v>12609.731357114721</v>
      </c>
      <c r="I8" s="16">
        <v>-12369.754763666893</v>
      </c>
      <c r="J8" s="16">
        <v>102.86240290107077</v>
      </c>
    </row>
    <row r="9" spans="1:10" ht="18" customHeight="1" x14ac:dyDescent="0.35">
      <c r="D9" s="42" t="s">
        <v>274</v>
      </c>
      <c r="E9" s="16">
        <f>AVERAGE(H2:J2)</f>
        <v>0.12</v>
      </c>
      <c r="G9" s="42" t="s">
        <v>271</v>
      </c>
      <c r="H9" s="16">
        <f>MAX(0.01,MIN(H3,(H8/1000)/H4))</f>
        <v>0.39</v>
      </c>
      <c r="I9" s="16">
        <f>MAX(0.01,MIN(I3,(I8/1000)/I4))</f>
        <v>0.01</v>
      </c>
      <c r="J9" s="16">
        <f>MAX(0.01,MIN(J3,(J8/1000)/J4))</f>
        <v>0.19781231327128992</v>
      </c>
    </row>
    <row r="10" spans="1:10" ht="17.25" customHeight="1" x14ac:dyDescent="0.35">
      <c r="D10" s="42" t="s">
        <v>243</v>
      </c>
      <c r="E10" s="16">
        <f>AVERAGE(H3:J3)</f>
        <v>0.38999999999999996</v>
      </c>
      <c r="G10" s="16" t="s">
        <v>268</v>
      </c>
      <c r="H10" s="16">
        <f>[1]!interpolate(hydraulic_vwc,hydraulic_K,H9)</f>
        <v>762.84210526315826</v>
      </c>
      <c r="I10" s="16">
        <f>[1]!interpolate(hydraulic_vwc,hydraulic_K,I9)</f>
        <v>4.75E-28</v>
      </c>
      <c r="J10" s="16">
        <f>[1]!interpolate(hydraulic_vwc,hydraulic_K,J9)</f>
        <v>2.6858013508528813E-2</v>
      </c>
    </row>
    <row r="11" spans="1:10" ht="16.5" customHeight="1" x14ac:dyDescent="0.35">
      <c r="D11" s="42" t="s">
        <v>242</v>
      </c>
      <c r="E11" s="16">
        <f>E9+0.5*(E10-E9)</f>
        <v>0.255</v>
      </c>
      <c r="G11" s="16" t="s">
        <v>237</v>
      </c>
      <c r="H11" s="16">
        <f>[1]!interpolate(matric_vwc,matric_Hm,H9)</f>
        <v>0</v>
      </c>
      <c r="I11" s="16">
        <f>[1]!interpolate(matric_vwc,matric_Hm,I9)</f>
        <v>1250</v>
      </c>
      <c r="J11" s="16">
        <f>[1]!interpolate(matric_vwc,matric_Hm,J9)</f>
        <v>3.2187686728710085</v>
      </c>
    </row>
    <row r="12" spans="1:10" ht="18.75" customHeight="1" x14ac:dyDescent="0.35">
      <c r="D12" s="42" t="s">
        <v>241</v>
      </c>
      <c r="E12" s="16">
        <f>SUM(H16:J16)/droot</f>
        <v>4.0400000000000005E-2</v>
      </c>
      <c r="G12" s="16" t="s">
        <v>238</v>
      </c>
      <c r="H12" s="16">
        <f>H6</f>
        <v>0.01</v>
      </c>
      <c r="I12" s="16">
        <f>I6</f>
        <v>0.25</v>
      </c>
      <c r="J12" s="16">
        <f>J6</f>
        <v>0.74</v>
      </c>
    </row>
    <row r="13" spans="1:10" ht="18.75" customHeight="1" x14ac:dyDescent="0.35">
      <c r="D13" s="16" t="s">
        <v>244</v>
      </c>
      <c r="E13" s="16">
        <f>IF(E12&gt;=E11,1,MAX(0,(E12-E9)/(E11-E9)))</f>
        <v>0</v>
      </c>
      <c r="G13" s="16" t="s">
        <v>239</v>
      </c>
      <c r="H13" s="16">
        <f>H11+H12</f>
        <v>0.01</v>
      </c>
      <c r="I13" s="16">
        <f>I11+I12</f>
        <v>1250.25</v>
      </c>
      <c r="J13" s="16">
        <f t="shared" ref="J13" si="0">J11+J12</f>
        <v>3.9587686728710088</v>
      </c>
    </row>
    <row r="14" spans="1:10" ht="19.5" x14ac:dyDescent="0.35">
      <c r="D14" s="16" t="s">
        <v>277</v>
      </c>
      <c r="E14" s="16">
        <f>PETc*E13</f>
        <v>0</v>
      </c>
      <c r="G14" s="16" t="s">
        <v>267</v>
      </c>
      <c r="I14" s="16">
        <f>(H10*H4+I10*I4)/(I4+H4)</f>
        <v>31.785087719298261</v>
      </c>
      <c r="J14" s="16">
        <f>(I10*I4+J10*J4)/(J4+I4)</f>
        <v>1.4251190841260187E-2</v>
      </c>
    </row>
    <row r="15" spans="1:10" ht="18.75" customHeight="1" x14ac:dyDescent="0.35">
      <c r="G15" s="44" t="s">
        <v>265</v>
      </c>
      <c r="H15" s="16">
        <f>MAX(0,H5-droot)</f>
        <v>0</v>
      </c>
      <c r="I15" s="16">
        <f>MAX(0,I5-droot)</f>
        <v>0.23000000000000004</v>
      </c>
      <c r="J15" s="16">
        <f>MAX(0,J5-droot)</f>
        <v>0.75</v>
      </c>
    </row>
    <row r="16" spans="1:10" ht="15.75" customHeight="1" x14ac:dyDescent="0.35">
      <c r="D16" s="18" t="s">
        <v>263</v>
      </c>
      <c r="G16" s="42" t="s">
        <v>266</v>
      </c>
      <c r="H16" s="16">
        <f>MAX(0,H9*(H4-H15))</f>
        <v>7.8000000000000005E-3</v>
      </c>
      <c r="I16" s="16">
        <f t="shared" ref="I16:J16" si="1">MAX(0,I9*(I4-I15))</f>
        <v>2.3E-3</v>
      </c>
      <c r="J16" s="16">
        <f t="shared" si="1"/>
        <v>0</v>
      </c>
    </row>
    <row r="17" spans="4:10" ht="15.75" customHeight="1" x14ac:dyDescent="0.35">
      <c r="D17" s="16" t="s">
        <v>273</v>
      </c>
      <c r="E17" s="16">
        <f ca="1">(1-MIN(m,L/Lmax*m))*Pg</f>
        <v>0</v>
      </c>
      <c r="G17" s="16" t="s">
        <v>248</v>
      </c>
      <c r="H17" s="16">
        <f>E6</f>
        <v>0.57098077624328802</v>
      </c>
    </row>
    <row r="18" spans="4:10" ht="15" customHeight="1" x14ac:dyDescent="0.35">
      <c r="G18" s="42" t="s">
        <v>246</v>
      </c>
      <c r="H18" s="16">
        <f>MIN(1,H5/droot)</f>
        <v>0.08</v>
      </c>
      <c r="I18" s="16">
        <f>MIN(1,I5/droot)</f>
        <v>1</v>
      </c>
      <c r="J18" s="16">
        <f>MIN(1,J5/droot)</f>
        <v>1</v>
      </c>
    </row>
    <row r="19" spans="4:10" ht="19.5" x14ac:dyDescent="0.35">
      <c r="G19" s="42" t="s">
        <v>247</v>
      </c>
      <c r="H19" s="16">
        <f t="shared" ref="H19:J19" si="2">1.8*H18-0.8*H18^2</f>
        <v>0.13888</v>
      </c>
      <c r="I19" s="16">
        <f t="shared" si="2"/>
        <v>1</v>
      </c>
      <c r="J19" s="16">
        <f t="shared" si="2"/>
        <v>1</v>
      </c>
    </row>
    <row r="20" spans="4:10" ht="19.5" customHeight="1" x14ac:dyDescent="0.35">
      <c r="G20" s="16" t="s">
        <v>278</v>
      </c>
      <c r="H20" s="16">
        <f>H19*AETc</f>
        <v>0</v>
      </c>
      <c r="I20" s="16">
        <f>(I19-H19)*AETc</f>
        <v>0</v>
      </c>
      <c r="J20" s="16">
        <f>(J19-I19)*AETc</f>
        <v>0</v>
      </c>
    </row>
    <row r="21" spans="4:10" ht="19.5" x14ac:dyDescent="0.35">
      <c r="G21" s="16" t="s">
        <v>249</v>
      </c>
      <c r="H21" s="16">
        <f ca="1">Pn-H17-H20</f>
        <v>-0.57098077624328802</v>
      </c>
      <c r="I21" s="16">
        <f>I14*(I13-H13)/(I6-H6)-I20</f>
        <v>165579.11695906441</v>
      </c>
      <c r="J21" s="16">
        <f>J14*(J13-I13)/(J6-I6)-J20</f>
        <v>-36.247212615167477</v>
      </c>
    </row>
    <row r="22" spans="4:10" ht="19.5" x14ac:dyDescent="0.35">
      <c r="G22" s="29" t="s">
        <v>250</v>
      </c>
      <c r="H22" s="29">
        <f ca="1">H21-I21</f>
        <v>-165579.68793984066</v>
      </c>
      <c r="I22" s="29">
        <f>I21-J21</f>
        <v>165615.36417167957</v>
      </c>
      <c r="J22" s="29">
        <f>J21-J14</f>
        <v>-36.261463806008734</v>
      </c>
    </row>
    <row r="32" spans="4:10" x14ac:dyDescent="0.2">
      <c r="G32" s="43"/>
      <c r="H32" s="43"/>
      <c r="I32" s="43"/>
      <c r="J32" s="43"/>
    </row>
    <row r="42" spans="4:4" s="43" customFormat="1" x14ac:dyDescent="0.2"/>
    <row r="43" spans="4:4" s="43" customFormat="1" x14ac:dyDescent="0.2"/>
    <row r="44" spans="4:4" s="43" customFormat="1" x14ac:dyDescent="0.2"/>
    <row r="45" spans="4:4" s="43" customFormat="1" x14ac:dyDescent="0.2"/>
    <row r="46" spans="4:4" s="43" customFormat="1" x14ac:dyDescent="0.2"/>
    <row r="47" spans="4:4" s="43" customFormat="1" x14ac:dyDescent="0.2"/>
    <row r="48" spans="4:4" s="43" customFormat="1" x14ac:dyDescent="0.2">
      <c r="D48" s="45"/>
    </row>
    <row r="49" s="43" customFormat="1" x14ac:dyDescent="0.2"/>
    <row r="50" s="43" customFormat="1" x14ac:dyDescent="0.2"/>
    <row r="51" s="43" customFormat="1" x14ac:dyDescent="0.2"/>
    <row r="52" s="43" customFormat="1" x14ac:dyDescent="0.2"/>
    <row r="53" s="43" customFormat="1" x14ac:dyDescent="0.2"/>
    <row r="54" s="43" customFormat="1" x14ac:dyDescent="0.2"/>
    <row r="55" s="43" customFormat="1" x14ac:dyDescent="0.2"/>
    <row r="56" s="43" customFormat="1" x14ac:dyDescent="0.2"/>
    <row r="57" s="43" customFormat="1" x14ac:dyDescent="0.2"/>
    <row r="58" s="43" customFormat="1" x14ac:dyDescent="0.2"/>
    <row r="59" s="43" customFormat="1" x14ac:dyDescent="0.2"/>
    <row r="60" s="43" customFormat="1" x14ac:dyDescent="0.2"/>
    <row r="61" s="43" customFormat="1" x14ac:dyDescent="0.2"/>
    <row r="62" s="43" customFormat="1" x14ac:dyDescent="0.2"/>
    <row r="63" s="43" customFormat="1" x14ac:dyDescent="0.2"/>
    <row r="64" s="43" customFormat="1" x14ac:dyDescent="0.2"/>
    <row r="65" s="43" customFormat="1" x14ac:dyDescent="0.2"/>
    <row r="66" s="43" customFormat="1" x14ac:dyDescent="0.2"/>
    <row r="67" s="43" customFormat="1" x14ac:dyDescent="0.2"/>
    <row r="68" s="43" customFormat="1" x14ac:dyDescent="0.2"/>
    <row r="69" s="43" customFormat="1" x14ac:dyDescent="0.2"/>
    <row r="70" s="43" customFormat="1" x14ac:dyDescent="0.2"/>
    <row r="71" s="43" customFormat="1" x14ac:dyDescent="0.2"/>
    <row r="72" s="43" customFormat="1" x14ac:dyDescent="0.2"/>
    <row r="73" s="43" customFormat="1" x14ac:dyDescent="0.2"/>
    <row r="74" s="43" customFormat="1" x14ac:dyDescent="0.2"/>
    <row r="75" s="43" customFormat="1" x14ac:dyDescent="0.2"/>
    <row r="76" s="43" customFormat="1" x14ac:dyDescent="0.2"/>
    <row r="77" s="43" customFormat="1" x14ac:dyDescent="0.2"/>
    <row r="78" s="43" customFormat="1" x14ac:dyDescent="0.2"/>
    <row r="79" s="43" customFormat="1" x14ac:dyDescent="0.2"/>
    <row r="80" s="43" customFormat="1" x14ac:dyDescent="0.2"/>
    <row r="81" s="43" customFormat="1" x14ac:dyDescent="0.2"/>
    <row r="82" s="43" customFormat="1" x14ac:dyDescent="0.2"/>
    <row r="83" s="43" customFormat="1" x14ac:dyDescent="0.2"/>
    <row r="84" s="43" customFormat="1" x14ac:dyDescent="0.2"/>
    <row r="85" s="43" customFormat="1" x14ac:dyDescent="0.2"/>
    <row r="86" s="43" customFormat="1" x14ac:dyDescent="0.2"/>
    <row r="87" s="43" customFormat="1" x14ac:dyDescent="0.2"/>
    <row r="88" s="43" customFormat="1" x14ac:dyDescent="0.2"/>
    <row r="89" s="43" customFormat="1" x14ac:dyDescent="0.2"/>
    <row r="90" s="43" customFormat="1" x14ac:dyDescent="0.2"/>
    <row r="91" s="43" customFormat="1" x14ac:dyDescent="0.2"/>
    <row r="92" s="43" customFormat="1" x14ac:dyDescent="0.2"/>
    <row r="93" s="43" customFormat="1" x14ac:dyDescent="0.2"/>
    <row r="94" s="43" customFormat="1" x14ac:dyDescent="0.2"/>
    <row r="95" s="43" customFormat="1" x14ac:dyDescent="0.2"/>
    <row r="96" s="43" customFormat="1" x14ac:dyDescent="0.2"/>
    <row r="97" s="43" customFormat="1" x14ac:dyDescent="0.2"/>
    <row r="98" s="43" customFormat="1" x14ac:dyDescent="0.2"/>
    <row r="99" s="43" customFormat="1" x14ac:dyDescent="0.2"/>
    <row r="100" s="43" customFormat="1" x14ac:dyDescent="0.2"/>
    <row r="101" s="43" customFormat="1" x14ac:dyDescent="0.2"/>
    <row r="102" s="43" customFormat="1" x14ac:dyDescent="0.2"/>
    <row r="103" s="43" customFormat="1" x14ac:dyDescent="0.2"/>
    <row r="104" s="43" customFormat="1" x14ac:dyDescent="0.2"/>
    <row r="105" s="43" customFormat="1" x14ac:dyDescent="0.2"/>
    <row r="106" s="43" customFormat="1" x14ac:dyDescent="0.2"/>
    <row r="107" s="43" customFormat="1" x14ac:dyDescent="0.2"/>
    <row r="108" s="43" customFormat="1" x14ac:dyDescent="0.2"/>
    <row r="109" s="43" customFormat="1" x14ac:dyDescent="0.2"/>
    <row r="110" s="43" customFormat="1" x14ac:dyDescent="0.2"/>
    <row r="111" s="43" customFormat="1" x14ac:dyDescent="0.2"/>
    <row r="112" s="43" customFormat="1" x14ac:dyDescent="0.2"/>
    <row r="113" s="43" customFormat="1" x14ac:dyDescent="0.2"/>
    <row r="114" s="43" customFormat="1" x14ac:dyDescent="0.2"/>
    <row r="115" s="43" customFormat="1" x14ac:dyDescent="0.2"/>
    <row r="116" s="43" customFormat="1" x14ac:dyDescent="0.2"/>
    <row r="117" s="43" customFormat="1" x14ac:dyDescent="0.2"/>
    <row r="118" s="43" customFormat="1" x14ac:dyDescent="0.2"/>
    <row r="119" s="43" customFormat="1" x14ac:dyDescent="0.2"/>
    <row r="120" s="43" customFormat="1" x14ac:dyDescent="0.2"/>
    <row r="121" s="43" customFormat="1" x14ac:dyDescent="0.2"/>
    <row r="122" s="43" customFormat="1" x14ac:dyDescent="0.2"/>
    <row r="123" s="43" customFormat="1" x14ac:dyDescent="0.2"/>
    <row r="124" s="43" customFormat="1" x14ac:dyDescent="0.2"/>
    <row r="125" s="43" customFormat="1" x14ac:dyDescent="0.2"/>
    <row r="126" s="43" customFormat="1" x14ac:dyDescent="0.2"/>
    <row r="127" s="43" customFormat="1" x14ac:dyDescent="0.2"/>
    <row r="128" s="43" customFormat="1" x14ac:dyDescent="0.2"/>
    <row r="129" s="43" customFormat="1" x14ac:dyDescent="0.2"/>
    <row r="130" s="43" customFormat="1" x14ac:dyDescent="0.2"/>
    <row r="131" s="43" customFormat="1" x14ac:dyDescent="0.2"/>
    <row r="132" s="43" customFormat="1" x14ac:dyDescent="0.2"/>
    <row r="133" s="43" customFormat="1" x14ac:dyDescent="0.2"/>
    <row r="134" s="43" customFormat="1" x14ac:dyDescent="0.2"/>
    <row r="135" s="43" customFormat="1" x14ac:dyDescent="0.2"/>
    <row r="136" s="43" customFormat="1" x14ac:dyDescent="0.2"/>
    <row r="137" s="43" customFormat="1" x14ac:dyDescent="0.2"/>
  </sheetData>
  <phoneticPr fontId="22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I34"/>
  <sheetViews>
    <sheetView workbookViewId="0">
      <selection activeCell="D11" sqref="D11"/>
    </sheetView>
  </sheetViews>
  <sheetFormatPr defaultColWidth="9" defaultRowHeight="12" x14ac:dyDescent="0.2"/>
  <cols>
    <col min="1" max="1" width="7.85546875" style="16" customWidth="1"/>
    <col min="2" max="2" width="8.28515625" style="16" customWidth="1"/>
    <col min="3" max="3" width="2.42578125" style="16" customWidth="1"/>
    <col min="4" max="4" width="7.7109375" style="16" customWidth="1"/>
    <col min="5" max="5" width="12.140625" style="16" bestFit="1" customWidth="1"/>
    <col min="6" max="6" width="8.7109375" style="16" customWidth="1"/>
    <col min="7" max="16384" width="9" style="16"/>
  </cols>
  <sheetData>
    <row r="2" spans="1:9" x14ac:dyDescent="0.2">
      <c r="A2" s="18" t="s">
        <v>229</v>
      </c>
      <c r="D2" s="18" t="s">
        <v>236</v>
      </c>
    </row>
    <row r="3" spans="1:9" ht="20.25" x14ac:dyDescent="0.35">
      <c r="A3" s="46" t="s">
        <v>258</v>
      </c>
      <c r="B3" s="27" t="s">
        <v>257</v>
      </c>
      <c r="D3" s="46" t="s">
        <v>258</v>
      </c>
      <c r="E3" s="27" t="s">
        <v>272</v>
      </c>
    </row>
    <row r="4" spans="1:9" x14ac:dyDescent="0.2">
      <c r="A4" s="16">
        <v>0.01</v>
      </c>
      <c r="B4" s="16">
        <v>1250</v>
      </c>
      <c r="D4" s="16">
        <v>0.01</v>
      </c>
      <c r="E4" s="48">
        <f>4.75E-28</f>
        <v>4.75E-28</v>
      </c>
    </row>
    <row r="5" spans="1:9" x14ac:dyDescent="0.2">
      <c r="A5" s="16">
        <v>0.12</v>
      </c>
      <c r="B5" s="16">
        <v>150</v>
      </c>
      <c r="D5" s="16">
        <v>0.05</v>
      </c>
      <c r="E5" s="48">
        <f>0.000000000000039</f>
        <v>3.8999999999999998E-14</v>
      </c>
    </row>
    <row r="6" spans="1:9" x14ac:dyDescent="0.2">
      <c r="A6" s="16">
        <v>0.13</v>
      </c>
      <c r="B6" s="16">
        <v>50</v>
      </c>
      <c r="D6" s="16">
        <v>0.11360000000000001</v>
      </c>
      <c r="E6" s="48">
        <f>0.00000004494</f>
        <v>4.4939999999999997E-8</v>
      </c>
      <c r="I6"/>
    </row>
    <row r="7" spans="1:9" x14ac:dyDescent="0.2">
      <c r="A7" s="16">
        <v>0.17</v>
      </c>
      <c r="B7" s="16">
        <v>10</v>
      </c>
      <c r="D7" s="16">
        <v>0.14630000000000001</v>
      </c>
      <c r="E7" s="48">
        <f xml:space="preserve"> 0.0001607</f>
        <v>1.607E-4</v>
      </c>
    </row>
    <row r="8" spans="1:9" x14ac:dyDescent="0.2">
      <c r="A8" s="16">
        <v>0.19</v>
      </c>
      <c r="B8" s="16">
        <v>4</v>
      </c>
      <c r="D8" s="16">
        <v>0.19989999999999999</v>
      </c>
      <c r="E8" s="48">
        <f xml:space="preserve"> 0.02794</f>
        <v>2.794E-2</v>
      </c>
    </row>
    <row r="9" spans="1:9" x14ac:dyDescent="0.2">
      <c r="A9" s="16">
        <v>0.2</v>
      </c>
      <c r="B9" s="16">
        <v>3</v>
      </c>
      <c r="D9" s="16">
        <v>0.23680000000000001</v>
      </c>
      <c r="E9" s="48">
        <f xml:space="preserve"> 0.2362</f>
        <v>0.23619999999999999</v>
      </c>
    </row>
    <row r="10" spans="1:9" x14ac:dyDescent="0.2">
      <c r="A10" s="16">
        <v>0.23</v>
      </c>
      <c r="B10" s="16">
        <v>2</v>
      </c>
      <c r="D10" s="16">
        <v>0.31180000000000002</v>
      </c>
      <c r="E10" s="48">
        <f>5.52</f>
        <v>5.52</v>
      </c>
    </row>
    <row r="11" spans="1:9" x14ac:dyDescent="0.2">
      <c r="A11" s="16">
        <v>0.28000000000000003</v>
      </c>
      <c r="B11" s="16">
        <v>1</v>
      </c>
      <c r="D11" s="16">
        <v>0.34920000000000001</v>
      </c>
      <c r="E11" s="16">
        <f xml:space="preserve"> 154.6</f>
        <v>154.6</v>
      </c>
    </row>
    <row r="12" spans="1:9" x14ac:dyDescent="0.2">
      <c r="A12" s="16">
        <v>0.28999999999999998</v>
      </c>
      <c r="B12" s="16">
        <v>0.5</v>
      </c>
      <c r="D12" s="16">
        <v>0.41</v>
      </c>
      <c r="E12" s="75">
        <v>1061</v>
      </c>
    </row>
    <row r="13" spans="1:9" x14ac:dyDescent="0.2">
      <c r="A13" s="16">
        <v>0.39</v>
      </c>
      <c r="B13" s="16">
        <v>0</v>
      </c>
      <c r="D13" s="16">
        <v>0.42</v>
      </c>
      <c r="E13" s="16">
        <v>1500</v>
      </c>
    </row>
    <row r="18" spans="1:1" x14ac:dyDescent="0.2">
      <c r="A18" s="18"/>
    </row>
    <row r="34" spans="1:1" x14ac:dyDescent="0.2">
      <c r="A34" s="18"/>
    </row>
  </sheetData>
  <phoneticPr fontId="22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L21"/>
  <sheetViews>
    <sheetView showFormulas="1" workbookViewId="0">
      <selection activeCell="B8" sqref="B8"/>
    </sheetView>
  </sheetViews>
  <sheetFormatPr defaultRowHeight="12" x14ac:dyDescent="0.2"/>
  <cols>
    <col min="1" max="1" width="5.28515625" bestFit="1" customWidth="1"/>
    <col min="2" max="2" width="8.28515625" customWidth="1"/>
    <col min="3" max="3" width="1" customWidth="1"/>
    <col min="4" max="4" width="5.42578125" bestFit="1" customWidth="1"/>
    <col min="5" max="5" width="12" customWidth="1"/>
    <col min="6" max="6" width="0.85546875" customWidth="1"/>
    <col min="7" max="7" width="5.140625" customWidth="1"/>
    <col min="8" max="8" width="6.42578125" bestFit="1" customWidth="1"/>
    <col min="9" max="9" width="7" bestFit="1" customWidth="1"/>
    <col min="10" max="10" width="8.7109375" customWidth="1"/>
    <col min="11" max="12" width="2.28515625" customWidth="1"/>
    <col min="13" max="15" width="1.42578125" customWidth="1"/>
  </cols>
  <sheetData>
    <row r="1" spans="1:12" x14ac:dyDescent="0.2">
      <c r="A1" s="2" t="s">
        <v>11</v>
      </c>
      <c r="C1" s="2"/>
      <c r="G1" s="2" t="s">
        <v>149</v>
      </c>
    </row>
    <row r="2" spans="1:12" x14ac:dyDescent="0.2">
      <c r="A2" s="5" t="s">
        <v>4</v>
      </c>
      <c r="B2" s="1">
        <f>DATE(2017,9,22)</f>
        <v>43000</v>
      </c>
      <c r="D2" s="5" t="s">
        <v>150</v>
      </c>
      <c r="E2" s="1">
        <f>B2+INT(_step)</f>
        <v>43035</v>
      </c>
      <c r="G2" s="32" t="s">
        <v>228</v>
      </c>
      <c r="H2">
        <f>th</f>
        <v>11.4370791</v>
      </c>
      <c r="I2">
        <f ca="1">assim</f>
        <v>47.244910571722755</v>
      </c>
      <c r="J2">
        <f>Photosynthesis!J20</f>
        <v>331.33383660150815</v>
      </c>
      <c r="K2">
        <f ca="1">tsr</f>
        <v>6.7659294691575838</v>
      </c>
      <c r="L2">
        <f ca="1">tss</f>
        <v>17.234070530842416</v>
      </c>
    </row>
    <row r="3" spans="1:12" x14ac:dyDescent="0.2">
      <c r="D3" s="5" t="s">
        <v>88</v>
      </c>
      <c r="E3" s="1">
        <f>date-DATE(YEAR(date),9,22)</f>
        <v>35</v>
      </c>
      <c r="G3" s="32" t="s">
        <v>228</v>
      </c>
      <c r="H3">
        <f>th</f>
        <v>11.4370791</v>
      </c>
      <c r="I3">
        <f ca="1">LETs</f>
        <v>94.126083216545183</v>
      </c>
      <c r="J3">
        <f>ET!H20</f>
        <v>259.48071167619662</v>
      </c>
      <c r="K3">
        <v>0</v>
      </c>
      <c r="L3">
        <v>12</v>
      </c>
    </row>
    <row r="4" spans="1:12" x14ac:dyDescent="0.2">
      <c r="A4" s="2" t="s">
        <v>0</v>
      </c>
      <c r="D4" s="5" t="s">
        <v>91</v>
      </c>
      <c r="E4">
        <v>11.4370791</v>
      </c>
      <c r="G4" s="32" t="s">
        <v>228</v>
      </c>
      <c r="H4">
        <f>th</f>
        <v>11.4370791</v>
      </c>
      <c r="I4">
        <f ca="1">LETc</f>
        <v>54.646613353189636</v>
      </c>
      <c r="J4">
        <f>ET!H26</f>
        <v>207.5276193799379</v>
      </c>
      <c r="K4">
        <v>0</v>
      </c>
      <c r="L4">
        <v>12</v>
      </c>
    </row>
    <row r="5" spans="1:12" x14ac:dyDescent="0.2">
      <c r="A5" s="5" t="s">
        <v>84</v>
      </c>
      <c r="B5">
        <v>35</v>
      </c>
      <c r="G5" s="32" t="s">
        <v>255</v>
      </c>
      <c r="H5">
        <f>Water!H8:J8</f>
        <v>12609.731357114721</v>
      </c>
      <c r="I5">
        <f>Water!H22:J22</f>
        <v>165615.36417167957</v>
      </c>
      <c r="J5">
        <v>100</v>
      </c>
    </row>
    <row r="6" spans="1:12" x14ac:dyDescent="0.2">
      <c r="A6" s="5" t="s">
        <v>85</v>
      </c>
      <c r="B6">
        <v>1</v>
      </c>
      <c r="G6" s="32"/>
    </row>
    <row r="7" spans="1:12" x14ac:dyDescent="0.2">
      <c r="A7" s="5" t="s">
        <v>86</v>
      </c>
      <c r="B7">
        <v>35</v>
      </c>
    </row>
    <row r="8" spans="1:12" x14ac:dyDescent="0.2">
      <c r="A8" s="5" t="s">
        <v>87</v>
      </c>
      <c r="B8" t="b">
        <f>_step&lt;B5</f>
        <v>0</v>
      </c>
    </row>
    <row r="20" spans="7:9" x14ac:dyDescent="0.2">
      <c r="G20" s="2" t="s">
        <v>253</v>
      </c>
    </row>
    <row r="21" spans="7:9" x14ac:dyDescent="0.2">
      <c r="G21" s="32" t="s">
        <v>254</v>
      </c>
      <c r="H21">
        <f>Water!H8:J8</f>
        <v>12609.731357114721</v>
      </c>
      <c r="I21">
        <f>Water!H7:J7</f>
        <v>109.61800000000001</v>
      </c>
    </row>
  </sheetData>
  <phoneticPr fontId="2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R102"/>
  <sheetViews>
    <sheetView tabSelected="1" zoomScaleNormal="100" workbookViewId="0">
      <selection activeCell="L6" sqref="L6"/>
    </sheetView>
  </sheetViews>
  <sheetFormatPr defaultRowHeight="12" x14ac:dyDescent="0.2"/>
  <cols>
    <col min="1" max="1" width="10.42578125" bestFit="1" customWidth="1"/>
    <col min="2" max="5" width="8.7109375" customWidth="1"/>
    <col min="6" max="7" width="10.28515625" customWidth="1"/>
    <col min="8" max="8" width="9" customWidth="1"/>
    <col min="9" max="9" width="10" customWidth="1"/>
    <col min="10" max="10" width="8.42578125" customWidth="1"/>
    <col min="11" max="11" width="6.5703125" customWidth="1"/>
    <col min="12" max="12" width="10.140625" customWidth="1"/>
    <col min="13" max="13" width="7.7109375" customWidth="1"/>
  </cols>
  <sheetData>
    <row r="1" spans="1:18" x14ac:dyDescent="0.2">
      <c r="A1" s="2" t="s">
        <v>89</v>
      </c>
      <c r="B1" s="2"/>
      <c r="C1" s="2"/>
    </row>
    <row r="2" spans="1:18" ht="14.25" x14ac:dyDescent="0.25">
      <c r="A2" s="13" t="s">
        <v>88</v>
      </c>
      <c r="B2" s="20" t="s">
        <v>256</v>
      </c>
      <c r="C2" s="47" t="s">
        <v>260</v>
      </c>
      <c r="D2" s="47" t="s">
        <v>261</v>
      </c>
      <c r="E2" s="47" t="s">
        <v>262</v>
      </c>
      <c r="F2" s="47" t="s">
        <v>259</v>
      </c>
      <c r="G2" s="47"/>
      <c r="H2" s="14"/>
      <c r="I2" s="14"/>
      <c r="J2" s="14"/>
      <c r="K2" s="14"/>
    </row>
    <row r="3" spans="1:18" x14ac:dyDescent="0.2">
      <c r="A3">
        <f>doy</f>
        <v>35</v>
      </c>
      <c r="B3">
        <f ca="1">Pg</f>
        <v>0</v>
      </c>
      <c r="C3">
        <f>Water!H9</f>
        <v>0.39</v>
      </c>
      <c r="D3">
        <f>Water!I9</f>
        <v>0.01</v>
      </c>
      <c r="E3">
        <f>Water!J9</f>
        <v>0.19781231327128992</v>
      </c>
      <c r="F3">
        <f>SUM(Water!H8:J8)</f>
        <v>342.83899634889809</v>
      </c>
    </row>
    <row r="4" spans="1:18" x14ac:dyDescent="0.2">
      <c r="C4" t="b">
        <v>0</v>
      </c>
      <c r="D4" t="b">
        <v>0</v>
      </c>
      <c r="E4" t="b">
        <v>0</v>
      </c>
      <c r="F4" t="b">
        <v>0</v>
      </c>
    </row>
    <row r="7" spans="1:18" x14ac:dyDescent="0.2">
      <c r="A7" s="2" t="s">
        <v>92</v>
      </c>
      <c r="B7" s="2" t="s">
        <v>290</v>
      </c>
      <c r="C7" s="2"/>
      <c r="F7" s="58" t="s">
        <v>287</v>
      </c>
      <c r="G7" s="58"/>
      <c r="H7" s="60" t="s">
        <v>289</v>
      </c>
      <c r="I7" s="58" t="s">
        <v>288</v>
      </c>
      <c r="J7" s="58" t="s">
        <v>286</v>
      </c>
      <c r="K7" s="58" t="s">
        <v>291</v>
      </c>
      <c r="L7" s="58" t="s">
        <v>292</v>
      </c>
      <c r="M7" s="58" t="s">
        <v>293</v>
      </c>
      <c r="P7" s="13"/>
      <c r="Q7" s="13"/>
      <c r="R7" s="13"/>
    </row>
    <row r="8" spans="1:18" x14ac:dyDescent="0.2">
      <c r="A8" s="3">
        <v>0</v>
      </c>
      <c r="B8" s="3">
        <v>0</v>
      </c>
      <c r="C8" s="3">
        <v>0.23830000000000001</v>
      </c>
      <c r="D8" s="3">
        <v>0.23830000000000001</v>
      </c>
      <c r="E8" s="3">
        <v>0.23830000000000001</v>
      </c>
      <c r="F8" s="3">
        <v>238.3</v>
      </c>
      <c r="G8" s="3">
        <f>F8</f>
        <v>238.3</v>
      </c>
      <c r="H8" s="57">
        <v>23.833175487465301</v>
      </c>
      <c r="I8" s="3">
        <f>H8*10</f>
        <v>238.331754874653</v>
      </c>
      <c r="J8" s="59">
        <f>(ABS(I8-G8)/G8)</f>
        <v>1.3325587349135304E-4</v>
      </c>
      <c r="K8" s="15">
        <f>I8-G8</f>
        <v>3.1754874652989429E-2</v>
      </c>
      <c r="L8" s="70">
        <f>K8^2</f>
        <v>1.0083720642270705E-3</v>
      </c>
      <c r="M8">
        <f>SQRT(SUM(L8:L42)/35)</f>
        <v>19.914325090423418</v>
      </c>
      <c r="O8" s="3"/>
      <c r="P8" s="3"/>
      <c r="Q8" s="3"/>
      <c r="R8" s="3"/>
    </row>
    <row r="9" spans="1:18" x14ac:dyDescent="0.2">
      <c r="A9" s="3">
        <v>1</v>
      </c>
      <c r="B9" s="3">
        <v>1</v>
      </c>
      <c r="C9" s="3">
        <v>0.23403204351248397</v>
      </c>
      <c r="D9" s="3">
        <v>0.23762863050555053</v>
      </c>
      <c r="E9" s="3">
        <v>0.23829198361158857</v>
      </c>
      <c r="F9" s="3">
        <v>237.901642380829</v>
      </c>
      <c r="G9" s="3">
        <f t="shared" ref="G9:G42" si="0">F9</f>
        <v>237.901642380829</v>
      </c>
      <c r="H9" s="57">
        <v>23.839117647058668</v>
      </c>
      <c r="I9" s="3">
        <f>H9*10</f>
        <v>238.39117647058669</v>
      </c>
      <c r="J9" s="59">
        <f t="shared" ref="J9:J42" si="1">(ABS(I9-G9)/G9)</f>
        <v>2.0577163102306157E-3</v>
      </c>
      <c r="K9" s="15">
        <f t="shared" ref="K9:K42" si="2">I9-G9</f>
        <v>0.48953408975768298</v>
      </c>
      <c r="L9" s="70">
        <f t="shared" ref="L9:L42" si="3">K9^2</f>
        <v>0.23964362503488321</v>
      </c>
      <c r="O9" s="3"/>
      <c r="P9" s="3"/>
      <c r="Q9" s="3"/>
      <c r="R9" s="3"/>
    </row>
    <row r="10" spans="1:18" x14ac:dyDescent="0.2">
      <c r="A10" s="3">
        <v>2</v>
      </c>
      <c r="B10" s="3">
        <v>0</v>
      </c>
      <c r="C10" s="3">
        <v>0.26117937569439165</v>
      </c>
      <c r="D10" s="3">
        <v>0.2366852678970133</v>
      </c>
      <c r="E10" s="3">
        <v>0.23826270454988407</v>
      </c>
      <c r="F10" s="3">
        <v>237.99541711245371</v>
      </c>
      <c r="G10" s="3">
        <f t="shared" si="0"/>
        <v>237.99541711245371</v>
      </c>
      <c r="H10" s="57">
        <v>23.929065573770334</v>
      </c>
      <c r="I10" s="3">
        <f t="shared" ref="I10:I35" si="4">H10*10</f>
        <v>239.29065573770333</v>
      </c>
      <c r="J10" s="59">
        <f t="shared" si="1"/>
        <v>5.4422838933811026E-3</v>
      </c>
      <c r="K10" s="15">
        <f t="shared" si="2"/>
        <v>1.295238625249624</v>
      </c>
      <c r="L10" s="70">
        <f t="shared" si="3"/>
        <v>1.6776430963385358</v>
      </c>
      <c r="O10" s="3"/>
      <c r="P10" s="3"/>
      <c r="Q10" s="3"/>
      <c r="R10" s="3"/>
    </row>
    <row r="11" spans="1:18" x14ac:dyDescent="0.2">
      <c r="A11" s="3">
        <v>3</v>
      </c>
      <c r="B11" s="3">
        <v>0</v>
      </c>
      <c r="C11" s="3">
        <v>0.24170764666603825</v>
      </c>
      <c r="D11" s="3">
        <v>0.23593178056661521</v>
      </c>
      <c r="E11" s="3">
        <v>0.23822101354352732</v>
      </c>
      <c r="F11" s="3">
        <v>237.23769903659797</v>
      </c>
      <c r="G11" s="3">
        <f t="shared" si="0"/>
        <v>237.23769903659797</v>
      </c>
      <c r="H11" s="57">
        <v>23.482235772357964</v>
      </c>
      <c r="I11" s="3">
        <f t="shared" si="4"/>
        <v>234.82235772357964</v>
      </c>
      <c r="J11" s="59">
        <f t="shared" si="1"/>
        <v>1.0181102425233535E-2</v>
      </c>
      <c r="K11" s="15">
        <f t="shared" si="2"/>
        <v>-2.415341313018331</v>
      </c>
      <c r="L11" s="70">
        <f t="shared" si="3"/>
        <v>5.8338736583731148</v>
      </c>
      <c r="O11" s="3"/>
      <c r="P11" s="3"/>
      <c r="Q11" s="3"/>
      <c r="R11" s="3"/>
    </row>
    <row r="12" spans="1:18" x14ac:dyDescent="0.2">
      <c r="A12" s="3">
        <v>4</v>
      </c>
      <c r="B12" s="3">
        <v>0</v>
      </c>
      <c r="C12" s="3">
        <v>0.23646748388171643</v>
      </c>
      <c r="D12" s="3">
        <v>0.23453209199489169</v>
      </c>
      <c r="E12" s="3">
        <v>0.23815552688479358</v>
      </c>
      <c r="F12" s="3">
        <v>236.45498597537718</v>
      </c>
      <c r="G12" s="3">
        <f t="shared" si="0"/>
        <v>236.45498597537718</v>
      </c>
      <c r="H12" s="57">
        <v>23.050303030303041</v>
      </c>
      <c r="I12" s="3">
        <f t="shared" si="4"/>
        <v>230.50303030303041</v>
      </c>
      <c r="J12" s="59">
        <f t="shared" si="1"/>
        <v>2.5171622614743958E-2</v>
      </c>
      <c r="K12" s="15">
        <f t="shared" si="2"/>
        <v>-5.9519556723467701</v>
      </c>
      <c r="L12" s="70">
        <f t="shared" si="3"/>
        <v>35.425776325580891</v>
      </c>
      <c r="O12" s="3"/>
      <c r="P12" s="3"/>
      <c r="Q12" s="3"/>
      <c r="R12" s="3"/>
    </row>
    <row r="13" spans="1:18" x14ac:dyDescent="0.2">
      <c r="A13" s="3">
        <v>5</v>
      </c>
      <c r="B13" s="3">
        <v>19</v>
      </c>
      <c r="C13" s="3">
        <v>0.23484406991797507</v>
      </c>
      <c r="D13" s="3">
        <v>0.23314775257838416</v>
      </c>
      <c r="E13" s="3">
        <v>0.23806266298928982</v>
      </c>
      <c r="F13" s="3">
        <v>235.73743233884693</v>
      </c>
      <c r="G13" s="3">
        <f t="shared" si="0"/>
        <v>235.73743233884693</v>
      </c>
      <c r="H13" s="57">
        <v>22.654267015706743</v>
      </c>
      <c r="I13" s="3">
        <f t="shared" si="4"/>
        <v>226.54267015706745</v>
      </c>
      <c r="J13" s="59">
        <f t="shared" si="1"/>
        <v>3.9004251851538836E-2</v>
      </c>
      <c r="K13" s="15">
        <f t="shared" si="2"/>
        <v>-9.1947621817794811</v>
      </c>
      <c r="L13" s="70">
        <f t="shared" si="3"/>
        <v>84.543651579482159</v>
      </c>
      <c r="O13" s="3"/>
      <c r="P13" s="3"/>
      <c r="Q13" s="3"/>
      <c r="R13" s="3"/>
    </row>
    <row r="14" spans="1:18" x14ac:dyDescent="0.2">
      <c r="A14" s="40">
        <v>6</v>
      </c>
      <c r="B14" s="40">
        <v>8</v>
      </c>
      <c r="C14" s="40">
        <v>0.31898598666159678</v>
      </c>
      <c r="D14" s="40">
        <v>0.26356650771759171</v>
      </c>
      <c r="E14" s="40">
        <v>0.23872156669161421</v>
      </c>
      <c r="F14" s="3">
        <v>251.75552796296353</v>
      </c>
      <c r="G14" s="3">
        <f t="shared" si="0"/>
        <v>251.75552796296353</v>
      </c>
      <c r="H14" s="57">
        <v>27.313671444322264</v>
      </c>
      <c r="I14" s="3">
        <f t="shared" si="4"/>
        <v>273.13671444322262</v>
      </c>
      <c r="J14" s="59">
        <f t="shared" si="1"/>
        <v>8.4928369411632287E-2</v>
      </c>
      <c r="K14" s="15">
        <f t="shared" si="2"/>
        <v>21.381186480259089</v>
      </c>
      <c r="L14" s="70">
        <f t="shared" si="3"/>
        <v>457.15513530361403</v>
      </c>
      <c r="O14" s="40"/>
      <c r="P14" s="40"/>
      <c r="Q14" s="40"/>
      <c r="R14" s="40"/>
    </row>
    <row r="15" spans="1:18" x14ac:dyDescent="0.2">
      <c r="A15" s="40">
        <v>7</v>
      </c>
      <c r="B15" s="40">
        <v>0</v>
      </c>
      <c r="C15" s="40">
        <v>0.28438963987343863</v>
      </c>
      <c r="D15" s="40">
        <v>0.27215571704369573</v>
      </c>
      <c r="E15" s="40">
        <v>0.24189741986479432</v>
      </c>
      <c r="F15" s="3">
        <v>256.66608096726185</v>
      </c>
      <c r="G15" s="3">
        <f t="shared" si="0"/>
        <v>256.66608096726185</v>
      </c>
      <c r="H15" s="57">
        <v>28.196189710610948</v>
      </c>
      <c r="I15" s="3">
        <f t="shared" si="4"/>
        <v>281.96189710610946</v>
      </c>
      <c r="J15" s="59">
        <f t="shared" si="1"/>
        <v>9.8555352711658592E-2</v>
      </c>
      <c r="K15" s="15">
        <f t="shared" si="2"/>
        <v>25.295816138847613</v>
      </c>
      <c r="L15" s="70">
        <f t="shared" si="3"/>
        <v>639.87831413038339</v>
      </c>
      <c r="O15" s="40"/>
      <c r="P15" s="40"/>
      <c r="Q15" s="40"/>
      <c r="R15" s="40"/>
    </row>
    <row r="16" spans="1:18" x14ac:dyDescent="0.2">
      <c r="A16" s="3">
        <v>8</v>
      </c>
      <c r="B16" s="3">
        <v>0</v>
      </c>
      <c r="C16" s="3">
        <v>0.25535613191185053</v>
      </c>
      <c r="D16" s="3">
        <v>0.26571178176910237</v>
      </c>
      <c r="E16" s="3">
        <v>0.24504716136579507</v>
      </c>
      <c r="F16" s="3">
        <v>254.75906616223756</v>
      </c>
      <c r="G16" s="3">
        <f t="shared" si="0"/>
        <v>254.75906616223756</v>
      </c>
      <c r="H16" s="57">
        <v>26.799947575360278</v>
      </c>
      <c r="I16" s="3">
        <f t="shared" si="4"/>
        <v>267.99947575360278</v>
      </c>
      <c r="J16" s="59">
        <f t="shared" si="1"/>
        <v>5.1972280283573362E-2</v>
      </c>
      <c r="K16" s="15">
        <f t="shared" si="2"/>
        <v>13.240409591365221</v>
      </c>
      <c r="L16" s="70">
        <f t="shared" si="3"/>
        <v>175.30844614711614</v>
      </c>
      <c r="O16" s="3"/>
      <c r="P16" s="3"/>
      <c r="Q16" s="3"/>
      <c r="R16" s="3"/>
    </row>
    <row r="17" spans="1:18" x14ac:dyDescent="0.2">
      <c r="A17" s="3">
        <v>9</v>
      </c>
      <c r="B17" s="3">
        <v>0</v>
      </c>
      <c r="C17" s="3">
        <v>0.25023920038381497</v>
      </c>
      <c r="D17" s="3">
        <v>0.26000090401277481</v>
      </c>
      <c r="E17" s="3">
        <v>0.24694220641394665</v>
      </c>
      <c r="F17" s="3">
        <v>253.015147188805</v>
      </c>
      <c r="G17" s="3">
        <f t="shared" si="0"/>
        <v>253.015147188805</v>
      </c>
      <c r="H17" s="57">
        <v>25.104677419354772</v>
      </c>
      <c r="I17" s="3">
        <f t="shared" si="4"/>
        <v>251.04677419354772</v>
      </c>
      <c r="J17" s="59">
        <f t="shared" si="1"/>
        <v>7.779664645091164E-3</v>
      </c>
      <c r="K17" s="15">
        <f t="shared" si="2"/>
        <v>-1.9683729952572833</v>
      </c>
      <c r="L17" s="70">
        <f t="shared" si="3"/>
        <v>3.8744922484581288</v>
      </c>
      <c r="O17" s="3"/>
      <c r="P17" s="3"/>
      <c r="Q17" s="3"/>
      <c r="R17" s="3"/>
    </row>
    <row r="18" spans="1:18" x14ac:dyDescent="0.2">
      <c r="A18" s="3">
        <v>10</v>
      </c>
      <c r="B18" s="3">
        <v>89</v>
      </c>
      <c r="C18" s="3">
        <v>0.24634432234695039</v>
      </c>
      <c r="D18" s="3">
        <v>0.25529175956351885</v>
      </c>
      <c r="E18" s="3">
        <v>0.24799232724556999</v>
      </c>
      <c r="F18" s="3">
        <v>251.31710601385407</v>
      </c>
      <c r="G18" s="3">
        <f t="shared" si="0"/>
        <v>251.31710601385407</v>
      </c>
      <c r="H18" s="57">
        <v>27.897916181606572</v>
      </c>
      <c r="I18" s="3">
        <f t="shared" si="4"/>
        <v>278.9791618160657</v>
      </c>
      <c r="J18" s="59">
        <f t="shared" si="1"/>
        <v>0.11006833653689586</v>
      </c>
      <c r="K18" s="15">
        <f t="shared" si="2"/>
        <v>27.662055802211626</v>
      </c>
      <c r="L18" s="70">
        <f t="shared" si="3"/>
        <v>765.18933120466988</v>
      </c>
      <c r="O18" s="3"/>
      <c r="P18" s="3"/>
      <c r="Q18" s="3"/>
      <c r="R18" s="3"/>
    </row>
    <row r="19" spans="1:18" x14ac:dyDescent="0.2">
      <c r="A19" s="3">
        <v>11</v>
      </c>
      <c r="B19" s="3">
        <v>5</v>
      </c>
      <c r="C19" s="3">
        <v>0.32722317683116026</v>
      </c>
      <c r="D19" s="3">
        <v>0.33468623828328309</v>
      </c>
      <c r="E19" s="3">
        <v>0.29284980484218825</v>
      </c>
      <c r="F19" s="3">
        <v>312.78203166487128</v>
      </c>
      <c r="G19" s="3">
        <f t="shared" si="0"/>
        <v>312.78203166487128</v>
      </c>
      <c r="H19" s="57">
        <v>32.029561830574458</v>
      </c>
      <c r="I19" s="3">
        <f t="shared" si="4"/>
        <v>320.2956183057446</v>
      </c>
      <c r="J19" s="59">
        <f t="shared" si="1"/>
        <v>2.4021797546617728E-2</v>
      </c>
      <c r="K19" s="15">
        <f t="shared" si="2"/>
        <v>7.5135866408733136</v>
      </c>
      <c r="L19" s="70">
        <f t="shared" si="3"/>
        <v>56.453984209909926</v>
      </c>
    </row>
    <row r="20" spans="1:18" x14ac:dyDescent="0.2">
      <c r="A20" s="40">
        <v>12</v>
      </c>
      <c r="B20" s="40">
        <v>0</v>
      </c>
      <c r="C20" s="40">
        <v>0.30168549324023275</v>
      </c>
      <c r="D20" s="40">
        <v>0.31007082770363631</v>
      </c>
      <c r="E20" s="40">
        <v>0.29889928681531563</v>
      </c>
      <c r="F20" s="3">
        <v>304.09391975244148</v>
      </c>
      <c r="G20" s="3">
        <f t="shared" si="0"/>
        <v>304.09391975244148</v>
      </c>
      <c r="H20" s="57">
        <v>30.046079335793408</v>
      </c>
      <c r="I20" s="3">
        <f t="shared" si="4"/>
        <v>300.46079335793411</v>
      </c>
      <c r="J20" s="59">
        <f t="shared" si="1"/>
        <v>1.1947382563469364E-2</v>
      </c>
      <c r="K20" s="15">
        <f t="shared" si="2"/>
        <v>-3.6331263945073715</v>
      </c>
      <c r="L20" s="70">
        <f t="shared" si="3"/>
        <v>13.199607398466133</v>
      </c>
    </row>
    <row r="21" spans="1:18" x14ac:dyDescent="0.2">
      <c r="A21" s="3">
        <v>13</v>
      </c>
      <c r="B21" s="3">
        <v>13</v>
      </c>
      <c r="C21" s="3">
        <v>0.28622835526344786</v>
      </c>
      <c r="D21" s="3">
        <v>0.29890461389219264</v>
      </c>
      <c r="E21" s="3">
        <v>0.29941664262096446</v>
      </c>
      <c r="F21" s="3">
        <v>298.91734365857911</v>
      </c>
      <c r="G21" s="3">
        <f t="shared" si="0"/>
        <v>298.91734365857911</v>
      </c>
      <c r="H21" s="57">
        <v>28.78559615384648</v>
      </c>
      <c r="I21" s="3">
        <f t="shared" si="4"/>
        <v>287.85596153846478</v>
      </c>
      <c r="J21" s="59">
        <f t="shared" si="1"/>
        <v>3.7004818739285163E-2</v>
      </c>
      <c r="K21" s="15">
        <f t="shared" si="2"/>
        <v>-11.061382120114331</v>
      </c>
      <c r="L21" s="70">
        <f t="shared" si="3"/>
        <v>122.35417440718501</v>
      </c>
    </row>
    <row r="22" spans="1:18" x14ac:dyDescent="0.2">
      <c r="A22" s="3">
        <v>14</v>
      </c>
      <c r="B22" s="3">
        <v>87</v>
      </c>
      <c r="C22" s="3">
        <v>0.32993825029497692</v>
      </c>
      <c r="D22" s="3">
        <v>0.31130250287053712</v>
      </c>
      <c r="E22" s="3">
        <v>0.29989130273471964</v>
      </c>
      <c r="F22" s="3">
        <v>305.74139374840081</v>
      </c>
      <c r="G22" s="3">
        <f t="shared" si="0"/>
        <v>305.74139374840081</v>
      </c>
      <c r="H22" s="57">
        <v>31.642643442622873</v>
      </c>
      <c r="I22" s="3">
        <f t="shared" si="4"/>
        <v>316.42643442622875</v>
      </c>
      <c r="J22" s="59">
        <f t="shared" si="1"/>
        <v>3.4947968761537156E-2</v>
      </c>
      <c r="K22" s="15">
        <f t="shared" si="2"/>
        <v>10.685040677827942</v>
      </c>
      <c r="L22" s="70">
        <f t="shared" si="3"/>
        <v>114.17009428683781</v>
      </c>
    </row>
    <row r="23" spans="1:18" x14ac:dyDescent="0.2">
      <c r="A23" s="3">
        <v>15</v>
      </c>
      <c r="B23" s="3">
        <v>7</v>
      </c>
      <c r="C23" s="3">
        <v>0.32593741094575851</v>
      </c>
      <c r="D23" s="3">
        <v>0.33499798047649754</v>
      </c>
      <c r="E23" s="3">
        <v>0.32429488241727034</v>
      </c>
      <c r="F23" s="3">
        <v>329.25115809508463</v>
      </c>
      <c r="G23" s="3">
        <f t="shared" si="0"/>
        <v>329.25115809508463</v>
      </c>
      <c r="H23" s="57">
        <v>32.228456104944506</v>
      </c>
      <c r="I23" s="3">
        <f t="shared" si="4"/>
        <v>322.28456104944507</v>
      </c>
      <c r="J23" s="59">
        <f t="shared" si="1"/>
        <v>2.1158914325299569E-2</v>
      </c>
      <c r="K23" s="15">
        <f t="shared" si="2"/>
        <v>-6.9665970456395598</v>
      </c>
      <c r="L23" s="70">
        <f t="shared" si="3"/>
        <v>48.533474396313842</v>
      </c>
    </row>
    <row r="24" spans="1:18" x14ac:dyDescent="0.2">
      <c r="A24" s="3">
        <v>16</v>
      </c>
      <c r="B24" s="3">
        <v>0</v>
      </c>
      <c r="C24" s="3">
        <v>0.31397611601011699</v>
      </c>
      <c r="D24" s="3">
        <v>0.2902844830575993</v>
      </c>
      <c r="E24" s="3">
        <v>0.31681896872355775</v>
      </c>
      <c r="F24" s="3">
        <v>304.55624826294803</v>
      </c>
      <c r="G24" s="3">
        <f t="shared" si="0"/>
        <v>304.55624826294803</v>
      </c>
      <c r="H24" s="57">
        <v>30.433051330798698</v>
      </c>
      <c r="I24" s="3">
        <f t="shared" si="4"/>
        <v>304.33051330798696</v>
      </c>
      <c r="J24" s="59">
        <f t="shared" si="1"/>
        <v>7.4119298569167488E-4</v>
      </c>
      <c r="K24" s="15">
        <f t="shared" si="2"/>
        <v>-0.22573495496106943</v>
      </c>
      <c r="L24" s="70">
        <f t="shared" si="3"/>
        <v>5.0956269891276045E-2</v>
      </c>
    </row>
    <row r="25" spans="1:18" x14ac:dyDescent="0.2">
      <c r="A25" s="40">
        <v>17</v>
      </c>
      <c r="B25" s="40">
        <v>7</v>
      </c>
      <c r="C25" s="40">
        <v>0.27784398833179541</v>
      </c>
      <c r="D25" s="40">
        <v>0.28358061435742549</v>
      </c>
      <c r="E25" s="40">
        <v>0.30859795033264803</v>
      </c>
      <c r="F25" s="3">
        <v>296.47489654402864</v>
      </c>
      <c r="G25" s="3">
        <f t="shared" si="0"/>
        <v>296.47489654402864</v>
      </c>
      <c r="H25" s="57">
        <v>29.758445544554792</v>
      </c>
      <c r="I25" s="3">
        <f t="shared" si="4"/>
        <v>297.58445544554792</v>
      </c>
      <c r="J25" s="59">
        <f t="shared" si="1"/>
        <v>3.7425054008054983E-3</v>
      </c>
      <c r="K25" s="15">
        <f t="shared" si="2"/>
        <v>1.1095589015192786</v>
      </c>
      <c r="L25" s="70">
        <f t="shared" si="3"/>
        <v>1.2311209559406682</v>
      </c>
    </row>
    <row r="26" spans="1:18" x14ac:dyDescent="0.2">
      <c r="A26" s="40">
        <v>18</v>
      </c>
      <c r="B26" s="40">
        <v>0</v>
      </c>
      <c r="C26" s="40">
        <v>0.30804135716248526</v>
      </c>
      <c r="D26" s="40">
        <v>0.28951080397108608</v>
      </c>
      <c r="E26" s="40">
        <v>0.30454783220171533</v>
      </c>
      <c r="F26" s="3">
        <v>297.7006697148413</v>
      </c>
      <c r="G26" s="3">
        <f t="shared" si="0"/>
        <v>297.7006697148413</v>
      </c>
      <c r="H26" s="57">
        <v>28.346896551724452</v>
      </c>
      <c r="I26" s="3">
        <f t="shared" si="4"/>
        <v>283.4689655172445</v>
      </c>
      <c r="J26" s="59">
        <f t="shared" si="1"/>
        <v>4.7805415457173574E-2</v>
      </c>
      <c r="K26" s="15">
        <f t="shared" si="2"/>
        <v>-14.231704197596798</v>
      </c>
      <c r="L26" s="70">
        <f t="shared" si="3"/>
        <v>202.54140436789433</v>
      </c>
    </row>
    <row r="27" spans="1:18" x14ac:dyDescent="0.2">
      <c r="A27" s="40">
        <v>19</v>
      </c>
      <c r="B27" s="40">
        <v>0</v>
      </c>
      <c r="C27" s="40">
        <v>0.27922628559070323</v>
      </c>
      <c r="D27" s="40">
        <v>0.28402936198493195</v>
      </c>
      <c r="E27" s="40">
        <v>0.30068152356501077</v>
      </c>
      <c r="F27" s="3">
        <v>292.59242447868837</v>
      </c>
      <c r="G27" s="3">
        <f t="shared" si="0"/>
        <v>292.59242447868837</v>
      </c>
      <c r="H27" s="57">
        <v>26.394255924170523</v>
      </c>
      <c r="I27" s="3">
        <f t="shared" si="4"/>
        <v>263.94255924170523</v>
      </c>
      <c r="J27" s="59">
        <f t="shared" si="1"/>
        <v>9.7917317196535694E-2</v>
      </c>
      <c r="K27" s="15">
        <f t="shared" si="2"/>
        <v>-28.649865236983146</v>
      </c>
      <c r="L27" s="70">
        <f t="shared" si="3"/>
        <v>820.81477809729529</v>
      </c>
    </row>
    <row r="28" spans="1:18" x14ac:dyDescent="0.2">
      <c r="A28" s="3">
        <v>20</v>
      </c>
      <c r="B28" s="3">
        <v>0</v>
      </c>
      <c r="C28" s="3">
        <v>0.2724663018261414</v>
      </c>
      <c r="D28" s="3">
        <v>0.28128219564703227</v>
      </c>
      <c r="E28" s="3">
        <v>0.29419408959660115</v>
      </c>
      <c r="F28" s="3">
        <v>287.82006262439029</v>
      </c>
      <c r="G28" s="3">
        <f t="shared" si="0"/>
        <v>287.82006262439029</v>
      </c>
      <c r="H28" s="57">
        <v>24.990241312741233</v>
      </c>
      <c r="I28" s="3">
        <f t="shared" si="4"/>
        <v>249.90241312741233</v>
      </c>
      <c r="J28" s="59">
        <f t="shared" si="1"/>
        <v>0.13174081456045364</v>
      </c>
      <c r="K28" s="15">
        <f t="shared" si="2"/>
        <v>-37.917649496977958</v>
      </c>
      <c r="L28" s="70">
        <f t="shared" si="3"/>
        <v>1437.7481433756727</v>
      </c>
    </row>
    <row r="29" spans="1:18" x14ac:dyDescent="0.2">
      <c r="A29" s="3">
        <v>21</v>
      </c>
      <c r="B29" s="3">
        <v>0</v>
      </c>
      <c r="C29" s="3">
        <v>0.26874589221829398</v>
      </c>
      <c r="D29" s="3">
        <v>0.27954917864207357</v>
      </c>
      <c r="E29" s="3">
        <v>0.28756736372107672</v>
      </c>
      <c r="F29" s="3">
        <v>283.50256915467963</v>
      </c>
      <c r="G29" s="3">
        <f t="shared" si="0"/>
        <v>283.50256915467963</v>
      </c>
      <c r="H29" s="57">
        <v>25.10273866923826</v>
      </c>
      <c r="I29" s="3">
        <f t="shared" si="4"/>
        <v>251.02738669238261</v>
      </c>
      <c r="J29" s="59">
        <f t="shared" si="1"/>
        <v>0.114549870073941</v>
      </c>
      <c r="K29" s="15">
        <f t="shared" si="2"/>
        <v>-32.475182462297028</v>
      </c>
      <c r="L29" s="70">
        <f t="shared" si="3"/>
        <v>1054.6374759594844</v>
      </c>
    </row>
    <row r="30" spans="1:18" x14ac:dyDescent="0.2">
      <c r="A30" s="3">
        <v>22</v>
      </c>
      <c r="B30" s="3">
        <v>1</v>
      </c>
      <c r="C30" s="3">
        <v>0.26573582157673259</v>
      </c>
      <c r="D30" s="3">
        <v>0.27610823720821565</v>
      </c>
      <c r="E30" s="3">
        <v>0.28343775145712441</v>
      </c>
      <c r="F30" s="3">
        <v>279.71213630501859</v>
      </c>
      <c r="G30" s="3">
        <f t="shared" si="0"/>
        <v>279.71213630501859</v>
      </c>
      <c r="H30" s="57">
        <v>25.065714285714499</v>
      </c>
      <c r="I30" s="3">
        <f t="shared" si="4"/>
        <v>250.657142857145</v>
      </c>
      <c r="J30" s="59">
        <f t="shared" si="1"/>
        <v>0.10387462564795506</v>
      </c>
      <c r="K30" s="15">
        <f t="shared" si="2"/>
        <v>-29.054993447873585</v>
      </c>
      <c r="L30" s="70">
        <f t="shared" si="3"/>
        <v>844.19264425597692</v>
      </c>
    </row>
    <row r="31" spans="1:18" x14ac:dyDescent="0.2">
      <c r="A31" s="3">
        <v>23</v>
      </c>
      <c r="B31" s="3">
        <v>44</v>
      </c>
      <c r="C31" s="3">
        <v>0.26675222894034384</v>
      </c>
      <c r="D31" s="3">
        <v>0.27360456694648821</v>
      </c>
      <c r="E31" s="3">
        <v>0.2808603365071336</v>
      </c>
      <c r="F31" s="3">
        <v>277.240520357901</v>
      </c>
      <c r="G31" s="3">
        <f t="shared" si="0"/>
        <v>277.240520357901</v>
      </c>
      <c r="H31" s="57">
        <v>29.76519371727748</v>
      </c>
      <c r="I31" s="3">
        <f t="shared" si="4"/>
        <v>297.65193717277481</v>
      </c>
      <c r="J31" s="59">
        <f t="shared" si="1"/>
        <v>7.362349770705913E-2</v>
      </c>
      <c r="K31" s="15">
        <f t="shared" si="2"/>
        <v>20.411416814873803</v>
      </c>
      <c r="L31" s="70">
        <f t="shared" si="3"/>
        <v>416.625936390513</v>
      </c>
    </row>
    <row r="32" spans="1:18" x14ac:dyDescent="0.2">
      <c r="A32" s="3">
        <v>24</v>
      </c>
      <c r="B32" s="3">
        <v>53</v>
      </c>
      <c r="C32" s="3">
        <v>0.31353318966881999</v>
      </c>
      <c r="D32" s="3">
        <v>0.32357678533763617</v>
      </c>
      <c r="E32" s="3">
        <v>0.29137081031502415</v>
      </c>
      <c r="F32" s="3">
        <v>306.6288064125016</v>
      </c>
      <c r="G32" s="3">
        <f t="shared" si="0"/>
        <v>306.6288064125016</v>
      </c>
      <c r="H32" s="57">
        <v>33.404543630892626</v>
      </c>
      <c r="I32" s="3">
        <f t="shared" si="4"/>
        <v>334.04543630892624</v>
      </c>
      <c r="J32" s="59">
        <f t="shared" si="1"/>
        <v>8.9413092713610198E-2</v>
      </c>
      <c r="K32" s="15">
        <f t="shared" si="2"/>
        <v>27.416629896424638</v>
      </c>
      <c r="L32" s="70">
        <f t="shared" si="3"/>
        <v>751.67159487752531</v>
      </c>
    </row>
    <row r="33" spans="1:12" x14ac:dyDescent="0.2">
      <c r="A33">
        <v>25</v>
      </c>
      <c r="B33">
        <v>27</v>
      </c>
      <c r="C33">
        <v>0.31282890184375955</v>
      </c>
      <c r="D33">
        <v>0.32963462264851917</v>
      </c>
      <c r="E33">
        <v>0.30984006731377584</v>
      </c>
      <c r="F33">
        <v>319.00533945835741</v>
      </c>
      <c r="G33" s="3">
        <f t="shared" si="0"/>
        <v>319.00533945835741</v>
      </c>
      <c r="H33" s="57">
        <v>32.796229838709721</v>
      </c>
      <c r="I33" s="3">
        <f t="shared" si="4"/>
        <v>327.96229838709723</v>
      </c>
      <c r="J33" s="59">
        <f t="shared" si="1"/>
        <v>2.8077771186989973E-2</v>
      </c>
      <c r="K33" s="15">
        <f t="shared" si="2"/>
        <v>8.956958928739823</v>
      </c>
      <c r="L33" s="70">
        <f t="shared" si="3"/>
        <v>80.227113251132039</v>
      </c>
    </row>
    <row r="34" spans="1:12" x14ac:dyDescent="0.2">
      <c r="A34">
        <v>26</v>
      </c>
      <c r="B34">
        <v>34</v>
      </c>
      <c r="C34">
        <v>0.30811774779315582</v>
      </c>
      <c r="D34">
        <v>0.31847130438681515</v>
      </c>
      <c r="E34">
        <v>0.31463207596886433</v>
      </c>
      <c r="F34">
        <v>316.26783447760749</v>
      </c>
      <c r="G34" s="3">
        <f t="shared" si="0"/>
        <v>316.26783447760749</v>
      </c>
      <c r="H34" s="57">
        <v>31.639990029910287</v>
      </c>
      <c r="I34" s="3">
        <f>H34*10</f>
        <v>316.39990029910285</v>
      </c>
      <c r="J34" s="59">
        <f t="shared" si="1"/>
        <v>4.1757588694878861E-4</v>
      </c>
      <c r="K34" s="15">
        <f t="shared" si="2"/>
        <v>0.13206582149535961</v>
      </c>
      <c r="L34" s="70">
        <f t="shared" si="3"/>
        <v>1.7441381207244189E-2</v>
      </c>
    </row>
    <row r="35" spans="1:12" x14ac:dyDescent="0.2">
      <c r="A35">
        <v>27</v>
      </c>
      <c r="B35">
        <v>42</v>
      </c>
      <c r="C35">
        <v>0.31383399137328399</v>
      </c>
      <c r="D35">
        <v>0.31932816434310868</v>
      </c>
      <c r="E35">
        <v>0.31684455330668587</v>
      </c>
      <c r="F35">
        <v>317.92680314477229</v>
      </c>
      <c r="G35" s="3">
        <f t="shared" si="0"/>
        <v>317.92680314477229</v>
      </c>
      <c r="H35" s="57">
        <v>33.125084409136065</v>
      </c>
      <c r="I35" s="3">
        <f t="shared" si="4"/>
        <v>331.25084409136065</v>
      </c>
      <c r="J35" s="59">
        <f t="shared" si="1"/>
        <v>4.1909146428654745E-2</v>
      </c>
      <c r="K35" s="15">
        <f t="shared" si="2"/>
        <v>13.324040946588354</v>
      </c>
      <c r="L35" s="70">
        <f t="shared" si="3"/>
        <v>177.53006714636308</v>
      </c>
    </row>
    <row r="36" spans="1:12" x14ac:dyDescent="0.2">
      <c r="A36">
        <v>28</v>
      </c>
      <c r="B36">
        <v>6</v>
      </c>
      <c r="C36">
        <v>0.31741725320858494</v>
      </c>
      <c r="D36">
        <v>0.32076580111405234</v>
      </c>
      <c r="E36">
        <v>0.31897879572859983</v>
      </c>
      <c r="F36">
        <v>319.76958735550772</v>
      </c>
      <c r="G36" s="3">
        <f>F36</f>
        <v>319.76958735550772</v>
      </c>
      <c r="H36" s="57">
        <v>31.253610567514585</v>
      </c>
      <c r="I36" s="3">
        <f>H36*10</f>
        <v>312.53610567514585</v>
      </c>
      <c r="J36" s="59">
        <f t="shared" si="1"/>
        <v>2.2620918206083074E-2</v>
      </c>
      <c r="K36" s="15">
        <f t="shared" si="2"/>
        <v>-7.2334816803618764</v>
      </c>
      <c r="L36" s="70">
        <f t="shared" si="3"/>
        <v>52.323257220130877</v>
      </c>
    </row>
    <row r="37" spans="1:12" x14ac:dyDescent="0.2">
      <c r="A37">
        <v>29</v>
      </c>
      <c r="B37">
        <v>269</v>
      </c>
      <c r="C37">
        <v>0.31016985970481259</v>
      </c>
      <c r="D37">
        <v>0.29584041154573426</v>
      </c>
      <c r="E37">
        <v>0.31510053324459458</v>
      </c>
      <c r="F37">
        <v>306.14226379232321</v>
      </c>
      <c r="G37" s="3">
        <f>F37*1.5</f>
        <v>459.21339568848481</v>
      </c>
      <c r="H37" s="57">
        <v>49.394859359844446</v>
      </c>
      <c r="I37" s="3">
        <f>H37*10</f>
        <v>493.94859359844446</v>
      </c>
      <c r="J37" s="59">
        <f t="shared" si="1"/>
        <v>7.564064601791988E-2</v>
      </c>
      <c r="K37" s="15">
        <f t="shared" si="2"/>
        <v>34.735197909959652</v>
      </c>
      <c r="L37" s="70">
        <f t="shared" si="3"/>
        <v>1206.5339738440655</v>
      </c>
    </row>
    <row r="38" spans="1:12" x14ac:dyDescent="0.2">
      <c r="A38">
        <v>30</v>
      </c>
      <c r="B38">
        <v>0</v>
      </c>
      <c r="C38">
        <v>0.39</v>
      </c>
      <c r="D38">
        <v>0.31087037559147462</v>
      </c>
      <c r="E38">
        <v>0.3399686782318157</v>
      </c>
      <c r="F38">
        <v>413.53234343586576</v>
      </c>
      <c r="G38" s="3">
        <f>F38*1.35</f>
        <v>558.26866363841884</v>
      </c>
      <c r="H38" s="65">
        <v>53.245215264187699</v>
      </c>
      <c r="I38" s="3">
        <f t="shared" ref="I38:I42" si="5">H38*10</f>
        <v>532.45215264187698</v>
      </c>
      <c r="J38" s="59">
        <f>(ABS(I38-G38)/G38)</f>
        <v>4.6243883416789415E-2</v>
      </c>
      <c r="K38" s="15">
        <f t="shared" si="2"/>
        <v>-25.816510996541865</v>
      </c>
      <c r="L38" s="70">
        <f t="shared" si="3"/>
        <v>666.49224003456709</v>
      </c>
    </row>
    <row r="39" spans="1:12" x14ac:dyDescent="0.2">
      <c r="A39">
        <v>31</v>
      </c>
      <c r="B39">
        <v>8</v>
      </c>
      <c r="C39">
        <v>0.01</v>
      </c>
      <c r="D39">
        <v>0.39</v>
      </c>
      <c r="E39">
        <v>0.1924873856281375</v>
      </c>
      <c r="F39">
        <v>321.49648769164571</v>
      </c>
      <c r="G39" s="3">
        <f>F39*1.15</f>
        <v>369.72096084539254</v>
      </c>
      <c r="H39" s="65">
        <v>38.059320175438501</v>
      </c>
      <c r="I39" s="3">
        <f t="shared" si="5"/>
        <v>380.59320175438501</v>
      </c>
      <c r="J39" s="59">
        <f t="shared" si="1"/>
        <v>2.9406612176199953E-2</v>
      </c>
      <c r="K39" s="15">
        <f t="shared" si="2"/>
        <v>10.872240908992467</v>
      </c>
      <c r="L39" s="70">
        <f t="shared" si="3"/>
        <v>118.20562238316934</v>
      </c>
    </row>
    <row r="40" spans="1:12" x14ac:dyDescent="0.2">
      <c r="A40">
        <v>32</v>
      </c>
      <c r="B40">
        <v>36</v>
      </c>
      <c r="C40">
        <v>0.39</v>
      </c>
      <c r="D40">
        <v>0.01</v>
      </c>
      <c r="E40">
        <v>0.21586593319609279</v>
      </c>
      <c r="F40">
        <v>310.74585673322423</v>
      </c>
      <c r="G40" s="3">
        <f t="shared" si="0"/>
        <v>310.74585673322423</v>
      </c>
      <c r="H40" s="65">
        <v>31.054798076922918</v>
      </c>
      <c r="I40" s="3">
        <f t="shared" si="5"/>
        <v>310.54798076922918</v>
      </c>
      <c r="J40" s="59">
        <f t="shared" si="1"/>
        <v>6.3677748136452923E-4</v>
      </c>
      <c r="K40" s="15">
        <f t="shared" si="2"/>
        <v>-0.19787596399504537</v>
      </c>
      <c r="L40" s="70">
        <f t="shared" si="3"/>
        <v>3.9154897126968492E-2</v>
      </c>
    </row>
    <row r="41" spans="1:12" x14ac:dyDescent="0.2">
      <c r="A41">
        <v>33</v>
      </c>
      <c r="B41">
        <v>49</v>
      </c>
      <c r="C41">
        <v>0.39</v>
      </c>
      <c r="D41">
        <v>0.01</v>
      </c>
      <c r="E41">
        <v>0.20604331784577332</v>
      </c>
      <c r="F41">
        <v>328.35109580396829</v>
      </c>
      <c r="G41" s="3">
        <f t="shared" si="0"/>
        <v>328.35109580396829</v>
      </c>
      <c r="H41" s="65">
        <v>36.095828677840181</v>
      </c>
      <c r="I41" s="3">
        <f t="shared" si="5"/>
        <v>360.95828677840183</v>
      </c>
      <c r="J41" s="59">
        <f t="shared" si="1"/>
        <v>9.9305869208673611E-2</v>
      </c>
      <c r="K41" s="15">
        <f t="shared" si="2"/>
        <v>32.607190974433536</v>
      </c>
      <c r="L41" s="70">
        <f t="shared" si="3"/>
        <v>1063.2289032431797</v>
      </c>
    </row>
    <row r="42" spans="1:12" x14ac:dyDescent="0.2">
      <c r="A42">
        <v>34</v>
      </c>
      <c r="B42">
        <v>0</v>
      </c>
      <c r="C42">
        <v>0.39</v>
      </c>
      <c r="D42">
        <v>0.01</v>
      </c>
      <c r="E42">
        <v>0.2008343792920049</v>
      </c>
      <c r="F42">
        <v>357.75745981830016</v>
      </c>
      <c r="G42" s="3">
        <f t="shared" si="0"/>
        <v>357.75745981830016</v>
      </c>
      <c r="H42" s="65">
        <v>30.813527168731987</v>
      </c>
      <c r="I42" s="3">
        <f t="shared" si="5"/>
        <v>308.13527168731986</v>
      </c>
      <c r="J42" s="59">
        <f t="shared" si="1"/>
        <v>0.1387034337625907</v>
      </c>
      <c r="K42" s="15">
        <f t="shared" si="2"/>
        <v>-49.622188130980305</v>
      </c>
      <c r="L42" s="70">
        <f t="shared" si="3"/>
        <v>2462.3615549064025</v>
      </c>
    </row>
    <row r="47" spans="1:12" x14ac:dyDescent="0.2">
      <c r="F47">
        <f>F37/H37</f>
        <v>6.197856776189175</v>
      </c>
    </row>
    <row r="72" spans="1:4" x14ac:dyDescent="0.2">
      <c r="A72" s="61">
        <v>31</v>
      </c>
      <c r="B72" s="68">
        <v>8</v>
      </c>
      <c r="C72" s="69">
        <v>0.29084582321873964</v>
      </c>
      <c r="D72" s="69">
        <v>0.33106729248544409</v>
      </c>
    </row>
    <row r="73" spans="1:4" x14ac:dyDescent="0.2">
      <c r="A73" s="66">
        <v>32</v>
      </c>
      <c r="B73" s="62">
        <v>36</v>
      </c>
      <c r="C73" s="62">
        <v>0.31238763340134523</v>
      </c>
      <c r="D73" s="62">
        <v>0.31849575835760946</v>
      </c>
    </row>
    <row r="74" spans="1:4" x14ac:dyDescent="0.2">
      <c r="A74" s="66">
        <v>33</v>
      </c>
      <c r="B74" s="62">
        <v>49</v>
      </c>
      <c r="C74" s="63">
        <v>0.36188632302670343</v>
      </c>
      <c r="D74" s="63">
        <v>0.35032041595999897</v>
      </c>
    </row>
    <row r="75" spans="1:4" x14ac:dyDescent="0.2">
      <c r="A75" s="66">
        <v>34</v>
      </c>
      <c r="B75" s="62">
        <v>0</v>
      </c>
      <c r="C75" s="63">
        <v>0.34231805216724953</v>
      </c>
      <c r="D75" s="63">
        <v>0.35548661168479517</v>
      </c>
    </row>
    <row r="76" spans="1:4" x14ac:dyDescent="0.2">
      <c r="A76" s="66">
        <v>3</v>
      </c>
      <c r="B76" s="62">
        <v>0</v>
      </c>
      <c r="C76" s="63">
        <v>238.16584287284019</v>
      </c>
      <c r="D76" s="63">
        <f t="shared" ref="D76:D102" si="6">C76</f>
        <v>238.16584287284019</v>
      </c>
    </row>
    <row r="77" spans="1:4" x14ac:dyDescent="0.2">
      <c r="A77" s="66">
        <v>4</v>
      </c>
      <c r="B77" s="62">
        <v>0</v>
      </c>
      <c r="C77" s="63">
        <v>237.40945102634791</v>
      </c>
      <c r="D77" s="63">
        <f t="shared" si="6"/>
        <v>237.40945102634791</v>
      </c>
    </row>
    <row r="78" spans="1:4" x14ac:dyDescent="0.2">
      <c r="A78" s="66">
        <v>5</v>
      </c>
      <c r="B78" s="62">
        <v>19</v>
      </c>
      <c r="C78" s="63">
        <v>236.79995355299607</v>
      </c>
      <c r="D78" s="63">
        <f t="shared" si="6"/>
        <v>236.79995355299607</v>
      </c>
    </row>
    <row r="79" spans="1:4" x14ac:dyDescent="0.2">
      <c r="A79" s="66">
        <v>6</v>
      </c>
      <c r="B79" s="64">
        <v>8</v>
      </c>
      <c r="C79" s="63">
        <v>253.17171989595386</v>
      </c>
      <c r="D79" s="63">
        <f t="shared" si="6"/>
        <v>253.17171989595386</v>
      </c>
    </row>
    <row r="80" spans="1:4" x14ac:dyDescent="0.2">
      <c r="A80" s="66">
        <v>7</v>
      </c>
      <c r="B80" s="64">
        <v>0</v>
      </c>
      <c r="C80" s="63">
        <v>258.4910858476195</v>
      </c>
      <c r="D80" s="63">
        <f t="shared" si="6"/>
        <v>258.4910858476195</v>
      </c>
    </row>
    <row r="81" spans="1:4" x14ac:dyDescent="0.2">
      <c r="A81" s="66">
        <v>8</v>
      </c>
      <c r="B81" s="62">
        <v>0</v>
      </c>
      <c r="C81" s="63">
        <v>256.95703131414524</v>
      </c>
      <c r="D81" s="63">
        <f t="shared" si="6"/>
        <v>256.95703131414524</v>
      </c>
    </row>
    <row r="82" spans="1:4" x14ac:dyDescent="0.2">
      <c r="A82" s="66">
        <v>9</v>
      </c>
      <c r="B82" s="62">
        <v>0</v>
      </c>
      <c r="C82" s="63">
        <v>255.96326430513409</v>
      </c>
      <c r="D82" s="63">
        <f t="shared" si="6"/>
        <v>255.96326430513409</v>
      </c>
    </row>
    <row r="83" spans="1:4" x14ac:dyDescent="0.2">
      <c r="A83" s="66">
        <v>10</v>
      </c>
      <c r="B83" s="62">
        <v>89</v>
      </c>
      <c r="C83" s="63">
        <v>255.06227151928107</v>
      </c>
      <c r="D83" s="63">
        <f t="shared" si="6"/>
        <v>255.06227151928107</v>
      </c>
    </row>
    <row r="84" spans="1:4" x14ac:dyDescent="0.2">
      <c r="A84" s="66">
        <v>11</v>
      </c>
      <c r="B84" s="62">
        <v>5</v>
      </c>
      <c r="C84" s="63">
        <v>313.28775419391866</v>
      </c>
      <c r="D84" s="63">
        <f t="shared" si="6"/>
        <v>313.28775419391866</v>
      </c>
    </row>
    <row r="85" spans="1:4" x14ac:dyDescent="0.2">
      <c r="A85" s="66">
        <v>12</v>
      </c>
      <c r="B85" s="64">
        <v>0</v>
      </c>
      <c r="C85" s="63">
        <v>304.71027839408225</v>
      </c>
      <c r="D85" s="63">
        <f t="shared" si="6"/>
        <v>304.71027839408225</v>
      </c>
    </row>
    <row r="86" spans="1:4" x14ac:dyDescent="0.2">
      <c r="A86" s="66">
        <v>13</v>
      </c>
      <c r="B86" s="62">
        <v>13</v>
      </c>
      <c r="C86" s="63">
        <v>298.60294113228179</v>
      </c>
      <c r="D86" s="63">
        <f t="shared" si="6"/>
        <v>298.60294113228179</v>
      </c>
    </row>
    <row r="87" spans="1:4" x14ac:dyDescent="0.2">
      <c r="A87" s="66">
        <v>14</v>
      </c>
      <c r="B87" s="62">
        <v>87</v>
      </c>
      <c r="C87" s="63">
        <v>304.42604753804994</v>
      </c>
      <c r="D87" s="63">
        <f t="shared" si="6"/>
        <v>304.42604753804994</v>
      </c>
    </row>
    <row r="88" spans="1:4" x14ac:dyDescent="0.2">
      <c r="A88" s="66">
        <v>15</v>
      </c>
      <c r="B88" s="62">
        <v>7</v>
      </c>
      <c r="C88" s="63">
        <v>346.04091061548712</v>
      </c>
      <c r="D88" s="63">
        <f t="shared" si="6"/>
        <v>346.04091061548712</v>
      </c>
    </row>
    <row r="89" spans="1:4" x14ac:dyDescent="0.2">
      <c r="A89" s="66">
        <v>16</v>
      </c>
      <c r="B89" s="62">
        <v>0</v>
      </c>
      <c r="C89" s="63">
        <v>318.23194252131589</v>
      </c>
      <c r="D89" s="63">
        <f t="shared" si="6"/>
        <v>318.23194252131589</v>
      </c>
    </row>
    <row r="90" spans="1:4" x14ac:dyDescent="0.2">
      <c r="A90" s="66">
        <v>17</v>
      </c>
      <c r="B90" s="64">
        <v>7</v>
      </c>
      <c r="C90" s="63">
        <v>301.04817954499805</v>
      </c>
      <c r="D90" s="63">
        <f t="shared" si="6"/>
        <v>301.04817954499805</v>
      </c>
    </row>
    <row r="91" spans="1:4" x14ac:dyDescent="0.2">
      <c r="A91" s="66">
        <v>18</v>
      </c>
      <c r="B91" s="64">
        <v>0</v>
      </c>
      <c r="C91" s="63">
        <v>299.81307431113419</v>
      </c>
      <c r="D91" s="63">
        <f t="shared" si="6"/>
        <v>299.81307431113419</v>
      </c>
    </row>
    <row r="92" spans="1:4" x14ac:dyDescent="0.2">
      <c r="A92" s="66">
        <v>19</v>
      </c>
      <c r="B92" s="64">
        <v>0</v>
      </c>
      <c r="C92" s="63">
        <v>294.35807159623607</v>
      </c>
      <c r="D92" s="63">
        <f t="shared" si="6"/>
        <v>294.35807159623607</v>
      </c>
    </row>
    <row r="93" spans="1:4" x14ac:dyDescent="0.2">
      <c r="A93" s="66">
        <v>20</v>
      </c>
      <c r="B93" s="62">
        <v>0</v>
      </c>
      <c r="C93" s="63">
        <v>290.35050233664248</v>
      </c>
      <c r="D93" s="63">
        <f t="shared" si="6"/>
        <v>290.35050233664248</v>
      </c>
    </row>
    <row r="94" spans="1:4" x14ac:dyDescent="0.2">
      <c r="A94" s="66">
        <v>21</v>
      </c>
      <c r="B94" s="62">
        <v>0</v>
      </c>
      <c r="C94" s="63">
        <v>286.89470043038739</v>
      </c>
      <c r="D94" s="63">
        <f t="shared" si="6"/>
        <v>286.89470043038739</v>
      </c>
    </row>
    <row r="95" spans="1:4" x14ac:dyDescent="0.2">
      <c r="A95" s="66">
        <v>22</v>
      </c>
      <c r="B95" s="62">
        <v>1</v>
      </c>
      <c r="C95" s="63">
        <v>284.1226138960817</v>
      </c>
      <c r="D95" s="63">
        <f t="shared" si="6"/>
        <v>284.1226138960817</v>
      </c>
    </row>
    <row r="96" spans="1:4" x14ac:dyDescent="0.2">
      <c r="A96" s="66">
        <v>23</v>
      </c>
      <c r="B96" s="62">
        <v>44</v>
      </c>
      <c r="C96" s="63">
        <v>282.46044652281853</v>
      </c>
      <c r="D96" s="63">
        <f t="shared" si="6"/>
        <v>282.46044652281853</v>
      </c>
    </row>
    <row r="97" spans="1:4" x14ac:dyDescent="0.2">
      <c r="A97" s="66">
        <v>24</v>
      </c>
      <c r="B97" s="62">
        <v>53</v>
      </c>
      <c r="C97" s="63">
        <v>310.29073534013594</v>
      </c>
      <c r="D97" s="63">
        <f t="shared" si="6"/>
        <v>310.29073534013594</v>
      </c>
    </row>
    <row r="98" spans="1:4" x14ac:dyDescent="0.2">
      <c r="A98" s="67">
        <v>25</v>
      </c>
      <c r="B98" s="65">
        <v>27</v>
      </c>
      <c r="C98" s="63">
        <v>325.85015166007298</v>
      </c>
      <c r="D98" s="63">
        <f t="shared" si="6"/>
        <v>325.85015166007298</v>
      </c>
    </row>
    <row r="99" spans="1:4" x14ac:dyDescent="0.2">
      <c r="A99" s="67">
        <v>26</v>
      </c>
      <c r="B99" s="65">
        <v>34</v>
      </c>
      <c r="C99" s="63">
        <v>321.52969929239731</v>
      </c>
      <c r="D99" s="63">
        <f t="shared" si="6"/>
        <v>321.52969929239731</v>
      </c>
    </row>
    <row r="100" spans="1:4" x14ac:dyDescent="0.2">
      <c r="A100" s="67">
        <v>27</v>
      </c>
      <c r="B100" s="65">
        <v>42</v>
      </c>
      <c r="C100" s="63">
        <v>324.00184876288483</v>
      </c>
      <c r="D100" s="63">
        <f t="shared" si="6"/>
        <v>324.00184876288483</v>
      </c>
    </row>
    <row r="101" spans="1:4" x14ac:dyDescent="0.2">
      <c r="A101" s="67">
        <v>28</v>
      </c>
      <c r="B101" s="65">
        <v>6</v>
      </c>
      <c r="C101" s="63">
        <v>329.37653720486117</v>
      </c>
      <c r="D101" s="63">
        <f t="shared" si="6"/>
        <v>329.37653720486117</v>
      </c>
    </row>
    <row r="102" spans="1:4" x14ac:dyDescent="0.2">
      <c r="A102" s="67">
        <v>29</v>
      </c>
      <c r="B102" s="65">
        <v>269</v>
      </c>
      <c r="C102" s="63">
        <v>309.82784150870629</v>
      </c>
      <c r="D102" s="63">
        <f t="shared" si="6"/>
        <v>309.82784150870629</v>
      </c>
    </row>
  </sheetData>
  <phoneticPr fontId="2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127</vt:i4>
      </vt:variant>
    </vt:vector>
  </HeadingPairs>
  <TitlesOfParts>
    <vt:vector size="135" baseType="lpstr">
      <vt:lpstr>Kumano</vt:lpstr>
      <vt:lpstr>Meteorology</vt:lpstr>
      <vt:lpstr>Photosynthesis</vt:lpstr>
      <vt:lpstr>ET</vt:lpstr>
      <vt:lpstr>Water</vt:lpstr>
      <vt:lpstr>Tables</vt:lpstr>
      <vt:lpstr>Control</vt:lpstr>
      <vt:lpstr>Output</vt:lpstr>
      <vt:lpstr>_criteria</vt:lpstr>
      <vt:lpstr>_operation</vt:lpstr>
      <vt:lpstr>_prerun</vt:lpstr>
      <vt:lpstr>_read</vt:lpstr>
      <vt:lpstr>_step</vt:lpstr>
      <vt:lpstr>_stepsize</vt:lpstr>
      <vt:lpstr>_write</vt:lpstr>
      <vt:lpstr>A</vt:lpstr>
      <vt:lpstr>Ac</vt:lpstr>
      <vt:lpstr>AETc</vt:lpstr>
      <vt:lpstr>AETs</vt:lpstr>
      <vt:lpstr>alpha</vt:lpstr>
      <vt:lpstr>As</vt:lpstr>
      <vt:lpstr>assim</vt:lpstr>
      <vt:lpstr>Ci</vt:lpstr>
      <vt:lpstr>co2pt</vt:lpstr>
      <vt:lpstr>d</vt:lpstr>
      <vt:lpstr>date</vt:lpstr>
      <vt:lpstr>dayassim</vt:lpstr>
      <vt:lpstr>decl</vt:lpstr>
      <vt:lpstr>DL</vt:lpstr>
      <vt:lpstr>Dmv</vt:lpstr>
      <vt:lpstr>doy</vt:lpstr>
      <vt:lpstr>droot</vt:lpstr>
      <vt:lpstr>ea</vt:lpstr>
      <vt:lpstr>em</vt:lpstr>
      <vt:lpstr>es</vt:lpstr>
      <vt:lpstr>G</vt:lpstr>
      <vt:lpstr>h</vt:lpstr>
      <vt:lpstr>ha</vt:lpstr>
      <vt:lpstr>Hc</vt:lpstr>
      <vt:lpstr>Hs</vt:lpstr>
      <vt:lpstr>hydraulic_K</vt:lpstr>
      <vt:lpstr>hydraulic_vwc</vt:lpstr>
      <vt:lpstr>Ic</vt:lpstr>
      <vt:lpstr>Idf</vt:lpstr>
      <vt:lpstr>Idfd</vt:lpstr>
      <vt:lpstr>Idr</vt:lpstr>
      <vt:lpstr>Idrd</vt:lpstr>
      <vt:lpstr>Iet</vt:lpstr>
      <vt:lpstr>Ietd</vt:lpstr>
      <vt:lpstr>It</vt:lpstr>
      <vt:lpstr>Itd</vt:lpstr>
      <vt:lpstr>k</vt:lpstr>
      <vt:lpstr>Kc</vt:lpstr>
      <vt:lpstr>kdf</vt:lpstr>
      <vt:lpstr>kdr</vt:lpstr>
      <vt:lpstr>Kh</vt:lpstr>
      <vt:lpstr>Ko</vt:lpstr>
      <vt:lpstr>kRn</vt:lpstr>
      <vt:lpstr>L</vt:lpstr>
      <vt:lpstr>lat</vt:lpstr>
      <vt:lpstr>leafwidth</vt:lpstr>
      <vt:lpstr>LET</vt:lpstr>
      <vt:lpstr>LETc</vt:lpstr>
      <vt:lpstr>LETs</vt:lpstr>
      <vt:lpstr>Lmax</vt:lpstr>
      <vt:lpstr>Lsh</vt:lpstr>
      <vt:lpstr>Lsl</vt:lpstr>
      <vt:lpstr>m</vt:lpstr>
      <vt:lpstr>matric_Hm</vt:lpstr>
      <vt:lpstr>matric_vwc</vt:lpstr>
      <vt:lpstr>nK</vt:lpstr>
      <vt:lpstr>nu</vt:lpstr>
      <vt:lpstr>Oa</vt:lpstr>
      <vt:lpstr>p</vt:lpstr>
      <vt:lpstr>pcp</vt:lpstr>
      <vt:lpstr>PET</vt:lpstr>
      <vt:lpstr>PETc</vt:lpstr>
      <vt:lpstr>PETs</vt:lpstr>
      <vt:lpstr>Pg</vt:lpstr>
      <vt:lpstr>Pn</vt:lpstr>
      <vt:lpstr>pp</vt:lpstr>
      <vt:lpstr>pRn</vt:lpstr>
      <vt:lpstr>psycho</vt:lpstr>
      <vt:lpstr>Qdf</vt:lpstr>
      <vt:lpstr>Qdr</vt:lpstr>
      <vt:lpstr>Qsh</vt:lpstr>
      <vt:lpstr>Qsl</vt:lpstr>
      <vt:lpstr>raa</vt:lpstr>
      <vt:lpstr>rca</vt:lpstr>
      <vt:lpstr>rcs</vt:lpstr>
      <vt:lpstr>RH</vt:lpstr>
      <vt:lpstr>RHd</vt:lpstr>
      <vt:lpstr>Rn</vt:lpstr>
      <vt:lpstr>RnL</vt:lpstr>
      <vt:lpstr>rsa</vt:lpstr>
      <vt:lpstr>rss</vt:lpstr>
      <vt:lpstr>rst</vt:lpstr>
      <vt:lpstr>SB</vt:lpstr>
      <vt:lpstr>site</vt:lpstr>
      <vt:lpstr>slopesvp</vt:lpstr>
      <vt:lpstr>stom_a1</vt:lpstr>
      <vt:lpstr>stom_a2</vt:lpstr>
      <vt:lpstr>sunazi</vt:lpstr>
      <vt:lpstr>sunhgt</vt:lpstr>
      <vt:lpstr>sunhr</vt:lpstr>
      <vt:lpstr>suninc</vt:lpstr>
      <vt:lpstr>Ta</vt:lpstr>
      <vt:lpstr>Tak</vt:lpstr>
      <vt:lpstr>tau</vt:lpstr>
      <vt:lpstr>Tdcal</vt:lpstr>
      <vt:lpstr>Tdmax</vt:lpstr>
      <vt:lpstr>Tf</vt:lpstr>
      <vt:lpstr>th</vt:lpstr>
      <vt:lpstr>Tmax</vt:lpstr>
      <vt:lpstr>Tmean</vt:lpstr>
      <vt:lpstr>Tmin</vt:lpstr>
      <vt:lpstr>Tset</vt:lpstr>
      <vt:lpstr>tsr</vt:lpstr>
      <vt:lpstr>tss</vt:lpstr>
      <vt:lpstr>u</vt:lpstr>
      <vt:lpstr>ud</vt:lpstr>
      <vt:lpstr>uh</vt:lpstr>
      <vt:lpstr>umax</vt:lpstr>
      <vt:lpstr>umin</vt:lpstr>
      <vt:lpstr>ustar</vt:lpstr>
      <vt:lpstr>vc</vt:lpstr>
      <vt:lpstr>Vcmax</vt:lpstr>
      <vt:lpstr>vpd</vt:lpstr>
      <vt:lpstr>vpd0</vt:lpstr>
      <vt:lpstr>vqsh</vt:lpstr>
      <vt:lpstr>vqsl</vt:lpstr>
      <vt:lpstr>vs</vt:lpstr>
      <vt:lpstr>z0</vt:lpstr>
      <vt:lpstr>zr</vt:lpstr>
      <vt:lpstr>zs0</vt:lpstr>
    </vt:vector>
  </TitlesOfParts>
  <Company>Dept. Land Management, UPM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BuildIt ver 1.0</dc:title>
  <dc:subject>Excel template</dc:subject>
  <dc:creator>C.B.S. Teh</dc:creator>
  <cp:keywords>Excel, model, simulation, crop</cp:keywords>
  <dc:description>General crop growth model</dc:description>
  <cp:lastModifiedBy>大北悠人</cp:lastModifiedBy>
  <dcterms:created xsi:type="dcterms:W3CDTF">2008-03-27T12:53:58Z</dcterms:created>
  <dcterms:modified xsi:type="dcterms:W3CDTF">2018-04-12T06:42:02Z</dcterms:modified>
</cp:coreProperties>
</file>