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projects/hydrogeo_plots/geologic/input/"/>
    </mc:Choice>
  </mc:AlternateContent>
  <xr:revisionPtr revIDLastSave="0" documentId="13_ncr:1_{3DB1DA78-D89B-E04E-9C2C-FF1610280C97}" xr6:coauthVersionLast="45" xr6:coauthVersionMax="45" xr10:uidLastSave="{00000000-0000-0000-0000-000000000000}"/>
  <bookViews>
    <workbookView xWindow="0" yWindow="460" windowWidth="28800" windowHeight="16000" tabRatio="805" activeTab="4" xr2:uid="{6DE61712-4CD2-48F1-B856-0F76BADD48E1}"/>
  </bookViews>
  <sheets>
    <sheet name="Lithology_Elev" sheetId="25" r:id="rId1"/>
    <sheet name="DWR_1961" sheetId="26" r:id="rId2"/>
    <sheet name="Lithology" sheetId="15" r:id="rId3"/>
    <sheet name="Annulus" sheetId="9" r:id="rId4"/>
    <sheet name="Well" sheetId="2" r:id="rId5"/>
    <sheet name="Access Tube" sheetId="14" r:id="rId6"/>
    <sheet name="Liner" sheetId="10" r:id="rId7"/>
    <sheet name="Pump" sheetId="3" r:id="rId8"/>
    <sheet name="Water Level" sheetId="4" r:id="rId9"/>
    <sheet name="Injections" sheetId="6" r:id="rId10"/>
    <sheet name="Flow Data" sheetId="11" r:id="rId11"/>
    <sheet name="Flow Results" sheetId="16" r:id="rId12"/>
    <sheet name="Flow Results Flags" sheetId="18" r:id="rId13"/>
    <sheet name="WQ Data" sheetId="7" r:id="rId14"/>
    <sheet name="WQ Data Flags" sheetId="17" r:id="rId15"/>
    <sheet name="WQ Results" sheetId="19" r:id="rId16"/>
    <sheet name="WQ Results Flags" sheetId="20" r:id="rId17"/>
    <sheet name="WQ Results (2)" sheetId="27" r:id="rId18"/>
    <sheet name="WQ Standards" sheetId="12" r:id="rId19"/>
    <sheet name="CodeLookup" sheetId="13" r:id="rId20"/>
    <sheet name="WQ Results Grouped" sheetId="23" r:id="rId21"/>
    <sheet name="WQ Results Grouped Flags" sheetId="24" r:id="rId22"/>
  </sheets>
  <definedNames>
    <definedName name="ExternalData_1" localSheetId="10" hidden="1">'Flow Data'!$A$1:$B$16</definedName>
    <definedName name="ExternalData_1" localSheetId="11" hidden="1">'Flow Results'!$B:$I</definedName>
    <definedName name="ExternalData_1" localSheetId="9" hidden="1">Injections!$A$1:$D$60</definedName>
    <definedName name="ExternalData_1" localSheetId="13" hidden="1">'WQ Data'!$D$1:$H$7</definedName>
    <definedName name="ExternalData_1" localSheetId="15" hidden="1">'WQ Results'!$B$1:$K$9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5" l="1"/>
  <c r="A5" i="15"/>
  <c r="A6" i="15"/>
  <c r="A3" i="15"/>
  <c r="G3" i="19" l="1"/>
  <c r="G4" i="19"/>
  <c r="G5" i="19"/>
  <c r="G6" i="19"/>
  <c r="G7" i="19"/>
  <c r="G8" i="19"/>
  <c r="G9" i="19"/>
  <c r="G2" i="19"/>
  <c r="O2" i="19"/>
  <c r="O3" i="19" s="1"/>
  <c r="N2" i="19"/>
  <c r="N4" i="19" s="1"/>
  <c r="M2" i="19"/>
  <c r="M3" i="19" s="1"/>
  <c r="L2" i="19"/>
  <c r="L3" i="19"/>
  <c r="O5" i="19"/>
  <c r="O6" i="19"/>
  <c r="O7" i="19"/>
  <c r="O9" i="19"/>
  <c r="M7" i="19"/>
  <c r="M8" i="19"/>
  <c r="O4" i="19" l="1"/>
  <c r="O8" i="19"/>
  <c r="N6" i="19"/>
  <c r="N5" i="19"/>
  <c r="N9" i="19"/>
  <c r="N8" i="19"/>
  <c r="N7" i="19"/>
  <c r="N3" i="19"/>
  <c r="M9" i="19"/>
  <c r="M5" i="19"/>
  <c r="M4" i="19"/>
  <c r="M6" i="19"/>
  <c r="L7" i="19"/>
  <c r="L5" i="19"/>
  <c r="L6" i="19"/>
  <c r="L4" i="19"/>
  <c r="L9" i="19"/>
  <c r="L8" i="19"/>
  <c r="H10" i="16" l="1"/>
  <c r="H15" i="16"/>
  <c r="H14" i="16"/>
  <c r="H13" i="16"/>
  <c r="H12" i="16"/>
  <c r="H11" i="16"/>
  <c r="H9" i="16"/>
  <c r="H8" i="16"/>
  <c r="H7" i="16"/>
  <c r="H6" i="16"/>
  <c r="H5" i="16"/>
  <c r="H4" i="16"/>
  <c r="H3" i="16"/>
  <c r="H2" i="16"/>
  <c r="A4" i="3" l="1"/>
  <c r="B4" i="3" s="1"/>
  <c r="C6" i="15" l="1"/>
  <c r="C5" i="15"/>
  <c r="C4" i="15"/>
  <c r="C3" i="15"/>
  <c r="C2" i="15"/>
  <c r="A4" i="9"/>
  <c r="A3" i="9"/>
  <c r="D4" i="2"/>
  <c r="C5" i="2" s="1"/>
  <c r="D5" i="2" s="1"/>
  <c r="D2" i="2"/>
  <c r="C3" i="2" s="1"/>
  <c r="A3" i="3"/>
  <c r="B3" i="3" s="1"/>
  <c r="D2" i="3"/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7" i="25" l="1"/>
  <c r="G17" i="27" l="1"/>
  <c r="F16" i="27"/>
  <c r="E15" i="27"/>
  <c r="G5" i="27"/>
  <c r="F2" i="27"/>
  <c r="G10" i="27" s="1"/>
  <c r="F13" i="27"/>
  <c r="F15" i="27" s="1"/>
  <c r="F12" i="27"/>
  <c r="F11" i="27"/>
  <c r="F14" i="27" s="1"/>
  <c r="G6" i="27" l="1"/>
  <c r="G8" i="27"/>
  <c r="G7" i="27"/>
  <c r="G12" i="27" s="1"/>
  <c r="G3" i="27"/>
  <c r="G9" i="27"/>
  <c r="G4" i="27"/>
  <c r="G2" i="27"/>
  <c r="C13" i="27"/>
  <c r="C15" i="27" s="1"/>
  <c r="C12" i="27"/>
  <c r="C11" i="27"/>
  <c r="B11" i="27"/>
  <c r="H12" i="27" l="1"/>
  <c r="J12" i="27"/>
  <c r="D11" i="27"/>
  <c r="I12" i="27"/>
  <c r="G11" i="27"/>
  <c r="J11" i="27" s="1"/>
  <c r="L2" i="27"/>
  <c r="L9" i="27" s="1"/>
  <c r="M2" i="27"/>
  <c r="M4" i="27" s="1"/>
  <c r="K2" i="27"/>
  <c r="G13" i="27"/>
  <c r="G15" i="27" s="1"/>
  <c r="L11" i="23"/>
  <c r="M11" i="23"/>
  <c r="K11" i="23"/>
  <c r="H11" i="27" l="1"/>
  <c r="H14" i="27" s="1"/>
  <c r="I11" i="27"/>
  <c r="L11" i="27" s="1"/>
  <c r="L5" i="27"/>
  <c r="L7" i="27"/>
  <c r="L10" i="27"/>
  <c r="L8" i="27"/>
  <c r="L6" i="27"/>
  <c r="L12" i="27"/>
  <c r="H13" i="27"/>
  <c r="I13" i="27"/>
  <c r="K12" i="27"/>
  <c r="K6" i="27"/>
  <c r="K8" i="27"/>
  <c r="K10" i="27"/>
  <c r="K5" i="27"/>
  <c r="K7" i="27"/>
  <c r="M12" i="27"/>
  <c r="M3" i="27"/>
  <c r="L3" i="27"/>
  <c r="K3" i="27"/>
  <c r="L4" i="27"/>
  <c r="K4" i="27"/>
  <c r="M11" i="27"/>
  <c r="K11" i="27"/>
  <c r="G14" i="27"/>
  <c r="K9" i="27"/>
  <c r="M7" i="27"/>
  <c r="M5" i="27"/>
  <c r="M10" i="27"/>
  <c r="M6" i="27"/>
  <c r="M8" i="27"/>
  <c r="J13" i="27"/>
  <c r="M9" i="27"/>
  <c r="L13" i="27" l="1"/>
  <c r="L15" i="27" s="1"/>
  <c r="I15" i="27"/>
  <c r="I17" i="27"/>
  <c r="K13" i="27"/>
  <c r="K15" i="27" s="1"/>
  <c r="H17" i="27"/>
  <c r="H15" i="27"/>
  <c r="M13" i="27"/>
  <c r="M15" i="27" s="1"/>
  <c r="J15" i="27"/>
  <c r="J14" i="27"/>
  <c r="J17" i="27" s="1"/>
  <c r="I14" i="27"/>
  <c r="M14" i="27"/>
  <c r="E3" i="27"/>
  <c r="K14" i="27" l="1"/>
  <c r="L14" i="27"/>
  <c r="B10" i="27"/>
  <c r="D10" i="27" s="1"/>
  <c r="B9" i="27"/>
  <c r="D9" i="27" s="1"/>
  <c r="B8" i="27"/>
  <c r="B7" i="27"/>
  <c r="B6" i="27"/>
  <c r="D6" i="27" s="1"/>
  <c r="B5" i="27"/>
  <c r="D5" i="27" s="1"/>
  <c r="B4" i="27"/>
  <c r="D4" i="27" s="1"/>
  <c r="D3" i="27"/>
  <c r="D5" i="26"/>
  <c r="B5" i="26" s="1"/>
  <c r="B4" i="26"/>
  <c r="B6" i="26"/>
  <c r="B7" i="26"/>
  <c r="B8" i="26"/>
  <c r="C3" i="26"/>
  <c r="A3" i="26" s="1"/>
  <c r="C4" i="26"/>
  <c r="A4" i="26" s="1"/>
  <c r="C6" i="26"/>
  <c r="A6" i="26" s="1"/>
  <c r="C7" i="26"/>
  <c r="A7" i="26" s="1"/>
  <c r="C8" i="26"/>
  <c r="A8" i="26" s="1"/>
  <c r="C2" i="26"/>
  <c r="A2" i="26" s="1"/>
  <c r="B3" i="26"/>
  <c r="B2" i="26"/>
  <c r="E3" i="25"/>
  <c r="E4" i="25"/>
  <c r="E5" i="25"/>
  <c r="D6" i="25"/>
  <c r="E6" i="25"/>
  <c r="E8" i="25"/>
  <c r="E9" i="25"/>
  <c r="E10" i="25"/>
  <c r="D11" i="25"/>
  <c r="E11" i="25"/>
  <c r="D12" i="25"/>
  <c r="E12" i="25"/>
  <c r="D13" i="25"/>
  <c r="E13" i="25"/>
  <c r="E14" i="25"/>
  <c r="E15" i="25"/>
  <c r="E16" i="25"/>
  <c r="E17" i="25"/>
  <c r="D18" i="25"/>
  <c r="E18" i="25"/>
  <c r="E19" i="25"/>
  <c r="E20" i="25"/>
  <c r="E2" i="25"/>
  <c r="D2" i="25"/>
  <c r="A20" i="25"/>
  <c r="D20" i="25" s="1"/>
  <c r="A19" i="25"/>
  <c r="D19" i="25" s="1"/>
  <c r="A18" i="25"/>
  <c r="A17" i="25"/>
  <c r="D17" i="25" s="1"/>
  <c r="A16" i="25"/>
  <c r="D16" i="25" s="1"/>
  <c r="A15" i="25"/>
  <c r="D15" i="25" s="1"/>
  <c r="A14" i="25"/>
  <c r="D14" i="25" s="1"/>
  <c r="A13" i="25"/>
  <c r="A12" i="25"/>
  <c r="A11" i="25"/>
  <c r="A10" i="25"/>
  <c r="D10" i="25" s="1"/>
  <c r="A9" i="25"/>
  <c r="D9" i="25" s="1"/>
  <c r="A8" i="25"/>
  <c r="D8" i="25" s="1"/>
  <c r="A7" i="25"/>
  <c r="D7" i="25" s="1"/>
  <c r="A6" i="25"/>
  <c r="A5" i="25"/>
  <c r="D5" i="25" s="1"/>
  <c r="A4" i="25"/>
  <c r="D4" i="25" s="1"/>
  <c r="A3" i="25"/>
  <c r="D3" i="25" s="1"/>
  <c r="M10" i="24"/>
  <c r="L10" i="24"/>
  <c r="K10" i="24"/>
  <c r="D10" i="24"/>
  <c r="B10" i="24"/>
  <c r="M9" i="24"/>
  <c r="L9" i="24"/>
  <c r="K9" i="24"/>
  <c r="B9" i="24"/>
  <c r="D9" i="24" s="1"/>
  <c r="M8" i="24"/>
  <c r="L8" i="24"/>
  <c r="K8" i="24"/>
  <c r="B8" i="24"/>
  <c r="D8" i="24" s="1"/>
  <c r="M7" i="24"/>
  <c r="L7" i="24"/>
  <c r="K7" i="24"/>
  <c r="B7" i="24"/>
  <c r="D7" i="24" s="1"/>
  <c r="M6" i="24"/>
  <c r="L6" i="24"/>
  <c r="K6" i="24"/>
  <c r="B6" i="24"/>
  <c r="D6" i="24" s="1"/>
  <c r="M5" i="24"/>
  <c r="L5" i="24"/>
  <c r="K5" i="24"/>
  <c r="B5" i="24"/>
  <c r="D5" i="24" s="1"/>
  <c r="M4" i="24"/>
  <c r="L4" i="24"/>
  <c r="K4" i="24"/>
  <c r="B4" i="24"/>
  <c r="D4" i="24" s="1"/>
  <c r="M3" i="24"/>
  <c r="L3" i="24"/>
  <c r="K3" i="24"/>
  <c r="D3" i="24"/>
  <c r="M2" i="24"/>
  <c r="L2" i="24"/>
  <c r="K2" i="24"/>
  <c r="D10" i="23"/>
  <c r="B10" i="23"/>
  <c r="B9" i="23"/>
  <c r="D9" i="23" s="1"/>
  <c r="B8" i="23"/>
  <c r="D8" i="23" s="1"/>
  <c r="B7" i="23"/>
  <c r="D7" i="23" s="1"/>
  <c r="D6" i="23"/>
  <c r="B6" i="23"/>
  <c r="B5" i="23"/>
  <c r="D5" i="23" s="1"/>
  <c r="B4" i="23"/>
  <c r="D4" i="23" s="1"/>
  <c r="E3" i="23"/>
  <c r="D3" i="23"/>
  <c r="F2" i="23"/>
  <c r="M2" i="23" s="1"/>
  <c r="D8" i="27" l="1"/>
  <c r="B13" i="27"/>
  <c r="D7" i="27"/>
  <c r="B12" i="27"/>
  <c r="D12" i="27" s="1"/>
  <c r="C5" i="26"/>
  <c r="A5" i="26" s="1"/>
  <c r="M10" i="23"/>
  <c r="M6" i="23"/>
  <c r="M7" i="23"/>
  <c r="M9" i="23"/>
  <c r="M5" i="23"/>
  <c r="M8" i="23"/>
  <c r="M4" i="23"/>
  <c r="M3" i="23"/>
  <c r="K2" i="23"/>
  <c r="L2" i="23"/>
  <c r="D13" i="27" l="1"/>
  <c r="B15" i="27"/>
  <c r="L7" i="23"/>
  <c r="L3" i="23"/>
  <c r="L9" i="23"/>
  <c r="L5" i="23"/>
  <c r="L4" i="23"/>
  <c r="L10" i="23"/>
  <c r="L6" i="23"/>
  <c r="L8" i="23"/>
  <c r="K8" i="23"/>
  <c r="K4" i="23"/>
  <c r="K5" i="23"/>
  <c r="K7" i="23"/>
  <c r="K3" i="23"/>
  <c r="K10" i="23"/>
  <c r="K6" i="23"/>
  <c r="K9" i="23"/>
  <c r="D14" i="27" l="1"/>
  <c r="D1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oconnell</author>
  </authors>
  <commentList>
    <comment ref="D1" authorId="0" shapeId="0" xr:uid="{A63A6645-2D4E-A64F-827D-DAABB251496D}">
      <text>
        <r>
          <rPr>
            <b/>
            <sz val="9"/>
            <color indexed="81"/>
            <rFont val="Tahoma"/>
            <family val="2"/>
          </rPr>
          <t>patrick oconnell:</t>
        </r>
        <r>
          <rPr>
            <sz val="9"/>
            <color indexed="81"/>
            <rFont val="Tahoma"/>
            <family val="2"/>
          </rPr>
          <t xml:space="preserve">
concatenate lithology grain size categories in the order of: gravel_sand_silt_clay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44D3F1-F1E9-48C0-B4C4-54B1C239E1A5}" keepAlive="1" name="Query - Dye Return" description="Connection to the 'Dye Return' query in the workbook." type="5" refreshedVersion="6" background="1" saveData="1">
    <dbPr connection="Provider=Microsoft.Mashup.OleDb.1;Data Source=$Workbook$;Location=&quot;Dye Return&quot;;Extended Properties=&quot;&quot;" command="SELECT * FROM [Dye Return]"/>
  </connection>
  <connection id="2" xr16:uid="{9D06B762-0727-4260-9A45-1BA3E75508C6}" keepAlive="1" name="Query - Dye Return (2)" description="Connection to the 'Dye Return (2)' query in the workbook." type="5" refreshedVersion="6" background="1" saveData="1">
    <dbPr connection="Provider=Microsoft.Mashup.OleDb.1;Data Source=$Workbook$;Location=&quot;Dye Return (2)&quot;;Extended Properties=&quot;&quot;" command="SELECT * FROM [Dye Return (2)]"/>
  </connection>
  <connection id="3" xr16:uid="{5C17F60E-7AEC-46F8-B270-65DDB12339C3}" keepAlive="1" name="Query - Dynamic Flow" description="Connection to the 'Dynamic Flow' query in the workbook." type="5" refreshedVersion="6" background="1" saveData="1">
    <dbPr connection="Provider=Microsoft.Mashup.OleDb.1;Data Source=$Workbook$;Location=&quot;Dynamic Flow&quot;;Extended Properties=&quot;&quot;" command="SELECT * FROM [Dynamic Flow]"/>
  </connection>
  <connection id="4" xr16:uid="{09D8D5D7-0E83-4FF1-98A4-76B6CCF5A81D}" keepAlive="1" name="Query - Laboratory Results" description="Connection to the 'Laboratory Results' query in the workbook." type="5" refreshedVersion="6" background="1" saveData="1">
    <dbPr connection="Provider=Microsoft.Mashup.OleDb.1;Data Source=$Workbook$;Location=&quot;Laboratory Results&quot;;Extended Properties=&quot;&quot;" command="SELECT * FROM [Laboratory Results]"/>
  </connection>
  <connection id="5" xr16:uid="{273C7C3A-AA9C-4544-B4DB-5951561C1414}" keepAlive="1" name="Query - Mass Balance" description="Connection to the 'Mass Balance' query in the workbook." type="5" refreshedVersion="6" background="1" saveData="1">
    <dbPr connection="Provider=Microsoft.Mashup.OleDb.1;Data Source=$Workbook$;Location=&quot;Mass Balance&quot;;Extended Properties=&quot;&quot;" command="SELECT * FROM [Mass Balance]"/>
  </connection>
  <connection id="6" xr16:uid="{6E3AC3D1-96BF-4F6B-A735-D568DEE308D6}" keepAlive="1" name="Query - Well Construction" description="Connection to the 'Well Construction' query in the workbook." type="5" refreshedVersion="0" background="1">
    <dbPr connection="Provider=Microsoft.Mashup.OleDb.1;Data Source=$Workbook$;Location=&quot;Well Construction&quot;;Extended Properties=&quot;&quot;" command="SELECT * FROM [Well Construction]"/>
  </connection>
</connections>
</file>

<file path=xl/sharedStrings.xml><?xml version="1.0" encoding="utf-8"?>
<sst xmlns="http://schemas.openxmlformats.org/spreadsheetml/2006/main" count="389" uniqueCount="148">
  <si>
    <t>Depth_Top_ft</t>
  </si>
  <si>
    <t>Material</t>
  </si>
  <si>
    <t>Depth_ft</t>
  </si>
  <si>
    <t>Type</t>
  </si>
  <si>
    <t>static</t>
  </si>
  <si>
    <t>pumping</t>
  </si>
  <si>
    <t>filter pack</t>
  </si>
  <si>
    <t>column</t>
  </si>
  <si>
    <t>bowls</t>
  </si>
  <si>
    <t>Injection_Time</t>
  </si>
  <si>
    <t>Return_Time</t>
  </si>
  <si>
    <t>Travel_Time</t>
  </si>
  <si>
    <t>use</t>
  </si>
  <si>
    <t>Travel_Time_min</t>
  </si>
  <si>
    <t>WH</t>
  </si>
  <si>
    <t>DD</t>
  </si>
  <si>
    <t>pH</t>
  </si>
  <si>
    <t>NH3</t>
  </si>
  <si>
    <t>MDL</t>
  </si>
  <si>
    <t>MRL</t>
  </si>
  <si>
    <t>NL</t>
  </si>
  <si>
    <t>RL</t>
  </si>
  <si>
    <t>Code</t>
  </si>
  <si>
    <t>Name</t>
  </si>
  <si>
    <t>Wellhead</t>
  </si>
  <si>
    <t>Depth Dependent</t>
  </si>
  <si>
    <t>PHG</t>
  </si>
  <si>
    <t>MCL_Primary</t>
  </si>
  <si>
    <t>MCL_Secondary</t>
  </si>
  <si>
    <t>MCL_Recommended</t>
  </si>
  <si>
    <t>MCL_Upper</t>
  </si>
  <si>
    <t>MCL_ShortTerm</t>
  </si>
  <si>
    <t>Minimum Detection Limit</t>
  </si>
  <si>
    <t>Minimum Reporting Limit</t>
  </si>
  <si>
    <t>Notification Level</t>
  </si>
  <si>
    <t>Response Level</t>
  </si>
  <si>
    <t>Public Health Goal</t>
  </si>
  <si>
    <t>Primary MCL</t>
  </si>
  <si>
    <t>Secondary MCL</t>
  </si>
  <si>
    <t>Recommended MCL</t>
  </si>
  <si>
    <t>Upper MCL</t>
  </si>
  <si>
    <t>Short Term MCL</t>
  </si>
  <si>
    <t>MCL</t>
  </si>
  <si>
    <t>Maximum Contaminant Level</t>
  </si>
  <si>
    <t>units</t>
  </si>
  <si>
    <t>mg/L</t>
  </si>
  <si>
    <t>NO2-N</t>
  </si>
  <si>
    <t>NO3-N</t>
  </si>
  <si>
    <t>TOC</t>
  </si>
  <si>
    <t>S</t>
  </si>
  <si>
    <t>SO4</t>
  </si>
  <si>
    <t>F</t>
  </si>
  <si>
    <t>Fe</t>
  </si>
  <si>
    <t>Mn</t>
  </si>
  <si>
    <t>PO3</t>
  </si>
  <si>
    <t>TDS</t>
  </si>
  <si>
    <t>HS</t>
  </si>
  <si>
    <t>Turbidity</t>
  </si>
  <si>
    <t>NTU</t>
  </si>
  <si>
    <t>Br</t>
  </si>
  <si>
    <t>sand</t>
  </si>
  <si>
    <t>clay</t>
  </si>
  <si>
    <t>gravel_sand</t>
  </si>
  <si>
    <t>Depth_Bot_ft</t>
  </si>
  <si>
    <t>Diam_Bot_in</t>
  </si>
  <si>
    <t>Diam_Top_in</t>
  </si>
  <si>
    <t>Zone</t>
  </si>
  <si>
    <t>Flow_Zonal_gpm</t>
  </si>
  <si>
    <t>Flow_Zonal_percent</t>
  </si>
  <si>
    <t>Flow_Cumulative_gpm</t>
  </si>
  <si>
    <t>Avg_Velocity_ft/min</t>
  </si>
  <si>
    <t>Avg_Zonal_Flow_Density_gpm/ft</t>
  </si>
  <si>
    <t>b</t>
  </si>
  <si>
    <t>a</t>
  </si>
  <si>
    <t>sand_silt</t>
  </si>
  <si>
    <t>sand_gravel</t>
  </si>
  <si>
    <t>sand_clay</t>
  </si>
  <si>
    <t>clay_sand</t>
  </si>
  <si>
    <t>gravel_sand_clay</t>
  </si>
  <si>
    <t>No</t>
  </si>
  <si>
    <t>Depth_Int_ft</t>
  </si>
  <si>
    <t>d</t>
  </si>
  <si>
    <t>c</t>
  </si>
  <si>
    <t>PFOA</t>
  </si>
  <si>
    <t>PFOS</t>
  </si>
  <si>
    <t>ng/L</t>
  </si>
  <si>
    <t>Parameter</t>
  </si>
  <si>
    <t>TDS_percent</t>
  </si>
  <si>
    <t>PFOS_percent</t>
  </si>
  <si>
    <t>PFOA_percent</t>
  </si>
  <si>
    <t>TDS_mgL</t>
  </si>
  <si>
    <t>PFOS_ngL</t>
  </si>
  <si>
    <t>PFOA_ngL</t>
  </si>
  <si>
    <t>&lt;</t>
  </si>
  <si>
    <t>Elev_Top_ft</t>
  </si>
  <si>
    <t>Elev_Bot_ft</t>
  </si>
  <si>
    <t>Aquifer</t>
  </si>
  <si>
    <t>blue</t>
  </si>
  <si>
    <t>Exposition</t>
  </si>
  <si>
    <t>red</t>
  </si>
  <si>
    <t>Gaspur</t>
  </si>
  <si>
    <t>Thick_ft</t>
  </si>
  <si>
    <t>Gardena</t>
  </si>
  <si>
    <t>Hollydale</t>
  </si>
  <si>
    <t>Jefferson</t>
  </si>
  <si>
    <t>Lynwood</t>
  </si>
  <si>
    <t>Silverado</t>
  </si>
  <si>
    <t>Sunnyside</t>
  </si>
  <si>
    <t>% diff</t>
  </si>
  <si>
    <t>230-261 % - diff</t>
  </si>
  <si>
    <t>230-261 []</t>
  </si>
  <si>
    <t>sanitary seal</t>
  </si>
  <si>
    <t>weighted average</t>
  </si>
  <si>
    <t>check</t>
  </si>
  <si>
    <t>new wellhead average</t>
  </si>
  <si>
    <t>percent change</t>
  </si>
  <si>
    <t>change</t>
  </si>
  <si>
    <t>Sample Depth</t>
  </si>
  <si>
    <t>Use</t>
  </si>
  <si>
    <t>Cl_mg/L</t>
  </si>
  <si>
    <t>Ca_mg/L</t>
  </si>
  <si>
    <t>Cl_mgL</t>
  </si>
  <si>
    <t>Ca_mgL</t>
  </si>
  <si>
    <t>Cl_percent</t>
  </si>
  <si>
    <t>Ca_percent</t>
  </si>
  <si>
    <t>Ca</t>
  </si>
  <si>
    <t>Cl</t>
  </si>
  <si>
    <t>strainer</t>
  </si>
  <si>
    <t>MTBE</t>
  </si>
  <si>
    <t>MTBE_ug/L</t>
  </si>
  <si>
    <t>MTBE_ugL</t>
  </si>
  <si>
    <t>MTBE_percent</t>
  </si>
  <si>
    <t>ug/L</t>
  </si>
  <si>
    <t>TDS_mg/L</t>
  </si>
  <si>
    <t>ND</t>
  </si>
  <si>
    <t>--</t>
  </si>
  <si>
    <t>one</t>
  </si>
  <si>
    <t>two</t>
  </si>
  <si>
    <t>three</t>
  </si>
  <si>
    <t>four</t>
  </si>
  <si>
    <t>five</t>
  </si>
  <si>
    <t>SDLD6</t>
  </si>
  <si>
    <t>SDLD5</t>
  </si>
  <si>
    <t>SDLD4</t>
  </si>
  <si>
    <t>SDLD3</t>
  </si>
  <si>
    <t>SDLD2</t>
  </si>
  <si>
    <t>SDLD1</t>
  </si>
  <si>
    <t>well_id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</si>
</sst>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m\.ss"/>
    <numFmt numFmtId="167" formatCode="h:mm:ss;@"/>
  </numFmts>
  <fonts count="1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4" fillId="2" borderId="4" xfId="2" applyNumberFormat="1" applyFont="1" applyFill="1" applyBorder="1" applyAlignment="1">
      <alignment horizontal="center" vertical="center"/>
    </xf>
    <xf numFmtId="2" fontId="4" fillId="2" borderId="1" xfId="2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2" borderId="9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0" fontId="0" fillId="0" borderId="0" xfId="0"/>
    <xf numFmtId="1" fontId="7" fillId="2" borderId="4" xfId="0" applyNumberFormat="1" applyFont="1" applyFill="1" applyBorder="1" applyAlignment="1">
      <alignment horizontal="center" vertical="center"/>
    </xf>
    <xf numFmtId="165" fontId="7" fillId="2" borderId="13" xfId="2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0" fontId="7" fillId="2" borderId="15" xfId="2" applyNumberFormat="1" applyFon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65" fontId="7" fillId="2" borderId="15" xfId="2" applyNumberFormat="1" applyFont="1" applyFill="1" applyBorder="1" applyAlignment="1">
      <alignment horizontal="center" vertical="center"/>
    </xf>
    <xf numFmtId="164" fontId="7" fillId="2" borderId="11" xfId="0" applyNumberFormat="1" applyFont="1" applyFill="1" applyBorder="1" applyAlignment="1">
      <alignment horizontal="center" vertical="center"/>
    </xf>
    <xf numFmtId="10" fontId="7" fillId="2" borderId="12" xfId="2" applyNumberFormat="1" applyFon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0" fillId="2" borderId="11" xfId="0" applyNumberFormat="1" applyFill="1" applyBorder="1" applyAlignment="1">
      <alignment horizontal="center" vertical="center"/>
    </xf>
    <xf numFmtId="0" fontId="0" fillId="2" borderId="12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0" fillId="0" borderId="8" xfId="0" applyBorder="1" applyAlignment="1">
      <alignment horizontal="right"/>
    </xf>
    <xf numFmtId="2" fontId="0" fillId="0" borderId="18" xfId="0" applyNumberFormat="1" applyBorder="1"/>
    <xf numFmtId="10" fontId="0" fillId="0" borderId="0" xfId="2" applyNumberFormat="1" applyFont="1"/>
    <xf numFmtId="0" fontId="0" fillId="0" borderId="19" xfId="0" applyBorder="1"/>
    <xf numFmtId="1" fontId="0" fillId="2" borderId="0" xfId="0" applyNumberFormat="1" applyFill="1" applyBorder="1" applyAlignment="1">
      <alignment horizontal="center" vertical="center"/>
    </xf>
    <xf numFmtId="0" fontId="0" fillId="0" borderId="20" xfId="0" applyBorder="1"/>
    <xf numFmtId="165" fontId="0" fillId="0" borderId="0" xfId="0" applyNumberFormat="1" applyBorder="1"/>
    <xf numFmtId="165" fontId="8" fillId="0" borderId="7" xfId="2" applyNumberFormat="1" applyFont="1" applyBorder="1"/>
    <xf numFmtId="0" fontId="0" fillId="0" borderId="18" xfId="0" applyBorder="1"/>
    <xf numFmtId="165" fontId="8" fillId="0" borderId="23" xfId="2" applyNumberFormat="1" applyFont="1" applyBorder="1"/>
    <xf numFmtId="0" fontId="0" fillId="0" borderId="21" xfId="0" applyFill="1" applyBorder="1" applyAlignment="1">
      <alignment horizontal="right"/>
    </xf>
    <xf numFmtId="0" fontId="0" fillId="0" borderId="24" xfId="0" applyBorder="1"/>
    <xf numFmtId="0" fontId="0" fillId="0" borderId="24" xfId="0" applyFill="1" applyBorder="1"/>
    <xf numFmtId="2" fontId="0" fillId="0" borderId="24" xfId="2" applyNumberFormat="1" applyFont="1" applyBorder="1"/>
    <xf numFmtId="165" fontId="0" fillId="0" borderId="24" xfId="2" applyNumberFormat="1" applyFont="1" applyBorder="1"/>
    <xf numFmtId="0" fontId="0" fillId="0" borderId="25" xfId="0" applyFill="1" applyBorder="1"/>
    <xf numFmtId="0" fontId="0" fillId="0" borderId="25" xfId="0" applyBorder="1"/>
    <xf numFmtId="165" fontId="9" fillId="2" borderId="25" xfId="2" applyNumberFormat="1" applyFont="1" applyFill="1" applyBorder="1" applyAlignment="1">
      <alignment horizontal="center" vertical="center"/>
    </xf>
    <xf numFmtId="2" fontId="0" fillId="0" borderId="25" xfId="0" applyNumberFormat="1" applyBorder="1"/>
    <xf numFmtId="165" fontId="8" fillId="0" borderId="25" xfId="2" applyNumberFormat="1" applyFont="1" applyBorder="1"/>
    <xf numFmtId="0" fontId="0" fillId="0" borderId="26" xfId="0" applyFill="1" applyBorder="1"/>
    <xf numFmtId="0" fontId="0" fillId="0" borderId="26" xfId="0" applyBorder="1"/>
    <xf numFmtId="9" fontId="0" fillId="0" borderId="26" xfId="2" applyFont="1" applyBorder="1"/>
    <xf numFmtId="165" fontId="9" fillId="2" borderId="0" xfId="2" applyNumberFormat="1" applyFont="1" applyFill="1" applyBorder="1" applyAlignment="1">
      <alignment horizontal="center" vertical="center"/>
    </xf>
    <xf numFmtId="165" fontId="8" fillId="0" borderId="0" xfId="2" applyNumberFormat="1" applyFont="1" applyBorder="1"/>
    <xf numFmtId="1" fontId="0" fillId="0" borderId="5" xfId="0" applyNumberFormat="1" applyBorder="1" applyAlignment="1">
      <alignment horizontal="center"/>
    </xf>
    <xf numFmtId="1" fontId="7" fillId="2" borderId="5" xfId="0" applyNumberFormat="1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 vertical="center"/>
    </xf>
    <xf numFmtId="164" fontId="7" fillId="2" borderId="27" xfId="0" applyNumberFormat="1" applyFon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30" xfId="0" applyNumberFormat="1" applyBorder="1" applyAlignment="1">
      <alignment horizontal="center"/>
    </xf>
    <xf numFmtId="1" fontId="7" fillId="2" borderId="30" xfId="0" applyNumberFormat="1" applyFont="1" applyFill="1" applyBorder="1" applyAlignment="1">
      <alignment horizontal="center" vertical="center"/>
    </xf>
    <xf numFmtId="164" fontId="7" fillId="2" borderId="29" xfId="0" applyNumberFormat="1" applyFont="1" applyFill="1" applyBorder="1" applyAlignment="1">
      <alignment horizontal="center" vertical="center"/>
    </xf>
    <xf numFmtId="2" fontId="7" fillId="2" borderId="29" xfId="0" applyNumberFormat="1" applyFont="1" applyFill="1" applyBorder="1" applyAlignment="1">
      <alignment horizontal="center" vertical="center"/>
    </xf>
    <xf numFmtId="1" fontId="7" fillId="2" borderId="29" xfId="0" applyNumberFormat="1" applyFont="1" applyFill="1" applyBorder="1" applyAlignment="1">
      <alignment horizontal="center" vertical="center"/>
    </xf>
    <xf numFmtId="164" fontId="7" fillId="2" borderId="31" xfId="0" applyNumberFormat="1" applyFont="1" applyFill="1" applyBorder="1" applyAlignment="1">
      <alignment horizontal="center" vertical="center"/>
    </xf>
    <xf numFmtId="2" fontId="0" fillId="0" borderId="32" xfId="2" applyNumberFormat="1" applyFont="1" applyBorder="1"/>
    <xf numFmtId="2" fontId="0" fillId="0" borderId="33" xfId="2" applyNumberFormat="1" applyFont="1" applyBorder="1"/>
    <xf numFmtId="2" fontId="0" fillId="0" borderId="34" xfId="2" applyNumberFormat="1" applyFont="1" applyBorder="1"/>
    <xf numFmtId="165" fontId="0" fillId="0" borderId="35" xfId="2" applyNumberFormat="1" applyFont="1" applyBorder="1"/>
    <xf numFmtId="2" fontId="0" fillId="0" borderId="36" xfId="2" applyNumberFormat="1" applyFont="1" applyBorder="1"/>
    <xf numFmtId="9" fontId="0" fillId="0" borderId="39" xfId="2" applyFont="1" applyBorder="1"/>
    <xf numFmtId="9" fontId="0" fillId="0" borderId="40" xfId="2" applyFont="1" applyBorder="1"/>
    <xf numFmtId="165" fontId="7" fillId="2" borderId="5" xfId="2" applyNumberFormat="1" applyFont="1" applyFill="1" applyBorder="1" applyAlignment="1">
      <alignment horizontal="center" vertical="center"/>
    </xf>
    <xf numFmtId="165" fontId="9" fillId="2" borderId="7" xfId="2" applyNumberFormat="1" applyFont="1" applyFill="1" applyBorder="1" applyAlignment="1">
      <alignment horizontal="center" vertical="center"/>
    </xf>
    <xf numFmtId="165" fontId="9" fillId="2" borderId="23" xfId="2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8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42" xfId="0" applyNumberFormat="1" applyFill="1" applyBorder="1" applyAlignment="1">
      <alignment horizontal="center" vertical="center"/>
    </xf>
    <xf numFmtId="2" fontId="0" fillId="0" borderId="32" xfId="0" applyNumberFormat="1" applyBorder="1"/>
    <xf numFmtId="2" fontId="0" fillId="0" borderId="38" xfId="0" applyNumberFormat="1" applyBorder="1"/>
    <xf numFmtId="2" fontId="0" fillId="0" borderId="33" xfId="0" applyNumberFormat="1" applyBorder="1"/>
    <xf numFmtId="2" fontId="0" fillId="0" borderId="43" xfId="0" applyNumberFormat="1" applyBorder="1"/>
    <xf numFmtId="2" fontId="0" fillId="0" borderId="35" xfId="2" applyNumberFormat="1" applyFont="1" applyBorder="1"/>
    <xf numFmtId="2" fontId="0" fillId="0" borderId="36" xfId="0" applyNumberFormat="1" applyBorder="1"/>
    <xf numFmtId="2" fontId="0" fillId="0" borderId="37" xfId="0" applyNumberFormat="1" applyBorder="1"/>
    <xf numFmtId="165" fontId="0" fillId="0" borderId="32" xfId="0" applyNumberFormat="1" applyBorder="1"/>
    <xf numFmtId="165" fontId="0" fillId="0" borderId="38" xfId="0" applyNumberFormat="1" applyBorder="1"/>
    <xf numFmtId="165" fontId="8" fillId="0" borderId="32" xfId="2" applyNumberFormat="1" applyFont="1" applyBorder="1"/>
    <xf numFmtId="165" fontId="8" fillId="0" borderId="16" xfId="2" applyNumberFormat="1" applyFont="1" applyBorder="1"/>
    <xf numFmtId="165" fontId="8" fillId="0" borderId="33" xfId="2" applyNumberFormat="1" applyFont="1" applyBorder="1"/>
    <xf numFmtId="165" fontId="8" fillId="0" borderId="22" xfId="2" applyNumberFormat="1" applyFont="1" applyBorder="1"/>
    <xf numFmtId="165" fontId="0" fillId="0" borderId="34" xfId="2" applyNumberFormat="1" applyFont="1" applyBorder="1"/>
    <xf numFmtId="165" fontId="8" fillId="0" borderId="36" xfId="2" applyNumberFormat="1" applyFont="1" applyBorder="1"/>
    <xf numFmtId="165" fontId="8" fillId="0" borderId="37" xfId="2" applyNumberFormat="1" applyFont="1" applyBorder="1"/>
    <xf numFmtId="165" fontId="8" fillId="0" borderId="38" xfId="2" applyNumberFormat="1" applyFont="1" applyBorder="1"/>
    <xf numFmtId="166" fontId="0" fillId="0" borderId="0" xfId="0" applyNumberFormat="1"/>
    <xf numFmtId="0" fontId="0" fillId="0" borderId="6" xfId="0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2" xfId="0" applyBorder="1"/>
    <xf numFmtId="10" fontId="0" fillId="0" borderId="2" xfId="0" applyNumberFormat="1" applyBorder="1"/>
    <xf numFmtId="167" fontId="0" fillId="0" borderId="0" xfId="0" applyNumberFormat="1"/>
    <xf numFmtId="1" fontId="0" fillId="0" borderId="0" xfId="0" applyNumberFormat="1"/>
    <xf numFmtId="9" fontId="0" fillId="0" borderId="0" xfId="2" applyFont="1"/>
    <xf numFmtId="2" fontId="7" fillId="2" borderId="0" xfId="2" applyNumberFormat="1" applyFont="1" applyFill="1" applyBorder="1" applyAlignment="1">
      <alignment horizontal="center" vertical="center"/>
    </xf>
    <xf numFmtId="2" fontId="0" fillId="0" borderId="2" xfId="0" applyNumberFormat="1" applyBorder="1"/>
    <xf numFmtId="2" fontId="0" fillId="0" borderId="0" xfId="2" applyNumberFormat="1" applyFont="1"/>
    <xf numFmtId="164" fontId="4" fillId="2" borderId="4" xfId="2" applyNumberFormat="1" applyFont="1" applyFill="1" applyBorder="1" applyAlignment="1">
      <alignment horizontal="right" vertical="center"/>
    </xf>
    <xf numFmtId="164" fontId="0" fillId="0" borderId="0" xfId="0" applyNumberFormat="1" applyAlignment="1">
      <alignment horizontal="right"/>
    </xf>
    <xf numFmtId="0" fontId="0" fillId="0" borderId="44" xfId="0" applyBorder="1"/>
    <xf numFmtId="0" fontId="0" fillId="2" borderId="1" xfId="0" quotePrefix="1" applyNumberFormat="1" applyFill="1" applyBorder="1" applyAlignment="1">
      <alignment horizontal="center" vertical="center"/>
    </xf>
    <xf numFmtId="2" fontId="0" fillId="0" borderId="7" xfId="0" applyNumberFormat="1" applyBorder="1"/>
  </cellXfs>
  <cellStyles count="3">
    <cellStyle name="Normal" xfId="0" builtinId="0"/>
    <cellStyle name="Normal 2" xfId="1" xr:uid="{2C2079E4-A179-40CF-B18D-07B5CBC97B1B}"/>
    <cellStyle name="Percent" xfId="2" builtinId="5"/>
  </cellStyles>
  <dxfs count="23">
    <dxf>
      <font>
        <color rgb="FF000000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164" formatCode="0.0"/>
      <alignment horizontal="right" vertical="bottom" textRotation="0" wrapText="0" indent="0" justifyLastLine="0" shrinkToFit="0" readingOrder="0"/>
    </dxf>
    <dxf>
      <font>
        <color auto="1"/>
      </font>
      <numFmt numFmtId="164" formatCode="0.0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m\.ss"/>
    </dxf>
    <dxf>
      <numFmt numFmtId="1" formatCode="0"/>
    </dxf>
    <dxf>
      <numFmt numFmtId="26" formatCode="h:mm:ss"/>
    </dxf>
    <dxf>
      <numFmt numFmtId="167" formatCode="h:mm:ss;@"/>
    </dxf>
    <dxf>
      <numFmt numFmtId="167" formatCode="h:mm:ss;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6F9824-818C-40AC-A4A2-11187E7A7060}" autoFormatId="16" applyNumberFormats="0" applyBorderFormats="0" applyFontFormats="0" applyPatternFormats="0" applyAlignmentFormats="0" applyWidthHeightFormats="0">
  <queryTableRefresh nextId="10" unboundColumnsRight="1">
    <queryTableFields count="5">
      <queryTableField id="4" name="No" tableColumnId="4"/>
      <queryTableField id="3" name="Depth_ft" tableColumnId="3"/>
      <queryTableField id="2" name="Injection_Time" tableColumnId="2"/>
      <queryTableField id="1" name="Return_Time" tableColumnId="1"/>
      <queryTableField id="7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F728C94-3E8A-4B17-8157-2A2D55FE1781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No" tableColumnId="1"/>
      <queryTableField id="2" name="Depth_ft" tableColumnId="2"/>
      <queryTableField id="3" dataBound="0" tableColumnId="3"/>
      <queryTableField id="5" dataBound="0" tableColumnId="5"/>
    </queryTableFields>
    <queryTableDeletedFields count="2">
      <deletedField name="Return_Time"/>
      <deletedField name="Injection_Ti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F44DCDC-5771-4899-8701-933B61D79C3D}" autoFormatId="16" applyNumberFormats="0" applyBorderFormats="0" applyFontFormats="0" applyPatternFormats="0" applyAlignmentFormats="0" applyWidthHeightFormats="0">
  <queryTableRefresh nextId="9">
    <queryTableFields count="8">
      <queryTableField id="1" name="Depth_Top_ft" tableColumnId="1"/>
      <queryTableField id="2" name="Depth_Bot_ft" tableColumnId="2"/>
      <queryTableField id="3" name="Depth_Int_ft" tableColumnId="3"/>
      <queryTableField id="4" name="Avg_Velocity_ft/min" tableColumnId="4"/>
      <queryTableField id="5" name="Flow_Cumulative_gpm" tableColumnId="5"/>
      <queryTableField id="6" name="Flow_Zonal_gpm" tableColumnId="6"/>
      <queryTableField id="7" dataBound="0" tableColumnId="7"/>
      <queryTableField id="8" name="Avg_Zonal_Flow_Density_gpm/ft" tableColumnId="8"/>
    </queryTableFields>
    <queryTableDeletedFields count="1">
      <deletedField name="Flow_Zonal_percent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226DDD9-866F-481C-B11F-A9AABA46ED3C}" autoFormatId="16" applyNumberFormats="0" applyBorderFormats="0" applyFontFormats="0" applyPatternFormats="0" applyAlignmentFormats="0" applyWidthHeightFormats="0">
  <queryTableRefresh nextId="40" unboundColumnsLeft="1">
    <queryTableFields count="6">
      <queryTableField id="26" dataBound="0" tableColumnId="26"/>
      <queryTableField id="36" name="Depth_ft" tableColumnId="1"/>
      <queryTableField id="33" name="CL_mg/L" tableColumnId="6"/>
      <queryTableField id="30" name="TDS_mgL" tableColumnId="3"/>
      <queryTableField id="34" name="CA_mg/L" tableColumnId="7"/>
      <queryTableField id="39" name="MTBE_ug/L" tableColumnId="4"/>
    </queryTableFields>
    <queryTableDeletedFields count="1">
      <deletedField name="MTBE_ugL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ED1589B-D579-41C9-8589-E7C5D624E781}" autoFormatId="16" applyNumberFormats="0" applyBorderFormats="0" applyFontFormats="0" applyPatternFormats="0" applyAlignmentFormats="0" applyWidthHeightFormats="0">
  <queryTableRefresh nextId="17">
    <queryTableFields count="10">
      <queryTableField id="1" name="Depth_Top_ft" tableColumnId="1"/>
      <queryTableField id="2" name="Depth_Bot_ft" tableColumnId="2"/>
      <queryTableField id="3" name="Depth_Int_ft" tableColumnId="3"/>
      <queryTableField id="4" name="Flow_Cumulative_gpm" tableColumnId="4"/>
      <queryTableField id="5" name="Flow_Zonal_gpm" tableColumnId="5"/>
      <queryTableField id="6" name="Flow_Zonal_percent" tableColumnId="6"/>
      <queryTableField id="11" name="CL_mgL" tableColumnId="7"/>
      <queryTableField id="12" name="TDS_mgL" tableColumnId="8"/>
      <queryTableField id="13" name="Ca_mgL" tableColumnId="9"/>
      <queryTableField id="16" name="MTBE_ugL" tableColumnId="11"/>
    </queryTableFields>
    <queryTableDeletedFields count="1">
      <deletedField name="MTBE_ug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E633D-2322-4B7D-8242-F87AAEA1EAE1}" name="Dye_Return" displayName="Dye_Return" ref="A1:E60" tableType="queryTable" totalsRowShown="0">
  <autoFilter ref="A1:E60" xr:uid="{5461279C-E095-4EA7-9519-F850BC2CD136}"/>
  <tableColumns count="5">
    <tableColumn id="4" xr3:uid="{ADBE48D1-BCF7-4E94-92E0-3CF8CD1F11C0}" uniqueName="4" name="No" queryTableFieldId="4"/>
    <tableColumn id="3" xr3:uid="{020FBEA8-0DE7-4AF9-A7CF-78BA1CF2D9B7}" uniqueName="3" name="Depth_ft" queryTableFieldId="3" dataDxfId="22"/>
    <tableColumn id="2" xr3:uid="{70339B5D-5308-42B7-A000-174396327E00}" uniqueName="2" name="Injection_Time" queryTableFieldId="2" dataDxfId="21"/>
    <tableColumn id="1" xr3:uid="{17373C52-48A7-446D-8B6A-FD07A3A14B0D}" uniqueName="1" name="Return_Time" queryTableFieldId="1" dataDxfId="20"/>
    <tableColumn id="5" xr3:uid="{D2750752-B714-4F25-93D1-14E293E60DE5}" uniqueName="5" name="Travel_Time" queryTableFieldId="7" dataDxfId="19">
      <calculatedColumnFormula>Dye_Return[[#This Row],[Return_Time]]-Dye_Return[[#This Row],[Injection_Time]]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C4C543-397E-4C46-8F78-897A348A57F4}" name="Dye_Return__2" displayName="Dye_Return__2" ref="A1:D16" tableType="queryTable" totalsRowShown="0">
  <autoFilter ref="A1:D16" xr:uid="{62EDA667-69C9-4D78-A0A8-6B2C7D18F11F}"/>
  <tableColumns count="4">
    <tableColumn id="1" xr3:uid="{D3747018-45C0-4BC7-AAB5-46D3DBF1B2CF}" uniqueName="1" name="No" queryTableFieldId="1"/>
    <tableColumn id="2" xr3:uid="{68F50059-24CE-4628-97EA-4E547DB40E65}" uniqueName="2" name="Depth_ft" queryTableFieldId="2" dataDxfId="18"/>
    <tableColumn id="3" xr3:uid="{CBA92660-0ADD-4AFB-9E19-7C4D1CB2AB35}" uniqueName="3" name="Travel_Time_min" queryTableFieldId="3" dataDxfId="17"/>
    <tableColumn id="5" xr3:uid="{4150BD29-74A2-4F92-B188-CFD04380E289}" uniqueName="5" name="use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150BE6-FD97-4FAD-9F82-0F14D6C0DAC8}" name="Dynamic_Flow" displayName="Dynamic_Flow" ref="B1:I1048576" tableType="queryTable" totalsRowShown="0" headerRowDxfId="16" dataDxfId="14" headerRowBorderDxfId="15" tableBorderDxfId="13">
  <autoFilter ref="B1:I1048576" xr:uid="{A6AC1042-996F-4205-8B6D-F2F5BE6061C9}"/>
  <tableColumns count="8">
    <tableColumn id="1" xr3:uid="{B60CD1AF-FAA7-41B6-84B5-763C1DF422B2}" uniqueName="1" name="Depth_Top_ft" queryTableFieldId="1" dataDxfId="12"/>
    <tableColumn id="2" xr3:uid="{DAE7ABD1-F0F4-4E3D-8F3A-C44848D14760}" uniqueName="2" name="Depth_Bot_ft" queryTableFieldId="2" dataDxfId="11"/>
    <tableColumn id="3" xr3:uid="{0D20A18B-BD92-426A-B607-E492A092A059}" uniqueName="3" name="Depth_Int_ft" queryTableFieldId="3" dataDxfId="10"/>
    <tableColumn id="4" xr3:uid="{D559A185-E2DB-4C19-8C2F-F3A5A4F2DC9A}" uniqueName="4" name="Avg_Velocity_ft/min" queryTableFieldId="4" dataDxfId="9"/>
    <tableColumn id="5" xr3:uid="{3DA0F562-22EA-4A99-8900-1B5A621D09E3}" uniqueName="5" name="Flow_Cumulative_gpm" queryTableFieldId="5" dataDxfId="8"/>
    <tableColumn id="6" xr3:uid="{CDD4F8E6-F92A-4C60-B1A3-AB5FB6C693B3}" uniqueName="6" name="Flow_Zonal_gpm" queryTableFieldId="6" dataDxfId="7"/>
    <tableColumn id="7" xr3:uid="{1E16F4D2-609E-4944-AA91-888F294FDE52}" uniqueName="7" name="Flow_Zonal_percent" queryTableFieldId="7" dataDxfId="6" dataCellStyle="Percent"/>
    <tableColumn id="8" xr3:uid="{2626B714-2B85-46D5-A5A7-9962B1579173}" uniqueName="8" name="Avg_Zonal_Flow_Density_gpm/ft" queryTableFieldId="8" dataDxfId="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242D17-1F3F-4CF4-B7C9-BC7DC9261369}" name="Laboratory_Results" displayName="Laboratory_Results" ref="C1:H7" tableType="queryTable" totalsRowShown="0" headerRowBorderDxfId="4" tableBorderDxfId="3">
  <autoFilter ref="C1:H7" xr:uid="{F95F6651-7D9A-4AF5-9518-F5919E731A61}"/>
  <tableColumns count="6">
    <tableColumn id="26" xr3:uid="{F08C8507-293F-4E05-9F13-FDEE362F3AEF}" uniqueName="26" name="Use" queryTableFieldId="26"/>
    <tableColumn id="1" xr3:uid="{403000DD-E4D0-4F9B-A419-496AE946C5D6}" uniqueName="1" name="Depth_ft" queryTableFieldId="36"/>
    <tableColumn id="6" xr3:uid="{794827F7-F8DA-4476-9589-811B1DE4DA40}" uniqueName="6" name="Cl_mg/L" queryTableFieldId="33"/>
    <tableColumn id="3" xr3:uid="{D10FB58A-F695-4DB5-A534-8E1096710923}" uniqueName="3" name="TDS_mg/L" queryTableFieldId="30"/>
    <tableColumn id="7" xr3:uid="{79CCA035-7006-482C-B13C-5EBC7B4B61C8}" uniqueName="7" name="Ca_mg/L" queryTableFieldId="34"/>
    <tableColumn id="4" xr3:uid="{62AB39A5-7C64-4521-88D8-C237B573C607}" uniqueName="4" name="MTBE_ug/L" queryTableFieldId="3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AD8861-657F-4C48-B7E0-B4F45F59DE88}" name="Mass_Balance" displayName="Mass_Balance" ref="B1:K9" tableType="queryTable" totalsRowShown="0" headerRowDxfId="2" tableBorderDxfId="1">
  <autoFilter ref="B1:K9" xr:uid="{B6268E99-DA69-4B96-9200-3001DF5B4D62}"/>
  <tableColumns count="10">
    <tableColumn id="1" xr3:uid="{900290D2-2646-476D-BEA6-5CEE6EFA71D7}" uniqueName="1" name="Depth_Top_ft" queryTableFieldId="1"/>
    <tableColumn id="2" xr3:uid="{D83EACD0-125D-4FA6-B276-AA7BA707A2C0}" uniqueName="2" name="Depth_Bot_ft" queryTableFieldId="2"/>
    <tableColumn id="3" xr3:uid="{DFF557BA-1636-4D2E-84CE-ABD5532C26D6}" uniqueName="3" name="Depth_Int_ft" queryTableFieldId="3"/>
    <tableColumn id="4" xr3:uid="{DA02ADA5-E934-4692-89BD-867C4CC22A72}" uniqueName="4" name="Flow_Cumulative_gpm" queryTableFieldId="4"/>
    <tableColumn id="5" xr3:uid="{0490641F-EDD7-4A26-B9D6-80371CC40A45}" uniqueName="5" name="Flow_Zonal_gpm" queryTableFieldId="5"/>
    <tableColumn id="6" xr3:uid="{37BA3507-3E51-4A5E-938D-B687B6C87326}" uniqueName="6" name="Flow_Zonal_percent" queryTableFieldId="6" dataDxfId="0" dataCellStyle="Percent"/>
    <tableColumn id="7" xr3:uid="{FA8ECD1C-CE27-4C0A-A778-D64FD4D2FB61}" uniqueName="7" name="Cl_mgL" queryTableFieldId="11"/>
    <tableColumn id="8" xr3:uid="{081AEF69-059B-4900-B141-CDA8F32B431F}" uniqueName="8" name="TDS_mgL" queryTableFieldId="12"/>
    <tableColumn id="9" xr3:uid="{12187398-0007-42A2-8114-C4EFF393F267}" uniqueName="9" name="Ca_mgL" queryTableFieldId="13"/>
    <tableColumn id="11" xr3:uid="{7B82B50B-D44F-4404-A764-73887568F230}" uniqueName="11" name="MTBE_ugL" queryTableFieldId="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2EA3-3ADE-4609-9A50-0AB36FE75870}">
  <dimension ref="A1:G20"/>
  <sheetViews>
    <sheetView workbookViewId="0">
      <selection activeCell="A19" sqref="A19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5" style="24" bestFit="1" customWidth="1"/>
    <col min="4" max="4" width="10.6640625" style="24" bestFit="1" customWidth="1"/>
    <col min="5" max="5" width="10.5" style="24" bestFit="1" customWidth="1"/>
    <col min="6" max="16384" width="8.83203125" style="24"/>
  </cols>
  <sheetData>
    <row r="1" spans="1:7">
      <c r="A1" s="2" t="s">
        <v>0</v>
      </c>
      <c r="B1" s="2" t="s">
        <v>63</v>
      </c>
      <c r="C1" s="13" t="s">
        <v>1</v>
      </c>
      <c r="D1" s="15" t="s">
        <v>94</v>
      </c>
      <c r="E1" s="15" t="s">
        <v>95</v>
      </c>
      <c r="F1" s="15" t="s">
        <v>96</v>
      </c>
      <c r="G1" s="24">
        <v>90</v>
      </c>
    </row>
    <row r="2" spans="1:7">
      <c r="A2" s="24">
        <v>0</v>
      </c>
      <c r="B2" s="24">
        <v>8</v>
      </c>
      <c r="C2" s="24" t="s">
        <v>74</v>
      </c>
      <c r="D2" s="24">
        <f t="shared" ref="D2:D20" si="0">$G$1-A2</f>
        <v>90</v>
      </c>
      <c r="E2" s="24">
        <f t="shared" ref="E2:E20" si="1">$G$1-B2</f>
        <v>82</v>
      </c>
    </row>
    <row r="3" spans="1:7">
      <c r="A3" s="24">
        <f>B2</f>
        <v>8</v>
      </c>
      <c r="B3" s="24">
        <v>18</v>
      </c>
      <c r="C3" s="24" t="s">
        <v>75</v>
      </c>
      <c r="D3" s="24">
        <f t="shared" si="0"/>
        <v>82</v>
      </c>
      <c r="E3" s="24">
        <f t="shared" si="1"/>
        <v>72</v>
      </c>
    </row>
    <row r="4" spans="1:7">
      <c r="A4" s="24">
        <f t="shared" ref="A4:A20" si="2">B3</f>
        <v>18</v>
      </c>
      <c r="B4" s="24">
        <v>24</v>
      </c>
      <c r="C4" s="24" t="s">
        <v>76</v>
      </c>
      <c r="D4" s="24">
        <f t="shared" si="0"/>
        <v>72</v>
      </c>
      <c r="E4" s="24">
        <f t="shared" si="1"/>
        <v>66</v>
      </c>
    </row>
    <row r="5" spans="1:7">
      <c r="A5" s="24">
        <f t="shared" si="2"/>
        <v>24</v>
      </c>
      <c r="B5" s="24">
        <v>30</v>
      </c>
      <c r="C5" s="24" t="s">
        <v>75</v>
      </c>
      <c r="D5" s="24">
        <f t="shared" si="0"/>
        <v>66</v>
      </c>
      <c r="E5" s="24">
        <f t="shared" si="1"/>
        <v>60</v>
      </c>
    </row>
    <row r="6" spans="1:7">
      <c r="A6" s="24">
        <f t="shared" si="2"/>
        <v>30</v>
      </c>
      <c r="B6" s="24">
        <v>37</v>
      </c>
      <c r="C6" s="12" t="s">
        <v>77</v>
      </c>
      <c r="D6" s="24">
        <f t="shared" si="0"/>
        <v>60</v>
      </c>
      <c r="E6" s="24">
        <f t="shared" si="1"/>
        <v>53</v>
      </c>
    </row>
    <row r="7" spans="1:7">
      <c r="A7" s="24">
        <f t="shared" si="2"/>
        <v>37</v>
      </c>
      <c r="B7" s="24">
        <v>67</v>
      </c>
      <c r="C7" s="12" t="s">
        <v>60</v>
      </c>
      <c r="D7" s="24">
        <f t="shared" si="0"/>
        <v>53</v>
      </c>
      <c r="E7" s="24">
        <f>$G$1-B7</f>
        <v>23</v>
      </c>
    </row>
    <row r="8" spans="1:7">
      <c r="A8" s="24">
        <f t="shared" si="2"/>
        <v>67</v>
      </c>
      <c r="B8" s="24">
        <v>93</v>
      </c>
      <c r="C8" s="12" t="s">
        <v>76</v>
      </c>
      <c r="D8" s="24">
        <f t="shared" si="0"/>
        <v>23</v>
      </c>
      <c r="E8" s="24">
        <f t="shared" si="1"/>
        <v>-3</v>
      </c>
    </row>
    <row r="9" spans="1:7">
      <c r="A9" s="24">
        <f t="shared" si="2"/>
        <v>93</v>
      </c>
      <c r="B9" s="24">
        <v>103</v>
      </c>
      <c r="C9" s="12" t="s">
        <v>62</v>
      </c>
      <c r="D9" s="24">
        <f t="shared" si="0"/>
        <v>-3</v>
      </c>
      <c r="E9" s="24">
        <f t="shared" si="1"/>
        <v>-13</v>
      </c>
    </row>
    <row r="10" spans="1:7">
      <c r="A10" s="24">
        <f t="shared" si="2"/>
        <v>103</v>
      </c>
      <c r="B10" s="24">
        <v>128</v>
      </c>
      <c r="C10" s="12" t="s">
        <v>78</v>
      </c>
      <c r="D10" s="24">
        <f t="shared" si="0"/>
        <v>-13</v>
      </c>
      <c r="E10" s="24">
        <f t="shared" si="1"/>
        <v>-38</v>
      </c>
    </row>
    <row r="11" spans="1:7">
      <c r="A11" s="24">
        <f t="shared" si="2"/>
        <v>128</v>
      </c>
      <c r="B11" s="24">
        <v>144</v>
      </c>
      <c r="C11" s="12" t="s">
        <v>75</v>
      </c>
      <c r="D11" s="24">
        <f t="shared" si="0"/>
        <v>-38</v>
      </c>
      <c r="E11" s="24">
        <f t="shared" si="1"/>
        <v>-54</v>
      </c>
    </row>
    <row r="12" spans="1:7">
      <c r="A12" s="24">
        <f t="shared" si="2"/>
        <v>144</v>
      </c>
      <c r="B12" s="24">
        <v>201</v>
      </c>
      <c r="C12" s="12" t="s">
        <v>76</v>
      </c>
      <c r="D12" s="24">
        <f t="shared" si="0"/>
        <v>-54</v>
      </c>
      <c r="E12" s="24">
        <f t="shared" si="1"/>
        <v>-111</v>
      </c>
    </row>
    <row r="13" spans="1:7">
      <c r="A13" s="24">
        <f t="shared" si="2"/>
        <v>201</v>
      </c>
      <c r="B13" s="24">
        <v>260</v>
      </c>
      <c r="C13" s="12" t="s">
        <v>78</v>
      </c>
      <c r="D13" s="24">
        <f t="shared" si="0"/>
        <v>-111</v>
      </c>
      <c r="E13" s="24">
        <f t="shared" si="1"/>
        <v>-170</v>
      </c>
    </row>
    <row r="14" spans="1:7">
      <c r="A14" s="24">
        <f t="shared" si="2"/>
        <v>260</v>
      </c>
      <c r="B14" s="24">
        <v>273</v>
      </c>
      <c r="C14" s="12" t="s">
        <v>61</v>
      </c>
      <c r="D14" s="24">
        <f t="shared" si="0"/>
        <v>-170</v>
      </c>
      <c r="E14" s="24">
        <f t="shared" si="1"/>
        <v>-183</v>
      </c>
    </row>
    <row r="15" spans="1:7">
      <c r="A15" s="24">
        <f t="shared" si="2"/>
        <v>273</v>
      </c>
      <c r="B15" s="24">
        <v>346</v>
      </c>
      <c r="C15" s="12" t="s">
        <v>62</v>
      </c>
      <c r="D15" s="24">
        <f t="shared" si="0"/>
        <v>-183</v>
      </c>
      <c r="E15" s="24">
        <f t="shared" si="1"/>
        <v>-256</v>
      </c>
    </row>
    <row r="16" spans="1:7">
      <c r="A16" s="24">
        <f t="shared" si="2"/>
        <v>346</v>
      </c>
      <c r="B16" s="24">
        <v>444</v>
      </c>
      <c r="C16" s="12" t="s">
        <v>78</v>
      </c>
      <c r="D16" s="24">
        <f t="shared" si="0"/>
        <v>-256</v>
      </c>
      <c r="E16" s="24">
        <f t="shared" si="1"/>
        <v>-354</v>
      </c>
    </row>
    <row r="17" spans="1:5">
      <c r="A17" s="24">
        <f t="shared" si="2"/>
        <v>444</v>
      </c>
      <c r="B17" s="24">
        <v>495</v>
      </c>
      <c r="C17" s="12" t="s">
        <v>76</v>
      </c>
      <c r="D17" s="24">
        <f t="shared" si="0"/>
        <v>-354</v>
      </c>
      <c r="E17" s="24">
        <f t="shared" si="1"/>
        <v>-405</v>
      </c>
    </row>
    <row r="18" spans="1:5">
      <c r="A18" s="24">
        <f t="shared" si="2"/>
        <v>495</v>
      </c>
      <c r="B18" s="24">
        <v>505</v>
      </c>
      <c r="C18" s="12" t="s">
        <v>61</v>
      </c>
      <c r="D18" s="24">
        <f t="shared" si="0"/>
        <v>-405</v>
      </c>
      <c r="E18" s="24">
        <f t="shared" si="1"/>
        <v>-415</v>
      </c>
    </row>
    <row r="19" spans="1:5">
      <c r="A19" s="24">
        <f t="shared" si="2"/>
        <v>505</v>
      </c>
      <c r="B19" s="24">
        <v>518</v>
      </c>
      <c r="C19" s="12" t="s">
        <v>76</v>
      </c>
      <c r="D19" s="24">
        <f t="shared" si="0"/>
        <v>-415</v>
      </c>
      <c r="E19" s="24">
        <f t="shared" si="1"/>
        <v>-428</v>
      </c>
    </row>
    <row r="20" spans="1:5">
      <c r="A20" s="24">
        <f t="shared" si="2"/>
        <v>518</v>
      </c>
      <c r="B20" s="24">
        <v>660</v>
      </c>
      <c r="C20" s="12" t="s">
        <v>62</v>
      </c>
      <c r="D20" s="24">
        <f t="shared" si="0"/>
        <v>-428</v>
      </c>
      <c r="E20" s="24">
        <f t="shared" si="1"/>
        <v>-570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CA3A-DD79-4864-9583-10E87134E6C5}">
  <dimension ref="A1:E60"/>
  <sheetViews>
    <sheetView workbookViewId="0">
      <selection activeCell="M25" sqref="M25"/>
    </sheetView>
  </sheetViews>
  <sheetFormatPr baseColWidth="10" defaultColWidth="8.83203125" defaultRowHeight="15"/>
  <cols>
    <col min="1" max="1" width="5.83203125" style="24" bestFit="1" customWidth="1"/>
    <col min="2" max="2" width="11.1640625" style="133" bestFit="1" customWidth="1"/>
    <col min="3" max="3" width="16.6640625" style="132" bestFit="1" customWidth="1"/>
    <col min="4" max="4" width="14.6640625" style="132" bestFit="1" customWidth="1"/>
    <col min="5" max="5" width="16.5" style="24" bestFit="1" customWidth="1"/>
    <col min="6" max="6" width="17.5" bestFit="1" customWidth="1"/>
  </cols>
  <sheetData>
    <row r="1" spans="1:5">
      <c r="A1" s="24" t="s">
        <v>79</v>
      </c>
      <c r="B1" s="133" t="s">
        <v>2</v>
      </c>
      <c r="C1" s="132" t="s">
        <v>9</v>
      </c>
      <c r="D1" s="132" t="s">
        <v>10</v>
      </c>
      <c r="E1" s="2" t="s">
        <v>11</v>
      </c>
    </row>
    <row r="2" spans="1:5">
      <c r="A2" s="24">
        <v>1</v>
      </c>
      <c r="B2" s="133">
        <v>355</v>
      </c>
      <c r="C2" s="132">
        <v>0.3840277777777778</v>
      </c>
      <c r="D2" s="132">
        <v>0.38575231481481481</v>
      </c>
      <c r="E2" s="3">
        <f>Dye_Return[[#This Row],[Return_Time]]-Dye_Return[[#This Row],[Injection_Time]]</f>
        <v>1.7245370370370106E-3</v>
      </c>
    </row>
    <row r="3" spans="1:5">
      <c r="A3" s="24">
        <v>1</v>
      </c>
      <c r="B3" s="133">
        <v>355</v>
      </c>
      <c r="C3" s="132">
        <v>0.38611111111111113</v>
      </c>
      <c r="D3" s="132">
        <v>0.38783564814814814</v>
      </c>
      <c r="E3" s="3">
        <f>Dye_Return[[#This Row],[Return_Time]]-Dye_Return[[#This Row],[Injection_Time]]</f>
        <v>1.7245370370370106E-3</v>
      </c>
    </row>
    <row r="4" spans="1:5">
      <c r="A4" s="24">
        <v>1</v>
      </c>
      <c r="B4" s="133">
        <v>355</v>
      </c>
      <c r="C4" s="132">
        <v>0.38750000000000001</v>
      </c>
      <c r="D4" s="132">
        <v>0.38921296296296298</v>
      </c>
      <c r="E4" s="3">
        <f>Dye_Return[[#This Row],[Return_Time]]-Dye_Return[[#This Row],[Injection_Time]]</f>
        <v>1.7129629629629717E-3</v>
      </c>
    </row>
    <row r="5" spans="1:5">
      <c r="A5" s="24">
        <v>1</v>
      </c>
      <c r="B5" s="133">
        <v>355</v>
      </c>
      <c r="C5" s="132">
        <v>0.62465277777777772</v>
      </c>
      <c r="D5" s="132">
        <v>0.62634259259259262</v>
      </c>
      <c r="E5" s="3">
        <f>Dye_Return[[#This Row],[Return_Time]]-Dye_Return[[#This Row],[Injection_Time]]</f>
        <v>1.6898148148148939E-3</v>
      </c>
    </row>
    <row r="6" spans="1:5">
      <c r="A6" s="24">
        <v>2</v>
      </c>
      <c r="B6" s="133">
        <v>365</v>
      </c>
      <c r="C6" s="132">
        <v>0.390625</v>
      </c>
      <c r="D6" s="132">
        <v>0.39238425925925924</v>
      </c>
      <c r="E6" s="3">
        <f>Dye_Return[[#This Row],[Return_Time]]-Dye_Return[[#This Row],[Injection_Time]]</f>
        <v>1.7592592592592382E-3</v>
      </c>
    </row>
    <row r="7" spans="1:5">
      <c r="A7" s="24">
        <v>2</v>
      </c>
      <c r="B7" s="133">
        <v>365</v>
      </c>
      <c r="C7" s="132">
        <v>0.39131944444444444</v>
      </c>
      <c r="D7" s="132">
        <v>0.39307870370370368</v>
      </c>
      <c r="E7" s="3">
        <f>Dye_Return[[#This Row],[Return_Time]]-Dye_Return[[#This Row],[Injection_Time]]</f>
        <v>1.7592592592592382E-3</v>
      </c>
    </row>
    <row r="8" spans="1:5">
      <c r="A8" s="24">
        <v>2</v>
      </c>
      <c r="B8" s="133">
        <v>365</v>
      </c>
      <c r="C8" s="132">
        <v>0.39201388888888888</v>
      </c>
      <c r="D8" s="132">
        <v>0.39377314814814812</v>
      </c>
      <c r="E8" s="3">
        <f>Dye_Return[[#This Row],[Return_Time]]-Dye_Return[[#This Row],[Injection_Time]]</f>
        <v>1.7592592592592382E-3</v>
      </c>
    </row>
    <row r="9" spans="1:5">
      <c r="A9" s="24">
        <v>2</v>
      </c>
      <c r="B9" s="133">
        <v>365</v>
      </c>
      <c r="C9" s="132">
        <v>0.61388888888888893</v>
      </c>
      <c r="D9" s="132">
        <v>0.61562499999999998</v>
      </c>
      <c r="E9" s="3">
        <f>Dye_Return[[#This Row],[Return_Time]]-Dye_Return[[#This Row],[Injection_Time]]</f>
        <v>1.7361111111110494E-3</v>
      </c>
    </row>
    <row r="10" spans="1:5">
      <c r="A10" s="24">
        <v>2</v>
      </c>
      <c r="B10" s="133">
        <v>365</v>
      </c>
      <c r="C10" s="132">
        <v>0.61805555555555558</v>
      </c>
      <c r="D10" s="132">
        <v>0.61980324074074078</v>
      </c>
      <c r="E10" s="3">
        <f>Dye_Return[[#This Row],[Return_Time]]-Dye_Return[[#This Row],[Injection_Time]]</f>
        <v>1.7476851851851993E-3</v>
      </c>
    </row>
    <row r="11" spans="1:5">
      <c r="A11" s="24">
        <v>3</v>
      </c>
      <c r="B11" s="133">
        <v>380</v>
      </c>
      <c r="C11" s="132">
        <v>0.39513888888888887</v>
      </c>
      <c r="D11" s="132">
        <v>0.39696759259259257</v>
      </c>
      <c r="E11" s="3">
        <f>Dye_Return[[#This Row],[Return_Time]]-Dye_Return[[#This Row],[Injection_Time]]</f>
        <v>1.8287037037036935E-3</v>
      </c>
    </row>
    <row r="12" spans="1:5">
      <c r="A12" s="24">
        <v>3</v>
      </c>
      <c r="B12" s="133">
        <v>380</v>
      </c>
      <c r="C12" s="132">
        <v>0.39618055555555554</v>
      </c>
      <c r="D12" s="132">
        <v>0.39799768518518519</v>
      </c>
      <c r="E12" s="3">
        <f>Dye_Return[[#This Row],[Return_Time]]-Dye_Return[[#This Row],[Injection_Time]]</f>
        <v>1.8171296296296546E-3</v>
      </c>
    </row>
    <row r="13" spans="1:5">
      <c r="A13" s="24">
        <v>3</v>
      </c>
      <c r="B13" s="133">
        <v>380</v>
      </c>
      <c r="C13" s="132">
        <v>0.3972222222222222</v>
      </c>
      <c r="D13" s="132">
        <v>0.39906249999999999</v>
      </c>
      <c r="E13" s="3">
        <f>Dye_Return[[#This Row],[Return_Time]]-Dye_Return[[#This Row],[Injection_Time]]</f>
        <v>1.8402777777777879E-3</v>
      </c>
    </row>
    <row r="14" spans="1:5">
      <c r="A14" s="24">
        <v>4</v>
      </c>
      <c r="B14" s="133">
        <v>390</v>
      </c>
      <c r="C14" s="132">
        <v>0.4</v>
      </c>
      <c r="D14" s="132">
        <v>0.4019212962962963</v>
      </c>
      <c r="E14" s="3">
        <f>Dye_Return[[#This Row],[Return_Time]]-Dye_Return[[#This Row],[Injection_Time]]</f>
        <v>1.9212962962962821E-3</v>
      </c>
    </row>
    <row r="15" spans="1:5">
      <c r="A15" s="24">
        <v>4</v>
      </c>
      <c r="B15" s="133">
        <v>390</v>
      </c>
      <c r="C15" s="132">
        <v>0.40138888888888891</v>
      </c>
      <c r="D15" s="132">
        <v>0.40332175925925928</v>
      </c>
      <c r="E15" s="3">
        <f>Dye_Return[[#This Row],[Return_Time]]-Dye_Return[[#This Row],[Injection_Time]]</f>
        <v>1.9328703703703765E-3</v>
      </c>
    </row>
    <row r="16" spans="1:5">
      <c r="A16" s="24">
        <v>4</v>
      </c>
      <c r="B16" s="133">
        <v>390</v>
      </c>
      <c r="C16" s="132">
        <v>0.40243055555555557</v>
      </c>
      <c r="D16" s="132">
        <v>0.40436342592592595</v>
      </c>
      <c r="E16" s="3">
        <f>Dye_Return[[#This Row],[Return_Time]]-Dye_Return[[#This Row],[Injection_Time]]</f>
        <v>1.9328703703703765E-3</v>
      </c>
    </row>
    <row r="17" spans="1:5">
      <c r="A17" s="24">
        <v>5</v>
      </c>
      <c r="B17" s="133">
        <v>400</v>
      </c>
      <c r="C17" s="132">
        <v>0.40381944444444445</v>
      </c>
      <c r="D17" s="132">
        <v>0.40585648148148146</v>
      </c>
      <c r="E17" s="3">
        <f>Dye_Return[[#This Row],[Return_Time]]-Dye_Return[[#This Row],[Injection_Time]]</f>
        <v>2.0370370370370039E-3</v>
      </c>
    </row>
    <row r="18" spans="1:5">
      <c r="A18" s="24">
        <v>5</v>
      </c>
      <c r="B18" s="133">
        <v>400</v>
      </c>
      <c r="C18" s="132">
        <v>0.40486111111111112</v>
      </c>
      <c r="D18" s="132">
        <v>0.40689814814814818</v>
      </c>
      <c r="E18" s="3">
        <f>Dye_Return[[#This Row],[Return_Time]]-Dye_Return[[#This Row],[Injection_Time]]</f>
        <v>2.0370370370370594E-3</v>
      </c>
    </row>
    <row r="19" spans="1:5">
      <c r="A19" s="24">
        <v>5</v>
      </c>
      <c r="B19" s="133">
        <v>400</v>
      </c>
      <c r="C19" s="132">
        <v>0.40659722222222222</v>
      </c>
      <c r="D19" s="132">
        <v>0.40864583333333332</v>
      </c>
      <c r="E19" s="3">
        <f>Dye_Return[[#This Row],[Return_Time]]-Dye_Return[[#This Row],[Injection_Time]]</f>
        <v>2.0486111111110983E-3</v>
      </c>
    </row>
    <row r="20" spans="1:5">
      <c r="A20" s="24">
        <v>6</v>
      </c>
      <c r="B20" s="133">
        <v>415</v>
      </c>
      <c r="C20" s="132">
        <v>0.40902777777777777</v>
      </c>
      <c r="D20" s="132">
        <v>0.41143518518518518</v>
      </c>
      <c r="E20" s="3">
        <f>Dye_Return[[#This Row],[Return_Time]]-Dye_Return[[#This Row],[Injection_Time]]</f>
        <v>2.4074074074074137E-3</v>
      </c>
    </row>
    <row r="21" spans="1:5">
      <c r="A21" s="24">
        <v>6</v>
      </c>
      <c r="B21" s="133">
        <v>415</v>
      </c>
      <c r="C21" s="132">
        <v>0.41006944444444443</v>
      </c>
      <c r="D21" s="132">
        <v>0.41247685185185184</v>
      </c>
      <c r="E21" s="3">
        <f>Dye_Return[[#This Row],[Return_Time]]-Dye_Return[[#This Row],[Injection_Time]]</f>
        <v>2.4074074074074137E-3</v>
      </c>
    </row>
    <row r="22" spans="1:5">
      <c r="A22" s="24">
        <v>6</v>
      </c>
      <c r="B22" s="133">
        <v>415</v>
      </c>
      <c r="C22" s="132">
        <v>0.41111111111111109</v>
      </c>
      <c r="D22" s="132">
        <v>0.41349537037037037</v>
      </c>
      <c r="E22" s="3">
        <f>Dye_Return[[#This Row],[Return_Time]]-Dye_Return[[#This Row],[Injection_Time]]</f>
        <v>2.3842592592592804E-3</v>
      </c>
    </row>
    <row r="23" spans="1:5">
      <c r="A23" s="24">
        <v>6</v>
      </c>
      <c r="B23" s="133">
        <v>415</v>
      </c>
      <c r="C23" s="132">
        <v>0.609375</v>
      </c>
      <c r="D23" s="132">
        <v>0.61177083333333337</v>
      </c>
      <c r="E23" s="3">
        <f>Dye_Return[[#This Row],[Return_Time]]-Dye_Return[[#This Row],[Injection_Time]]</f>
        <v>2.3958333333333748E-3</v>
      </c>
    </row>
    <row r="24" spans="1:5">
      <c r="A24" s="24">
        <v>7</v>
      </c>
      <c r="B24" s="133">
        <v>425</v>
      </c>
      <c r="C24" s="132">
        <v>0.41354166666666664</v>
      </c>
      <c r="D24" s="132">
        <v>0.4161111111111111</v>
      </c>
      <c r="E24" s="3">
        <f>Dye_Return[[#This Row],[Return_Time]]-Dye_Return[[#This Row],[Injection_Time]]</f>
        <v>2.5694444444444575E-3</v>
      </c>
    </row>
    <row r="25" spans="1:5">
      <c r="A25" s="24">
        <v>7</v>
      </c>
      <c r="B25" s="133">
        <v>425</v>
      </c>
      <c r="C25" s="132">
        <v>0.41458333333333336</v>
      </c>
      <c r="D25" s="132">
        <v>0.41717592592592595</v>
      </c>
      <c r="E25" s="3">
        <f>Dye_Return[[#This Row],[Return_Time]]-Dye_Return[[#This Row],[Injection_Time]]</f>
        <v>2.5925925925925908E-3</v>
      </c>
    </row>
    <row r="26" spans="1:5">
      <c r="A26" s="24">
        <v>7</v>
      </c>
      <c r="B26" s="133">
        <v>425</v>
      </c>
      <c r="C26" s="132">
        <v>0.41562500000000002</v>
      </c>
      <c r="D26" s="132">
        <v>0.41820601851851852</v>
      </c>
      <c r="E26" s="3">
        <f>Dye_Return[[#This Row],[Return_Time]]-Dye_Return[[#This Row],[Injection_Time]]</f>
        <v>2.5810185185184964E-3</v>
      </c>
    </row>
    <row r="27" spans="1:5">
      <c r="A27" s="24">
        <v>7</v>
      </c>
      <c r="B27" s="133">
        <v>425</v>
      </c>
      <c r="C27" s="132">
        <v>0.60486111111111107</v>
      </c>
      <c r="D27" s="132">
        <v>0.60743055555555558</v>
      </c>
      <c r="E27" s="3">
        <f>Dye_Return[[#This Row],[Return_Time]]-Dye_Return[[#This Row],[Injection_Time]]</f>
        <v>2.569444444444513E-3</v>
      </c>
    </row>
    <row r="28" spans="1:5">
      <c r="A28" s="24">
        <v>8</v>
      </c>
      <c r="B28" s="133">
        <v>440</v>
      </c>
      <c r="C28" s="132">
        <v>0.41979166666666667</v>
      </c>
      <c r="D28" s="132">
        <v>0.42304398148148148</v>
      </c>
      <c r="E28" s="3">
        <f>Dye_Return[[#This Row],[Return_Time]]-Dye_Return[[#This Row],[Injection_Time]]</f>
        <v>3.2523148148148051E-3</v>
      </c>
    </row>
    <row r="29" spans="1:5">
      <c r="A29" s="24">
        <v>8</v>
      </c>
      <c r="B29" s="133">
        <v>440</v>
      </c>
      <c r="C29" s="132">
        <v>0.42083333333333334</v>
      </c>
      <c r="D29" s="132">
        <v>0.42416666666666669</v>
      </c>
      <c r="E29" s="3">
        <f>Dye_Return[[#This Row],[Return_Time]]-Dye_Return[[#This Row],[Injection_Time]]</f>
        <v>3.3333333333333548E-3</v>
      </c>
    </row>
    <row r="30" spans="1:5">
      <c r="A30" s="24">
        <v>8</v>
      </c>
      <c r="B30" s="133">
        <v>440</v>
      </c>
      <c r="C30" s="132">
        <v>0.421875</v>
      </c>
      <c r="D30" s="132">
        <v>0.42521990740740739</v>
      </c>
      <c r="E30" s="3">
        <f>Dye_Return[[#This Row],[Return_Time]]-Dye_Return[[#This Row],[Injection_Time]]</f>
        <v>3.3449074074073937E-3</v>
      </c>
    </row>
    <row r="31" spans="1:5">
      <c r="A31" s="24">
        <v>8</v>
      </c>
      <c r="B31" s="133">
        <v>440</v>
      </c>
      <c r="C31" s="132">
        <v>0.6333333333333333</v>
      </c>
      <c r="D31" s="132">
        <v>0.63674768518518521</v>
      </c>
      <c r="E31" s="3">
        <f>Dye_Return[[#This Row],[Return_Time]]-Dye_Return[[#This Row],[Injection_Time]]</f>
        <v>3.4143518518519045E-3</v>
      </c>
    </row>
    <row r="32" spans="1:5">
      <c r="A32" s="24">
        <v>8</v>
      </c>
      <c r="B32" s="133">
        <v>440</v>
      </c>
      <c r="C32" s="132">
        <v>0.6381944444444444</v>
      </c>
      <c r="D32" s="132">
        <v>0.64152777777777781</v>
      </c>
      <c r="E32" s="3">
        <f>Dye_Return[[#This Row],[Return_Time]]-Dye_Return[[#This Row],[Injection_Time]]</f>
        <v>3.3333333333334103E-3</v>
      </c>
    </row>
    <row r="33" spans="1:5">
      <c r="A33" s="24">
        <v>9</v>
      </c>
      <c r="B33" s="133">
        <v>455</v>
      </c>
      <c r="C33" s="132">
        <v>0.42499999999999999</v>
      </c>
      <c r="D33" s="132">
        <v>0.42943287037037037</v>
      </c>
      <c r="E33" s="3">
        <f>Dye_Return[[#This Row],[Return_Time]]-Dye_Return[[#This Row],[Injection_Time]]</f>
        <v>4.4328703703703787E-3</v>
      </c>
    </row>
    <row r="34" spans="1:5">
      <c r="A34" s="24">
        <v>9</v>
      </c>
      <c r="B34" s="133">
        <v>455</v>
      </c>
      <c r="C34" s="132">
        <v>0.42777777777777776</v>
      </c>
      <c r="D34" s="132">
        <v>0.4322685185185185</v>
      </c>
      <c r="E34" s="3">
        <f>Dye_Return[[#This Row],[Return_Time]]-Dye_Return[[#This Row],[Injection_Time]]</f>
        <v>4.4907407407407396E-3</v>
      </c>
    </row>
    <row r="35" spans="1:5">
      <c r="A35" s="24">
        <v>9</v>
      </c>
      <c r="B35" s="133">
        <v>455</v>
      </c>
      <c r="C35" s="132">
        <v>0.42916666666666664</v>
      </c>
      <c r="D35" s="132">
        <v>0.43362268518518521</v>
      </c>
      <c r="E35" s="3">
        <f>Dye_Return[[#This Row],[Return_Time]]-Dye_Return[[#This Row],[Injection_Time]]</f>
        <v>4.4560185185185675E-3</v>
      </c>
    </row>
    <row r="36" spans="1:5">
      <c r="A36" s="24">
        <v>9</v>
      </c>
      <c r="B36" s="133">
        <v>455</v>
      </c>
      <c r="C36" s="132">
        <v>0.43298611111111113</v>
      </c>
      <c r="D36" s="132">
        <v>0.43744212962962964</v>
      </c>
      <c r="E36" s="3">
        <f>Dye_Return[[#This Row],[Return_Time]]-Dye_Return[[#This Row],[Injection_Time]]</f>
        <v>4.4560185185185119E-3</v>
      </c>
    </row>
    <row r="37" spans="1:5">
      <c r="A37" s="24">
        <v>10</v>
      </c>
      <c r="B37" s="133">
        <v>470</v>
      </c>
      <c r="C37" s="132">
        <v>0.43715277777777778</v>
      </c>
      <c r="D37" s="132">
        <v>0.44343749999999998</v>
      </c>
      <c r="E37" s="3">
        <f>Dye_Return[[#This Row],[Return_Time]]-Dye_Return[[#This Row],[Injection_Time]]</f>
        <v>6.2847222222222054E-3</v>
      </c>
    </row>
    <row r="38" spans="1:5">
      <c r="A38" s="24">
        <v>10</v>
      </c>
      <c r="B38" s="133">
        <v>470</v>
      </c>
      <c r="C38" s="132">
        <v>0.44027777777777777</v>
      </c>
      <c r="D38" s="132">
        <v>0.44662037037037039</v>
      </c>
      <c r="E38" s="3">
        <f>Dye_Return[[#This Row],[Return_Time]]-Dye_Return[[#This Row],[Injection_Time]]</f>
        <v>6.3425925925926219E-3</v>
      </c>
    </row>
    <row r="39" spans="1:5">
      <c r="A39" s="24">
        <v>10</v>
      </c>
      <c r="B39" s="133">
        <v>470</v>
      </c>
      <c r="C39" s="132">
        <v>0.44444444444444442</v>
      </c>
      <c r="D39" s="132">
        <v>0.45067129629629632</v>
      </c>
      <c r="E39" s="3">
        <f>Dye_Return[[#This Row],[Return_Time]]-Dye_Return[[#This Row],[Injection_Time]]</f>
        <v>6.2268518518519E-3</v>
      </c>
    </row>
    <row r="40" spans="1:5">
      <c r="A40" s="24">
        <v>10</v>
      </c>
      <c r="B40" s="133">
        <v>470</v>
      </c>
      <c r="C40" s="132">
        <v>0.44837962962962963</v>
      </c>
      <c r="D40" s="132">
        <v>0.45481481481481484</v>
      </c>
      <c r="E40" s="3">
        <f>Dye_Return[[#This Row],[Return_Time]]-Dye_Return[[#This Row],[Injection_Time]]</f>
        <v>6.4351851851852104E-3</v>
      </c>
    </row>
    <row r="41" spans="1:5">
      <c r="A41" s="24">
        <v>11</v>
      </c>
      <c r="B41" s="133">
        <v>480</v>
      </c>
      <c r="C41" s="132">
        <v>0.45046296296296295</v>
      </c>
      <c r="D41" s="132">
        <v>0.4599537037037037</v>
      </c>
      <c r="E41" s="3">
        <f>Dye_Return[[#This Row],[Return_Time]]-Dye_Return[[#This Row],[Injection_Time]]</f>
        <v>9.490740740740744E-3</v>
      </c>
    </row>
    <row r="42" spans="1:5">
      <c r="A42" s="24">
        <v>11</v>
      </c>
      <c r="B42" s="133">
        <v>480</v>
      </c>
      <c r="C42" s="132">
        <v>0.45555555555555555</v>
      </c>
      <c r="D42" s="132">
        <v>0.46524305555555556</v>
      </c>
      <c r="E42" s="3">
        <f>Dye_Return[[#This Row],[Return_Time]]-Dye_Return[[#This Row],[Injection_Time]]</f>
        <v>9.6875000000000155E-3</v>
      </c>
    </row>
    <row r="43" spans="1:5">
      <c r="A43" s="24">
        <v>11</v>
      </c>
      <c r="B43" s="133">
        <v>480</v>
      </c>
      <c r="C43" s="132">
        <v>0.4597222222222222</v>
      </c>
      <c r="D43" s="132">
        <v>0.46938657407407408</v>
      </c>
      <c r="E43" s="3">
        <f>Dye_Return[[#This Row],[Return_Time]]-Dye_Return[[#This Row],[Injection_Time]]</f>
        <v>9.6643518518518823E-3</v>
      </c>
    </row>
    <row r="44" spans="1:5">
      <c r="A44" s="24">
        <v>11</v>
      </c>
      <c r="B44" s="133">
        <v>480</v>
      </c>
      <c r="C44" s="132">
        <v>0.46423611111111113</v>
      </c>
      <c r="D44" s="132">
        <v>0.47386574074074073</v>
      </c>
      <c r="E44" s="3">
        <f>Dye_Return[[#This Row],[Return_Time]]-Dye_Return[[#This Row],[Injection_Time]]</f>
        <v>9.6296296296295991E-3</v>
      </c>
    </row>
    <row r="45" spans="1:5">
      <c r="A45" s="24">
        <v>11</v>
      </c>
      <c r="B45" s="133">
        <v>480</v>
      </c>
      <c r="C45" s="132">
        <v>0.5864583333333333</v>
      </c>
      <c r="D45" s="132">
        <v>0.59415509259259258</v>
      </c>
      <c r="E45" s="3">
        <f>Dye_Return[[#This Row],[Return_Time]]-Dye_Return[[#This Row],[Injection_Time]]</f>
        <v>7.6967592592592782E-3</v>
      </c>
    </row>
    <row r="46" spans="1:5">
      <c r="A46" s="24">
        <v>11</v>
      </c>
      <c r="B46" s="133">
        <v>480</v>
      </c>
      <c r="C46" s="132">
        <v>0.59583333333333333</v>
      </c>
      <c r="D46" s="132">
        <v>0.60373842592592597</v>
      </c>
      <c r="E46" s="3">
        <f>Dye_Return[[#This Row],[Return_Time]]-Dye_Return[[#This Row],[Injection_Time]]</f>
        <v>7.9050925925926441E-3</v>
      </c>
    </row>
    <row r="47" spans="1:5">
      <c r="A47" s="24">
        <v>12</v>
      </c>
      <c r="B47" s="133">
        <v>490</v>
      </c>
      <c r="C47" s="132">
        <v>0.47465277777777776</v>
      </c>
      <c r="D47" s="132">
        <v>0.48418981481481482</v>
      </c>
      <c r="E47" s="3">
        <f>Dye_Return[[#This Row],[Return_Time]]-Dye_Return[[#This Row],[Injection_Time]]</f>
        <v>9.5370370370370661E-3</v>
      </c>
    </row>
    <row r="48" spans="1:5">
      <c r="A48" s="24">
        <v>12</v>
      </c>
      <c r="B48" s="133">
        <v>490</v>
      </c>
      <c r="C48" s="132">
        <v>0.47939814814814813</v>
      </c>
      <c r="D48" s="132">
        <v>0.48909722222222224</v>
      </c>
      <c r="E48" s="3">
        <f>Dye_Return[[#This Row],[Return_Time]]-Dye_Return[[#This Row],[Injection_Time]]</f>
        <v>9.6990740740741099E-3</v>
      </c>
    </row>
    <row r="49" spans="1:5">
      <c r="A49" s="24">
        <v>12</v>
      </c>
      <c r="B49" s="133">
        <v>490</v>
      </c>
      <c r="C49" s="132">
        <v>0.48541666666666666</v>
      </c>
      <c r="D49" s="132">
        <v>0.49510416666666668</v>
      </c>
      <c r="E49" s="3">
        <f>Dye_Return[[#This Row],[Return_Time]]-Dye_Return[[#This Row],[Injection_Time]]</f>
        <v>9.6875000000000155E-3</v>
      </c>
    </row>
    <row r="50" spans="1:5">
      <c r="A50" s="24">
        <v>12</v>
      </c>
      <c r="B50" s="133">
        <v>490</v>
      </c>
      <c r="C50" s="132">
        <v>0.49062499999999998</v>
      </c>
      <c r="D50" s="132">
        <v>0.50020833333333337</v>
      </c>
      <c r="E50" s="3">
        <f>Dye_Return[[#This Row],[Return_Time]]-Dye_Return[[#This Row],[Injection_Time]]</f>
        <v>9.5833333333333881E-3</v>
      </c>
    </row>
    <row r="51" spans="1:5">
      <c r="A51" s="24">
        <v>12</v>
      </c>
      <c r="B51" s="133">
        <v>490</v>
      </c>
      <c r="C51" s="132">
        <v>0.58194444444444449</v>
      </c>
      <c r="D51" s="132">
        <v>0.59160879629629626</v>
      </c>
      <c r="E51" s="3">
        <f>Dye_Return[[#This Row],[Return_Time]]-Dye_Return[[#This Row],[Injection_Time]]</f>
        <v>9.6643518518517713E-3</v>
      </c>
    </row>
    <row r="52" spans="1:5">
      <c r="A52" s="24">
        <v>13</v>
      </c>
      <c r="B52" s="133">
        <v>500</v>
      </c>
      <c r="C52" s="132">
        <v>0.49861111111111112</v>
      </c>
      <c r="D52" s="132">
        <v>0.51106481481481481</v>
      </c>
      <c r="E52" s="3">
        <f>Dye_Return[[#This Row],[Return_Time]]-Dye_Return[[#This Row],[Injection_Time]]</f>
        <v>1.2453703703703689E-2</v>
      </c>
    </row>
    <row r="53" spans="1:5">
      <c r="A53" s="24">
        <v>13</v>
      </c>
      <c r="B53" s="133">
        <v>500</v>
      </c>
      <c r="C53" s="132">
        <v>0.50370370370370365</v>
      </c>
      <c r="D53" s="132">
        <v>0.51594907407407409</v>
      </c>
      <c r="E53" s="3">
        <f>Dye_Return[[#This Row],[Return_Time]]-Dye_Return[[#This Row],[Injection_Time]]</f>
        <v>1.2245370370370434E-2</v>
      </c>
    </row>
    <row r="54" spans="1:5">
      <c r="A54" s="24">
        <v>13</v>
      </c>
      <c r="B54" s="133">
        <v>500</v>
      </c>
      <c r="C54" s="132">
        <v>0.51145833333333335</v>
      </c>
      <c r="D54" s="132">
        <v>0.52423611111111112</v>
      </c>
      <c r="E54" s="3">
        <f>Dye_Return[[#This Row],[Return_Time]]-Dye_Return[[#This Row],[Injection_Time]]</f>
        <v>1.2777777777777777E-2</v>
      </c>
    </row>
    <row r="55" spans="1:5">
      <c r="A55" s="24">
        <v>13</v>
      </c>
      <c r="B55" s="133">
        <v>500</v>
      </c>
      <c r="C55" s="132">
        <v>0.51770833333333333</v>
      </c>
      <c r="D55" s="132">
        <v>0.5299652777777778</v>
      </c>
      <c r="E55" s="3">
        <f>Dye_Return[[#This Row],[Return_Time]]-Dye_Return[[#This Row],[Injection_Time]]</f>
        <v>1.2256944444444473E-2</v>
      </c>
    </row>
    <row r="56" spans="1:5">
      <c r="A56" s="24">
        <v>14</v>
      </c>
      <c r="B56" s="133">
        <v>515</v>
      </c>
      <c r="C56" s="132">
        <v>0.52986111111111112</v>
      </c>
      <c r="D56" s="132">
        <v>0.54576388888888894</v>
      </c>
      <c r="E56" s="3">
        <f>Dye_Return[[#This Row],[Return_Time]]-Dye_Return[[#This Row],[Injection_Time]]</f>
        <v>1.5902777777777821E-2</v>
      </c>
    </row>
    <row r="57" spans="1:5">
      <c r="A57" s="24">
        <v>14</v>
      </c>
      <c r="B57" s="133">
        <v>515</v>
      </c>
      <c r="C57" s="132">
        <v>0.53692129629629626</v>
      </c>
      <c r="D57" s="132">
        <v>0.55312499999999998</v>
      </c>
      <c r="E57" s="3">
        <f>Dye_Return[[#This Row],[Return_Time]]-Dye_Return[[#This Row],[Injection_Time]]</f>
        <v>1.620370370370372E-2</v>
      </c>
    </row>
    <row r="58" spans="1:5">
      <c r="A58" s="24">
        <v>14</v>
      </c>
      <c r="B58" s="133">
        <v>515</v>
      </c>
      <c r="C58" s="132">
        <v>0.54374999999999996</v>
      </c>
      <c r="D58" s="132">
        <v>0.55905092592592598</v>
      </c>
      <c r="E58" s="3">
        <f>Dye_Return[[#This Row],[Return_Time]]-Dye_Return[[#This Row],[Injection_Time]]</f>
        <v>1.5300925925926023E-2</v>
      </c>
    </row>
    <row r="59" spans="1:5">
      <c r="A59" s="24">
        <v>14</v>
      </c>
      <c r="B59" s="133">
        <v>515</v>
      </c>
      <c r="C59" s="132">
        <v>0.55069444444444449</v>
      </c>
      <c r="D59" s="132">
        <v>0.56615740740740739</v>
      </c>
      <c r="E59" s="3">
        <f>Dye_Return[[#This Row],[Return_Time]]-Dye_Return[[#This Row],[Injection_Time]]</f>
        <v>1.5462962962962901E-2</v>
      </c>
    </row>
    <row r="60" spans="1:5">
      <c r="A60" s="24">
        <v>15</v>
      </c>
      <c r="B60" s="133">
        <v>530</v>
      </c>
      <c r="C60" s="132">
        <v>0.56122685185185184</v>
      </c>
      <c r="D60" s="132">
        <v>0.58083333333333331</v>
      </c>
      <c r="E60" s="3">
        <f>Dye_Return[[#This Row],[Return_Time]]-Dye_Return[[#This Row],[Injection_Time]]</f>
        <v>1.9606481481481475E-2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A4E6-F63B-45A0-843A-ED338F441637}">
  <dimension ref="A1:D16"/>
  <sheetViews>
    <sheetView workbookViewId="0">
      <selection activeCell="B1" sqref="B1:B1048576"/>
    </sheetView>
  </sheetViews>
  <sheetFormatPr baseColWidth="10" defaultColWidth="8.83203125" defaultRowHeight="15"/>
  <cols>
    <col min="1" max="1" width="5.83203125" style="24" bestFit="1" customWidth="1"/>
    <col min="2" max="2" width="11.1640625" style="133" bestFit="1" customWidth="1"/>
    <col min="3" max="3" width="16.83203125" style="24" customWidth="1"/>
  </cols>
  <sheetData>
    <row r="1" spans="1:4">
      <c r="A1" s="24" t="s">
        <v>79</v>
      </c>
      <c r="B1" s="133" t="s">
        <v>2</v>
      </c>
      <c r="C1" s="24" t="s">
        <v>13</v>
      </c>
      <c r="D1" t="s">
        <v>12</v>
      </c>
    </row>
    <row r="2" spans="1:4">
      <c r="A2" s="24">
        <v>1</v>
      </c>
      <c r="B2" s="133">
        <v>355</v>
      </c>
      <c r="C2" s="125">
        <v>1.7245370370370106E-3</v>
      </c>
      <c r="D2" t="b">
        <v>1</v>
      </c>
    </row>
    <row r="3" spans="1:4">
      <c r="A3" s="24">
        <v>2</v>
      </c>
      <c r="B3" s="133">
        <v>365</v>
      </c>
      <c r="C3" s="125">
        <v>1.7592592592592382E-3</v>
      </c>
      <c r="D3" s="24" t="b">
        <v>1</v>
      </c>
    </row>
    <row r="4" spans="1:4">
      <c r="A4" s="24">
        <v>3</v>
      </c>
      <c r="B4" s="133">
        <v>380</v>
      </c>
      <c r="C4" s="125">
        <v>1.8287037037036935E-3</v>
      </c>
      <c r="D4" s="24" t="b">
        <v>1</v>
      </c>
    </row>
    <row r="5" spans="1:4">
      <c r="A5" s="24">
        <v>4</v>
      </c>
      <c r="B5" s="133">
        <v>390</v>
      </c>
      <c r="C5" s="125">
        <v>1.9212962962962821E-3</v>
      </c>
      <c r="D5" s="24" t="b">
        <v>1</v>
      </c>
    </row>
    <row r="6" spans="1:4">
      <c r="A6" s="24">
        <v>5</v>
      </c>
      <c r="B6" s="133">
        <v>400</v>
      </c>
      <c r="C6" s="125">
        <v>2.0370370370370039E-3</v>
      </c>
      <c r="D6" s="24" t="b">
        <v>1</v>
      </c>
    </row>
    <row r="7" spans="1:4">
      <c r="A7" s="24">
        <v>6</v>
      </c>
      <c r="B7" s="133">
        <v>415</v>
      </c>
      <c r="C7" s="125">
        <v>2.4074074074074137E-3</v>
      </c>
      <c r="D7" s="24" t="b">
        <v>1</v>
      </c>
    </row>
    <row r="8" spans="1:4">
      <c r="A8" s="24">
        <v>7</v>
      </c>
      <c r="B8" s="133">
        <v>425</v>
      </c>
      <c r="C8" s="125">
        <v>2.5694444444444575E-3</v>
      </c>
      <c r="D8" s="24" t="b">
        <v>1</v>
      </c>
    </row>
    <row r="9" spans="1:4">
      <c r="A9" s="24">
        <v>8</v>
      </c>
      <c r="B9" s="133">
        <v>440</v>
      </c>
      <c r="C9" s="125">
        <v>3.2523148148148051E-3</v>
      </c>
      <c r="D9" s="24" t="b">
        <v>1</v>
      </c>
    </row>
    <row r="10" spans="1:4">
      <c r="A10" s="24">
        <v>9</v>
      </c>
      <c r="B10" s="133">
        <v>455</v>
      </c>
      <c r="C10" s="125">
        <v>4.4328703703703787E-3</v>
      </c>
      <c r="D10" s="24" t="b">
        <v>1</v>
      </c>
    </row>
    <row r="11" spans="1:4">
      <c r="A11" s="24">
        <v>10</v>
      </c>
      <c r="B11" s="133">
        <v>470</v>
      </c>
      <c r="C11" s="125">
        <v>6.2847222222222054E-3</v>
      </c>
      <c r="D11" s="24" t="b">
        <v>1</v>
      </c>
    </row>
    <row r="12" spans="1:4">
      <c r="A12" s="24">
        <v>11</v>
      </c>
      <c r="B12" s="133">
        <v>480</v>
      </c>
      <c r="C12" s="125">
        <v>9.490740740740744E-3</v>
      </c>
      <c r="D12" s="24" t="b">
        <v>1</v>
      </c>
    </row>
    <row r="13" spans="1:4">
      <c r="A13" s="24">
        <v>12</v>
      </c>
      <c r="B13" s="133">
        <v>490</v>
      </c>
      <c r="C13" s="125">
        <v>9.5370370370370661E-3</v>
      </c>
      <c r="D13" s="24" t="b">
        <v>1</v>
      </c>
    </row>
    <row r="14" spans="1:4">
      <c r="A14" s="24">
        <v>13</v>
      </c>
      <c r="B14" s="133">
        <v>500</v>
      </c>
      <c r="C14" s="125">
        <v>1.2453703703703689E-2</v>
      </c>
      <c r="D14" s="24" t="b">
        <v>1</v>
      </c>
    </row>
    <row r="15" spans="1:4">
      <c r="A15" s="24">
        <v>14</v>
      </c>
      <c r="B15" s="133">
        <v>515</v>
      </c>
      <c r="C15" s="125">
        <v>1.5902777777777821E-2</v>
      </c>
      <c r="D15" s="24" t="b">
        <v>1</v>
      </c>
    </row>
    <row r="16" spans="1:4">
      <c r="A16" s="24">
        <v>15</v>
      </c>
      <c r="B16" s="133">
        <v>530</v>
      </c>
      <c r="C16" s="125">
        <v>1.9606481481481475E-2</v>
      </c>
      <c r="D16" s="24" t="b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B330-E811-41A3-8D88-85E7E3B0A955}">
  <sheetPr>
    <tabColor theme="4"/>
  </sheetPr>
  <dimension ref="A1:I15"/>
  <sheetViews>
    <sheetView workbookViewId="0">
      <selection activeCell="I21" sqref="I21"/>
    </sheetView>
  </sheetViews>
  <sheetFormatPr baseColWidth="10" defaultColWidth="8.83203125" defaultRowHeight="15"/>
  <cols>
    <col min="1" max="1" width="5.5" style="11" bestFit="1" customWidth="1"/>
    <col min="2" max="2" width="17.83203125" style="5" bestFit="1" customWidth="1"/>
    <col min="3" max="3" width="17.5" style="5" bestFit="1" customWidth="1"/>
    <col min="4" max="4" width="16.83203125" style="5" bestFit="1" customWidth="1"/>
    <col min="5" max="5" width="24.1640625" style="139" bestFit="1" customWidth="1"/>
    <col min="6" max="6" width="26.33203125" style="139" bestFit="1" customWidth="1"/>
    <col min="7" max="7" width="20.6640625" style="139" bestFit="1" customWidth="1"/>
    <col min="8" max="8" width="17.6640625" style="24" bestFit="1" customWidth="1"/>
    <col min="9" max="9" width="35.5" style="139" bestFit="1" customWidth="1"/>
  </cols>
  <sheetData>
    <row r="1" spans="1:9">
      <c r="A1" s="2" t="s">
        <v>66</v>
      </c>
      <c r="B1" s="126" t="s">
        <v>0</v>
      </c>
      <c r="C1" s="41" t="s">
        <v>63</v>
      </c>
      <c r="D1" s="41" t="s">
        <v>80</v>
      </c>
      <c r="E1" s="41" t="s">
        <v>70</v>
      </c>
      <c r="F1" s="41" t="s">
        <v>69</v>
      </c>
      <c r="G1" s="41" t="s">
        <v>67</v>
      </c>
      <c r="H1" s="2" t="s">
        <v>68</v>
      </c>
      <c r="I1" s="42" t="s">
        <v>71</v>
      </c>
    </row>
    <row r="2" spans="1:9">
      <c r="A2" s="5">
        <v>1</v>
      </c>
      <c r="B2" s="24">
        <v>355</v>
      </c>
      <c r="C2" s="24">
        <v>370</v>
      </c>
      <c r="D2" s="24">
        <v>15</v>
      </c>
      <c r="E2" s="128">
        <v>150.00000000000054</v>
      </c>
      <c r="F2" s="128">
        <v>1977.9999999999998</v>
      </c>
      <c r="G2" s="128">
        <v>8.8675733422860503E-12</v>
      </c>
      <c r="H2" s="138">
        <f>G2/F$2*100</f>
        <v>4.4831007797199454E-13</v>
      </c>
      <c r="I2" s="128">
        <v>8.8675733422860501E-13</v>
      </c>
    </row>
    <row r="3" spans="1:9">
      <c r="A3" s="5">
        <v>2</v>
      </c>
      <c r="B3" s="24">
        <v>370</v>
      </c>
      <c r="C3" s="24">
        <v>380</v>
      </c>
      <c r="D3" s="24">
        <v>10</v>
      </c>
      <c r="E3" s="128">
        <v>149.99999999999986</v>
      </c>
      <c r="F3" s="128">
        <v>1977.9999999999909</v>
      </c>
      <c r="G3" s="128">
        <v>1065.0769230769138</v>
      </c>
      <c r="H3" s="138">
        <f t="shared" ref="H3:H15" si="0">G3/F$2*100</f>
        <v>53.846153846153378</v>
      </c>
      <c r="I3" s="128">
        <v>106.50769230769137</v>
      </c>
    </row>
    <row r="4" spans="1:9">
      <c r="A4" s="5">
        <v>3</v>
      </c>
      <c r="B4" s="24">
        <v>380</v>
      </c>
      <c r="C4" s="24">
        <v>390</v>
      </c>
      <c r="D4" s="24">
        <v>10</v>
      </c>
      <c r="E4" s="128">
        <v>69.230769230769482</v>
      </c>
      <c r="F4" s="128">
        <v>912.92307692307702</v>
      </c>
      <c r="G4" s="128">
        <v>147.24565756824427</v>
      </c>
      <c r="H4" s="138">
        <f t="shared" si="0"/>
        <v>7.4441687344916225</v>
      </c>
      <c r="I4" s="128">
        <v>14.724565756824427</v>
      </c>
    </row>
    <row r="5" spans="1:9">
      <c r="A5" s="5">
        <v>4</v>
      </c>
      <c r="B5" s="24">
        <v>390</v>
      </c>
      <c r="C5" s="24">
        <v>400</v>
      </c>
      <c r="D5" s="24">
        <v>10</v>
      </c>
      <c r="E5" s="128">
        <v>58.064516129032015</v>
      </c>
      <c r="F5" s="128">
        <v>765.67741935483275</v>
      </c>
      <c r="G5" s="128">
        <v>356.43604004448946</v>
      </c>
      <c r="H5" s="138">
        <f t="shared" si="0"/>
        <v>18.020022246940822</v>
      </c>
      <c r="I5" s="128">
        <v>35.643604004448946</v>
      </c>
    </row>
    <row r="6" spans="1:9">
      <c r="A6" s="5">
        <v>5</v>
      </c>
      <c r="B6" s="24">
        <v>400</v>
      </c>
      <c r="C6" s="24">
        <v>410</v>
      </c>
      <c r="D6" s="24">
        <v>10</v>
      </c>
      <c r="E6" s="128">
        <v>31.034482758620687</v>
      </c>
      <c r="F6" s="128">
        <v>409.24137931034329</v>
      </c>
      <c r="G6" s="128">
        <v>0</v>
      </c>
      <c r="H6" s="138">
        <f t="shared" si="0"/>
        <v>0</v>
      </c>
      <c r="I6" s="128">
        <v>0</v>
      </c>
    </row>
    <row r="7" spans="1:9">
      <c r="A7" s="5">
        <v>6</v>
      </c>
      <c r="B7" s="24">
        <v>410</v>
      </c>
      <c r="C7" s="24">
        <v>430</v>
      </c>
      <c r="D7" s="24">
        <v>20</v>
      </c>
      <c r="E7" s="128">
        <v>31.034482758620687</v>
      </c>
      <c r="F7" s="128">
        <v>409.24137931034329</v>
      </c>
      <c r="G7" s="128">
        <v>0</v>
      </c>
      <c r="H7" s="138">
        <f t="shared" si="0"/>
        <v>0</v>
      </c>
      <c r="I7" s="128">
        <v>0</v>
      </c>
    </row>
    <row r="8" spans="1:9">
      <c r="A8" s="5">
        <v>7</v>
      </c>
      <c r="B8" s="24">
        <v>430</v>
      </c>
      <c r="C8" s="24">
        <v>440</v>
      </c>
      <c r="D8" s="24">
        <v>10</v>
      </c>
      <c r="E8" s="128">
        <v>31.034482758620687</v>
      </c>
      <c r="F8" s="128">
        <v>409.24137931034329</v>
      </c>
      <c r="G8" s="128">
        <v>286.95389863028197</v>
      </c>
      <c r="H8" s="138">
        <f t="shared" si="0"/>
        <v>14.507274956030436</v>
      </c>
      <c r="I8" s="128">
        <v>28.695389863028197</v>
      </c>
    </row>
    <row r="9" spans="1:9">
      <c r="A9" s="5">
        <v>8</v>
      </c>
      <c r="B9" s="24">
        <v>440</v>
      </c>
      <c r="C9" s="24">
        <v>455</v>
      </c>
      <c r="D9" s="24">
        <v>15</v>
      </c>
      <c r="E9" s="128">
        <v>9.2735703245749583</v>
      </c>
      <c r="F9" s="128">
        <v>122.28748068006135</v>
      </c>
      <c r="G9" s="128">
        <v>48.573194965775869</v>
      </c>
      <c r="H9" s="138">
        <f t="shared" si="0"/>
        <v>2.4556721418491341</v>
      </c>
      <c r="I9" s="128">
        <v>3.2382129977183913</v>
      </c>
    </row>
    <row r="10" spans="1:9">
      <c r="A10" s="5">
        <v>9</v>
      </c>
      <c r="B10" s="24">
        <v>455</v>
      </c>
      <c r="C10" s="24">
        <v>470</v>
      </c>
      <c r="D10" s="24">
        <v>15</v>
      </c>
      <c r="E10" s="128">
        <v>5.5900621118012452</v>
      </c>
      <c r="F10" s="128">
        <v>73.714285714285481</v>
      </c>
      <c r="G10" s="128">
        <v>11.780821917808261</v>
      </c>
      <c r="H10" s="138">
        <f>G10/F$2*100</f>
        <v>0.59559261465158053</v>
      </c>
      <c r="I10" s="128">
        <v>0.78538812785388401</v>
      </c>
    </row>
    <row r="11" spans="1:9">
      <c r="A11" s="5">
        <v>10</v>
      </c>
      <c r="B11" s="24">
        <v>470</v>
      </c>
      <c r="C11" s="24">
        <v>480</v>
      </c>
      <c r="D11" s="24">
        <v>10</v>
      </c>
      <c r="E11" s="128">
        <v>4.6966731898238709</v>
      </c>
      <c r="F11" s="128">
        <v>61.93346379647722</v>
      </c>
      <c r="G11" s="128">
        <v>13.689561357452988</v>
      </c>
      <c r="H11" s="138">
        <f t="shared" si="0"/>
        <v>0.69209106963867495</v>
      </c>
      <c r="I11" s="128">
        <v>1.3689561357452988</v>
      </c>
    </row>
    <row r="12" spans="1:9">
      <c r="A12" s="5">
        <v>11</v>
      </c>
      <c r="B12" s="24">
        <v>480</v>
      </c>
      <c r="C12" s="24">
        <v>490</v>
      </c>
      <c r="D12" s="24">
        <v>10</v>
      </c>
      <c r="E12" s="128">
        <v>3.6585365853658547</v>
      </c>
      <c r="F12" s="128">
        <v>48.243902439024232</v>
      </c>
      <c r="G12" s="128">
        <v>12.280266075387999</v>
      </c>
      <c r="H12" s="138">
        <f t="shared" si="0"/>
        <v>0.62084257206208293</v>
      </c>
      <c r="I12" s="128">
        <v>1.2280266075388</v>
      </c>
    </row>
    <row r="13" spans="1:9">
      <c r="A13" s="5">
        <v>12</v>
      </c>
      <c r="B13" s="24">
        <v>490</v>
      </c>
      <c r="C13" s="24">
        <v>500</v>
      </c>
      <c r="D13" s="24">
        <v>10</v>
      </c>
      <c r="E13" s="128">
        <v>2.7272727272727275</v>
      </c>
      <c r="F13" s="128">
        <v>35.963636363636233</v>
      </c>
      <c r="G13" s="128">
        <v>1.2618819776714432</v>
      </c>
      <c r="H13" s="138">
        <f t="shared" si="0"/>
        <v>6.3795853269537073E-2</v>
      </c>
      <c r="I13" s="128">
        <v>0.12618819776714432</v>
      </c>
    </row>
    <row r="14" spans="1:9">
      <c r="A14" s="5">
        <v>13</v>
      </c>
      <c r="B14" s="24">
        <v>500</v>
      </c>
      <c r="C14" s="24">
        <v>515</v>
      </c>
      <c r="D14" s="24">
        <v>15</v>
      </c>
      <c r="E14" s="128">
        <v>2.6315789473684212</v>
      </c>
      <c r="F14" s="128">
        <v>34.70175438596479</v>
      </c>
      <c r="G14" s="128">
        <v>0</v>
      </c>
      <c r="H14" s="138">
        <f t="shared" si="0"/>
        <v>0</v>
      </c>
      <c r="I14" s="128">
        <v>0</v>
      </c>
    </row>
    <row r="15" spans="1:9">
      <c r="A15" s="5">
        <v>14</v>
      </c>
      <c r="B15" s="24">
        <v>515</v>
      </c>
      <c r="C15" s="24">
        <v>540</v>
      </c>
      <c r="D15" s="24">
        <v>25</v>
      </c>
      <c r="E15" s="128">
        <v>2.6315789473684212</v>
      </c>
      <c r="F15" s="128">
        <v>34.70175438596479</v>
      </c>
      <c r="G15" s="128">
        <v>34.70175438596479</v>
      </c>
      <c r="H15" s="138">
        <f t="shared" si="0"/>
        <v>1.7543859649122746</v>
      </c>
      <c r="I15" s="128">
        <v>2.3134502923976528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58BB-FA59-494C-936D-4FF3100ACBCD}">
  <sheetPr>
    <tabColor theme="4"/>
  </sheetPr>
  <dimension ref="A1:I15"/>
  <sheetViews>
    <sheetView workbookViewId="0">
      <selection activeCell="I16" sqref="I16"/>
    </sheetView>
  </sheetViews>
  <sheetFormatPr baseColWidth="10" defaultColWidth="8.83203125" defaultRowHeight="15"/>
  <cols>
    <col min="1" max="1" width="5" style="11" bestFit="1" customWidth="1"/>
    <col min="2" max="2" width="12.33203125" style="11" bestFit="1" customWidth="1"/>
    <col min="3" max="3" width="12.1640625" style="11" bestFit="1" customWidth="1"/>
    <col min="4" max="4" width="12.1640625" style="11" customWidth="1"/>
    <col min="5" max="5" width="17.6640625" style="11" bestFit="1" customWidth="1"/>
    <col min="6" max="6" width="19.6640625" style="11" bestFit="1" customWidth="1"/>
    <col min="7" max="7" width="14.83203125" style="11" bestFit="1" customWidth="1"/>
    <col min="8" max="8" width="17.6640625" style="11" bestFit="1" customWidth="1"/>
    <col min="9" max="9" width="28.1640625" style="11" bestFit="1" customWidth="1"/>
    <col min="10" max="16384" width="8.83203125" style="11"/>
  </cols>
  <sheetData>
    <row r="1" spans="1:9">
      <c r="A1" s="2" t="s">
        <v>66</v>
      </c>
      <c r="B1" s="2" t="s">
        <v>0</v>
      </c>
      <c r="C1" s="2" t="s">
        <v>63</v>
      </c>
      <c r="D1" s="2" t="s">
        <v>80</v>
      </c>
      <c r="E1" s="2" t="s">
        <v>70</v>
      </c>
      <c r="F1" s="2" t="s">
        <v>69</v>
      </c>
      <c r="G1" s="2" t="s">
        <v>67</v>
      </c>
      <c r="H1" s="2" t="s">
        <v>68</v>
      </c>
      <c r="I1" s="15" t="s">
        <v>71</v>
      </c>
    </row>
    <row r="2" spans="1:9">
      <c r="A2" s="5">
        <v>1</v>
      </c>
      <c r="B2" s="24">
        <v>355</v>
      </c>
      <c r="C2" s="24">
        <v>370</v>
      </c>
      <c r="D2" s="24">
        <v>15</v>
      </c>
      <c r="E2" s="21"/>
      <c r="F2" s="16"/>
      <c r="G2" s="16"/>
      <c r="H2" s="18"/>
      <c r="I2" s="17"/>
    </row>
    <row r="3" spans="1:9">
      <c r="A3" s="5">
        <v>2</v>
      </c>
      <c r="B3" s="24">
        <v>370</v>
      </c>
      <c r="C3" s="24">
        <v>380</v>
      </c>
      <c r="D3" s="24">
        <v>10</v>
      </c>
      <c r="E3" s="22"/>
      <c r="F3" s="17"/>
      <c r="G3" s="17"/>
      <c r="H3" s="19"/>
      <c r="I3" s="17"/>
    </row>
    <row r="4" spans="1:9">
      <c r="A4" s="5">
        <v>3</v>
      </c>
      <c r="B4" s="24">
        <v>380</v>
      </c>
      <c r="C4" s="24">
        <v>390</v>
      </c>
      <c r="D4" s="24">
        <v>10</v>
      </c>
      <c r="E4" s="22"/>
      <c r="F4" s="17"/>
      <c r="G4" s="17"/>
      <c r="H4" s="19"/>
      <c r="I4" s="17"/>
    </row>
    <row r="5" spans="1:9">
      <c r="A5" s="5">
        <v>4</v>
      </c>
      <c r="B5" s="24">
        <v>390</v>
      </c>
      <c r="C5" s="24">
        <v>400</v>
      </c>
      <c r="D5" s="24">
        <v>10</v>
      </c>
      <c r="E5" s="22"/>
      <c r="F5" s="17"/>
      <c r="G5" s="17"/>
      <c r="H5" s="19"/>
      <c r="I5" s="17"/>
    </row>
    <row r="6" spans="1:9">
      <c r="A6" s="5">
        <v>5</v>
      </c>
      <c r="B6" s="24">
        <v>400</v>
      </c>
      <c r="C6" s="24">
        <v>410</v>
      </c>
      <c r="D6" s="24">
        <v>10</v>
      </c>
      <c r="E6" s="22"/>
      <c r="F6" s="17"/>
      <c r="G6" s="17"/>
      <c r="H6" s="19"/>
      <c r="I6" s="17"/>
    </row>
    <row r="7" spans="1:9">
      <c r="A7" s="5">
        <v>6</v>
      </c>
      <c r="B7" s="24">
        <v>410</v>
      </c>
      <c r="C7" s="24">
        <v>430</v>
      </c>
      <c r="D7" s="24">
        <v>20</v>
      </c>
      <c r="E7" s="22"/>
      <c r="F7" s="17"/>
      <c r="G7" s="17"/>
      <c r="H7" s="19"/>
      <c r="I7" s="17"/>
    </row>
    <row r="8" spans="1:9">
      <c r="A8" s="5">
        <v>7</v>
      </c>
      <c r="B8" s="24">
        <v>430</v>
      </c>
      <c r="C8" s="24">
        <v>440</v>
      </c>
      <c r="D8" s="24">
        <v>10</v>
      </c>
      <c r="E8" s="22"/>
      <c r="F8" s="17"/>
      <c r="G8" s="17"/>
      <c r="H8" s="19"/>
      <c r="I8" s="17"/>
    </row>
    <row r="9" spans="1:9">
      <c r="A9" s="5">
        <v>8</v>
      </c>
      <c r="B9" s="24">
        <v>440</v>
      </c>
      <c r="C9" s="24">
        <v>455</v>
      </c>
      <c r="D9" s="24">
        <v>15</v>
      </c>
      <c r="E9" s="22"/>
      <c r="F9" s="17"/>
      <c r="G9" s="17"/>
      <c r="H9" s="17"/>
      <c r="I9" s="17"/>
    </row>
    <row r="10" spans="1:9">
      <c r="A10" s="5">
        <v>9</v>
      </c>
      <c r="B10" s="24">
        <v>455</v>
      </c>
      <c r="C10" s="24">
        <v>470</v>
      </c>
      <c r="D10" s="24">
        <v>15</v>
      </c>
      <c r="E10" s="22"/>
      <c r="F10" s="17"/>
      <c r="G10" s="17"/>
      <c r="H10" s="17"/>
      <c r="I10" s="17"/>
    </row>
    <row r="11" spans="1:9">
      <c r="A11" s="5">
        <v>10</v>
      </c>
      <c r="B11" s="24">
        <v>470</v>
      </c>
      <c r="C11" s="24">
        <v>480</v>
      </c>
      <c r="D11" s="24">
        <v>10</v>
      </c>
      <c r="E11" s="22"/>
      <c r="F11" s="17"/>
      <c r="G11" s="17"/>
      <c r="H11" s="17"/>
      <c r="I11" s="17"/>
    </row>
    <row r="12" spans="1:9">
      <c r="A12" s="5">
        <v>11</v>
      </c>
      <c r="B12" s="24">
        <v>480</v>
      </c>
      <c r="C12" s="24">
        <v>490</v>
      </c>
      <c r="D12" s="24">
        <v>10</v>
      </c>
      <c r="E12" s="22"/>
      <c r="F12" s="17"/>
      <c r="G12" s="17"/>
      <c r="H12" s="17"/>
      <c r="I12" s="17"/>
    </row>
    <row r="13" spans="1:9">
      <c r="A13" s="5">
        <v>12</v>
      </c>
      <c r="B13" s="24">
        <v>490</v>
      </c>
      <c r="C13" s="24">
        <v>500</v>
      </c>
      <c r="D13" s="24">
        <v>10</v>
      </c>
      <c r="E13" s="22"/>
      <c r="F13" s="17"/>
      <c r="G13" s="17"/>
      <c r="H13" s="17"/>
      <c r="I13" s="17"/>
    </row>
    <row r="14" spans="1:9">
      <c r="A14" s="5">
        <v>13</v>
      </c>
      <c r="B14" s="24">
        <v>500</v>
      </c>
      <c r="C14" s="24">
        <v>515</v>
      </c>
      <c r="D14" s="24">
        <v>15</v>
      </c>
      <c r="E14" s="23"/>
      <c r="F14" s="17"/>
      <c r="G14" s="17"/>
      <c r="H14" s="17"/>
      <c r="I14" s="17"/>
    </row>
    <row r="15" spans="1:9">
      <c r="A15" s="5">
        <v>14</v>
      </c>
      <c r="B15" s="24">
        <v>515</v>
      </c>
      <c r="C15" s="24">
        <v>540</v>
      </c>
      <c r="D15" s="24">
        <v>25</v>
      </c>
      <c r="E15" s="23"/>
      <c r="F15" s="17"/>
      <c r="G15" s="17"/>
      <c r="H15" s="17"/>
      <c r="I15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7145-1E39-494B-A654-BC7827F5B554}">
  <dimension ref="A1:I7"/>
  <sheetViews>
    <sheetView workbookViewId="0">
      <selection activeCell="J3" sqref="J3"/>
    </sheetView>
  </sheetViews>
  <sheetFormatPr baseColWidth="10" defaultColWidth="8.83203125" defaultRowHeight="15"/>
  <cols>
    <col min="1" max="1" width="4.83203125" style="24" bestFit="1" customWidth="1"/>
    <col min="2" max="2" width="3.5" style="24" bestFit="1" customWidth="1"/>
    <col min="3" max="3" width="6.5" style="24" bestFit="1" customWidth="1"/>
    <col min="4" max="4" width="11.1640625" style="24" bestFit="1" customWidth="1"/>
    <col min="5" max="5" width="10.5" style="24" bestFit="1" customWidth="1"/>
    <col min="6" max="6" width="11.1640625" style="24" bestFit="1" customWidth="1"/>
    <col min="7" max="7" width="10.83203125" style="24" bestFit="1" customWidth="1"/>
    <col min="8" max="9" width="13" style="24" bestFit="1" customWidth="1"/>
    <col min="10" max="10" width="10.83203125" style="24" bestFit="1" customWidth="1"/>
    <col min="11" max="11" width="11.1640625" style="24" bestFit="1" customWidth="1"/>
    <col min="12" max="12" width="10.33203125" style="24" bestFit="1" customWidth="1"/>
    <col min="13" max="13" width="10.6640625" style="24" bestFit="1" customWidth="1"/>
    <col min="14" max="14" width="12" style="24" bestFit="1" customWidth="1"/>
    <col min="15" max="15" width="34" style="24" bestFit="1" customWidth="1"/>
    <col min="16" max="16" width="12" style="24" bestFit="1" customWidth="1"/>
    <col min="17" max="17" width="21.5" style="24" bestFit="1" customWidth="1"/>
    <col min="18" max="18" width="20.5" style="24" bestFit="1" customWidth="1"/>
    <col min="19" max="19" width="20.83203125" style="24" bestFit="1" customWidth="1"/>
    <col min="20" max="20" width="14.5" style="24" bestFit="1" customWidth="1"/>
    <col min="21" max="21" width="27.5" style="24" bestFit="1" customWidth="1"/>
    <col min="22" max="22" width="13.5" style="24" bestFit="1" customWidth="1"/>
    <col min="23" max="23" width="21.83203125" style="24" bestFit="1" customWidth="1"/>
    <col min="24" max="24" width="10.5" style="24" bestFit="1" customWidth="1"/>
    <col min="25" max="25" width="24.5" style="24" bestFit="1" customWidth="1"/>
    <col min="26" max="26" width="14.83203125" style="24" bestFit="1" customWidth="1"/>
    <col min="27" max="27" width="29.5" style="24" bestFit="1" customWidth="1"/>
    <col min="28" max="28" width="17" style="24" bestFit="1" customWidth="1"/>
    <col min="29" max="29" width="13.5" style="24" bestFit="1" customWidth="1"/>
    <col min="30" max="30" width="14.33203125" style="24" bestFit="1" customWidth="1"/>
    <col min="31" max="31" width="10.83203125" style="24" bestFit="1" customWidth="1"/>
    <col min="32" max="33" width="18.33203125" style="24" bestFit="1" customWidth="1"/>
    <col min="34" max="34" width="15.5" style="24" bestFit="1" customWidth="1"/>
    <col min="35" max="35" width="13.6640625" style="24" bestFit="1" customWidth="1"/>
    <col min="36" max="36" width="14.33203125" style="24" bestFit="1" customWidth="1"/>
    <col min="37" max="37" width="31" style="24" bestFit="1" customWidth="1"/>
    <col min="38" max="38" width="15.83203125" style="24" bestFit="1" customWidth="1"/>
    <col min="39" max="39" width="8.33203125" style="24" bestFit="1" customWidth="1"/>
    <col min="40" max="40" width="6.1640625" style="24" bestFit="1" customWidth="1"/>
    <col min="41" max="41" width="9.1640625" style="24" bestFit="1" customWidth="1"/>
    <col min="42" max="42" width="10.5" style="24" bestFit="1" customWidth="1"/>
    <col min="43" max="43" width="10.6640625" style="24" bestFit="1" customWidth="1"/>
    <col min="44" max="16384" width="8.83203125" style="24"/>
  </cols>
  <sheetData>
    <row r="1" spans="1:9">
      <c r="A1" s="24" t="s">
        <v>3</v>
      </c>
      <c r="B1" s="24" t="s">
        <v>79</v>
      </c>
      <c r="C1" s="24" t="s">
        <v>118</v>
      </c>
      <c r="D1" s="140" t="s">
        <v>2</v>
      </c>
      <c r="E1" t="s">
        <v>119</v>
      </c>
      <c r="F1" t="s">
        <v>133</v>
      </c>
      <c r="G1" t="s">
        <v>120</v>
      </c>
      <c r="H1" s="140" t="s">
        <v>129</v>
      </c>
      <c r="I1"/>
    </row>
    <row r="2" spans="1:9">
      <c r="A2" s="24" t="s">
        <v>14</v>
      </c>
      <c r="B2" s="24">
        <v>1</v>
      </c>
      <c r="C2" s="24" t="b">
        <v>1</v>
      </c>
      <c r="D2" s="24">
        <v>0</v>
      </c>
      <c r="E2">
        <v>1300</v>
      </c>
      <c r="F2">
        <v>2600</v>
      </c>
      <c r="G2">
        <v>290</v>
      </c>
      <c r="H2" s="24">
        <v>5.7</v>
      </c>
      <c r="I2"/>
    </row>
    <row r="3" spans="1:9">
      <c r="A3" s="24" t="s">
        <v>15</v>
      </c>
      <c r="B3" s="24">
        <v>1</v>
      </c>
      <c r="C3" s="24" t="b">
        <v>1</v>
      </c>
      <c r="D3" s="24">
        <v>380</v>
      </c>
      <c r="E3">
        <v>2600</v>
      </c>
      <c r="F3">
        <v>4600</v>
      </c>
      <c r="G3">
        <v>590</v>
      </c>
      <c r="H3" s="24">
        <v>0.26</v>
      </c>
      <c r="I3"/>
    </row>
    <row r="4" spans="1:9">
      <c r="A4" s="24" t="s">
        <v>15</v>
      </c>
      <c r="B4" s="24">
        <v>2</v>
      </c>
      <c r="C4" s="24" t="b">
        <v>1</v>
      </c>
      <c r="D4" s="24">
        <v>390</v>
      </c>
      <c r="E4">
        <v>2600</v>
      </c>
      <c r="F4">
        <v>4700</v>
      </c>
      <c r="G4">
        <v>620</v>
      </c>
      <c r="H4" s="24">
        <v>0.26</v>
      </c>
      <c r="I4"/>
    </row>
    <row r="5" spans="1:9">
      <c r="A5" s="24" t="s">
        <v>15</v>
      </c>
      <c r="B5" s="24">
        <v>3</v>
      </c>
      <c r="C5" s="24" t="b">
        <v>1</v>
      </c>
      <c r="D5" s="24">
        <v>415</v>
      </c>
      <c r="E5">
        <v>4500</v>
      </c>
      <c r="F5">
        <v>7600</v>
      </c>
      <c r="G5">
        <v>1100</v>
      </c>
      <c r="H5" s="24">
        <v>0.26</v>
      </c>
      <c r="I5"/>
    </row>
    <row r="6" spans="1:9">
      <c r="A6" s="24" t="s">
        <v>15</v>
      </c>
      <c r="B6" s="24">
        <v>4</v>
      </c>
      <c r="C6" s="24" t="b">
        <v>1</v>
      </c>
      <c r="D6" s="24">
        <v>440</v>
      </c>
      <c r="E6">
        <v>5300</v>
      </c>
      <c r="F6">
        <v>9500</v>
      </c>
      <c r="G6">
        <v>1200</v>
      </c>
      <c r="H6" s="24">
        <v>0.26</v>
      </c>
      <c r="I6"/>
    </row>
    <row r="7" spans="1:9">
      <c r="A7" s="24" t="s">
        <v>15</v>
      </c>
      <c r="B7" s="24">
        <v>5</v>
      </c>
      <c r="C7" s="24" t="b">
        <v>1</v>
      </c>
      <c r="D7" s="24">
        <v>515</v>
      </c>
      <c r="E7">
        <v>6500</v>
      </c>
      <c r="F7">
        <v>13000</v>
      </c>
      <c r="G7">
        <v>1400</v>
      </c>
      <c r="H7" s="24">
        <v>0.26</v>
      </c>
      <c r="I7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F1DD-F1E0-469F-BF3E-DE375B9F530E}">
  <dimension ref="A1:H11"/>
  <sheetViews>
    <sheetView workbookViewId="0">
      <selection activeCell="J7" sqref="J7"/>
    </sheetView>
  </sheetViews>
  <sheetFormatPr baseColWidth="10" defaultColWidth="8.83203125" defaultRowHeight="15"/>
  <cols>
    <col min="1" max="1" width="11.6640625" bestFit="1" customWidth="1"/>
    <col min="2" max="2" width="10.33203125" bestFit="1" customWidth="1"/>
    <col min="3" max="3" width="15.1640625" bestFit="1" customWidth="1"/>
    <col min="4" max="4" width="5.6640625" bestFit="1" customWidth="1"/>
    <col min="5" max="5" width="9.1640625" bestFit="1" customWidth="1"/>
    <col min="6" max="6" width="9.6640625" bestFit="1" customWidth="1"/>
    <col min="7" max="7" width="9.83203125" bestFit="1" customWidth="1"/>
  </cols>
  <sheetData>
    <row r="1" spans="1:8" s="24" customFormat="1">
      <c r="A1" s="24" t="s">
        <v>3</v>
      </c>
      <c r="B1" s="24" t="s">
        <v>79</v>
      </c>
      <c r="C1" s="24" t="s">
        <v>117</v>
      </c>
      <c r="D1" s="24" t="s">
        <v>118</v>
      </c>
      <c r="E1" s="24" t="s">
        <v>119</v>
      </c>
      <c r="F1" s="24" t="s">
        <v>133</v>
      </c>
      <c r="G1" s="24" t="s">
        <v>120</v>
      </c>
      <c r="H1" s="24" t="s">
        <v>129</v>
      </c>
    </row>
    <row r="2" spans="1:8">
      <c r="A2" s="24" t="s">
        <v>14</v>
      </c>
      <c r="B2" s="24">
        <v>1</v>
      </c>
      <c r="C2" s="129">
        <v>0</v>
      </c>
      <c r="D2" s="24" t="b">
        <v>1</v>
      </c>
      <c r="E2" s="2"/>
      <c r="F2" s="2"/>
      <c r="G2" s="2"/>
    </row>
    <row r="3" spans="1:8">
      <c r="A3" s="24" t="s">
        <v>15</v>
      </c>
      <c r="B3" s="24">
        <v>1</v>
      </c>
      <c r="C3" s="129">
        <v>380</v>
      </c>
      <c r="D3" s="24" t="b">
        <v>1</v>
      </c>
      <c r="E3" s="2"/>
      <c r="F3" s="2"/>
      <c r="G3" s="2"/>
      <c r="H3" t="s">
        <v>134</v>
      </c>
    </row>
    <row r="4" spans="1:8">
      <c r="A4" s="24" t="s">
        <v>15</v>
      </c>
      <c r="B4" s="24">
        <v>2</v>
      </c>
      <c r="C4" s="129">
        <v>390</v>
      </c>
      <c r="D4" s="24" t="b">
        <v>1</v>
      </c>
      <c r="E4" s="2"/>
      <c r="F4" s="2"/>
      <c r="G4" s="2"/>
      <c r="H4" s="24" t="s">
        <v>134</v>
      </c>
    </row>
    <row r="5" spans="1:8">
      <c r="A5" s="24" t="s">
        <v>15</v>
      </c>
      <c r="B5" s="24">
        <v>3</v>
      </c>
      <c r="C5" s="129">
        <v>415</v>
      </c>
      <c r="D5" s="24" t="b">
        <v>1</v>
      </c>
      <c r="E5" s="2"/>
      <c r="F5" s="2"/>
      <c r="G5" s="2"/>
      <c r="H5" s="24" t="s">
        <v>134</v>
      </c>
    </row>
    <row r="6" spans="1:8">
      <c r="A6" s="24" t="s">
        <v>15</v>
      </c>
      <c r="B6" s="24">
        <v>4</v>
      </c>
      <c r="C6" s="129">
        <v>440</v>
      </c>
      <c r="D6" s="24" t="b">
        <v>1</v>
      </c>
      <c r="E6" s="2"/>
      <c r="F6" s="2"/>
      <c r="G6" s="2"/>
      <c r="H6" s="24" t="s">
        <v>134</v>
      </c>
    </row>
    <row r="7" spans="1:8">
      <c r="A7" s="24" t="s">
        <v>15</v>
      </c>
      <c r="B7" s="24">
        <v>5</v>
      </c>
      <c r="C7" s="129">
        <v>515</v>
      </c>
      <c r="D7" s="24" t="b">
        <v>1</v>
      </c>
      <c r="E7" s="2"/>
      <c r="F7" s="2"/>
      <c r="G7" s="2"/>
      <c r="H7" s="24" t="s">
        <v>134</v>
      </c>
    </row>
    <row r="8" spans="1:8">
      <c r="A8" s="2"/>
      <c r="B8" s="2"/>
      <c r="C8" s="2"/>
      <c r="D8" s="2"/>
      <c r="E8" s="2"/>
      <c r="F8" s="2"/>
      <c r="G8" s="2"/>
    </row>
    <row r="9" spans="1:8">
      <c r="A9" s="2"/>
      <c r="B9" s="2"/>
      <c r="C9" s="2"/>
      <c r="D9" s="2"/>
      <c r="E9" s="2"/>
      <c r="F9" s="2"/>
      <c r="G9" s="2"/>
    </row>
    <row r="10" spans="1:8">
      <c r="A10" s="2"/>
      <c r="B10" s="2"/>
      <c r="C10" s="2"/>
      <c r="D10" s="2"/>
      <c r="E10" s="2"/>
      <c r="F10" s="2"/>
      <c r="G10" s="2"/>
    </row>
    <row r="11" spans="1:8">
      <c r="A11" s="2"/>
      <c r="B11" s="2"/>
      <c r="C11" s="2"/>
      <c r="D11" s="2"/>
      <c r="E11" s="2"/>
      <c r="F11" s="2"/>
      <c r="G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5A06-95BF-40D6-A83A-52CA85120859}">
  <sheetPr>
    <tabColor theme="5"/>
  </sheetPr>
  <dimension ref="A1:S21"/>
  <sheetViews>
    <sheetView workbookViewId="0">
      <selection activeCell="F2" sqref="F2"/>
    </sheetView>
  </sheetViews>
  <sheetFormatPr baseColWidth="10" defaultColWidth="8.83203125" defaultRowHeight="15"/>
  <cols>
    <col min="1" max="1" width="5.1640625" style="24" bestFit="1" customWidth="1"/>
    <col min="2" max="2" width="15.5" style="24" bestFit="1" customWidth="1"/>
    <col min="3" max="3" width="15.1640625" style="24" bestFit="1" customWidth="1"/>
    <col min="4" max="4" width="14.5" style="24" bestFit="1" customWidth="1"/>
    <col min="5" max="5" width="24" style="24" bestFit="1" customWidth="1"/>
    <col min="6" max="6" width="18.5" style="24" bestFit="1" customWidth="1"/>
    <col min="7" max="7" width="21.5" style="4" bestFit="1" customWidth="1"/>
    <col min="8" max="10" width="12" style="127" bestFit="1" customWidth="1"/>
    <col min="11" max="11" width="12.1640625" style="127" bestFit="1" customWidth="1"/>
    <col min="12" max="12" width="12" style="127" customWidth="1"/>
    <col min="13" max="13" width="18.83203125" style="24" bestFit="1" customWidth="1"/>
    <col min="14" max="14" width="12" style="24" bestFit="1" customWidth="1"/>
    <col min="15" max="15" width="12" style="24" customWidth="1"/>
    <col min="16" max="16" width="13.33203125" bestFit="1" customWidth="1"/>
    <col min="17" max="17" width="11.6640625" bestFit="1" customWidth="1"/>
    <col min="18" max="18" width="10.5" customWidth="1"/>
    <col min="19" max="19" width="13.83203125" bestFit="1" customWidth="1"/>
  </cols>
  <sheetData>
    <row r="1" spans="1:19">
      <c r="A1" s="59" t="s">
        <v>3</v>
      </c>
      <c r="B1" s="130" t="s">
        <v>0</v>
      </c>
      <c r="C1" s="130" t="s">
        <v>63</v>
      </c>
      <c r="D1" s="130" t="s">
        <v>80</v>
      </c>
      <c r="E1" s="130" t="s">
        <v>69</v>
      </c>
      <c r="F1" s="130" t="s">
        <v>67</v>
      </c>
      <c r="G1" s="136" t="s">
        <v>68</v>
      </c>
      <c r="H1" t="s">
        <v>121</v>
      </c>
      <c r="I1" t="s">
        <v>90</v>
      </c>
      <c r="J1" t="s">
        <v>122</v>
      </c>
      <c r="K1" t="s">
        <v>130</v>
      </c>
      <c r="L1" s="59" t="s">
        <v>123</v>
      </c>
      <c r="M1" s="59" t="s">
        <v>87</v>
      </c>
      <c r="N1" s="24" t="s">
        <v>124</v>
      </c>
      <c r="O1" s="12" t="s">
        <v>131</v>
      </c>
    </row>
    <row r="2" spans="1:19" s="24" customFormat="1">
      <c r="A2" s="20" t="s">
        <v>14</v>
      </c>
      <c r="B2" s="20">
        <v>0</v>
      </c>
      <c r="C2" s="20">
        <v>0</v>
      </c>
      <c r="D2" s="20">
        <v>0</v>
      </c>
      <c r="E2" s="24">
        <v>1977.9999999999998</v>
      </c>
      <c r="F2" s="20">
        <v>1978</v>
      </c>
      <c r="G2" s="135">
        <f>Mass_Balance[[#This Row],[Flow_Zonal_gpm]]/E$3*100</f>
        <v>100.00000000000003</v>
      </c>
      <c r="H2" s="24">
        <v>1300</v>
      </c>
      <c r="I2" s="24">
        <v>2600</v>
      </c>
      <c r="J2" s="24">
        <v>290</v>
      </c>
      <c r="K2" s="24">
        <v>5.7</v>
      </c>
      <c r="L2" s="4">
        <f>SUMPRODUCT($F$3:$F$9,H3:H9)</f>
        <v>2571399.9999999995</v>
      </c>
      <c r="M2" s="4">
        <f>SUMPRODUCT($F$3:$F$9,I3:I9)</f>
        <v>5142799.9999999991</v>
      </c>
      <c r="N2" s="4">
        <f>SUMPRODUCT($F$3:$F$9,J3:J9)</f>
        <v>573619.99999999977</v>
      </c>
      <c r="O2" s="4">
        <f>SUMPRODUCT($F$3:$F$9,K3:K9)</f>
        <v>11274.599999999997</v>
      </c>
    </row>
    <row r="3" spans="1:19" s="24" customFormat="1">
      <c r="A3" s="20" t="s">
        <v>15</v>
      </c>
      <c r="B3" s="20">
        <v>370</v>
      </c>
      <c r="C3" s="20">
        <v>380</v>
      </c>
      <c r="D3" s="20">
        <v>10</v>
      </c>
      <c r="E3" s="24">
        <v>1977.9999999999998</v>
      </c>
      <c r="F3" s="20">
        <v>1065.0769230769229</v>
      </c>
      <c r="G3" s="135">
        <f>Mass_Balance[[#This Row],[Flow_Zonal_gpm]]/E$3*100</f>
        <v>53.846153846153847</v>
      </c>
      <c r="H3">
        <v>185.71428571428487</v>
      </c>
      <c r="I3">
        <v>885.71428571428487</v>
      </c>
      <c r="J3">
        <v>32.857142857142655</v>
      </c>
      <c r="K3">
        <v>10.302857142857142</v>
      </c>
      <c r="L3" s="137">
        <f>Mass_Balance[[#This Row],[Flow_Zonal_gpm]]*Mass_Balance[[#This Row],[Cl_mgL]]/L$2*100</f>
        <v>7.6923076923076579</v>
      </c>
      <c r="M3" s="137">
        <f>Mass_Balance[[#This Row],[Flow_Zonal_gpm]]*Mass_Balance[[#This Row],[TDS_mgL]]/M$2*100</f>
        <v>18.343195266272172</v>
      </c>
      <c r="N3" s="137">
        <f>Mass_Balance[[#This Row],[Flow_Zonal_gpm]]*Mass_Balance[[#This Row],[Ca_mgL]]/N$2*100</f>
        <v>6.1007957559681332</v>
      </c>
      <c r="O3" s="137">
        <f>Mass_Balance[[#This Row],[Flow_Zonal_gpm]]*Mass_Balance[[#This Row],[MTBE_ugL]]/O$2*100</f>
        <v>97.327935222672068</v>
      </c>
    </row>
    <row r="4" spans="1:19" s="24" customFormat="1">
      <c r="A4" s="20" t="s">
        <v>15</v>
      </c>
      <c r="B4" s="24">
        <v>380</v>
      </c>
      <c r="C4" s="24">
        <v>390</v>
      </c>
      <c r="D4" s="24">
        <v>10</v>
      </c>
      <c r="E4" s="24">
        <v>912.92307692307702</v>
      </c>
      <c r="F4" s="24">
        <v>147.24565756824427</v>
      </c>
      <c r="G4" s="135">
        <f>Mass_Balance[[#This Row],[Flow_Zonal_gpm]]/E$3*100</f>
        <v>7.4441687344916225</v>
      </c>
      <c r="H4">
        <v>2600.0000000000009</v>
      </c>
      <c r="I4">
        <v>4080.0000000000223</v>
      </c>
      <c r="J4">
        <v>434.00000000000779</v>
      </c>
      <c r="K4">
        <v>0.69399999999998219</v>
      </c>
      <c r="L4" s="137">
        <f>Mass_Balance[[#This Row],[Flow_Zonal_gpm]]*Mass_Balance[[#This Row],[Cl_mgL]]/L$2*100</f>
        <v>14.88833746898325</v>
      </c>
      <c r="M4" s="137">
        <f>Mass_Balance[[#This Row],[Flow_Zonal_gpm]]*Mass_Balance[[#This Row],[TDS_mgL]]/M$2*100</f>
        <v>11.681618629509995</v>
      </c>
      <c r="N4" s="137">
        <f>Mass_Balance[[#This Row],[Flow_Zonal_gpm]]*Mass_Balance[[#This Row],[Ca_mgL]]/N$2*100</f>
        <v>11.14058355437732</v>
      </c>
      <c r="O4" s="137">
        <f>Mass_Balance[[#This Row],[Flow_Zonal_gpm]]*Mass_Balance[[#This Row],[MTBE_ugL]]/O$2*100</f>
        <v>0.90636019328720241</v>
      </c>
    </row>
    <row r="5" spans="1:19">
      <c r="A5" s="20" t="s">
        <v>15</v>
      </c>
      <c r="B5" s="24">
        <v>390</v>
      </c>
      <c r="C5" s="24">
        <v>410</v>
      </c>
      <c r="D5" s="24">
        <v>20</v>
      </c>
      <c r="E5" s="24">
        <v>765.67741935483275</v>
      </c>
      <c r="F5" s="24">
        <v>356.43604004448946</v>
      </c>
      <c r="G5" s="135">
        <f>Mass_Balance[[#This Row],[Flow_Zonal_gpm]]/E$3*100</f>
        <v>18.020022246940822</v>
      </c>
      <c r="H5">
        <v>418.51851851849966</v>
      </c>
      <c r="I5">
        <v>1370.3703703703418</v>
      </c>
      <c r="J5">
        <v>68.88888888888421</v>
      </c>
      <c r="K5">
        <v>0.26</v>
      </c>
      <c r="L5" s="137">
        <f>Mass_Balance[[#This Row],[Flow_Zonal_gpm]]*Mass_Balance[[#This Row],[Cl_mgL]]/L$2*100</f>
        <v>5.801317703430831</v>
      </c>
      <c r="M5" s="137">
        <f>Mass_Balance[[#This Row],[Flow_Zonal_gpm]]*Mass_Balance[[#This Row],[TDS_mgL]]/M$2*100</f>
        <v>9.4977325233161913</v>
      </c>
      <c r="N5" s="137">
        <f>Mass_Balance[[#This Row],[Flow_Zonal_gpm]]*Mass_Balance[[#This Row],[Ca_mgL]]/N$2*100</f>
        <v>4.2806183115335461</v>
      </c>
      <c r="O5" s="137">
        <f>Mass_Balance[[#This Row],[Flow_Zonal_gpm]]*Mass_Balance[[#This Row],[MTBE_ugL]]/O$2*100</f>
        <v>0.82196592705344129</v>
      </c>
    </row>
    <row r="6" spans="1:19">
      <c r="A6" s="20" t="s">
        <v>15</v>
      </c>
      <c r="B6" s="24">
        <v>410</v>
      </c>
      <c r="C6" s="24">
        <v>430</v>
      </c>
      <c r="D6" s="24">
        <v>20</v>
      </c>
      <c r="E6" s="24">
        <v>409.24137931034329</v>
      </c>
      <c r="F6" s="24">
        <v>0</v>
      </c>
      <c r="G6" s="135">
        <f>Mass_Balance[[#This Row],[Flow_Zonal_gpm]]/E$3*100</f>
        <v>0</v>
      </c>
      <c r="H6">
        <v>0</v>
      </c>
      <c r="I6">
        <v>0</v>
      </c>
      <c r="J6">
        <v>0</v>
      </c>
      <c r="K6">
        <v>0.26</v>
      </c>
      <c r="L6" s="137">
        <f>Mass_Balance[[#This Row],[Flow_Zonal_gpm]]*Mass_Balance[[#This Row],[Cl_mgL]]/L$2*100</f>
        <v>0</v>
      </c>
      <c r="M6" s="137">
        <f>Mass_Balance[[#This Row],[Flow_Zonal_gpm]]*Mass_Balance[[#This Row],[TDS_mgL]]/M$2*100</f>
        <v>0</v>
      </c>
      <c r="N6" s="137">
        <f>Mass_Balance[[#This Row],[Flow_Zonal_gpm]]*Mass_Balance[[#This Row],[Ca_mgL]]/N$2*100</f>
        <v>0</v>
      </c>
      <c r="O6" s="137">
        <f>Mass_Balance[[#This Row],[Flow_Zonal_gpm]]*Mass_Balance[[#This Row],[MTBE_ugL]]/O$2*100</f>
        <v>0</v>
      </c>
    </row>
    <row r="7" spans="1:19">
      <c r="A7" s="20" t="s">
        <v>15</v>
      </c>
      <c r="B7" s="24">
        <v>430</v>
      </c>
      <c r="C7" s="24">
        <v>440</v>
      </c>
      <c r="D7" s="24">
        <v>10</v>
      </c>
      <c r="E7" s="24">
        <v>409.24137931034329</v>
      </c>
      <c r="F7" s="24">
        <v>286.95389863028197</v>
      </c>
      <c r="G7" s="135">
        <f>Mass_Balance[[#This Row],[Flow_Zonal_gpm]]/E$3*100</f>
        <v>14.507274956030436</v>
      </c>
      <c r="H7">
        <v>4159.0742101396027</v>
      </c>
      <c r="I7">
        <v>6790.3012490815572</v>
      </c>
      <c r="J7">
        <v>1057.3842762674501</v>
      </c>
      <c r="K7">
        <v>0.26</v>
      </c>
      <c r="L7" s="137">
        <f>Mass_Balance[[#This Row],[Flow_Zonal_gpm]]*Mass_Balance[[#This Row],[Cl_mgL]]/L$2*100</f>
        <v>46.412948560792557</v>
      </c>
      <c r="M7" s="137">
        <f>Mass_Balance[[#This Row],[Flow_Zonal_gpm]]*Mass_Balance[[#This Row],[TDS_mgL]]/M$2*100</f>
        <v>37.887987405655025</v>
      </c>
      <c r="N7" s="137">
        <f>Mass_Balance[[#This Row],[Flow_Zonal_gpm]]*Mass_Balance[[#This Row],[Ca_mgL]]/N$2*100</f>
        <v>52.895739413776376</v>
      </c>
      <c r="O7" s="137">
        <f>Mass_Balance[[#This Row],[Flow_Zonal_gpm]]*Mass_Balance[[#This Row],[MTBE_ugL]]/O$2*100</f>
        <v>0.66173534887156382</v>
      </c>
    </row>
    <row r="8" spans="1:19">
      <c r="A8" s="20" t="s">
        <v>15</v>
      </c>
      <c r="B8" s="24">
        <v>440</v>
      </c>
      <c r="C8" s="24">
        <v>515</v>
      </c>
      <c r="D8" s="24">
        <v>75</v>
      </c>
      <c r="E8" s="24">
        <v>122.28748068006135</v>
      </c>
      <c r="F8" s="24">
        <v>87.58572629409656</v>
      </c>
      <c r="G8" s="135">
        <f>Mass_Balance[[#This Row],[Flow_Zonal_gpm]]/E$3*100</f>
        <v>4.4279942514710093</v>
      </c>
      <c r="H8">
        <v>4824.5560318432345</v>
      </c>
      <c r="I8">
        <v>8113.2884262094312</v>
      </c>
      <c r="J8">
        <v>1120.7593386405388</v>
      </c>
      <c r="K8">
        <v>0.26</v>
      </c>
      <c r="L8" s="137">
        <f>Mass_Balance[[#This Row],[Flow_Zonal_gpm]]*Mass_Balance[[#This Row],[Cl_mgL]]/L$2*100</f>
        <v>16.433158749924328</v>
      </c>
      <c r="M8" s="137">
        <f>Mass_Balance[[#This Row],[Flow_Zonal_gpm]]*Mass_Balance[[#This Row],[TDS_mgL]]/M$2*100</f>
        <v>13.817536350685247</v>
      </c>
      <c r="N8" s="137">
        <f>Mass_Balance[[#This Row],[Flow_Zonal_gpm]]*Mass_Balance[[#This Row],[Ca_mgL]]/N$2*100</f>
        <v>17.112813478561232</v>
      </c>
      <c r="O8" s="137">
        <f>Mass_Balance[[#This Row],[Flow_Zonal_gpm]]*Mass_Balance[[#This Row],[MTBE_ugL]]/O$2*100</f>
        <v>0.20197868515481801</v>
      </c>
    </row>
    <row r="9" spans="1:19">
      <c r="A9" s="20" t="s">
        <v>15</v>
      </c>
      <c r="B9" s="24">
        <v>515</v>
      </c>
      <c r="C9" s="24">
        <v>540</v>
      </c>
      <c r="D9" s="24">
        <v>25</v>
      </c>
      <c r="E9" s="24">
        <v>34.70175438596479</v>
      </c>
      <c r="F9" s="24">
        <v>34.70175438596479</v>
      </c>
      <c r="G9" s="135">
        <f>Mass_Balance[[#This Row],[Flow_Zonal_gpm]]/E$3*100</f>
        <v>1.7543859649122746</v>
      </c>
      <c r="H9" s="24">
        <v>6500</v>
      </c>
      <c r="I9" s="24">
        <v>13000</v>
      </c>
      <c r="J9" s="24">
        <v>1400</v>
      </c>
      <c r="K9">
        <v>0.26</v>
      </c>
      <c r="L9" s="137">
        <f>Mass_Balance[[#This Row],[Flow_Zonal_gpm]]*Mass_Balance[[#This Row],[Cl_mgL]]/L$2*100</f>
        <v>8.7719298245613739</v>
      </c>
      <c r="M9" s="137">
        <f>Mass_Balance[[#This Row],[Flow_Zonal_gpm]]*Mass_Balance[[#This Row],[TDS_mgL]]/M$2*100</f>
        <v>8.7719298245613739</v>
      </c>
      <c r="N9" s="137">
        <f>Mass_Balance[[#This Row],[Flow_Zonal_gpm]]*Mass_Balance[[#This Row],[Ca_mgL]]/N$2*100</f>
        <v>8.4694494857833966</v>
      </c>
      <c r="O9" s="137">
        <f>Mass_Balance[[#This Row],[Flow_Zonal_gpm]]*Mass_Balance[[#This Row],[MTBE_ugL]]/O$2*100</f>
        <v>8.0024622960910785E-2</v>
      </c>
    </row>
    <row r="10" spans="1:19">
      <c r="A10" s="20"/>
      <c r="M10" s="134"/>
      <c r="N10" s="134"/>
      <c r="O10" s="134"/>
      <c r="P10" s="55"/>
      <c r="Q10" s="55"/>
      <c r="R10" s="55"/>
      <c r="S10" s="55"/>
    </row>
    <row r="11" spans="1:19">
      <c r="M11" s="134"/>
      <c r="N11" s="134"/>
      <c r="O11" s="134"/>
    </row>
    <row r="14" spans="1:19">
      <c r="I14" s="4"/>
    </row>
    <row r="15" spans="1:19">
      <c r="I15" s="4"/>
    </row>
    <row r="16" spans="1:19">
      <c r="I16" s="4"/>
    </row>
    <row r="17" spans="9:9">
      <c r="I17" s="4"/>
    </row>
    <row r="18" spans="9:9">
      <c r="I18" s="4"/>
    </row>
    <row r="19" spans="9:9">
      <c r="I19" s="4"/>
    </row>
    <row r="20" spans="9:9">
      <c r="I20" s="4"/>
    </row>
    <row r="21" spans="9:9">
      <c r="I21" s="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9DA6-2B70-4AA9-B211-4410CEB961BC}">
  <sheetPr>
    <tabColor theme="5"/>
  </sheetPr>
  <dimension ref="A1:O9"/>
  <sheetViews>
    <sheetView workbookViewId="0">
      <selection activeCell="E15" sqref="E15"/>
    </sheetView>
  </sheetViews>
  <sheetFormatPr baseColWidth="10" defaultColWidth="8.83203125" defaultRowHeight="15"/>
  <cols>
    <col min="1" max="1" width="8.83203125" style="24"/>
    <col min="2" max="2" width="12.33203125" style="11" bestFit="1" customWidth="1"/>
    <col min="3" max="3" width="12.1640625" style="11" bestFit="1" customWidth="1"/>
    <col min="4" max="4" width="11.5" style="11" bestFit="1" customWidth="1"/>
    <col min="5" max="5" width="19.6640625" style="11" bestFit="1" customWidth="1"/>
    <col min="6" max="6" width="14.83203125" style="11" bestFit="1" customWidth="1"/>
    <col min="7" max="7" width="17.6640625" style="11" bestFit="1" customWidth="1"/>
    <col min="8" max="8" width="9.1640625" style="11" bestFit="1" customWidth="1"/>
    <col min="9" max="9" width="9.6640625" style="11" bestFit="1" customWidth="1"/>
    <col min="10" max="10" width="9.83203125" style="11" bestFit="1" customWidth="1"/>
    <col min="11" max="11" width="11.33203125" style="11" bestFit="1" customWidth="1"/>
    <col min="12" max="12" width="12.33203125" style="11" bestFit="1" customWidth="1"/>
    <col min="13" max="13" width="12.5" style="11" bestFit="1" customWidth="1"/>
    <col min="14" max="16384" width="8.83203125" style="11"/>
  </cols>
  <sheetData>
    <row r="1" spans="1:15" s="24" customFormat="1">
      <c r="A1" s="59" t="s">
        <v>3</v>
      </c>
      <c r="B1" s="130" t="s">
        <v>0</v>
      </c>
      <c r="C1" s="130" t="s">
        <v>63</v>
      </c>
      <c r="D1" s="130" t="s">
        <v>80</v>
      </c>
      <c r="E1" s="130" t="s">
        <v>69</v>
      </c>
      <c r="F1" s="130" t="s">
        <v>67</v>
      </c>
      <c r="G1" s="136" t="s">
        <v>68</v>
      </c>
      <c r="H1" s="24" t="s">
        <v>121</v>
      </c>
      <c r="I1" s="24" t="s">
        <v>90</v>
      </c>
      <c r="J1" s="24" t="s">
        <v>122</v>
      </c>
      <c r="K1" s="24" t="s">
        <v>130</v>
      </c>
      <c r="L1" s="59" t="s">
        <v>123</v>
      </c>
      <c r="M1" s="59" t="s">
        <v>87</v>
      </c>
      <c r="N1" s="24" t="s">
        <v>124</v>
      </c>
      <c r="O1" s="12" t="s">
        <v>131</v>
      </c>
    </row>
    <row r="2" spans="1:15" s="24" customFormat="1">
      <c r="A2" s="20" t="s">
        <v>14</v>
      </c>
      <c r="B2" s="20">
        <v>0</v>
      </c>
      <c r="C2" s="20">
        <v>0</v>
      </c>
      <c r="D2" s="20">
        <v>0</v>
      </c>
      <c r="E2" s="130"/>
      <c r="F2" s="130"/>
      <c r="G2" s="142"/>
      <c r="L2" s="20"/>
      <c r="M2" s="20"/>
      <c r="O2" s="12"/>
    </row>
    <row r="3" spans="1:15" s="24" customFormat="1">
      <c r="A3" s="20" t="s">
        <v>15</v>
      </c>
      <c r="B3" s="20">
        <v>370</v>
      </c>
      <c r="C3" s="20">
        <v>380</v>
      </c>
      <c r="D3" s="20">
        <v>10</v>
      </c>
      <c r="E3" s="41"/>
      <c r="F3" s="41"/>
      <c r="G3" s="42"/>
      <c r="H3" s="45"/>
      <c r="I3" s="45"/>
      <c r="J3" s="46"/>
    </row>
    <row r="4" spans="1:15">
      <c r="A4" s="20" t="s">
        <v>15</v>
      </c>
      <c r="B4" s="24">
        <v>380</v>
      </c>
      <c r="C4" s="24">
        <v>390</v>
      </c>
      <c r="D4" s="24">
        <v>10</v>
      </c>
      <c r="E4" s="25"/>
      <c r="F4" s="25"/>
      <c r="G4" s="26"/>
      <c r="H4" s="47"/>
      <c r="I4" s="47"/>
      <c r="J4" s="48"/>
      <c r="K4" s="24"/>
      <c r="L4" s="24"/>
      <c r="M4" s="24"/>
    </row>
    <row r="5" spans="1:15">
      <c r="A5" s="20" t="s">
        <v>15</v>
      </c>
      <c r="B5" s="24">
        <v>390</v>
      </c>
      <c r="C5" s="24">
        <v>410</v>
      </c>
      <c r="D5" s="24">
        <v>20</v>
      </c>
      <c r="E5" s="28"/>
      <c r="F5" s="29"/>
      <c r="G5" s="30"/>
      <c r="H5" s="49"/>
      <c r="I5" s="50"/>
      <c r="J5" s="51"/>
      <c r="K5" s="24" t="s">
        <v>134</v>
      </c>
      <c r="L5" s="24"/>
      <c r="M5" s="24"/>
      <c r="O5" s="11" t="s">
        <v>134</v>
      </c>
    </row>
    <row r="6" spans="1:15">
      <c r="A6" s="20" t="s">
        <v>15</v>
      </c>
      <c r="B6" s="24">
        <v>410</v>
      </c>
      <c r="C6" s="24">
        <v>430</v>
      </c>
      <c r="D6" s="24">
        <v>20</v>
      </c>
      <c r="E6" s="28"/>
      <c r="F6" s="29"/>
      <c r="G6" s="30"/>
      <c r="H6" s="141" t="s">
        <v>135</v>
      </c>
      <c r="I6" s="141" t="s">
        <v>135</v>
      </c>
      <c r="J6" s="141" t="s">
        <v>135</v>
      </c>
      <c r="K6" s="24" t="s">
        <v>134</v>
      </c>
      <c r="L6" s="141" t="s">
        <v>135</v>
      </c>
      <c r="M6" s="141" t="s">
        <v>135</v>
      </c>
      <c r="N6" s="141" t="s">
        <v>135</v>
      </c>
      <c r="O6" s="11" t="s">
        <v>134</v>
      </c>
    </row>
    <row r="7" spans="1:15">
      <c r="A7" s="20" t="s">
        <v>15</v>
      </c>
      <c r="B7" s="24">
        <v>430</v>
      </c>
      <c r="C7" s="24">
        <v>440</v>
      </c>
      <c r="D7" s="24">
        <v>10</v>
      </c>
      <c r="E7" s="28"/>
      <c r="F7" s="32"/>
      <c r="G7" s="30"/>
      <c r="H7" s="49"/>
      <c r="I7" s="50"/>
      <c r="J7" s="51"/>
      <c r="K7" s="24" t="s">
        <v>134</v>
      </c>
      <c r="L7" s="24"/>
      <c r="M7" s="24"/>
      <c r="O7" s="12" t="s">
        <v>134</v>
      </c>
    </row>
    <row r="8" spans="1:15">
      <c r="A8" s="20" t="s">
        <v>15</v>
      </c>
      <c r="B8" s="24">
        <v>440</v>
      </c>
      <c r="C8" s="24">
        <v>515</v>
      </c>
      <c r="D8" s="24">
        <v>75</v>
      </c>
      <c r="E8" s="28"/>
      <c r="F8" s="32"/>
      <c r="G8" s="30"/>
      <c r="H8" s="49"/>
      <c r="I8" s="49"/>
      <c r="J8" s="51"/>
      <c r="K8" s="24" t="s">
        <v>134</v>
      </c>
      <c r="L8" s="24"/>
      <c r="M8" s="24"/>
      <c r="O8" s="12" t="s">
        <v>134</v>
      </c>
    </row>
    <row r="9" spans="1:15">
      <c r="A9" s="20" t="s">
        <v>15</v>
      </c>
      <c r="B9" s="24">
        <v>515</v>
      </c>
      <c r="C9" s="24">
        <v>540</v>
      </c>
      <c r="D9" s="24">
        <v>25</v>
      </c>
      <c r="E9" s="28"/>
      <c r="F9" s="28"/>
      <c r="G9" s="33"/>
      <c r="H9" s="50"/>
      <c r="I9" s="50"/>
      <c r="J9" s="51"/>
      <c r="K9" s="24" t="s">
        <v>134</v>
      </c>
      <c r="L9" s="24"/>
      <c r="M9" s="24"/>
      <c r="O9" s="12" t="s">
        <v>134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22CE-1EF7-4D4C-8644-167B7CE7C54D}">
  <sheetPr>
    <tabColor theme="7"/>
  </sheetPr>
  <dimension ref="A1:N29"/>
  <sheetViews>
    <sheetView workbookViewId="0">
      <selection activeCell="N19" sqref="N19"/>
    </sheetView>
  </sheetViews>
  <sheetFormatPr baseColWidth="10" defaultColWidth="8.83203125" defaultRowHeight="15"/>
  <cols>
    <col min="1" max="1" width="20.6640625" style="24" bestFit="1" customWidth="1"/>
    <col min="2" max="2" width="12.33203125" style="24" bestFit="1" customWidth="1"/>
    <col min="3" max="3" width="12.1640625" style="24" bestFit="1" customWidth="1"/>
    <col min="4" max="4" width="11.5" style="24" bestFit="1" customWidth="1"/>
    <col min="5" max="5" width="19.6640625" style="24" bestFit="1" customWidth="1"/>
    <col min="6" max="6" width="15.6640625" style="24" bestFit="1" customWidth="1"/>
    <col min="7" max="7" width="18.6640625" style="24" bestFit="1" customWidth="1"/>
    <col min="8" max="8" width="8.5" style="24" bestFit="1" customWidth="1"/>
    <col min="9" max="9" width="9.33203125" style="24" bestFit="1" customWidth="1"/>
    <col min="10" max="10" width="9.5" style="24" bestFit="1" customWidth="1"/>
    <col min="11" max="11" width="11.6640625" style="24" bestFit="1" customWidth="1"/>
    <col min="12" max="12" width="13.33203125" style="24" bestFit="1" customWidth="1"/>
    <col min="13" max="13" width="13.5" style="24" bestFit="1" customWidth="1"/>
    <col min="14" max="16384" width="8.83203125" style="24"/>
  </cols>
  <sheetData>
    <row r="1" spans="1:14">
      <c r="A1" s="59" t="s">
        <v>3</v>
      </c>
      <c r="B1" s="130" t="s">
        <v>0</v>
      </c>
      <c r="C1" s="130" t="s">
        <v>63</v>
      </c>
      <c r="D1" s="130" t="s">
        <v>80</v>
      </c>
      <c r="E1" s="130" t="s">
        <v>69</v>
      </c>
      <c r="F1" s="130" t="s">
        <v>67</v>
      </c>
      <c r="G1" s="131" t="s">
        <v>68</v>
      </c>
      <c r="H1" s="24" t="s">
        <v>121</v>
      </c>
      <c r="I1" s="24" t="s">
        <v>90</v>
      </c>
      <c r="J1" s="24" t="s">
        <v>122</v>
      </c>
      <c r="K1" s="59" t="s">
        <v>123</v>
      </c>
      <c r="L1" s="59" t="s">
        <v>87</v>
      </c>
      <c r="M1" s="24" t="s">
        <v>124</v>
      </c>
    </row>
    <row r="2" spans="1:14">
      <c r="A2" s="24" t="s">
        <v>14</v>
      </c>
      <c r="B2" s="24">
        <v>0</v>
      </c>
      <c r="C2" s="24">
        <v>0</v>
      </c>
      <c r="D2" s="24">
        <v>0</v>
      </c>
      <c r="E2" s="81">
        <v>750.4</v>
      </c>
      <c r="F2" s="86">
        <f>SUM(F3:F10)</f>
        <v>750.38884444230098</v>
      </c>
      <c r="G2" s="99">
        <f>F2/$E$2</f>
        <v>0.99998513385168042</v>
      </c>
      <c r="H2" s="102">
        <v>330</v>
      </c>
      <c r="I2" s="42">
        <v>37</v>
      </c>
      <c r="J2" s="103">
        <v>14.5</v>
      </c>
      <c r="K2" s="108">
        <f>SUMPRODUCT($G$3:$G$10,H3:H10)</f>
        <v>330.45840997909272</v>
      </c>
      <c r="L2" s="55">
        <f t="shared" ref="L2:M2" si="0">SUMPRODUCT($G$3:$G$10,I3:I10)</f>
        <v>42.784084871082413</v>
      </c>
      <c r="M2" s="109">
        <f t="shared" si="0"/>
        <v>17.796779343076</v>
      </c>
    </row>
    <row r="3" spans="1:14">
      <c r="A3" s="24" t="s">
        <v>15</v>
      </c>
      <c r="B3" s="24">
        <v>230</v>
      </c>
      <c r="C3" s="24">
        <v>261</v>
      </c>
      <c r="D3" s="24">
        <f>C3-B3</f>
        <v>31</v>
      </c>
      <c r="E3" s="82">
        <f>E2</f>
        <v>750.4</v>
      </c>
      <c r="F3" s="87">
        <v>233</v>
      </c>
      <c r="G3" s="99">
        <f>F3/$F$2</f>
        <v>0.31050568212160551</v>
      </c>
      <c r="H3" s="104">
        <v>240.83136540249694</v>
      </c>
      <c r="I3" s="60">
        <v>86.042749028626673</v>
      </c>
      <c r="J3" s="105">
        <v>24.977314565206605</v>
      </c>
      <c r="K3" s="115">
        <f>$G3*H3/K$2</f>
        <v>0.22629022331527604</v>
      </c>
      <c r="L3" s="62">
        <f t="shared" ref="L3:M13" si="1">$G3*I3/L$2</f>
        <v>0.62445562547978173</v>
      </c>
      <c r="M3" s="116">
        <f t="shared" si="1"/>
        <v>0.43578660762868737</v>
      </c>
    </row>
    <row r="4" spans="1:14">
      <c r="A4" s="24" t="s">
        <v>15</v>
      </c>
      <c r="B4" s="24">
        <f>C3</f>
        <v>261</v>
      </c>
      <c r="C4" s="24">
        <v>300</v>
      </c>
      <c r="D4" s="24">
        <f t="shared" ref="D4:D13" si="2">C4-B4</f>
        <v>39</v>
      </c>
      <c r="E4" s="83">
        <v>518.64291847136667</v>
      </c>
      <c r="F4" s="88">
        <v>12.59755505552863</v>
      </c>
      <c r="G4" s="99">
        <f t="shared" ref="G4:G10" si="3">F4/$F$2</f>
        <v>1.6788036161293551E-2</v>
      </c>
      <c r="H4" s="106">
        <v>5</v>
      </c>
      <c r="I4" s="38">
        <v>1</v>
      </c>
      <c r="J4" s="31">
        <v>1</v>
      </c>
      <c r="K4" s="115">
        <f t="shared" ref="K4:K10" si="4">$G4*H4/K$2</f>
        <v>2.5401133174906469E-4</v>
      </c>
      <c r="L4" s="62">
        <f t="shared" si="1"/>
        <v>3.9238974520267267E-4</v>
      </c>
      <c r="M4" s="116">
        <f t="shared" si="1"/>
        <v>9.4331877907027537E-4</v>
      </c>
    </row>
    <row r="5" spans="1:14">
      <c r="A5" s="24" t="s">
        <v>15</v>
      </c>
      <c r="B5" s="24">
        <f t="shared" ref="B5:B10" si="5">C4</f>
        <v>300</v>
      </c>
      <c r="C5" s="24">
        <v>340</v>
      </c>
      <c r="D5" s="24">
        <f t="shared" si="2"/>
        <v>40</v>
      </c>
      <c r="E5" s="83">
        <v>506.04536341583804</v>
      </c>
      <c r="F5" s="88">
        <v>59.602607393202732</v>
      </c>
      <c r="G5" s="99">
        <f t="shared" si="3"/>
        <v>7.9428962510097262E-2</v>
      </c>
      <c r="H5" s="106">
        <v>230.19354838709663</v>
      </c>
      <c r="I5" s="39">
        <v>55.451612903225843</v>
      </c>
      <c r="J5" s="85">
        <v>1</v>
      </c>
      <c r="K5" s="115">
        <f t="shared" si="4"/>
        <v>5.5329306722929961E-2</v>
      </c>
      <c r="L5" s="62">
        <f t="shared" si="1"/>
        <v>0.10294631977489627</v>
      </c>
      <c r="M5" s="116">
        <f t="shared" si="1"/>
        <v>4.4631088006943133E-3</v>
      </c>
    </row>
    <row r="6" spans="1:14">
      <c r="A6" s="24" t="s">
        <v>15</v>
      </c>
      <c r="B6" s="24">
        <f t="shared" si="5"/>
        <v>340</v>
      </c>
      <c r="C6" s="24">
        <v>370</v>
      </c>
      <c r="D6" s="24">
        <f t="shared" si="2"/>
        <v>30</v>
      </c>
      <c r="E6" s="83">
        <v>446.44275602263531</v>
      </c>
      <c r="F6" s="89">
        <v>1.72</v>
      </c>
      <c r="G6" s="99">
        <f t="shared" si="3"/>
        <v>2.2921449495672168E-3</v>
      </c>
      <c r="H6" s="106">
        <v>400.00000000000108</v>
      </c>
      <c r="I6" s="38">
        <v>1</v>
      </c>
      <c r="J6" s="31">
        <v>510</v>
      </c>
      <c r="K6" s="115">
        <f t="shared" si="4"/>
        <v>2.7745033932860008E-3</v>
      </c>
      <c r="L6" s="62">
        <f t="shared" si="1"/>
        <v>5.35747102333482E-5</v>
      </c>
      <c r="M6" s="116">
        <f t="shared" si="1"/>
        <v>6.5685700864414456E-2</v>
      </c>
    </row>
    <row r="7" spans="1:14">
      <c r="A7" s="24" t="s">
        <v>15</v>
      </c>
      <c r="B7" s="24">
        <f t="shared" si="5"/>
        <v>370</v>
      </c>
      <c r="C7" s="24">
        <v>450</v>
      </c>
      <c r="D7" s="24">
        <f t="shared" si="2"/>
        <v>80</v>
      </c>
      <c r="E7" s="83">
        <v>445</v>
      </c>
      <c r="F7" s="89">
        <v>4.76</v>
      </c>
      <c r="G7" s="99">
        <f t="shared" si="3"/>
        <v>6.3433778836860183E-3</v>
      </c>
      <c r="H7" s="106">
        <v>399.99999999999909</v>
      </c>
      <c r="I7" s="38">
        <v>1</v>
      </c>
      <c r="J7" s="85">
        <v>1</v>
      </c>
      <c r="K7" s="115">
        <f t="shared" si="4"/>
        <v>7.6782768325821503E-3</v>
      </c>
      <c r="L7" s="62">
        <f t="shared" si="1"/>
        <v>1.4826489576205663E-4</v>
      </c>
      <c r="M7" s="116">
        <f t="shared" si="1"/>
        <v>3.5643403569837301E-4</v>
      </c>
    </row>
    <row r="8" spans="1:14">
      <c r="A8" s="24" t="s">
        <v>15</v>
      </c>
      <c r="B8" s="24">
        <f t="shared" si="5"/>
        <v>450</v>
      </c>
      <c r="C8" s="24">
        <v>520</v>
      </c>
      <c r="D8" s="24">
        <f t="shared" si="2"/>
        <v>70</v>
      </c>
      <c r="E8" s="83">
        <v>438.70868199356948</v>
      </c>
      <c r="F8" s="90">
        <v>224.28581085277091</v>
      </c>
      <c r="G8" s="99">
        <f t="shared" si="3"/>
        <v>0.29889278407312025</v>
      </c>
      <c r="H8" s="106">
        <v>371.31924614505999</v>
      </c>
      <c r="I8" s="39">
        <v>20.000000000000004</v>
      </c>
      <c r="J8" s="31">
        <v>12.131924614505996</v>
      </c>
      <c r="K8" s="115">
        <f t="shared" si="4"/>
        <v>0.33585056366775756</v>
      </c>
      <c r="L8" s="62">
        <f t="shared" si="1"/>
        <v>0.13972148053359007</v>
      </c>
      <c r="M8" s="116">
        <f t="shared" si="1"/>
        <v>0.20375286192474473</v>
      </c>
    </row>
    <row r="9" spans="1:14">
      <c r="A9" s="24" t="s">
        <v>15</v>
      </c>
      <c r="B9" s="24">
        <f t="shared" si="5"/>
        <v>520</v>
      </c>
      <c r="C9" s="24">
        <v>550</v>
      </c>
      <c r="D9" s="24">
        <f t="shared" si="2"/>
        <v>30</v>
      </c>
      <c r="E9" s="83">
        <v>214.42287114079858</v>
      </c>
      <c r="F9" s="90">
        <v>179.85278188361778</v>
      </c>
      <c r="G9" s="99">
        <f t="shared" si="3"/>
        <v>0.23967944515124925</v>
      </c>
      <c r="H9" s="106">
        <v>430</v>
      </c>
      <c r="I9" s="39">
        <v>19</v>
      </c>
      <c r="J9" s="31">
        <v>18.576639775517361</v>
      </c>
      <c r="K9" s="115">
        <f t="shared" si="4"/>
        <v>0.31187634601751446</v>
      </c>
      <c r="L9" s="62">
        <f t="shared" si="1"/>
        <v>0.10643933302758814</v>
      </c>
      <c r="M9" s="116">
        <f t="shared" si="1"/>
        <v>0.25018227333941129</v>
      </c>
    </row>
    <row r="10" spans="1:14" ht="16" thickBot="1">
      <c r="A10" s="61" t="s">
        <v>15</v>
      </c>
      <c r="B10" s="61">
        <f t="shared" si="5"/>
        <v>550</v>
      </c>
      <c r="C10" s="61">
        <v>580</v>
      </c>
      <c r="D10" s="61">
        <f t="shared" si="2"/>
        <v>30</v>
      </c>
      <c r="E10" s="84">
        <v>34.570089257180797</v>
      </c>
      <c r="F10" s="91">
        <v>34.570089257180797</v>
      </c>
      <c r="G10" s="99">
        <f t="shared" si="3"/>
        <v>4.6069567149380729E-2</v>
      </c>
      <c r="H10" s="107">
        <v>430</v>
      </c>
      <c r="I10" s="40">
        <v>24</v>
      </c>
      <c r="J10" s="36">
        <v>15.000000000000002</v>
      </c>
      <c r="K10" s="115">
        <f t="shared" si="4"/>
        <v>5.9946768718904864E-2</v>
      </c>
      <c r="L10" s="62">
        <f t="shared" si="1"/>
        <v>2.5843011832945736E-2</v>
      </c>
      <c r="M10" s="116">
        <f t="shared" si="1"/>
        <v>3.8829694627279171E-2</v>
      </c>
    </row>
    <row r="11" spans="1:14">
      <c r="A11" s="20" t="s">
        <v>112</v>
      </c>
      <c r="B11" s="20">
        <f>B3</f>
        <v>230</v>
      </c>
      <c r="C11" s="20">
        <f>C6</f>
        <v>370</v>
      </c>
      <c r="D11" s="20">
        <f t="shared" si="2"/>
        <v>140</v>
      </c>
      <c r="E11" s="20"/>
      <c r="F11" s="92">
        <f>SUM(F3:F6)</f>
        <v>306.92016244873139</v>
      </c>
      <c r="G11" s="100">
        <f>SUM(G3:G6)</f>
        <v>0.40901482574256354</v>
      </c>
      <c r="H11" s="108">
        <f>SUMPRODUCT($G3:$G6,H3:H6)/$G11</f>
        <v>229.97782563344762</v>
      </c>
      <c r="I11" s="55">
        <f t="shared" ref="I11:J11" si="6">SUMPRODUCT($G3:$G6,I3:I6)/$G11</f>
        <v>76.134909500511242</v>
      </c>
      <c r="J11" s="109">
        <f t="shared" si="6"/>
        <v>22.054968308810924</v>
      </c>
      <c r="K11" s="117">
        <f>$G11*H11/K$2</f>
        <v>0.28464804476324101</v>
      </c>
      <c r="L11" s="63">
        <f t="shared" si="1"/>
        <v>0.72784790971011404</v>
      </c>
      <c r="M11" s="118">
        <f t="shared" si="1"/>
        <v>0.50687873607286638</v>
      </c>
      <c r="N11" s="56" t="s">
        <v>108</v>
      </c>
    </row>
    <row r="12" spans="1:14">
      <c r="A12" s="20" t="s">
        <v>112</v>
      </c>
      <c r="B12" s="20">
        <f>B7</f>
        <v>370</v>
      </c>
      <c r="C12" s="20">
        <f>C7</f>
        <v>450</v>
      </c>
      <c r="D12" s="20">
        <f t="shared" si="2"/>
        <v>80</v>
      </c>
      <c r="E12" s="20"/>
      <c r="F12" s="92">
        <f>F7</f>
        <v>4.76</v>
      </c>
      <c r="G12" s="100">
        <f>G7</f>
        <v>6.3433778836860183E-3</v>
      </c>
      <c r="H12" s="108">
        <f>SUMPRODUCT($G7,H7)/$G12</f>
        <v>399.99999999999915</v>
      </c>
      <c r="I12" s="55">
        <f t="shared" ref="I12:J12" si="7">SUMPRODUCT($G7,I7)/$G12</f>
        <v>1</v>
      </c>
      <c r="J12" s="109">
        <f t="shared" si="7"/>
        <v>1</v>
      </c>
      <c r="K12" s="117">
        <f t="shared" ref="K12:K13" si="8">$G12*H12/K$2</f>
        <v>7.6782768325821503E-3</v>
      </c>
      <c r="L12" s="63">
        <f t="shared" si="1"/>
        <v>1.4826489576205663E-4</v>
      </c>
      <c r="M12" s="118">
        <f t="shared" si="1"/>
        <v>3.5643403569837301E-4</v>
      </c>
      <c r="N12" s="56" t="s">
        <v>109</v>
      </c>
    </row>
    <row r="13" spans="1:14" ht="16" thickBot="1">
      <c r="A13" s="64" t="s">
        <v>112</v>
      </c>
      <c r="B13" s="64">
        <f>B8</f>
        <v>450</v>
      </c>
      <c r="C13" s="64">
        <f>C10</f>
        <v>580</v>
      </c>
      <c r="D13" s="64">
        <f t="shared" si="2"/>
        <v>130</v>
      </c>
      <c r="E13" s="64"/>
      <c r="F13" s="93">
        <f>SUM(F8:F10)</f>
        <v>438.70868199356948</v>
      </c>
      <c r="G13" s="101">
        <f>SUM(G8:G10)</f>
        <v>0.58464179637375024</v>
      </c>
      <c r="H13" s="110">
        <f>SUMPRODUCT($G8:$G10,H8:H10)/$G13</f>
        <v>400</v>
      </c>
      <c r="I13" s="57">
        <f t="shared" ref="I13:J13" si="9">SUMPRODUCT($G8:$G10,I8:I10)/$G13</f>
        <v>19.905239110687344</v>
      </c>
      <c r="J13" s="111">
        <f t="shared" si="9"/>
        <v>14.999999999999996</v>
      </c>
      <c r="K13" s="119">
        <f t="shared" si="8"/>
        <v>0.70767367840417694</v>
      </c>
      <c r="L13" s="65">
        <f t="shared" si="1"/>
        <v>0.27200382539412393</v>
      </c>
      <c r="M13" s="120">
        <f t="shared" si="1"/>
        <v>0.49276482989143511</v>
      </c>
      <c r="N13" s="66" t="s">
        <v>110</v>
      </c>
    </row>
    <row r="14" spans="1:14" ht="17" thickTop="1" thickBot="1">
      <c r="A14" s="67" t="s">
        <v>113</v>
      </c>
      <c r="B14" s="68"/>
      <c r="C14" s="68"/>
      <c r="D14" s="68">
        <f>SUM(D3:D10)-SUM(D11:D13)</f>
        <v>0</v>
      </c>
      <c r="E14" s="67"/>
      <c r="F14" s="94">
        <f>SUM(F11:F13)</f>
        <v>750.38884444230087</v>
      </c>
      <c r="G14" s="70">
        <f t="shared" ref="G14:M14" si="10">SUM(G11:G13)</f>
        <v>0.99999999999999978</v>
      </c>
      <c r="H14" s="94">
        <f>SUMPRODUCT($G11:$G13,H11:H13)</f>
        <v>330.45840997909272</v>
      </c>
      <c r="I14" s="69">
        <f t="shared" ref="I14:J14" si="11">SUMPRODUCT($G11:$G13,I11:I13)</f>
        <v>42.784084871082413</v>
      </c>
      <c r="J14" s="112">
        <f t="shared" si="11"/>
        <v>17.796779343075997</v>
      </c>
      <c r="K14" s="121">
        <f t="shared" si="10"/>
        <v>1</v>
      </c>
      <c r="L14" s="70">
        <f t="shared" si="10"/>
        <v>1</v>
      </c>
      <c r="M14" s="95">
        <f t="shared" si="10"/>
        <v>0.99999999999999989</v>
      </c>
      <c r="N14" s="67"/>
    </row>
    <row r="15" spans="1:14" ht="16" thickTop="1">
      <c r="A15" s="71" t="s">
        <v>114</v>
      </c>
      <c r="B15" s="72">
        <f>B13</f>
        <v>450</v>
      </c>
      <c r="C15" s="72">
        <f>C13</f>
        <v>580</v>
      </c>
      <c r="D15" s="72">
        <f t="shared" ref="D15:M15" si="12">D13</f>
        <v>130</v>
      </c>
      <c r="E15" s="72">
        <f t="shared" si="12"/>
        <v>0</v>
      </c>
      <c r="F15" s="96">
        <f t="shared" si="12"/>
        <v>438.70868199356948</v>
      </c>
      <c r="G15" s="73">
        <f t="shared" si="12"/>
        <v>0.58464179637375024</v>
      </c>
      <c r="H15" s="113">
        <f t="shared" si="12"/>
        <v>400</v>
      </c>
      <c r="I15" s="74">
        <f t="shared" si="12"/>
        <v>19.905239110687344</v>
      </c>
      <c r="J15" s="114">
        <f t="shared" si="12"/>
        <v>14.999999999999996</v>
      </c>
      <c r="K15" s="122">
        <f t="shared" si="12"/>
        <v>0.70767367840417694</v>
      </c>
      <c r="L15" s="75">
        <f t="shared" si="12"/>
        <v>0.27200382539412393</v>
      </c>
      <c r="M15" s="123">
        <f t="shared" si="12"/>
        <v>0.49276482989143511</v>
      </c>
      <c r="N15" s="72"/>
    </row>
    <row r="16" spans="1:14">
      <c r="A16" s="12" t="s">
        <v>116</v>
      </c>
      <c r="B16" s="20"/>
      <c r="C16" s="20"/>
      <c r="D16" s="20"/>
      <c r="E16" s="20"/>
      <c r="F16" s="92">
        <f>F13-F14</f>
        <v>-311.68016244873138</v>
      </c>
      <c r="G16" s="79"/>
      <c r="H16" s="108"/>
      <c r="I16" s="55"/>
      <c r="J16" s="109"/>
      <c r="K16" s="117"/>
      <c r="L16" s="80"/>
      <c r="M16" s="124"/>
      <c r="N16" s="20"/>
    </row>
    <row r="17" spans="1:14" ht="16" thickBot="1">
      <c r="A17" s="76" t="s">
        <v>115</v>
      </c>
      <c r="B17" s="77"/>
      <c r="C17" s="77"/>
      <c r="D17" s="77"/>
      <c r="E17" s="77"/>
      <c r="F17" s="97"/>
      <c r="G17" s="78">
        <f>G13-G14</f>
        <v>-0.41535820362624953</v>
      </c>
      <c r="H17" s="97">
        <f>(H13-H14)/H14</f>
        <v>0.21043976464483685</v>
      </c>
      <c r="I17" s="78">
        <f>(I13-I14)/I14</f>
        <v>-0.53475131767651263</v>
      </c>
      <c r="J17" s="98">
        <f>(J13-J14)/J14</f>
        <v>-0.15715086921972282</v>
      </c>
      <c r="K17" s="97"/>
      <c r="L17" s="97"/>
      <c r="M17" s="97"/>
      <c r="N17" s="77"/>
    </row>
    <row r="18" spans="1:14" ht="16" thickTop="1"/>
    <row r="19" spans="1:14">
      <c r="H19" s="4"/>
      <c r="I19" s="4"/>
      <c r="J19" s="4"/>
    </row>
    <row r="20" spans="1:14">
      <c r="H20" s="4"/>
      <c r="I20" s="4"/>
      <c r="J20" s="4"/>
    </row>
    <row r="21" spans="1:14">
      <c r="H21" s="4"/>
      <c r="I21" s="4"/>
      <c r="J21" s="4"/>
    </row>
    <row r="22" spans="1:14">
      <c r="H22" s="4"/>
      <c r="I22" s="4"/>
      <c r="J22" s="4"/>
    </row>
    <row r="23" spans="1:14">
      <c r="H23" s="4"/>
      <c r="I23" s="4"/>
      <c r="J23" s="4"/>
    </row>
    <row r="24" spans="1:14">
      <c r="H24" s="4"/>
      <c r="I24" s="4"/>
      <c r="J24" s="4"/>
    </row>
    <row r="25" spans="1:14">
      <c r="H25" s="4"/>
      <c r="I25" s="4"/>
      <c r="J25" s="4"/>
    </row>
    <row r="26" spans="1:14">
      <c r="H26" s="4"/>
      <c r="I26" s="4"/>
      <c r="J26" s="4"/>
    </row>
    <row r="28" spans="1:14">
      <c r="H28" s="4"/>
      <c r="I28" s="4"/>
      <c r="J28" s="4"/>
    </row>
    <row r="29" spans="1:14">
      <c r="H29" s="58"/>
      <c r="I29" s="58"/>
      <c r="J29" s="5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5078-8A5D-4056-9570-1B9B1BECA3ED}">
  <dimension ref="A1:K21"/>
  <sheetViews>
    <sheetView workbookViewId="0">
      <selection activeCell="H25" sqref="H25"/>
    </sheetView>
  </sheetViews>
  <sheetFormatPr baseColWidth="10" defaultColWidth="8.83203125" defaultRowHeight="15"/>
  <cols>
    <col min="1" max="1" width="9.6640625" bestFit="1" customWidth="1"/>
    <col min="2" max="2" width="5.1640625" style="11" bestFit="1" customWidth="1"/>
    <col min="7" max="7" width="11.83203125" bestFit="1" customWidth="1"/>
    <col min="8" max="8" width="14.1640625" bestFit="1" customWidth="1"/>
    <col min="9" max="9" width="18.1640625" bestFit="1" customWidth="1"/>
    <col min="10" max="10" width="10.6640625" bestFit="1" customWidth="1"/>
    <col min="11" max="11" width="14.33203125" bestFit="1" customWidth="1"/>
  </cols>
  <sheetData>
    <row r="1" spans="1:11">
      <c r="A1" s="2" t="s">
        <v>86</v>
      </c>
      <c r="B1" s="2" t="s">
        <v>44</v>
      </c>
      <c r="C1" s="2" t="s">
        <v>19</v>
      </c>
      <c r="D1" s="2" t="s">
        <v>20</v>
      </c>
      <c r="E1" s="2" t="s">
        <v>21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</row>
    <row r="2" spans="1:11">
      <c r="A2" s="5" t="s">
        <v>16</v>
      </c>
      <c r="B2" s="5"/>
      <c r="C2" s="11">
        <v>0.1</v>
      </c>
    </row>
    <row r="3" spans="1:11">
      <c r="A3" s="5" t="s">
        <v>17</v>
      </c>
      <c r="B3" s="5" t="s">
        <v>45</v>
      </c>
      <c r="C3" s="11">
        <v>0.05</v>
      </c>
    </row>
    <row r="4" spans="1:11">
      <c r="A4" s="5" t="s">
        <v>46</v>
      </c>
      <c r="B4" s="5" t="s">
        <v>45</v>
      </c>
      <c r="G4" s="10">
        <v>1</v>
      </c>
    </row>
    <row r="5" spans="1:11">
      <c r="A5" s="5" t="s">
        <v>47</v>
      </c>
      <c r="B5" s="5" t="s">
        <v>45</v>
      </c>
      <c r="G5" s="10">
        <v>10</v>
      </c>
    </row>
    <row r="6" spans="1:11">
      <c r="A6" s="5" t="s">
        <v>48</v>
      </c>
      <c r="B6" s="5" t="s">
        <v>45</v>
      </c>
      <c r="C6" s="11">
        <v>0.3</v>
      </c>
    </row>
    <row r="7" spans="1:11">
      <c r="A7" s="5" t="s">
        <v>49</v>
      </c>
      <c r="B7" s="5" t="s">
        <v>45</v>
      </c>
    </row>
    <row r="8" spans="1:11" s="24" customFormat="1">
      <c r="A8" s="5" t="s">
        <v>125</v>
      </c>
      <c r="B8" s="5" t="s">
        <v>45</v>
      </c>
      <c r="C8" s="24">
        <v>2.5</v>
      </c>
      <c r="I8" s="24">
        <v>250</v>
      </c>
      <c r="J8" s="24">
        <v>500</v>
      </c>
      <c r="K8" s="24">
        <v>600</v>
      </c>
    </row>
    <row r="9" spans="1:11">
      <c r="A9" s="5" t="s">
        <v>126</v>
      </c>
      <c r="B9" s="5" t="s">
        <v>45</v>
      </c>
      <c r="C9" s="11">
        <v>2.5</v>
      </c>
      <c r="I9" s="11">
        <v>250</v>
      </c>
      <c r="J9" s="11">
        <v>500</v>
      </c>
      <c r="K9" s="11">
        <v>600</v>
      </c>
    </row>
    <row r="10" spans="1:11">
      <c r="A10" s="5" t="s">
        <v>50</v>
      </c>
      <c r="B10" s="5" t="s">
        <v>45</v>
      </c>
      <c r="C10" s="11">
        <v>2.5</v>
      </c>
      <c r="I10" s="11">
        <v>250</v>
      </c>
      <c r="J10" s="11">
        <v>500</v>
      </c>
      <c r="K10" s="11">
        <v>600</v>
      </c>
    </row>
    <row r="11" spans="1:11">
      <c r="A11" s="5" t="s">
        <v>51</v>
      </c>
      <c r="B11" s="5" t="s">
        <v>45</v>
      </c>
      <c r="C11" s="11">
        <v>0.05</v>
      </c>
    </row>
    <row r="12" spans="1:11">
      <c r="A12" s="5" t="s">
        <v>52</v>
      </c>
      <c r="B12" s="11" t="s">
        <v>45</v>
      </c>
      <c r="C12" s="11">
        <v>0.02</v>
      </c>
      <c r="G12" s="9">
        <v>0.3</v>
      </c>
    </row>
    <row r="13" spans="1:11">
      <c r="A13" s="5" t="s">
        <v>53</v>
      </c>
      <c r="B13" s="11" t="s">
        <v>45</v>
      </c>
      <c r="C13">
        <v>2E-3</v>
      </c>
      <c r="G13" s="9">
        <v>0.05</v>
      </c>
    </row>
    <row r="14" spans="1:11">
      <c r="A14" s="5" t="s">
        <v>54</v>
      </c>
      <c r="B14" s="5" t="s">
        <v>45</v>
      </c>
      <c r="C14" s="11">
        <v>0.01</v>
      </c>
    </row>
    <row r="15" spans="1:11">
      <c r="A15" s="5" t="s">
        <v>55</v>
      </c>
      <c r="B15" s="5" t="s">
        <v>45</v>
      </c>
      <c r="C15" s="11">
        <v>10</v>
      </c>
      <c r="I15" s="11">
        <v>500</v>
      </c>
      <c r="J15" s="11">
        <v>1000</v>
      </c>
      <c r="K15" s="11">
        <v>1500</v>
      </c>
    </row>
    <row r="16" spans="1:11">
      <c r="A16" s="5" t="s">
        <v>56</v>
      </c>
      <c r="B16" s="5" t="s">
        <v>45</v>
      </c>
    </row>
    <row r="17" spans="1:11">
      <c r="A17" s="5" t="s">
        <v>57</v>
      </c>
      <c r="B17" s="5" t="s">
        <v>58</v>
      </c>
      <c r="C17" s="11">
        <v>0.1</v>
      </c>
      <c r="G17" s="9">
        <v>5</v>
      </c>
    </row>
    <row r="18" spans="1:11">
      <c r="A18" s="5" t="s">
        <v>59</v>
      </c>
      <c r="B18" s="5" t="s">
        <v>45</v>
      </c>
      <c r="C18" s="11">
        <v>2.5000000000000001E-2</v>
      </c>
    </row>
    <row r="19" spans="1:11">
      <c r="A19" s="5" t="s">
        <v>83</v>
      </c>
      <c r="B19" s="5" t="s">
        <v>85</v>
      </c>
      <c r="C19">
        <v>2</v>
      </c>
      <c r="D19">
        <v>5.0999999999999996</v>
      </c>
      <c r="E19">
        <v>10</v>
      </c>
    </row>
    <row r="20" spans="1:11">
      <c r="A20" s="5" t="s">
        <v>84</v>
      </c>
      <c r="B20" s="5" t="s">
        <v>85</v>
      </c>
      <c r="C20">
        <v>2</v>
      </c>
      <c r="D20">
        <v>6.6</v>
      </c>
      <c r="E20">
        <v>40</v>
      </c>
    </row>
    <row r="21" spans="1:11">
      <c r="A21" s="5" t="s">
        <v>128</v>
      </c>
      <c r="B21" s="5" t="s">
        <v>132</v>
      </c>
      <c r="C21" s="24">
        <v>2</v>
      </c>
      <c r="D21" s="24">
        <v>6.6</v>
      </c>
      <c r="E21" s="24">
        <v>40</v>
      </c>
      <c r="F21" s="24"/>
      <c r="G21" s="24"/>
      <c r="H21" s="24"/>
      <c r="I21" s="24"/>
      <c r="J21" s="24"/>
      <c r="K2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63DD-CAAA-4E65-9B6B-3884FC26A5E7}">
  <dimension ref="A1:I8"/>
  <sheetViews>
    <sheetView workbookViewId="0">
      <selection activeCell="N4" sqref="N4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0.6640625" bestFit="1" customWidth="1"/>
    <col min="4" max="4" width="10.5" bestFit="1" customWidth="1"/>
    <col min="5" max="5" width="10.5" style="24" customWidth="1"/>
    <col min="6" max="6" width="9.5" bestFit="1" customWidth="1"/>
  </cols>
  <sheetData>
    <row r="1" spans="1:9">
      <c r="A1" s="2" t="s">
        <v>0</v>
      </c>
      <c r="B1" s="2" t="s">
        <v>63</v>
      </c>
      <c r="C1" s="15" t="s">
        <v>94</v>
      </c>
      <c r="D1" s="15" t="s">
        <v>95</v>
      </c>
      <c r="E1" s="54" t="s">
        <v>101</v>
      </c>
      <c r="F1" t="s">
        <v>96</v>
      </c>
      <c r="G1" t="s">
        <v>97</v>
      </c>
      <c r="H1" t="s">
        <v>98</v>
      </c>
      <c r="I1">
        <v>148</v>
      </c>
    </row>
    <row r="2" spans="1:9">
      <c r="A2" s="24">
        <f t="shared" ref="A2:B2" si="0">IF(ISBLANK(D2),"",$I$1-C2)</f>
        <v>13</v>
      </c>
      <c r="B2" s="24">
        <f t="shared" si="0"/>
        <v>58</v>
      </c>
      <c r="C2">
        <f>IF(OR(ISBLANK(D2),ISBLANK(E2)),"",D2+E2)</f>
        <v>135</v>
      </c>
      <c r="D2">
        <v>90</v>
      </c>
      <c r="E2" s="24">
        <v>45</v>
      </c>
      <c r="F2" t="s">
        <v>98</v>
      </c>
      <c r="G2" t="s">
        <v>99</v>
      </c>
      <c r="H2" t="s">
        <v>100</v>
      </c>
    </row>
    <row r="3" spans="1:9">
      <c r="A3" s="24">
        <f t="shared" ref="A3:A8" si="1">IF(ISBLANK(D3),"",$I$1-C3)</f>
        <v>118</v>
      </c>
      <c r="B3" s="24">
        <f t="shared" ref="B3:B8" si="2">IF(ISBLANK(E3),"",$I$1-D3)</f>
        <v>173</v>
      </c>
      <c r="C3" s="24">
        <f t="shared" ref="C3:C8" si="3">IF(OR(ISBLANK(D3),ISBLANK(E3)),"",D3+E3)</f>
        <v>30</v>
      </c>
      <c r="D3">
        <v>-25</v>
      </c>
      <c r="E3" s="24">
        <v>55</v>
      </c>
      <c r="F3" t="s">
        <v>102</v>
      </c>
    </row>
    <row r="4" spans="1:9">
      <c r="A4" s="24">
        <f t="shared" si="1"/>
        <v>158</v>
      </c>
      <c r="B4" s="24">
        <f t="shared" si="2"/>
        <v>198</v>
      </c>
      <c r="C4" s="24">
        <f t="shared" si="3"/>
        <v>-10</v>
      </c>
      <c r="D4">
        <v>-50</v>
      </c>
      <c r="E4" s="24">
        <v>40</v>
      </c>
      <c r="F4" t="s">
        <v>103</v>
      </c>
    </row>
    <row r="5" spans="1:9">
      <c r="A5" s="24">
        <f t="shared" si="1"/>
        <v>223</v>
      </c>
      <c r="B5" s="24">
        <f t="shared" si="2"/>
        <v>248</v>
      </c>
      <c r="C5" s="24">
        <f t="shared" si="3"/>
        <v>-75</v>
      </c>
      <c r="D5">
        <f>-100</f>
        <v>-100</v>
      </c>
      <c r="E5" s="12">
        <v>25</v>
      </c>
      <c r="F5" t="s">
        <v>104</v>
      </c>
    </row>
    <row r="6" spans="1:9">
      <c r="A6" s="24">
        <f t="shared" si="1"/>
        <v>248</v>
      </c>
      <c r="B6" s="24">
        <f t="shared" si="2"/>
        <v>288</v>
      </c>
      <c r="C6" s="24">
        <f t="shared" si="3"/>
        <v>-100</v>
      </c>
      <c r="D6">
        <v>-140</v>
      </c>
      <c r="E6" s="12">
        <v>40</v>
      </c>
      <c r="F6" t="s">
        <v>105</v>
      </c>
    </row>
    <row r="7" spans="1:9">
      <c r="A7" s="24">
        <f t="shared" si="1"/>
        <v>338</v>
      </c>
      <c r="B7" s="24">
        <f t="shared" si="2"/>
        <v>438</v>
      </c>
      <c r="C7" s="24">
        <f t="shared" si="3"/>
        <v>-190</v>
      </c>
      <c r="D7">
        <v>-290</v>
      </c>
      <c r="E7" s="12">
        <v>100</v>
      </c>
      <c r="F7" t="s">
        <v>106</v>
      </c>
    </row>
    <row r="8" spans="1:9">
      <c r="A8" s="24">
        <f t="shared" si="1"/>
        <v>548</v>
      </c>
      <c r="B8" s="24">
        <f t="shared" si="2"/>
        <v>798</v>
      </c>
      <c r="C8" s="24">
        <f t="shared" si="3"/>
        <v>-400</v>
      </c>
      <c r="D8">
        <v>-650</v>
      </c>
      <c r="E8" s="12">
        <v>250</v>
      </c>
      <c r="F8" t="s">
        <v>107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0CA8-EEB4-4AD0-90AD-E3812DDCB89C}">
  <dimension ref="A1:B14"/>
  <sheetViews>
    <sheetView workbookViewId="0">
      <selection activeCell="A15" sqref="A15"/>
    </sheetView>
  </sheetViews>
  <sheetFormatPr baseColWidth="10" defaultColWidth="8.83203125" defaultRowHeight="15"/>
  <cols>
    <col min="1" max="1" width="18.1640625" bestFit="1" customWidth="1"/>
    <col min="2" max="2" width="25.1640625" bestFit="1" customWidth="1"/>
  </cols>
  <sheetData>
    <row r="1" spans="1:2">
      <c r="A1" s="2" t="s">
        <v>22</v>
      </c>
      <c r="B1" s="2" t="s">
        <v>23</v>
      </c>
    </row>
    <row r="2" spans="1:2">
      <c r="A2" s="6" t="s">
        <v>14</v>
      </c>
      <c r="B2" t="s">
        <v>24</v>
      </c>
    </row>
    <row r="3" spans="1:2">
      <c r="A3" s="6" t="s">
        <v>15</v>
      </c>
      <c r="B3" t="s">
        <v>25</v>
      </c>
    </row>
    <row r="4" spans="1:2">
      <c r="A4" s="7" t="s">
        <v>18</v>
      </c>
      <c r="B4" t="s">
        <v>32</v>
      </c>
    </row>
    <row r="5" spans="1:2">
      <c r="A5" s="7" t="s">
        <v>19</v>
      </c>
      <c r="B5" t="s">
        <v>33</v>
      </c>
    </row>
    <row r="6" spans="1:2">
      <c r="A6" s="7" t="s">
        <v>20</v>
      </c>
      <c r="B6" t="s">
        <v>34</v>
      </c>
    </row>
    <row r="7" spans="1:2">
      <c r="A7" s="7" t="s">
        <v>21</v>
      </c>
      <c r="B7" t="s">
        <v>35</v>
      </c>
    </row>
    <row r="8" spans="1:2">
      <c r="A8" s="7" t="s">
        <v>26</v>
      </c>
      <c r="B8" t="s">
        <v>36</v>
      </c>
    </row>
    <row r="9" spans="1:2">
      <c r="A9" s="7" t="s">
        <v>27</v>
      </c>
      <c r="B9" t="s">
        <v>37</v>
      </c>
    </row>
    <row r="10" spans="1:2">
      <c r="A10" s="7" t="s">
        <v>28</v>
      </c>
      <c r="B10" t="s">
        <v>38</v>
      </c>
    </row>
    <row r="11" spans="1:2">
      <c r="A11" s="7" t="s">
        <v>29</v>
      </c>
      <c r="B11" t="s">
        <v>39</v>
      </c>
    </row>
    <row r="12" spans="1:2">
      <c r="A12" s="7" t="s">
        <v>30</v>
      </c>
      <c r="B12" t="s">
        <v>40</v>
      </c>
    </row>
    <row r="13" spans="1:2">
      <c r="A13" s="7" t="s">
        <v>31</v>
      </c>
      <c r="B13" t="s">
        <v>41</v>
      </c>
    </row>
    <row r="14" spans="1:2">
      <c r="A14" s="8" t="s">
        <v>42</v>
      </c>
      <c r="B14" t="s">
        <v>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8713-4719-41B0-928E-8654FB55DD96}">
  <dimension ref="A1:M11"/>
  <sheetViews>
    <sheetView workbookViewId="0">
      <selection activeCell="J18" sqref="J18"/>
    </sheetView>
  </sheetViews>
  <sheetFormatPr baseColWidth="10" defaultColWidth="8.83203125" defaultRowHeight="15"/>
  <cols>
    <col min="1" max="1" width="4.83203125" style="24" bestFit="1" customWidth="1"/>
    <col min="2" max="2" width="12.33203125" style="24" bestFit="1" customWidth="1"/>
    <col min="3" max="3" width="12.1640625" style="24" bestFit="1" customWidth="1"/>
    <col min="4" max="4" width="11.5" style="24" bestFit="1" customWidth="1"/>
    <col min="5" max="5" width="19.6640625" style="24" bestFit="1" customWidth="1"/>
    <col min="6" max="6" width="14.83203125" style="24" bestFit="1" customWidth="1"/>
    <col min="7" max="7" width="17.6640625" style="24" bestFit="1" customWidth="1"/>
    <col min="8" max="8" width="9.1640625" style="24" bestFit="1" customWidth="1"/>
    <col min="9" max="9" width="9.6640625" style="24" bestFit="1" customWidth="1"/>
    <col min="10" max="10" width="9.83203125" style="24" bestFit="1" customWidth="1"/>
    <col min="11" max="11" width="11.5" style="24" bestFit="1" customWidth="1"/>
    <col min="12" max="12" width="12.6640625" style="24" bestFit="1" customWidth="1"/>
    <col min="13" max="13" width="12.83203125" style="24" bestFit="1" customWidth="1"/>
    <col min="14" max="16384" width="8.83203125" style="24"/>
  </cols>
  <sheetData>
    <row r="1" spans="1:13">
      <c r="A1" s="24" t="s">
        <v>3</v>
      </c>
      <c r="B1" s="24" t="s">
        <v>0</v>
      </c>
      <c r="C1" s="24" t="s">
        <v>63</v>
      </c>
      <c r="D1" s="24" t="s">
        <v>80</v>
      </c>
      <c r="E1" s="2" t="s">
        <v>69</v>
      </c>
      <c r="F1" s="2" t="s">
        <v>67</v>
      </c>
      <c r="G1" s="2" t="s">
        <v>68</v>
      </c>
      <c r="H1" s="2" t="s">
        <v>90</v>
      </c>
      <c r="I1" s="2" t="s">
        <v>91</v>
      </c>
      <c r="J1" s="2" t="s">
        <v>92</v>
      </c>
      <c r="K1" s="24" t="s">
        <v>87</v>
      </c>
      <c r="L1" s="24" t="s">
        <v>88</v>
      </c>
      <c r="M1" s="24" t="s">
        <v>89</v>
      </c>
    </row>
    <row r="2" spans="1:13">
      <c r="A2" s="24" t="s">
        <v>14</v>
      </c>
      <c r="B2" s="24">
        <v>0</v>
      </c>
      <c r="C2" s="24">
        <v>0</v>
      </c>
      <c r="D2" s="24">
        <v>0</v>
      </c>
      <c r="E2" s="44">
        <v>750.4</v>
      </c>
      <c r="F2" s="44">
        <f>E2</f>
        <v>750.4</v>
      </c>
      <c r="G2" s="26">
        <v>1</v>
      </c>
      <c r="H2" s="42">
        <v>330</v>
      </c>
      <c r="I2" s="42">
        <v>37</v>
      </c>
      <c r="J2" s="42">
        <v>14.5</v>
      </c>
      <c r="K2" s="4">
        <f>$F2*H2</f>
        <v>247632</v>
      </c>
      <c r="L2" s="4">
        <f t="shared" ref="L2:M2" si="0">$F2*I2</f>
        <v>27764.799999999999</v>
      </c>
      <c r="M2" s="4">
        <f t="shared" si="0"/>
        <v>10880.8</v>
      </c>
    </row>
    <row r="3" spans="1:13">
      <c r="A3" s="24" t="s">
        <v>15</v>
      </c>
      <c r="B3" s="24">
        <v>230</v>
      </c>
      <c r="C3" s="24">
        <v>261</v>
      </c>
      <c r="D3" s="24">
        <f>C3-B3</f>
        <v>31</v>
      </c>
      <c r="E3" s="25">
        <f>E2</f>
        <v>750.4</v>
      </c>
      <c r="F3" s="25">
        <v>233</v>
      </c>
      <c r="G3" s="26">
        <v>0.31</v>
      </c>
      <c r="H3" s="27">
        <v>240.83136540249694</v>
      </c>
      <c r="I3" s="37">
        <v>86.042749028626673</v>
      </c>
      <c r="J3" s="37">
        <v>24.977314565206605</v>
      </c>
      <c r="K3" s="4">
        <f>$F3*H3/K$2*100</f>
        <v>22.660119911312666</v>
      </c>
      <c r="L3" s="4">
        <f t="shared" ref="L3:M10" si="1">$F3*I3/L$2*100</f>
        <v>72.206392711887048</v>
      </c>
      <c r="M3" s="4">
        <f t="shared" si="1"/>
        <v>53.486088281129504</v>
      </c>
    </row>
    <row r="4" spans="1:13">
      <c r="A4" s="24" t="s">
        <v>15</v>
      </c>
      <c r="B4" s="24">
        <f>C3</f>
        <v>261</v>
      </c>
      <c r="C4" s="24">
        <v>300</v>
      </c>
      <c r="D4" s="24">
        <f t="shared" ref="D4:D10" si="2">C4-B4</f>
        <v>39</v>
      </c>
      <c r="E4" s="28">
        <v>518.64291847136667</v>
      </c>
      <c r="F4" s="29">
        <v>12.59755505552863</v>
      </c>
      <c r="G4" s="30">
        <v>1.6767675489035398E-2</v>
      </c>
      <c r="H4" s="31">
        <v>10</v>
      </c>
      <c r="I4" s="38">
        <v>2</v>
      </c>
      <c r="J4" s="39">
        <v>1.7659749660112938</v>
      </c>
      <c r="K4" s="4">
        <f t="shared" ref="K4:K10" si="3">$F4*H4/K$2*100</f>
        <v>5.087208056926662E-2</v>
      </c>
      <c r="L4" s="4">
        <f t="shared" si="1"/>
        <v>9.0744792366799915E-2</v>
      </c>
      <c r="M4" s="4">
        <f t="shared" si="1"/>
        <v>0.20446076447515416</v>
      </c>
    </row>
    <row r="5" spans="1:13">
      <c r="A5" s="24" t="s">
        <v>15</v>
      </c>
      <c r="B5" s="24">
        <f t="shared" ref="B5:B10" si="4">C4</f>
        <v>300</v>
      </c>
      <c r="C5" s="24">
        <v>340</v>
      </c>
      <c r="D5" s="24">
        <f t="shared" si="2"/>
        <v>40</v>
      </c>
      <c r="E5" s="28">
        <v>506.04536341583804</v>
      </c>
      <c r="F5" s="29">
        <v>59.602607393202732</v>
      </c>
      <c r="G5" s="30">
        <v>7.9332630392514508E-2</v>
      </c>
      <c r="H5" s="31">
        <v>230.19354838709663</v>
      </c>
      <c r="I5" s="39">
        <v>55.451612903225843</v>
      </c>
      <c r="J5" s="38">
        <v>2</v>
      </c>
      <c r="K5" s="4">
        <f t="shared" si="3"/>
        <v>5.5405342156766233</v>
      </c>
      <c r="L5" s="4">
        <f t="shared" si="1"/>
        <v>11.90378001350928</v>
      </c>
      <c r="M5" s="4">
        <f t="shared" si="1"/>
        <v>1.0955556097566859</v>
      </c>
    </row>
    <row r="6" spans="1:13">
      <c r="A6" s="24" t="s">
        <v>15</v>
      </c>
      <c r="B6" s="24">
        <f t="shared" si="4"/>
        <v>340</v>
      </c>
      <c r="C6" s="24">
        <v>370</v>
      </c>
      <c r="D6" s="24">
        <f t="shared" si="2"/>
        <v>30</v>
      </c>
      <c r="E6" s="28">
        <v>446.44275602263531</v>
      </c>
      <c r="F6" s="32">
        <v>1.72</v>
      </c>
      <c r="G6" s="30">
        <v>2.3999999999999998E-3</v>
      </c>
      <c r="H6" s="31">
        <v>400.00000000000108</v>
      </c>
      <c r="I6" s="38">
        <v>2</v>
      </c>
      <c r="J6" s="39">
        <v>510</v>
      </c>
      <c r="K6" s="4">
        <f t="shared" si="3"/>
        <v>0.27783162111520393</v>
      </c>
      <c r="L6" s="4">
        <f t="shared" si="1"/>
        <v>1.2389788509191495E-2</v>
      </c>
      <c r="M6" s="4">
        <f t="shared" si="1"/>
        <v>8.0619072127049485</v>
      </c>
    </row>
    <row r="7" spans="1:13">
      <c r="A7" s="24" t="s">
        <v>15</v>
      </c>
      <c r="B7" s="24">
        <f t="shared" si="4"/>
        <v>370</v>
      </c>
      <c r="C7" s="24">
        <v>450</v>
      </c>
      <c r="D7" s="24">
        <f t="shared" si="2"/>
        <v>80</v>
      </c>
      <c r="E7" s="28">
        <v>445</v>
      </c>
      <c r="F7" s="32">
        <v>4.76</v>
      </c>
      <c r="G7" s="30">
        <v>6.3E-3</v>
      </c>
      <c r="H7" s="31">
        <v>399.99999999999909</v>
      </c>
      <c r="I7" s="38">
        <v>2</v>
      </c>
      <c r="J7" s="38">
        <v>2</v>
      </c>
      <c r="K7" s="4">
        <f t="shared" si="3"/>
        <v>0.76888285843509552</v>
      </c>
      <c r="L7" s="4">
        <f t="shared" si="1"/>
        <v>3.4288019362646228E-2</v>
      </c>
      <c r="M7" s="4">
        <f t="shared" si="1"/>
        <v>8.7493566649511065E-2</v>
      </c>
    </row>
    <row r="8" spans="1:13">
      <c r="A8" s="24" t="s">
        <v>15</v>
      </c>
      <c r="B8" s="24">
        <f t="shared" si="4"/>
        <v>450</v>
      </c>
      <c r="C8" s="24">
        <v>520</v>
      </c>
      <c r="D8" s="24">
        <f t="shared" si="2"/>
        <v>70</v>
      </c>
      <c r="E8" s="28">
        <v>438.70868199356948</v>
      </c>
      <c r="F8" s="28">
        <v>224.28581085277091</v>
      </c>
      <c r="G8" s="33">
        <v>0.29853028437640938</v>
      </c>
      <c r="H8" s="31">
        <v>371.31924614505999</v>
      </c>
      <c r="I8" s="39">
        <v>20.000000000000004</v>
      </c>
      <c r="J8" s="39">
        <v>12.131924614505996</v>
      </c>
      <c r="K8" s="4">
        <f t="shared" si="3"/>
        <v>33.631210104867066</v>
      </c>
      <c r="L8" s="4">
        <f t="shared" si="1"/>
        <v>16.156126523711386</v>
      </c>
      <c r="M8" s="4">
        <f t="shared" si="1"/>
        <v>25.007522878549072</v>
      </c>
    </row>
    <row r="9" spans="1:13">
      <c r="A9" s="24" t="s">
        <v>15</v>
      </c>
      <c r="B9" s="24">
        <f t="shared" si="4"/>
        <v>520</v>
      </c>
      <c r="C9" s="24">
        <v>550</v>
      </c>
      <c r="D9" s="24">
        <f t="shared" si="2"/>
        <v>30</v>
      </c>
      <c r="E9" s="28">
        <v>214.42287114079858</v>
      </c>
      <c r="F9" s="28">
        <v>179.85278188361778</v>
      </c>
      <c r="G9" s="33">
        <v>0.23938875989283931</v>
      </c>
      <c r="H9" s="31">
        <v>430</v>
      </c>
      <c r="I9" s="39">
        <v>19</v>
      </c>
      <c r="J9" s="39">
        <v>18.576639775517361</v>
      </c>
      <c r="K9" s="4">
        <f t="shared" si="3"/>
        <v>31.23049372050286</v>
      </c>
      <c r="L9" s="4">
        <f t="shared" si="1"/>
        <v>12.307680429135949</v>
      </c>
      <c r="M9" s="4">
        <f t="shared" si="1"/>
        <v>30.70601740383669</v>
      </c>
    </row>
    <row r="10" spans="1:13" ht="16" thickBot="1">
      <c r="A10" s="24" t="s">
        <v>15</v>
      </c>
      <c r="B10" s="24">
        <f t="shared" si="4"/>
        <v>550</v>
      </c>
      <c r="C10" s="24">
        <v>580</v>
      </c>
      <c r="D10" s="24">
        <f t="shared" si="2"/>
        <v>30</v>
      </c>
      <c r="E10" s="34">
        <v>34.570089257180797</v>
      </c>
      <c r="F10" s="34">
        <v>34.570089257180797</v>
      </c>
      <c r="G10" s="35">
        <v>4.6013693588662162E-2</v>
      </c>
      <c r="H10" s="36">
        <v>430</v>
      </c>
      <c r="I10" s="40">
        <v>24</v>
      </c>
      <c r="J10" s="40">
        <v>15.000000000000002</v>
      </c>
      <c r="K10" s="4">
        <f t="shared" si="3"/>
        <v>6.0029149627623823</v>
      </c>
      <c r="L10" s="4">
        <f t="shared" si="1"/>
        <v>2.9882518230721602</v>
      </c>
      <c r="M10" s="4">
        <f t="shared" si="1"/>
        <v>4.7657464419685329</v>
      </c>
    </row>
    <row r="11" spans="1:13">
      <c r="K11" s="4">
        <f>SUM(K3:K10)</f>
        <v>100.16285947524116</v>
      </c>
      <c r="L11" s="4">
        <f t="shared" ref="L11:M11" si="5">SUM(L3:L10)</f>
        <v>115.69965410155449</v>
      </c>
      <c r="M11" s="4">
        <f t="shared" si="5"/>
        <v>123.41479215907009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E9F-9E79-4FD2-81DB-363BCF2A08D9}">
  <dimension ref="A1:M10"/>
  <sheetViews>
    <sheetView workbookViewId="0">
      <selection activeCell="J18" sqref="J18"/>
    </sheetView>
  </sheetViews>
  <sheetFormatPr baseColWidth="10" defaultColWidth="8.83203125" defaultRowHeight="15"/>
  <cols>
    <col min="1" max="1" width="8.83203125" style="24"/>
    <col min="2" max="2" width="12.33203125" style="24" bestFit="1" customWidth="1"/>
    <col min="3" max="3" width="12.1640625" style="24" bestFit="1" customWidth="1"/>
    <col min="4" max="4" width="11.5" style="24" bestFit="1" customWidth="1"/>
    <col min="5" max="5" width="19.6640625" style="24" bestFit="1" customWidth="1"/>
    <col min="6" max="6" width="14.83203125" style="24" bestFit="1" customWidth="1"/>
    <col min="7" max="7" width="17.6640625" style="24" bestFit="1" customWidth="1"/>
    <col min="8" max="8" width="9.1640625" style="24" bestFit="1" customWidth="1"/>
    <col min="9" max="9" width="9.6640625" style="24" bestFit="1" customWidth="1"/>
    <col min="10" max="10" width="9.83203125" style="24" bestFit="1" customWidth="1"/>
    <col min="11" max="11" width="11.33203125" style="24" bestFit="1" customWidth="1"/>
    <col min="12" max="12" width="12.33203125" style="24" bestFit="1" customWidth="1"/>
    <col min="13" max="13" width="12.5" style="24" bestFit="1" customWidth="1"/>
    <col min="14" max="16384" width="8.83203125" style="24"/>
  </cols>
  <sheetData>
    <row r="1" spans="1:13">
      <c r="A1" s="24" t="s">
        <v>3</v>
      </c>
      <c r="B1" s="2" t="s">
        <v>0</v>
      </c>
      <c r="C1" s="2" t="s">
        <v>63</v>
      </c>
      <c r="D1" s="2" t="s">
        <v>80</v>
      </c>
      <c r="E1" s="2" t="s">
        <v>69</v>
      </c>
      <c r="F1" s="2" t="s">
        <v>67</v>
      </c>
      <c r="G1" s="2" t="s">
        <v>68</v>
      </c>
      <c r="H1" s="2" t="s">
        <v>90</v>
      </c>
      <c r="I1" s="2" t="s">
        <v>91</v>
      </c>
      <c r="J1" s="2" t="s">
        <v>92</v>
      </c>
      <c r="K1" s="24" t="s">
        <v>87</v>
      </c>
      <c r="L1" s="24" t="s">
        <v>88</v>
      </c>
      <c r="M1" s="24" t="s">
        <v>89</v>
      </c>
    </row>
    <row r="2" spans="1:13">
      <c r="A2" s="24" t="s">
        <v>14</v>
      </c>
      <c r="B2" s="43">
        <v>0</v>
      </c>
      <c r="C2" s="43">
        <v>0</v>
      </c>
      <c r="D2" s="43">
        <v>0</v>
      </c>
      <c r="E2" s="41"/>
      <c r="F2" s="41"/>
      <c r="G2" s="42"/>
      <c r="H2" s="45"/>
      <c r="I2" s="45"/>
      <c r="J2" s="46"/>
      <c r="K2" s="24" t="str">
        <f>IF(ISBLANK(H2),"",H2)</f>
        <v/>
      </c>
      <c r="L2" s="24" t="str">
        <f t="shared" ref="L2:M10" si="0">IF(ISBLANK(I2),"",I2)</f>
        <v/>
      </c>
      <c r="M2" s="24" t="str">
        <f t="shared" si="0"/>
        <v/>
      </c>
    </row>
    <row r="3" spans="1:13">
      <c r="A3" s="24" t="s">
        <v>15</v>
      </c>
      <c r="B3" s="24">
        <v>230</v>
      </c>
      <c r="C3" s="24">
        <v>261</v>
      </c>
      <c r="D3" s="24">
        <f>C3-B3</f>
        <v>31</v>
      </c>
      <c r="E3" s="25" t="s">
        <v>72</v>
      </c>
      <c r="F3" s="25" t="s">
        <v>72</v>
      </c>
      <c r="G3" s="26" t="s">
        <v>72</v>
      </c>
      <c r="H3" s="47"/>
      <c r="I3" s="47"/>
      <c r="J3" s="48"/>
      <c r="K3" s="24" t="str">
        <f t="shared" ref="K3:K10" si="1">IF(ISBLANK(H3),"",H3)</f>
        <v/>
      </c>
      <c r="L3" s="24" t="str">
        <f t="shared" si="0"/>
        <v/>
      </c>
      <c r="M3" s="24" t="str">
        <f t="shared" si="0"/>
        <v/>
      </c>
    </row>
    <row r="4" spans="1:13">
      <c r="A4" s="24" t="s">
        <v>15</v>
      </c>
      <c r="B4" s="24">
        <f>C3</f>
        <v>261</v>
      </c>
      <c r="C4" s="24">
        <v>300</v>
      </c>
      <c r="D4" s="24">
        <f t="shared" ref="D4:D10" si="2">C4-B4</f>
        <v>39</v>
      </c>
      <c r="E4" s="28"/>
      <c r="F4" s="29"/>
      <c r="G4" s="30"/>
      <c r="H4" s="49" t="s">
        <v>93</v>
      </c>
      <c r="I4" s="50" t="s">
        <v>93</v>
      </c>
      <c r="J4" s="51" t="s">
        <v>93</v>
      </c>
      <c r="K4" s="24" t="str">
        <f t="shared" si="1"/>
        <v>&lt;</v>
      </c>
      <c r="L4" s="24" t="str">
        <f t="shared" si="0"/>
        <v>&lt;</v>
      </c>
      <c r="M4" s="24" t="str">
        <f t="shared" si="0"/>
        <v>&lt;</v>
      </c>
    </row>
    <row r="5" spans="1:13">
      <c r="A5" s="24" t="s">
        <v>15</v>
      </c>
      <c r="B5" s="24">
        <f t="shared" ref="B5:B10" si="3">C4</f>
        <v>300</v>
      </c>
      <c r="C5" s="24">
        <v>340</v>
      </c>
      <c r="D5" s="24">
        <f t="shared" si="2"/>
        <v>40</v>
      </c>
      <c r="E5" s="28"/>
      <c r="F5" s="29"/>
      <c r="G5" s="30"/>
      <c r="H5" s="50"/>
      <c r="I5" s="49"/>
      <c r="J5" s="51" t="s">
        <v>93</v>
      </c>
      <c r="K5" s="24" t="str">
        <f t="shared" si="1"/>
        <v/>
      </c>
      <c r="L5" s="24" t="str">
        <f t="shared" si="0"/>
        <v/>
      </c>
      <c r="M5" s="24" t="str">
        <f t="shared" si="0"/>
        <v>&lt;</v>
      </c>
    </row>
    <row r="6" spans="1:13">
      <c r="A6" s="24" t="s">
        <v>15</v>
      </c>
      <c r="B6" s="24">
        <f t="shared" si="3"/>
        <v>340</v>
      </c>
      <c r="C6" s="24">
        <v>370</v>
      </c>
      <c r="D6" s="24">
        <f t="shared" si="2"/>
        <v>30</v>
      </c>
      <c r="E6" s="28" t="s">
        <v>73</v>
      </c>
      <c r="F6" s="32" t="s">
        <v>73</v>
      </c>
      <c r="G6" s="30" t="s">
        <v>73</v>
      </c>
      <c r="H6" s="49"/>
      <c r="I6" s="50" t="s">
        <v>93</v>
      </c>
      <c r="J6" s="51" t="s">
        <v>82</v>
      </c>
      <c r="K6" s="24" t="str">
        <f t="shared" si="1"/>
        <v/>
      </c>
      <c r="L6" s="24" t="str">
        <f t="shared" si="0"/>
        <v>&lt;</v>
      </c>
      <c r="M6" s="24" t="str">
        <f t="shared" si="0"/>
        <v>c</v>
      </c>
    </row>
    <row r="7" spans="1:13">
      <c r="A7" s="24" t="s">
        <v>15</v>
      </c>
      <c r="B7" s="24">
        <f t="shared" si="3"/>
        <v>370</v>
      </c>
      <c r="C7" s="24">
        <v>450</v>
      </c>
      <c r="D7" s="24">
        <f t="shared" si="2"/>
        <v>80</v>
      </c>
      <c r="E7" s="28" t="s">
        <v>73</v>
      </c>
      <c r="F7" s="32" t="s">
        <v>73</v>
      </c>
      <c r="G7" s="30" t="s">
        <v>73</v>
      </c>
      <c r="H7" s="49"/>
      <c r="I7" s="49" t="s">
        <v>93</v>
      </c>
      <c r="J7" s="51" t="s">
        <v>93</v>
      </c>
      <c r="K7" s="24" t="str">
        <f t="shared" si="1"/>
        <v/>
      </c>
      <c r="L7" s="24" t="str">
        <f t="shared" si="0"/>
        <v>&lt;</v>
      </c>
      <c r="M7" s="24" t="str">
        <f t="shared" si="0"/>
        <v>&lt;</v>
      </c>
    </row>
    <row r="8" spans="1:13">
      <c r="A8" s="24" t="s">
        <v>15</v>
      </c>
      <c r="B8" s="24">
        <f t="shared" si="3"/>
        <v>450</v>
      </c>
      <c r="C8" s="24">
        <v>520</v>
      </c>
      <c r="D8" s="24">
        <f t="shared" si="2"/>
        <v>70</v>
      </c>
      <c r="E8" s="28"/>
      <c r="F8" s="28"/>
      <c r="G8" s="33"/>
      <c r="H8" s="50"/>
      <c r="I8" s="50"/>
      <c r="J8" s="51"/>
      <c r="K8" s="24" t="str">
        <f t="shared" si="1"/>
        <v/>
      </c>
      <c r="L8" s="24" t="str">
        <f t="shared" si="0"/>
        <v/>
      </c>
      <c r="M8" s="24" t="str">
        <f t="shared" si="0"/>
        <v/>
      </c>
    </row>
    <row r="9" spans="1:13">
      <c r="A9" s="24" t="s">
        <v>15</v>
      </c>
      <c r="B9" s="24">
        <f t="shared" si="3"/>
        <v>520</v>
      </c>
      <c r="C9" s="24">
        <v>550</v>
      </c>
      <c r="D9" s="24">
        <f t="shared" si="2"/>
        <v>30</v>
      </c>
      <c r="E9" s="28"/>
      <c r="F9" s="28"/>
      <c r="G9" s="33"/>
      <c r="H9" s="50"/>
      <c r="I9" s="50" t="s">
        <v>81</v>
      </c>
      <c r="J9" s="51" t="s">
        <v>81</v>
      </c>
      <c r="K9" s="24" t="str">
        <f t="shared" si="1"/>
        <v/>
      </c>
      <c r="L9" s="24" t="str">
        <f t="shared" si="0"/>
        <v>d</v>
      </c>
      <c r="M9" s="24" t="str">
        <f t="shared" si="0"/>
        <v>d</v>
      </c>
    </row>
    <row r="10" spans="1:13" ht="16" thickBot="1">
      <c r="A10" s="24" t="s">
        <v>15</v>
      </c>
      <c r="B10" s="24">
        <f t="shared" si="3"/>
        <v>550</v>
      </c>
      <c r="C10" s="24">
        <v>580</v>
      </c>
      <c r="D10" s="24">
        <f t="shared" si="2"/>
        <v>30</v>
      </c>
      <c r="E10" s="34"/>
      <c r="F10" s="34"/>
      <c r="G10" s="35"/>
      <c r="H10" s="52"/>
      <c r="I10" s="52" t="s">
        <v>81</v>
      </c>
      <c r="J10" s="53" t="s">
        <v>81</v>
      </c>
      <c r="K10" s="24" t="str">
        <f t="shared" si="1"/>
        <v/>
      </c>
      <c r="L10" s="24" t="str">
        <f t="shared" si="0"/>
        <v>d</v>
      </c>
      <c r="M10" s="24" t="str">
        <f t="shared" si="0"/>
        <v>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C6DD-0529-430A-A0C5-95A0FDA2DA2B}">
  <sheetPr>
    <tabColor theme="9"/>
  </sheetPr>
  <dimension ref="A1:D19"/>
  <sheetViews>
    <sheetView workbookViewId="0">
      <selection activeCell="H7" sqref="H7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7.5" style="24" bestFit="1" customWidth="1"/>
    <col min="4" max="4" width="15" style="24" bestFit="1" customWidth="1"/>
  </cols>
  <sheetData>
    <row r="1" spans="1:4">
      <c r="A1" s="2" t="s">
        <v>0</v>
      </c>
      <c r="B1" s="2" t="s">
        <v>63</v>
      </c>
      <c r="C1" s="2" t="s">
        <v>101</v>
      </c>
      <c r="D1" s="2" t="s">
        <v>1</v>
      </c>
    </row>
    <row r="2" spans="1:4">
      <c r="A2" s="24">
        <v>0</v>
      </c>
      <c r="B2" s="24">
        <v>180</v>
      </c>
      <c r="C2" s="24">
        <f>B2-A2</f>
        <v>180</v>
      </c>
      <c r="D2" s="24" t="s">
        <v>136</v>
      </c>
    </row>
    <row r="3" spans="1:4">
      <c r="A3" s="24">
        <f>B2</f>
        <v>180</v>
      </c>
      <c r="B3" s="24">
        <v>800</v>
      </c>
      <c r="C3" s="24">
        <f t="shared" ref="C3:C26" si="0">B3-A3</f>
        <v>620</v>
      </c>
      <c r="D3" s="24" t="s">
        <v>137</v>
      </c>
    </row>
    <row r="4" spans="1:4">
      <c r="A4" s="24">
        <f t="shared" ref="A4:A10" si="1">B3</f>
        <v>800</v>
      </c>
      <c r="B4" s="24">
        <v>1320</v>
      </c>
      <c r="C4" s="24">
        <f t="shared" si="0"/>
        <v>520</v>
      </c>
      <c r="D4" s="24" t="s">
        <v>138</v>
      </c>
    </row>
    <row r="5" spans="1:4">
      <c r="A5" s="24">
        <f t="shared" si="1"/>
        <v>1320</v>
      </c>
      <c r="B5" s="12">
        <v>2300</v>
      </c>
      <c r="C5" s="24">
        <f t="shared" si="0"/>
        <v>980</v>
      </c>
      <c r="D5" s="24" t="s">
        <v>139</v>
      </c>
    </row>
    <row r="6" spans="1:4">
      <c r="A6" s="24">
        <f t="shared" si="1"/>
        <v>2300</v>
      </c>
      <c r="B6" s="12">
        <v>2620</v>
      </c>
      <c r="C6" s="24">
        <f t="shared" si="0"/>
        <v>320</v>
      </c>
      <c r="D6" s="24" t="s">
        <v>140</v>
      </c>
    </row>
    <row r="18" s="24" customFormat="1"/>
    <row r="19" s="24" customFormat="1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870-2114-43C5-9172-5CA3B8E1AF40}">
  <sheetPr>
    <tabColor theme="9"/>
  </sheetPr>
  <dimension ref="A1:E4"/>
  <sheetViews>
    <sheetView workbookViewId="0">
      <selection activeCell="G31" sqref="G31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1.6640625" style="24" bestFit="1" customWidth="1"/>
    <col min="4" max="4" width="11.5" style="24" bestFit="1" customWidth="1"/>
    <col min="5" max="5" width="10.5" style="24" bestFit="1" customWidth="1"/>
  </cols>
  <sheetData>
    <row r="1" spans="1:5">
      <c r="A1" s="2" t="s">
        <v>0</v>
      </c>
      <c r="B1" s="1" t="s">
        <v>63</v>
      </c>
      <c r="C1" s="1" t="s">
        <v>65</v>
      </c>
      <c r="D1" s="1" t="s">
        <v>64</v>
      </c>
      <c r="E1" s="2" t="s">
        <v>1</v>
      </c>
    </row>
    <row r="2" spans="1:5">
      <c r="A2" s="24">
        <v>0</v>
      </c>
      <c r="B2" s="24">
        <v>85</v>
      </c>
      <c r="C2" s="24">
        <v>34</v>
      </c>
      <c r="D2" s="24">
        <v>34</v>
      </c>
      <c r="E2" s="24" t="s">
        <v>111</v>
      </c>
    </row>
    <row r="3" spans="1:5">
      <c r="A3" s="24">
        <f>B2</f>
        <v>85</v>
      </c>
      <c r="B3" s="24">
        <v>345</v>
      </c>
      <c r="C3" s="24">
        <v>32</v>
      </c>
      <c r="D3" s="24">
        <v>32</v>
      </c>
      <c r="E3" s="24" t="s">
        <v>111</v>
      </c>
    </row>
    <row r="4" spans="1:5">
      <c r="A4" s="24">
        <f>B3</f>
        <v>345</v>
      </c>
      <c r="B4" s="24">
        <v>585</v>
      </c>
      <c r="C4" s="24">
        <v>30</v>
      </c>
      <c r="D4" s="24">
        <v>30</v>
      </c>
      <c r="E4" s="24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209A-47B9-4177-8B1D-29C580B007D2}">
  <sheetPr>
    <tabColor theme="9"/>
  </sheetPr>
  <dimension ref="A1:E7"/>
  <sheetViews>
    <sheetView tabSelected="1" workbookViewId="0">
      <selection activeCell="H10" sqref="H10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1.6640625" style="24" bestFit="1" customWidth="1"/>
    <col min="4" max="4" width="11.5" style="24" bestFit="1" customWidth="1"/>
    <col min="5" max="5" width="8.6640625" style="24" bestFit="1" customWidth="1"/>
  </cols>
  <sheetData>
    <row r="1" spans="1:5">
      <c r="A1" s="1" t="s">
        <v>0</v>
      </c>
      <c r="B1" s="1" t="s">
        <v>63</v>
      </c>
      <c r="C1" s="1" t="s">
        <v>65</v>
      </c>
      <c r="D1" s="1" t="s">
        <v>64</v>
      </c>
      <c r="E1" s="1" t="s">
        <v>147</v>
      </c>
    </row>
    <row r="2" spans="1:5">
      <c r="A2" s="24">
        <v>42.5</v>
      </c>
      <c r="B2" s="24">
        <v>47.5</v>
      </c>
      <c r="C2" s="24">
        <v>20</v>
      </c>
      <c r="D2" s="24">
        <f>C2</f>
        <v>20</v>
      </c>
      <c r="E2" s="24" t="s">
        <v>141</v>
      </c>
    </row>
    <row r="3" spans="1:5">
      <c r="A3" s="24">
        <v>180</v>
      </c>
      <c r="B3" s="24">
        <v>200</v>
      </c>
      <c r="C3" s="24">
        <f>D2</f>
        <v>20</v>
      </c>
      <c r="D3" s="24">
        <v>20</v>
      </c>
      <c r="E3" s="24" t="s">
        <v>142</v>
      </c>
    </row>
    <row r="4" spans="1:5">
      <c r="A4" s="24">
        <v>620</v>
      </c>
      <c r="B4" s="24">
        <v>640</v>
      </c>
      <c r="C4" s="24">
        <v>20</v>
      </c>
      <c r="D4" s="24">
        <f>C4</f>
        <v>20</v>
      </c>
      <c r="E4" s="24" t="s">
        <v>143</v>
      </c>
    </row>
    <row r="5" spans="1:5">
      <c r="A5" s="24">
        <v>1110</v>
      </c>
      <c r="B5" s="24">
        <v>1130</v>
      </c>
      <c r="C5" s="24">
        <f t="shared" ref="C5" si="0">D4</f>
        <v>20</v>
      </c>
      <c r="D5" s="24">
        <f>C5</f>
        <v>20</v>
      </c>
      <c r="E5" s="24" t="s">
        <v>144</v>
      </c>
    </row>
    <row r="6" spans="1:5">
      <c r="A6" s="24">
        <v>2180</v>
      </c>
      <c r="B6" s="24">
        <v>2200</v>
      </c>
      <c r="C6" s="24">
        <v>20</v>
      </c>
      <c r="D6" s="24">
        <v>20</v>
      </c>
      <c r="E6" s="24" t="s">
        <v>145</v>
      </c>
    </row>
    <row r="7" spans="1:5">
      <c r="A7" s="24">
        <v>2580</v>
      </c>
      <c r="B7" s="24">
        <v>2620</v>
      </c>
      <c r="C7" s="24">
        <v>20</v>
      </c>
      <c r="D7" s="24">
        <v>20</v>
      </c>
      <c r="E7" s="24" t="s">
        <v>146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E2E2-F00B-42A8-9A06-200B3227481A}">
  <sheetPr>
    <tabColor theme="9"/>
  </sheetPr>
  <dimension ref="A1:E1"/>
  <sheetViews>
    <sheetView workbookViewId="0">
      <selection activeCell="J32" sqref="J32"/>
    </sheetView>
  </sheetViews>
  <sheetFormatPr baseColWidth="10" defaultColWidth="8.83203125" defaultRowHeight="15"/>
  <cols>
    <col min="1" max="1" width="12.33203125" style="11" bestFit="1" customWidth="1"/>
    <col min="2" max="2" width="12.1640625" style="11" bestFit="1" customWidth="1"/>
    <col min="3" max="3" width="11.6640625" style="11" bestFit="1" customWidth="1"/>
    <col min="4" max="4" width="11.5" style="11" bestFit="1" customWidth="1"/>
    <col min="5" max="5" width="9.6640625" bestFit="1" customWidth="1"/>
  </cols>
  <sheetData>
    <row r="1" spans="1:5">
      <c r="A1" s="1" t="s">
        <v>0</v>
      </c>
      <c r="B1" s="1" t="s">
        <v>63</v>
      </c>
      <c r="C1" s="1" t="s">
        <v>65</v>
      </c>
      <c r="D1" s="1" t="s">
        <v>64</v>
      </c>
      <c r="E1" s="14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E2D0-3EE4-4997-9B24-625300F3016C}">
  <sheetPr>
    <tabColor theme="9"/>
  </sheetPr>
  <dimension ref="A1:E1"/>
  <sheetViews>
    <sheetView workbookViewId="0">
      <selection activeCell="J32" sqref="J32"/>
    </sheetView>
  </sheetViews>
  <sheetFormatPr baseColWidth="10" defaultColWidth="8.83203125" defaultRowHeight="15"/>
  <cols>
    <col min="1" max="1" width="12.33203125" bestFit="1" customWidth="1"/>
    <col min="2" max="2" width="12.1640625" bestFit="1" customWidth="1"/>
    <col min="3" max="3" width="11.6640625" bestFit="1" customWidth="1"/>
    <col min="4" max="4" width="11.5" bestFit="1" customWidth="1"/>
    <col min="5" max="5" width="7.83203125" bestFit="1" customWidth="1"/>
  </cols>
  <sheetData>
    <row r="1" spans="1:5">
      <c r="A1" s="1" t="s">
        <v>0</v>
      </c>
      <c r="B1" s="1" t="s">
        <v>63</v>
      </c>
      <c r="C1" s="1" t="s">
        <v>65</v>
      </c>
      <c r="D1" s="1" t="s">
        <v>64</v>
      </c>
      <c r="E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3F8-411B-4ED3-9C8E-B365C42FD798}">
  <sheetPr>
    <tabColor theme="9"/>
  </sheetPr>
  <dimension ref="A1:E4"/>
  <sheetViews>
    <sheetView workbookViewId="0">
      <selection activeCell="K28" sqref="K28"/>
    </sheetView>
  </sheetViews>
  <sheetFormatPr baseColWidth="10" defaultColWidth="8.83203125" defaultRowHeight="15"/>
  <cols>
    <col min="1" max="1" width="12.33203125" style="24" bestFit="1" customWidth="1"/>
    <col min="2" max="2" width="12.1640625" style="24" bestFit="1" customWidth="1"/>
    <col min="3" max="3" width="11.6640625" style="24" bestFit="1" customWidth="1"/>
    <col min="4" max="4" width="11.5" style="24" bestFit="1" customWidth="1"/>
    <col min="5" max="5" width="7.83203125" style="24" bestFit="1" customWidth="1"/>
  </cols>
  <sheetData>
    <row r="1" spans="1:5">
      <c r="A1" s="1" t="s">
        <v>0</v>
      </c>
      <c r="B1" s="1" t="s">
        <v>63</v>
      </c>
      <c r="C1" s="1" t="s">
        <v>65</v>
      </c>
      <c r="D1" s="1" t="s">
        <v>64</v>
      </c>
      <c r="E1" s="1" t="s">
        <v>1</v>
      </c>
    </row>
    <row r="2" spans="1:5">
      <c r="A2" s="24">
        <v>0</v>
      </c>
      <c r="B2" s="24">
        <v>322</v>
      </c>
      <c r="C2" s="24">
        <v>12</v>
      </c>
      <c r="D2" s="24">
        <f>C2</f>
        <v>12</v>
      </c>
      <c r="E2" s="24" t="s">
        <v>7</v>
      </c>
    </row>
    <row r="3" spans="1:5">
      <c r="A3" s="24">
        <f>B2</f>
        <v>322</v>
      </c>
      <c r="B3" s="24">
        <f>A3+8.59</f>
        <v>330.59</v>
      </c>
      <c r="C3" s="24">
        <v>12</v>
      </c>
      <c r="D3" s="24">
        <v>12</v>
      </c>
      <c r="E3" s="24" t="s">
        <v>8</v>
      </c>
    </row>
    <row r="4" spans="1:5" s="24" customFormat="1">
      <c r="A4" s="24">
        <f>B3</f>
        <v>330.59</v>
      </c>
      <c r="B4" s="24">
        <f>A4+3</f>
        <v>333.59</v>
      </c>
      <c r="C4" s="24">
        <v>8</v>
      </c>
      <c r="D4" s="24">
        <v>0</v>
      </c>
      <c r="E4" s="24" t="s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01D3-AA27-425F-A969-F2D29AB696C9}">
  <sheetPr>
    <tabColor theme="9"/>
  </sheetPr>
  <dimension ref="A1:B3"/>
  <sheetViews>
    <sheetView workbookViewId="0">
      <selection activeCell="D5" sqref="D5"/>
    </sheetView>
  </sheetViews>
  <sheetFormatPr baseColWidth="10" defaultColWidth="8.83203125" defaultRowHeight="15"/>
  <cols>
    <col min="2" max="2" width="7.83203125" bestFit="1" customWidth="1"/>
  </cols>
  <sheetData>
    <row r="1" spans="1:2">
      <c r="A1" s="2" t="s">
        <v>2</v>
      </c>
      <c r="B1" s="2" t="s">
        <v>3</v>
      </c>
    </row>
    <row r="2" spans="1:2">
      <c r="A2">
        <v>106</v>
      </c>
      <c r="B2" t="s">
        <v>4</v>
      </c>
    </row>
    <row r="3" spans="1:2">
      <c r="A3">
        <v>142</v>
      </c>
      <c r="B3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505412AA86E429F6C396E4FC74816" ma:contentTypeVersion="10" ma:contentTypeDescription="Create a new document." ma:contentTypeScope="" ma:versionID="a797fbbd8097bf759013a947a4e83cfd">
  <xsd:schema xmlns:xsd="http://www.w3.org/2001/XMLSchema" xmlns:xs="http://www.w3.org/2001/XMLSchema" xmlns:p="http://schemas.microsoft.com/office/2006/metadata/properties" xmlns:ns3="4ace8ad1-0785-4588-bba6-bfec64dfbae6" targetNamespace="http://schemas.microsoft.com/office/2006/metadata/properties" ma:root="true" ma:fieldsID="983f79110f93b30ca0a1f1980fe04667" ns3:_="">
    <xsd:import namespace="4ace8ad1-0785-4588-bba6-bfec64dfba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e8ad1-0785-4588-bba6-bfec64dfba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1 7 4 c b 7 0 - 8 3 6 a - 4 6 a d - 8 2 f 1 - 0 8 6 1 e 3 9 a 5 c 2 8 "   x m l n s = " h t t p : / / s c h e m a s . m i c r o s o f t . c o m / D a t a M a s h u p " > A A A A A P s L A A B Q S w M E F A A C A A g A e 1 l C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H t Z Q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W U J R b j Q q 7 f c I A A B p P A A A E w A c A E Z v c m 1 1 b G F z L 1 N l Y 3 R p b 2 4 x L m 0 g o h g A K K A U A A A A A A A A A A A A A A A A A A A A A A A A A A A A 7 R t r b 9 u 2 9 n u B / g d C A w Y Z k J 3 Y S b O l u x n g R 7 L m N r G D 2 G u 2 J Y F B 2 4 y t W 1 k 0 J C p t Y O S / 7 5 D y g y I p y a 8 b r E s L t G l 4 y P M + h + e Q V E j 6 z K U + a s c / y 7 + 8 f f P 2 T T j C A R m g H 6 z G E 0 H X h E W B b 6 E T 5 B H 2 9 g 2 C P 2 0 a B X 0 C I 6 d f + 8 Q r 3 d D g c 4 / S z / a Z 6 5 F S n f q M + C y 0 r f b 7 u 4 v q H 3 f / r d Z b t X a p v r 9 f K f 3 W u m i 0 b 1 r X n Q 9 / 3 t 1 c N 1 A D M 4 y K 6 P r m t w Y 6 o 5 G H f Y b O / U c S M n e I B W M / o i s S P N B g j H 0 g W Q 1 D E o Z j w H 8 3 o S G b B L Q P v 7 v + 8 M 7 1 J x G 7 e w j o u F s 7 b b c 7 d x 0 a B H x N t + 6 y p z 9 x M O h y Y h 3 c 8 0 j Y 3 T + u H F f 2 S 1 + 9 8 K t V c J A f e Z 6 D W B C R g h O L K M v e b Y 8 I Y V w D s e D T 2 3 N G x i e y d p y P r j 8 4 s e K J 9 8 + 3 n N T 9 A t U V c E U Z a P Q D w Q M S h B y V Y K Q 0 g 8 z G b Q N V B 9 3 O J l U 9 r 9 3 H H g 7 C E 8 7 p / Z L V + g j 7 Q 0 D f e Z q Q J e 4 O i B 9 y z d W p F 4 1 9 D u Q U N G a c 6 d S a K 8 t B 9 S r i C k N c Y + i G e B 5 w w G A p w v 7 T s 4 O m V o y t Y h 4 + M A 8 f m o f f m Y e P z M M / m Y d / N g 8 f m 4 f L + y n j 5 Z T x F E H L C U m f l 7 a 4 J m P 6 y G 1 B J + i a f p F s 3 f 7 s T m z F W M 4 7 s x X L u W b U 6 H A z K m p l 5 C s z W Y G 5 Y 2 I y m h i X Z I F 4 9 o B E g 3 7 x l / z w Q T 5 i q x w 7 2 W 6 U 0 J G P x 7 A u J i + p K A b M h u 0 k A / l u a j W p p b i o 1 S A T N u o + M E u R 1 z r 3 / x e n v G 4 H p L Y U N V m z G I x h B v O 2 2 I g E u g B t 4 g H W p Q C q p K A j G b P O h 8 z y T C K Z O A 0 g Z M 2 a E y C Z s o l R o A 8 o F S L Z H E n 0 P 8 I i d O Y G I V N c W 4 w 1 b R O H z r v j J Y L q Y M B B U c j o e L k a R u P Z t k 4 C + I E A e C T e n D 2 C + y N 0 K 7 F 8 X 7 x N c p y S G C u 5 I Z X g T r h b g r I I k U E U i H 3 p O c s s 5 Q y 7 J F k y 2 k N 3 C c V C M l 8 G 3 z Q 4 B w f I v q E x 7 E z T s M o M H 6 y c l p Y O N 5 V l O / f Z 0 W G J T w Y F v n 3 j + m Y q a h U C Q e T 2 0 Z l H v 7 z G O m Q p f X o l I m l o h 7 W I R v l l q h H h M N x X S P C I P W 0 3 q z 6 S A A 8 J + k Q 8 2 g e l a j t 0 N A Y L M v e R C N b R N W Z E n f M X 9 b E X g 7 m j B G 4 v E m Z e s V C Z s z B D A 1 g a x A 8 V X j a v C s r L l e 2 J 5 7 J Z O K H e E 4 K J A e 6 D Z p D Q q M u 5 l r D x 2 Y t k q t c I S N e t W A K / x W s 7 o O T a 0 4 L I k o Y 9 t f a t U s k 6 5 l u l 3 S + g k 1 + R T x m 6 c E M m Y g 2 7 k F v k S f 1 C g a s q S b B U 1 p k o V Q x j B 8 n M N v F w H y T 5 h L 2 I y I l N j I t R e 0 V d O V Y R / l r O b G 0 w R 8 I l d z R 2 K x s m 2 A S / O t q D j c q h 1 O R q U m 8 X r L 4 o f F I V 3 q 1 R J m a l Z P x V C l G 1 x J k m G U h k / Q U z c 8 I a N C 2 6 / W j c I 0 F u g E v T 8 m J c x p g M c w m S G + m z u c / r V D l K 4 T y 3 B W g i V k l c 5 M h 6 u o f d 6 V Z W 6 / 1 m Z a F S 4 6 i W U m 2 j M m a y T p o 5 s v Q v K T x D w + k x U s 4 K E q 0 E n R q 9 C s a G 3 f n v I N 7 e 2 P W t L P + y x E a 4 B H a H k 7 G V 5 2 n x I j F h O V + S X g J P C G z p / i x i s / x O c B 6 v E c t n E I 5 / L 4 5 l u b T S V J e s r i 5 w j 0 J N S 4 M n d E 3 C y G P h 6 6 u x d B 2 k V V o G b e 2 s 3 k r l 4 m W q r n b 1 8 u r i F F C p 9 V Y b j y c e Q S I V q I V Q e 0 L 6 7 g M U i e A K g 6 j P h O X 2 0 G m p X k L g I 8 Q b F N Q l k w 9 p k A 6 I x N 2 U B n y G x 3 g U a 5 N + / 4 Q q 7 w 5 R t R f S o M f J q R N q b h 8 H P Y g O R p D 9 o d 4 6 0 F D U R 0 D C H Q C 4 7 m l A o 0 Q 2 F 0 i b C s E X x X j O N F j T Z Q H n A I e o i e x m 6 6 D Y N G o C j K 6 N t w I 2 o s W r E Q 0 n I y H F V e t Q 5 z P y H g S w b Q B 2 K O N Z Q + i Q O w J 3 K H c Q k T 3 U a b S 1 Y h Z c w / X d a I z s q q 6 P G g 4 E q I Z 1 P W K v L 2 B 1 H X Y e Q E D b Z 0 Q D X O K h D 8 z w Z Z d D A 9 Q f Y o C D X J e + B r 0 C s c J 4 7 U d d I a 4 H l g d 9 u K 2 K D q Q D s a y p c 3 p J 2 O j J A 3 c P W L E W M f j v q T g z s S 8 7 t V M d E Q P B m M D V D h L Q z c v 9 w 8 S R m 3 B 7 d Z k 4 V + J j 5 r J e F A z 2 7 Q / L I L 5 H / / l V 5 D r g b Y A 0 i C U q U 3 S J g 8 + A q U n 9 Y o M w I G E V N i h 3 k 0 w 7 U i p Z v 4 b X a l y r a K 7 X x Q J H y 0 4 r Z q R k F k r N P M Z s Y 8 4 w W l b J y S R q 9 k j L G H K W S M 0 M W j b I z Q B 6 1 C u R r k Z 3 I q L 1 K N Y j V 4 t W L U K V q M y P R D X 6 t m h a l A Z N 8 y O l K 1 l j n 5 O a B 3 2 r k 4 C Z u 9 1 i 8 0 3 d 7 i R M R n 9 U B F C 9 c x X 5 F r 6 q T D b t e x I 7 W V u f o h x 5 9 5 N A m R u g N E / 1 e o X P v B h Q O 0 8 1 I h R 4 M j 5 U / S a j R Y F q u + H C v l o g K S u 1 s F L g a p C p d l V C T g U n A l A l v d 3 G m D j r 3 f Q C R b t i U t O 9 l n V z E 5 + a 1 3 L E 3 O a g R r 1 8 y X d J C 3 5 0 x 8 M L y x i 0 V t 0 D 4 N 4 c q g h S x x J Q 1 V P y I i w / 0 / L / d C O B L r O d V L r J S 3 B G V I M O h W e q V 9 d H y t K n d Z A J D e 2 s d z R Q f q G u M a M 5 z D n H 3 + K c f s V j + g 2 6 0 9 3 0 o L v q M N M 6 x L X 6 u w 3 b t K x G b P W t Y f O u 6 E h f W a O M 0 b G y O A Z e 4 P k N t N o c l T f u Q W R y a / c h m v O v e 0 6 q H J O u 2 N e s 1 8 m s 2 7 P I v c j a G 6 3 S Q K j t w u r 7 8 P + 5 1 t 8 i b e X f P h h m p l 8 + b N Z 1 b N l Y Z O a w P O a S a W y 1 a n + l Z C b r y 5 D P J H B W r W 3 K a d L S j d L a N j e 0 5 o u g b / t 6 t v y t 3 c + W j R e 0 P B n K a e I b u b D N f + a 0 y w v b j W 8 9 J Y G y b j 2 L / 4 Q 7 z + / 7 9 o 7 2 7 W 0 v c X d 1 L 7 t Y I 1 3 L b v H i T R E q + R D 3 K r 7 U x U N i O A p J r K y k q y P J U Z K A 8 Q Z 5 Z y 9 W K 5 s E j M k e u s r N r L / 4 k c 4 a b z d T 3 9 T + s x W U 7 n I H a 0 T g z L G N J 1 K z M 6 c 1 D 7 d M x 1 c X a 5 5 P 5 R 1 P q W 9 J + V N x n g t C F k T 9 e W X 2 u g 6 p N B W k n V T p u t r Z c V U a D y 9 z Z i W o N 8 F N 3 q d 8 6 6 J 8 O L H y x y 6 e C w a 0 w 8 L 7 u H L D D g J f y D m r U m g d a e O g Z A I 4 E Y j y A H 4 4 e I + O 9 8 p H R f j n p 7 3 K f m U / s S D 9 V b X 2 q H r + o R G y K 4 X X F w X f P + / 6 / n n X K / + 8 a + U 2 V r 2 E + 3 d 8 i L X u h z f / p g + x V n l m p H + K F T f o T a q 8 L Z o N W F Z i 7 0 m S + O V v U E s B A i 0 A F A A C A A g A e 1 l C U Y 0 G h 5 C i A A A A 9 Q A A A B I A A A A A A A A A A A A A A A A A A A A A A E N v b m Z p Z y 9 Q Y W N r Y W d l L n h t b F B L A Q I t A B Q A A g A I A H t Z Q l E P y u m r p A A A A O k A A A A T A A A A A A A A A A A A A A A A A O 4 A A A B b Q 2 9 u d G V u d F 9 U e X B l c 1 0 u e G 1 s U E s B A i 0 A F A A C A A g A e 1 l C U W 4 0 K u 3 3 C A A A a T w A A B M A A A A A A A A A A A A A A A A A 3 w E A A E Z v c m 1 1 b G F z L 1 N l Y 3 R p b 2 4 x L m 1 Q S w U G A A A A A A M A A w D C A A A A I w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I A A A A A A A A e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H l l J T I w U m V 0 d X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8 m c X V v d D s s J n F 1 b 3 Q 7 R G V w d G h f Z n Q m c X V v d D s s J n F 1 b 3 Q 7 S W 5 q Z W N 0 a W 9 u X 1 R p b W U m c X V v d D s s J n F 1 b 3 Q 7 U m V 0 d X J u X 1 R p b W U m c X V v d D t d I i A v P j x F b n R y e S B U e X B l P S J G a W x s Q 2 9 s d W 1 u V H l w Z X M i I F Z h b H V l P S J z Q U F N S 0 N n P T 0 i I C 8 + P E V u d H J 5 I F R 5 c G U 9 I k Z p b G x M Y X N 0 V X B k Y X R l Z C I g V m F s d W U 9 I m Q y M D I w L T E w L T A x V D E 5 O j U z O j A w L j U 1 O T A 1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Q W R k Z W R U b 0 R h d G F N b 2 R l b C I g V m F s d W U 9 I m w w I i A v P j x F b n R y e S B U e X B l P S J G a W x s V G F y Z 2 V 0 I i B W Y W x 1 Z T 0 i c 0 R 5 Z V 9 S Z X R 1 c m 4 i I C 8 + P E V u d H J 5 I F R 5 c G U 9 I l J l Y 2 9 2 Z X J 5 V G F y Z 2 V 0 U 2 h l Z X Q i I F Z h b H V l P S J z S W 5 q Z W N 0 a W 9 u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m N 2 J l N T J j Z i 0 5 O T A w L T Q y M G Q t Y m J l Y y 1 j N j V k M D E z Z D l k Z j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5 Z S B S Z X R 1 c m 4 v R m l s b G V k I E R v d 2 4 u e 1 R v c n J h b m N l L C B D Q S B D a X R 5 I F l h c m Q g V 2 V s b C w w f S Z x d W 9 0 O y w m c X V v d D t T Z W N 0 a W 9 u M S 9 E e W U g U m V 0 d X J u L 0 N o Y W 5 n Z W Q g V H l w Z T M u e 0 R l c H R o X 2 Z 0 L D F 9 J n F 1 b 3 Q 7 L C Z x d W 9 0 O 1 N l Y 3 R p b 2 4 x L 0 R 5 Z S B S Z X R 1 c m 4 v R m l s b G V k I E R v d 2 4 u e 0 N v b H V t b j M s M n 0 m c X V v d D s s J n F 1 b 3 Q 7 U 2 V j d G l v b j E v R H l l I F J l d H V y b i 9 G a W x s Z W Q g R G 9 3 b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e W U g U m V 0 d X J u L 0 Z p b G x l Z C B E b 3 d u L n t U b 3 J y Y W 5 j Z S w g Q 0 E g Q 2 l 0 e S B Z Y X J k I F d l b G w s M H 0 m c X V v d D s s J n F 1 b 3 Q 7 U 2 V j d G l v b j E v R H l l I F J l d H V y b i 9 D a G F u Z 2 V k I F R 5 c G U z L n t E Z X B 0 a F 9 m d C w x f S Z x d W 9 0 O y w m c X V v d D t T Z W N 0 a W 9 u M S 9 E e W U g U m V 0 d X J u L 0 Z p b G x l Z C B E b 3 d u L n t D b 2 x 1 b W 4 z L D J 9 J n F 1 b 3 Q 7 L C Z x d W 9 0 O 1 N l Y 3 R p b 2 4 x L 0 R 5 Z S B S Z X R 1 c m 4 v R m l s b G V k I E R v d 2 4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5 Z S U y M F J l d H V y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R H l l J T I w U m V 0 d X J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l u Y W 1 p Y y B G b G 9 3 L 0 N o Y W 5 n Z W Q g V H l w Z T E u e 0 R l c H R o X 1 R v c F 9 m d C w w f S Z x d W 9 0 O y w m c X V v d D t T Z W N 0 a W 9 u M S 9 E e W 5 h b W l j I E Z s b 3 c v Q 2 h h b m d l Z C B U e X B l M S 5 7 R G V w d G h f Q m 9 0 X 2 Z 0 L D F 9 J n F 1 b 3 Q 7 L C Z x d W 9 0 O 1 N l Y 3 R p b 2 4 x L 0 R 5 b m F t a W M g R m x v d y 9 B Z G R l Z C B D d X N 0 b 2 0 u e 0 R l c H R o X 0 l u d F 9 m d C w 3 f S Z x d W 9 0 O y w m c X V v d D t T Z W N 0 a W 9 u M S 9 E e W 5 h b W l j I E Z s b 3 c v Q 2 h h b m d l Z C B U e X B l M S 5 7 Q X Z l c m F n Z S B W Z W x v Y 2 l 0 e S w y f S Z x d W 9 0 O y w m c X V v d D t T Z W N 0 a W 9 u M S 9 E e W 5 h b W l j I E Z s b 3 c v Q 2 h h b m d l Z C B U e X B l M S 5 7 Q 3 V t d W x h d G l 2 Z S B G b G 9 3 I F J h d G U s M 3 0 m c X V v d D s s J n F 1 b 3 Q 7 U 2 V j d G l v b j E v R H l u Y W 1 p Y y B G b G 9 3 L 0 N o Y W 5 n Z W Q g V H l w Z T E u e 1 p v b m F s I E Z s b 3 c g Q 2 9 u d H J p Y n V 0 a W 9 u I C w 0 f S Z x d W 9 0 O y w m c X V v d D t T Z W N 0 a W 9 u M S 9 E e W 5 h b W l j I E Z s b 3 c v Q 2 h h b m d l Z C B U e X B l M S 5 7 Q 2 9 s d W 1 u N S w 1 f S Z x d W 9 0 O y w m c X V v d D t T Z W N 0 a W 9 u M S 9 E e W 5 h b W l j I E Z s b 3 c v Q 2 h h b m d l Z C B U e X B l M S 5 7 Q X Z l c m F n Z S B a b 2 5 h b C B G b 3 c g R G V u c 2 l 0 e S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e W 5 h b W l j I E Z s b 3 c v Q 2 h h b m d l Z C B U e X B l M S 5 7 R G V w d G h f V G 9 w X 2 Z 0 L D B 9 J n F 1 b 3 Q 7 L C Z x d W 9 0 O 1 N l Y 3 R p b 2 4 x L 0 R 5 b m F t a W M g R m x v d y 9 D a G F u Z 2 V k I F R 5 c G U x L n t E Z X B 0 a F 9 C b 3 R f Z n Q s M X 0 m c X V v d D s s J n F 1 b 3 Q 7 U 2 V j d G l v b j E v R H l u Y W 1 p Y y B G b G 9 3 L 0 F k Z G V k I E N 1 c 3 R v b S 5 7 R G V w d G h f S W 5 0 X 2 Z 0 L D d 9 J n F 1 b 3 Q 7 L C Z x d W 9 0 O 1 N l Y 3 R p b 2 4 x L 0 R 5 b m F t a W M g R m x v d y 9 D a G F u Z 2 V k I F R 5 c G U x L n t B d m V y Y W d l I F Z l b G 9 j a X R 5 L D J 9 J n F 1 b 3 Q 7 L C Z x d W 9 0 O 1 N l Y 3 R p b 2 4 x L 0 R 5 b m F t a W M g R m x v d y 9 D a G F u Z 2 V k I F R 5 c G U x L n t D d W 1 1 b G F 0 a X Z l I E Z s b 3 c g U m F 0 Z S w z f S Z x d W 9 0 O y w m c X V v d D t T Z W N 0 a W 9 u M S 9 E e W 5 h b W l j I E Z s b 3 c v Q 2 h h b m d l Z C B U e X B l M S 5 7 W m 9 u Y W w g R m x v d y B D b 2 5 0 c m l i d X R p b 2 4 g L D R 9 J n F 1 b 3 Q 7 L C Z x d W 9 0 O 1 N l Y 3 R p b 2 4 x L 0 R 5 b m F t a W M g R m x v d y 9 D a G F u Z 2 V k I F R 5 c G U x L n t D b 2 x 1 b W 4 1 L D V 9 J n F 1 b 3 Q 7 L C Z x d W 9 0 O 1 N l Y 3 R p b 2 4 x L 0 R 5 b m F t a W M g R m x v d y 9 D a G F u Z 2 V k I F R 5 c G U x L n t B d m V y Y W d l I F p v b m F s I E Z v d y B E Z W 5 z a X R 5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X B 0 a F 9 U b 3 B f Z n Q m c X V v d D s s J n F 1 b 3 Q 7 R G V w d G h f Q m 9 0 X 2 Z 0 J n F 1 b 3 Q 7 L C Z x d W 9 0 O 0 R l c H R o X 0 l u d F 9 m d C Z x d W 9 0 O y w m c X V v d D t B d m d f V m V s b 2 N p d H l f Z n Q v b W l u J n F 1 b 3 Q 7 L C Z x d W 9 0 O 0 Z s b 3 d f Q 3 V t d W x h d G l 2 Z V 9 n c G 0 m c X V v d D s s J n F 1 b 3 Q 7 R m x v d 1 9 a b 2 5 h b F 9 n c G 0 m c X V v d D s s J n F 1 b 3 Q 7 R m x v d 1 9 a b 2 5 h b F 9 w Z X J j Z W 5 0 J n F 1 b 3 Q 7 L C Z x d W 9 0 O 0 F 2 Z 1 9 a b 2 5 h b F 9 G b G 9 3 X 0 R l b n N p d H l f Z 3 B t L 2 Z 0 J n F 1 b 3 Q 7 X S I g L z 4 8 R W 5 0 c n k g V H l w Z T 0 i R m l s b E N v b H V t b l R 5 c G V z I i B W Y W x 1 Z T 0 i c 0 F 3 T U F C U V V G Q l F V P S I g L z 4 8 R W 5 0 c n k g V H l w Z T 0 i R m l s b E x h c 3 R V c G R h d G V k I i B W Y W x 1 Z T 0 i Z D I w M j A t M D k t M z B U M j I 6 N T A 6 M j M u O T I x O D c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k Z p b G x U Y X J n Z X Q i I F Z h b H V l P S J z R H l u Y W 1 p Y 1 9 G b G 9 3 I i A v P j x F b n R y e S B U e X B l P S J S Z W N v d m V y e V R h c m d l d F N o Z W V 0 I i B W Y W x 1 Z T 0 i c 0 Z s b 3 c g U m V z d W x 0 c y I g L z 4 8 R W 5 0 c n k g V H l w Z T 0 i U m V j b 3 Z l c n l U Y X J n Z X R D b 2 x 1 b W 4 i I F Z h b H V l P S J s M i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e W 5 h b W l j J T I w R m x v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E e W 5 h b W l j J T I w R m x v d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9 y Y X R v c n k l M j B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V w d G h f Z n Q m c X V v d D s s J n F 1 b 3 Q 7 Q 2 x f b W c v T C Z x d W 9 0 O y w m c X V v d D t U R F N f b W d M J n F 1 b 3 Q 7 L C Z x d W 9 0 O 0 N h X 2 1 n L 0 w m c X V v d D s s J n F 1 b 3 Q 7 T V R C R V 9 1 Z y 9 M J n F 1 b 3 Q 7 X S I g L z 4 8 R W 5 0 c n k g V H l w Z T 0 i R m l s b E N v b H V t b l R 5 c G V z I i B W Y W x 1 Z T 0 i c 0 F 3 T U R B d 0 E 9 I i A v P j x F b n R y e S B U e X B l P S J G a W x s T G F z d F V w Z G F 0 Z W Q i I F Z h b H V l P S J k M j A y M C 0 x M C 0 w M l Q x O D o x M T o 1 M i 4 1 N D Q 0 M T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R h c m d l d C I g V m F s d W U 9 I n N M Y W J v c m F 0 b 3 J 5 X 1 J l c 3 V s d H M i I C 8 + P E V u d H J 5 I F R 5 c G U 9 I l J l Y 2 9 2 Z X J 5 V G F y Z 2 V 0 U 2 h l Z X Q i I F Z h b H V l P S J z V 1 E g R G F 0 Y S I g L z 4 8 R W 5 0 c n k g V H l w Z T 0 i U m V j b 3 Z l c n l U Y X J n Z X R D b 2 x 1 b W 4 i I F Z h b H V l P S J s M y I g L z 4 8 R W 5 0 c n k g V H l w Z T 0 i U m V j b 3 Z l c n l U Y X J n Z X R S b 3 c i I F Z h b H V l P S J s M S I g L z 4 8 R W 5 0 c n k g V H l w Z T 0 i U X V l c n l J R C I g V m F s d W U 9 I n N l Z D c 2 M G Y 0 N y 1 k Y W M 1 L T Q w Z T k t Y T M 1 M y 1 m Z G Q y O T I 4 N T g 5 O T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h Y m 9 y Y X R v c n k g U m V z d W x 0 c y 9 D a G F u Z 2 V k I F R 5 c G U x L n t T Y W 1 w b G U g R G V w d G g s M H 0 m c X V v d D s s J n F 1 b 3 Q 7 U 2 V j d G l v b j E v T G F i b 3 J h d G 9 y e S B S Z X N 1 b H R z L 0 N o Y W 5 n Z W Q g V H l w Z T E u e 0 N o b G 9 y a W R l I C h D b C k s N n 0 m c X V v d D s s J n F 1 b 3 Q 7 U 2 V j d G l v b j E v T G F i b 3 J h d G 9 y e S B S Z X N 1 b H R z L 0 N o Y W 5 n Z W Q g V H l w Z T E u e 1 R v d G F s I E Z p b H R l c m F i b G U g U m V z a W R 1 Z S 8 g V E R T L D E z f S Z x d W 9 0 O y w m c X V v d D t T Z W N 0 a W 9 u M S 9 M Y W J v c m F 0 b 3 J 5 I F J l c 3 V s d H M v Q 2 h h b m d l Z C B U e X B l M S 5 7 Q 2 F s Y 2 l 1 b S A o Q 2 E p L D E 2 f S Z x d W 9 0 O y w m c X V v d D t T Z W N 0 a W 9 u M S 9 M Y W J v c m F 0 b 3 J 5 I F J l c 3 V s d H M v Q 2 h h b m d l Z C B U e X B l M S 5 7 T W V 0 a H l s I H R l c n Q t Q n V 0 e W w g R X R o Z X I g K E 1 U Q k U p L D I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Y W J v c m F 0 b 3 J 5 I F J l c 3 V s d H M v Q 2 h h b m d l Z C B U e X B l M S 5 7 U 2 F t c G x l I E R l c H R o L D B 9 J n F 1 b 3 Q 7 L C Z x d W 9 0 O 1 N l Y 3 R p b 2 4 x L 0 x h Y m 9 y Y X R v c n k g U m V z d W x 0 c y 9 D a G F u Z 2 V k I F R 5 c G U x L n t D a G x v c m l k Z S A o Q 2 w p L D Z 9 J n F 1 b 3 Q 7 L C Z x d W 9 0 O 1 N l Y 3 R p b 2 4 x L 0 x h Y m 9 y Y X R v c n k g U m V z d W x 0 c y 9 D a G F u Z 2 V k I F R 5 c G U x L n t U b 3 R h b C B G a W x 0 Z X J h Y m x l I F J l c 2 l k d W U v I F R E U y w x M 3 0 m c X V v d D s s J n F 1 b 3 Q 7 U 2 V j d G l v b j E v T G F i b 3 J h d G 9 y e S B S Z X N 1 b H R z L 0 N o Y W 5 n Z W Q g V H l w Z T E u e 0 N h b G N p d W 0 g K E N h K S w x N n 0 m c X V v d D s s J n F 1 b 3 Q 7 U 2 V j d G l v b j E v T G F i b 3 J h d G 9 y e S B S Z X N 1 b H R z L 0 N o Y W 5 n Z W Q g V H l w Z T E u e 0 1 l d G h 5 b C B 0 Z X J 0 L U J 1 d H l s I E V 0 a G V y I C h N V E J F K S w y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F i b 3 J h d G 9 y e S U y M F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b 3 J h d G 9 y e S U y M F J l c 3 V s d H M v T G F i b 3 J h d G 9 y e S U y M F J l c 3 V s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l c H R o X 1 R v c F 9 m d C Z x d W 9 0 O y w m c X V v d D t E Z X B 0 a F 9 C b 3 R f Z n Q m c X V v d D s s J n F 1 b 3 Q 7 R G V w d G h f S W 5 0 X 2 Z 0 J n F 1 b 3 Q 7 L C Z x d W 9 0 O 0 Z s b 3 d f Q 3 V t d W x h d G l 2 Z V 9 n c G 0 m c X V v d D s s J n F 1 b 3 Q 7 R m x v d 1 9 a b 2 5 h b F 9 n c G 0 m c X V v d D s s J n F 1 b 3 Q 7 R m x v d 1 9 a b 2 5 h b F 9 w Z X J j Z W 5 0 J n F 1 b 3 Q 7 L C Z x d W 9 0 O 0 N s X 2 1 n T C Z x d W 9 0 O y w m c X V v d D t U R F N f b W d M J n F 1 b 3 Q 7 L C Z x d W 9 0 O 0 N h X 2 1 n T C Z x d W 9 0 O y w m c X V v d D t N V E J F X 3 V n T C Z x d W 9 0 O 1 0 i I C 8 + P E V u d H J 5 I F R 5 c G U 9 I k Z p b G x D b 2 x 1 b W 5 U e X B l c y I g V m F s d W U 9 I n N B d 0 1 B Q l F V R U J R V U Z B Q T 0 9 I i A v P j x F b n R y e S B U e X B l P S J G a W x s T G F z d F V w Z G F 0 Z W Q i I F Z h b H V l P S J k M j A y M C 0 x M C 0 w M l Q x O D o x M T o 1 N S 4 1 O T k z M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R h c m d l d C I g V m F s d W U 9 I n N N Y X N z X 0 J h b G F u Y 2 U i I C 8 + P E V u d H J 5 I F R 5 c G U 9 I l J l Y 2 9 2 Z X J 5 V G F y Z 2 V 0 U 2 h l Z X Q i I F Z h b H V l P S J z V 1 E g U m V z d W x 0 c y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U X V l c n l J R C I g V m F s d W U 9 I n N h Z m V l Z G N l N C 1 m N j M x L T R j M D c t O G U z N i 1 k M T U z Z W F l M D Q x O T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z I E J h b G F u Y 2 U v Q 2 h h b m d l Z C B U e X B l M i 5 7 R G V w d G h f V G 9 w X 2 Z 0 L D B 9 J n F 1 b 3 Q 7 L C Z x d W 9 0 O 1 N l Y 3 R p b 2 4 x L 0 1 h c 3 M g Q m F s Y W 5 j Z S 9 D a G F u Z 2 V k I F R 5 c G U y L n t E Z X B 0 a F 9 C b 3 R f Z n Q s M X 0 m c X V v d D s s J n F 1 b 3 Q 7 U 2 V j d G l v b j E v T W F z c y B C Y W x h b m N l L 0 F k Z G V k I E N 1 c 3 R v b S 5 7 R G V w d G h f S W 5 0 X 2 Z 0 L D E 2 f S Z x d W 9 0 O y w m c X V v d D t T Z W N 0 a W 9 u M S 9 N Y X N z I E J h b G F u Y 2 U v Q 2 h h b m d l Z C B U e X B l M S 5 7 Q 3 V t d W x h d G l 2 Z S B G b G 9 3 I F J h d G U s M n 0 m c X V v d D s s J n F 1 b 3 Q 7 U 2 V j d G l v b j E v T W F z c y B C Y W x h b m N l L 0 N o Y W 5 n Z W Q g V H l w Z T E u e 1 p v b m F s I E Z s b 3 c g Q 2 9 u d H J p Y n V 0 a W 9 u L D N 9 J n F 1 b 3 Q 7 L C Z x d W 9 0 O 1 N l Y 3 R p b 2 4 x L 0 1 h c 3 M g Q m F s Y W 5 j Z S 9 D a G F u Z 2 V k I F R 5 c G U z L n t D b 2 x 1 b W 4 1 L D V 9 J n F 1 b 3 Q 7 L C Z x d W 9 0 O 1 N l Y 3 R p b 2 4 x L 0 1 h c 3 M g Q m F s Y W 5 j Z S 9 D a G F u Z 2 V k I F R 5 c G U x L n t D a G x v c m l k Z S A o Q 2 w p L D h 9 J n F 1 b 3 Q 7 L C Z x d W 9 0 O 1 N l Y 3 R p b 2 4 x L 0 1 h c 3 M g Q m F s Y W 5 j Z S 9 D a G F u Z 2 V k I F R 5 c G U x L n t U b 3 R h b C B G a W x 0 Z X J h Y m x l I F J l c 2 l k d W U v I F R E U y w x M X 0 m c X V v d D s s J n F 1 b 3 Q 7 U 2 V j d G l v b j E v T W F z c y B C Y W x h b m N l L 0 N o Y W 5 n Z W Q g V H l w Z T E u e 0 N h b G N p d W 0 g K E N h K S w x M n 0 m c X V v d D s s J n F 1 b 3 Q 7 U 2 V j d G l v b j E v T W F z c y B C Y W x h b m N l L 0 N o Y W 5 n Z W Q g V H l w Z T E u e 0 1 l d G h 5 b C B 0 Z X J 0 L U J 1 d H l s I E V 0 a G V y I C h N V E J F K S w x N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h c 3 M g Q m F s Y W 5 j Z S 9 D a G F u Z 2 V k I F R 5 c G U y L n t E Z X B 0 a F 9 U b 3 B f Z n Q s M H 0 m c X V v d D s s J n F 1 b 3 Q 7 U 2 V j d G l v b j E v T W F z c y B C Y W x h b m N l L 0 N o Y W 5 n Z W Q g V H l w Z T I u e 0 R l c H R o X 0 J v d F 9 m d C w x f S Z x d W 9 0 O y w m c X V v d D t T Z W N 0 a W 9 u M S 9 N Y X N z I E J h b G F u Y 2 U v Q W R k Z W Q g Q 3 V z d G 9 t L n t E Z X B 0 a F 9 J b n R f Z n Q s M T Z 9 J n F 1 b 3 Q 7 L C Z x d W 9 0 O 1 N l Y 3 R p b 2 4 x L 0 1 h c 3 M g Q m F s Y W 5 j Z S 9 D a G F u Z 2 V k I F R 5 c G U x L n t D d W 1 1 b G F 0 a X Z l I E Z s b 3 c g U m F 0 Z S w y f S Z x d W 9 0 O y w m c X V v d D t T Z W N 0 a W 9 u M S 9 N Y X N z I E J h b G F u Y 2 U v Q 2 h h b m d l Z C B U e X B l M S 5 7 W m 9 u Y W w g R m x v d y B D b 2 5 0 c m l i d X R p b 2 4 s M 3 0 m c X V v d D s s J n F 1 b 3 Q 7 U 2 V j d G l v b j E v T W F z c y B C Y W x h b m N l L 0 N o Y W 5 n Z W Q g V H l w Z T M u e 0 N v b H V t b j U s N X 0 m c X V v d D s s J n F 1 b 3 Q 7 U 2 V j d G l v b j E v T W F z c y B C Y W x h b m N l L 0 N o Y W 5 n Z W Q g V H l w Z T E u e 0 N o b G 9 y a W R l I C h D b C k s O H 0 m c X V v d D s s J n F 1 b 3 Q 7 U 2 V j d G l v b j E v T W F z c y B C Y W x h b m N l L 0 N o Y W 5 n Z W Q g V H l w Z T E u e 1 R v d G F s I E Z p b H R l c m F i b G U g U m V z a W R 1 Z S 8 g V E R T L D E x f S Z x d W 9 0 O y w m c X V v d D t T Z W N 0 a W 9 u M S 9 N Y X N z I E J h b G F u Y 2 U v Q 2 h h b m d l Z C B U e X B l M S 5 7 Q 2 F s Y 2 l 1 b S A o Q 2 E p L D E y f S Z x d W 9 0 O y w m c X V v d D t T Z W N 0 a W 9 u M S 9 N Y X N z I E J h b G F u Y 2 U v Q 2 h h b m d l Z C B U e X B l M S 5 7 T W V 0 a H l s I H R l c n Q t Q n V 0 e W w g R X R o Z X I g K E 1 U Q k U p L D E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N z J T I w Q m F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N Y X N z J T I w Q m F s Y W 5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b G w l M j B D b 2 5 z d H J 1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M w V D I x O j I 5 O j Q z L j k x O D c y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b G w l M j B D b 2 5 z d H J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C U y M E N v b n N 0 c n V j d G l v b i 9 X Z W x s J T I w Q 2 9 u c 3 R y d W N 0 a W 9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C U y M E N v b n N 0 c n V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x s J T I w Q 2 9 u c 3 R y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z B U M j E 6 N D Y 6 N T Y u N j M 0 M j k 2 N 1 o i I C 8 + P E V u d H J 5 I F R 5 c G U 9 I k Z p b G x D b 2 x 1 b W 5 U e X B l c y I g V m F s d W U 9 I n N B Q U F L Q 2 c 9 P S I g L z 4 8 R W 5 0 c n k g V H l w Z T 0 i R m l s b E N v b H V t b k 5 h b W V z I i B W Y W x 1 Z T 0 i c 1 s m c X V v d D t O b y Z x d W 9 0 O y w m c X V v d D t E Z X B 0 a F 9 m d C Z x d W 9 0 O y w m c X V v d D t S Z X R 1 c m 5 f V G l t Z S Z x d W 9 0 O y w m c X V v d D t J b m p l Y 3 R p b 2 5 f V G l t Z S Z x d W 9 0 O 1 0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l l I F J l d H V y b i A o M i k v Q 2 h h b m d l Z C B U e X B l L n t U b 3 J y Y W 5 j Z S w g Q 0 E g Q 2 l 0 e S B Z Y X J k I F d l b G w s M H 0 m c X V v d D s s J n F 1 b 3 Q 7 U 2 V j d G l v b j E v R H l l I F J l d H V y b i A o M i k v Q 2 h h b m d l Z C B U e X B l L n t D b 2 x 1 b W 4 y L D F 9 J n F 1 b 3 Q 7 L C Z x d W 9 0 O 1 N l Y 3 R p b 2 4 x L 0 R 5 Z S B S Z X R 1 c m 4 g K D I p L 0 N o Y W 5 n Z W Q g V H l w Z T E u e 0 N v b H V t b j Q s M 3 0 m c X V v d D s s J n F 1 b 3 Q 7 U 2 V j d G l v b j E v R H l l I F J l d H V y b i A o M i k v Q 2 h h b m d l Z C B U e X B l M S 5 7 Q 2 9 s d W 1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e W U g U m V 0 d X J u I C g y K S 9 D a G F u Z 2 V k I F R 5 c G U u e 1 R v c n J h b m N l L C B D Q S B D a X R 5 I F l h c m Q g V 2 V s b C w w f S Z x d W 9 0 O y w m c X V v d D t T Z W N 0 a W 9 u M S 9 E e W U g U m V 0 d X J u I C g y K S 9 D a G F u Z 2 V k I F R 5 c G U u e 0 N v b H V t b j I s M X 0 m c X V v d D s s J n F 1 b 3 Q 7 U 2 V j d G l v b j E v R H l l I F J l d H V y b i A o M i k v Q 2 h h b m d l Z C B U e X B l M S 5 7 Q 2 9 s d W 1 u N C w z f S Z x d W 9 0 O y w m c X V v d D t T Z W N 0 a W 9 u M S 9 E e W U g U m V 0 d X J u I C g y K S 9 D a G F u Z 2 V k I F R 5 c G U x L n t D b 2 x 1 b W 4 z L D J 9 J n F 1 b 3 Q 7 X S w m c X V v d D t S Z W x h d G l v b n N o a X B J b m Z v J n F 1 b 3 Q 7 O l t d f S I g L z 4 8 R W 5 0 c n k g V H l w Z T 0 i R m l s b F R h c m d l d C I g V m F s d W U 9 I n N E e W V f U m V 0 d X J u X 1 8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s b 3 c g R G F 0 Y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H l l J T I w U m V 0 d X J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E e W U l M j B S Z X R 1 c m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l M j A o M i k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Z S U y M F J l d H V y b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U l M j B S Z X R 1 c m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5 b m F t a W M l M j B G b G 9 3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e W 5 h b W l j J T I w R m x v d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u Y W 1 p Y y U y M E Z s b 3 c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b 3 J h d G 9 y e S U y M F J l c 3 V s d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9 y Y X R v c n k l M j B S Z X N 1 b H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m 9 y Y X R v c n k l M j B S Z X N 1 b H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J v c m F 0 b 3 J 5 J T I w U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z J T I w Q m F s Y W 5 j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M l M j B C Y W x h b m N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c y U y M E J h b G F u Y 2 U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l l J T I w U m V 0 d X J u L 0 N o Y W 5 n Z W Q l M j B U e X B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U v M x R F X i R R 5 L F l j w d K B O t A A A A A A I A A A A A A A N m A A D A A A A A E A A A A D 0 S a r 5 q e C o u O W q B / W N o 7 0 U A A A A A B I A A A K A A A A A Q A A A A R 5 Z 6 2 U k I f S C 7 Y R B e 4 3 + K X l A A A A C R I A V b 4 T Z 7 1 f 5 8 9 4 u 6 u 8 g 9 9 X 8 K Q N 4 a 2 K 8 V s w N Q W S l d N p D W F X I x l S 4 w p M a A o E p P Z 5 9 O e K + L O r x A L E N v G g + M K c m R S B l m C F s G e Z J w a s 6 M N 7 u n U x Q A A A A t d a z I C 9 3 k b W k k V S s I D R 9 o u Y t U H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763B91-062A-404D-843D-DF8A40259D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e8ad1-0785-4588-bba6-bfec64dfb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E73157-6927-43C9-AF84-D7498E25E24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F0782B2-F885-4B04-B3A8-5A7186B69CE5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4ace8ad1-0785-4588-bba6-bfec64dfbae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80A70BD-EF16-4932-9B95-82A9534F86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Lithology_Elev</vt:lpstr>
      <vt:lpstr>DWR_1961</vt:lpstr>
      <vt:lpstr>Lithology</vt:lpstr>
      <vt:lpstr>Annulus</vt:lpstr>
      <vt:lpstr>Well</vt:lpstr>
      <vt:lpstr>Access Tube</vt:lpstr>
      <vt:lpstr>Liner</vt:lpstr>
      <vt:lpstr>Pump</vt:lpstr>
      <vt:lpstr>Water Level</vt:lpstr>
      <vt:lpstr>Injections</vt:lpstr>
      <vt:lpstr>Flow Data</vt:lpstr>
      <vt:lpstr>Flow Results</vt:lpstr>
      <vt:lpstr>Flow Results Flags</vt:lpstr>
      <vt:lpstr>WQ Data</vt:lpstr>
      <vt:lpstr>WQ Data Flags</vt:lpstr>
      <vt:lpstr>WQ Results</vt:lpstr>
      <vt:lpstr>WQ Results Flags</vt:lpstr>
      <vt:lpstr>WQ Results (2)</vt:lpstr>
      <vt:lpstr>WQ Standards</vt:lpstr>
      <vt:lpstr>CodeLookup</vt:lpstr>
      <vt:lpstr>WQ Results Grouped</vt:lpstr>
      <vt:lpstr>WQ Results Grouped 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oconnell</dc:creator>
  <cp:lastModifiedBy>Microsoft Office User</cp:lastModifiedBy>
  <dcterms:created xsi:type="dcterms:W3CDTF">2020-05-18T22:21:03Z</dcterms:created>
  <dcterms:modified xsi:type="dcterms:W3CDTF">2020-10-16T22:17:32Z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0x010100FAC505412AA86E429F6C396E4FC74816</vt:lpwstr>
  </property>
</Properties>
</file>