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aart\Dropbox\Kinetic Analysis\Finance\"/>
    </mc:Choice>
  </mc:AlternateContent>
  <xr:revisionPtr revIDLastSave="0" documentId="13_ncr:1_{193B0268-EDE6-4034-9FE1-E37FA984FF70}" xr6:coauthVersionLast="34" xr6:coauthVersionMax="34" xr10:uidLastSave="{00000000-0000-0000-0000-000000000000}"/>
  <bookViews>
    <workbookView xWindow="0" yWindow="0" windowWidth="19200" windowHeight="7350" activeTab="2" xr2:uid="{00000000-000D-0000-FFFF-FFFF00000000}"/>
  </bookViews>
  <sheets>
    <sheet name="Structure" sheetId="3" r:id="rId1"/>
    <sheet name="Pipeline" sheetId="2" r:id="rId2"/>
    <sheet name="Cashpostie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4" i="1"/>
  <c r="C13" i="1"/>
  <c r="E13" i="1"/>
  <c r="C15" i="1"/>
  <c r="L15" i="1"/>
  <c r="J15" i="1"/>
  <c r="E15" i="1"/>
  <c r="F15" i="1"/>
  <c r="F19" i="1"/>
  <c r="L16" i="1"/>
  <c r="C16" i="1"/>
  <c r="E16" i="1"/>
  <c r="J16" i="1"/>
  <c r="C12" i="1"/>
  <c r="E12" i="1"/>
  <c r="M17" i="1"/>
  <c r="I20" i="1" l="1"/>
  <c r="I21" i="1"/>
  <c r="L10" i="1" l="1"/>
  <c r="I10" i="1"/>
  <c r="C10" i="1"/>
  <c r="M9" i="1"/>
  <c r="M8" i="1"/>
  <c r="M7" i="1"/>
  <c r="M6" i="1"/>
  <c r="M5" i="1"/>
  <c r="M4" i="1"/>
  <c r="C9" i="1"/>
  <c r="C8" i="1" l="1"/>
  <c r="C7" i="1" l="1"/>
  <c r="E7" i="1"/>
  <c r="O4" i="1"/>
  <c r="O5" i="1"/>
  <c r="O6" i="1"/>
  <c r="P4" i="1" l="1"/>
  <c r="P5" i="1" s="1"/>
  <c r="P6" i="1" s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7" i="1"/>
  <c r="P7" i="1" l="1"/>
  <c r="P8" i="1" s="1"/>
  <c r="P9" i="1" s="1"/>
  <c r="P10" i="1" l="1"/>
  <c r="P11" i="1" l="1"/>
  <c r="P12" i="1" s="1"/>
  <c r="P13" i="1" s="1"/>
  <c r="P14" i="1" s="1"/>
  <c r="P15" i="1" l="1"/>
  <c r="P16" i="1" s="1"/>
  <c r="P17" i="1" s="1"/>
  <c r="P18" i="1" s="1"/>
  <c r="P19" i="1" s="1"/>
  <c r="P20" i="1" s="1"/>
  <c r="P21" i="1" s="1"/>
  <c r="P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Maarten Gijssel</author>
  </authors>
  <commentList>
    <comment ref="B4" authorId="0" shapeId="0" xr:uid="{20902945-7144-4BD5-8D09-977285117C19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op basis van kosten werkgever, niet op basis van werkelijke uitgaven, die liggen lager</t>
        </r>
      </text>
    </comment>
    <comment ref="C4" authorId="0" shapeId="0" xr:uid="{D4A54076-CC61-4375-9022-9463381809C5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kvk+advocaat</t>
        </r>
      </text>
    </comment>
    <comment ref="C5" authorId="0" shapeId="0" xr:uid="{C67885A9-4431-4DEF-AFDE-B092E6AEA1B1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kantoor opstart (incl borg)
ANB
METC</t>
        </r>
      </text>
    </comment>
    <comment ref="I5" authorId="0" shapeId="0" xr:uid="{3A529353-96DF-4877-9A29-A6FC9C2C94EC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Witty</t>
        </r>
      </text>
    </comment>
    <comment ref="C6" authorId="0" shapeId="0" xr:uid="{BC15C5C5-BF35-4D73-B730-85E08B32E358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MEC-U
DWELL costs
</t>
        </r>
      </text>
    </comment>
    <comment ref="I6" authorId="0" shapeId="0" xr:uid="{0B40F1E7-B79C-42C9-A1DB-E90CE29A1DD1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Summerschool</t>
        </r>
      </text>
    </comment>
    <comment ref="E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McRoberts</t>
        </r>
      </text>
    </comment>
    <comment ref="F7" authorId="0" shapeId="0" xr:uid="{7611253E-F5EC-430D-BE5C-E033C9F9B5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xsens</t>
        </r>
      </text>
    </comment>
    <comment ref="F8" authorId="0" shapeId="0" xr:uid="{E54FFAF6-FA60-4D08-AFC0-E8E0FA9EC29B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Xsens</t>
        </r>
      </text>
    </comment>
    <comment ref="C9" authorId="0" shapeId="0" xr:uid="{7AAF4242-6B13-40C5-B0D5-D91B9ED40AEF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+2811,61 correctie CROSSROADS2</t>
        </r>
      </text>
    </comment>
    <comment ref="I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RS</t>
        </r>
      </text>
    </comment>
    <comment ref="L9" authorId="0" shapeId="0" xr:uid="{92183F3B-27EA-4441-8FE1-22CA7A5C5B56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EC A+</t>
        </r>
      </text>
    </comment>
    <comment ref="M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REAP(CRO toen nog op 1manszaak) 11260-3200!
17112G+17113U = gez. 8425,34</t>
        </r>
      </text>
    </comment>
    <comment ref="E10" authorId="0" shapeId="0" xr:uid="{5B728DB9-140F-4F27-9EC1-542C7A8E712A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DWELL</t>
        </r>
      </text>
    </comment>
    <comment ref="I10" authorId="0" shapeId="0" xr:uid="{A004FBA2-1F04-4FEC-A5D4-9FB0A811788B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KNHB deel 1 - RS scholing 199,65</t>
        </r>
      </text>
    </comment>
    <comment ref="L10" authorId="0" shapeId="0" xr:uid="{432A3AE6-C389-4DC4-B183-65F9BBF04D7E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fysio+FE</t>
        </r>
      </text>
    </comment>
    <comment ref="C11" authorId="0" shapeId="0" xr:uid="{766C53EE-6795-407B-9713-79FBC3A21694}">
      <text>
        <r>
          <rPr>
            <b/>
            <sz val="9"/>
            <color indexed="81"/>
            <rFont val="Tahoma"/>
            <charset val="1"/>
          </rPr>
          <t>Maarten Gijssel:</t>
        </r>
        <r>
          <rPr>
            <sz val="9"/>
            <color indexed="81"/>
            <rFont val="Tahoma"/>
            <charset val="1"/>
          </rPr>
          <t xml:space="preserve">
nw kantoor</t>
        </r>
      </text>
    </comment>
    <comment ref="J11" authorId="0" shapeId="0" xr:uid="{8FD7935B-CACD-4B0D-815A-AEA69DCBF843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kz sleep</t>
        </r>
      </text>
    </comment>
    <comment ref="L12" authorId="0" shapeId="0" xr:uid="{5FD862E1-B103-49E9-A476-C8FCEDFCB0B5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549 FE</t>
        </r>
      </text>
    </comment>
    <comment ref="M12" authorId="0" shapeId="0" xr:uid="{778B1782-DD3F-4C37-94DB-EC40E8D9C903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MSPT 15 Utrecht MC D</t>
        </r>
      </text>
    </comment>
    <comment ref="E13" authorId="0" shapeId="0" xr:uid="{49C96151-D66F-46CE-B229-C74D7617E262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6500x6mnd (juli-dec)
2K juli Rogier
mcR 23+11=34
25+41K mcR + Amphia
10K Marik
x60%
Hogrefe605</t>
        </r>
      </text>
    </comment>
    <comment ref="F13" authorId="0" shapeId="0" xr:uid="{B721F891-A3B8-4A3B-9B93-FC89B7EB24C3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KwebsterHW</t>
        </r>
      </text>
    </comment>
    <comment ref="I13" authorId="0" shapeId="0" xr:uid="{DFF6855C-290D-4B08-A5E5-4946F7C1EF39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-2000 urban video
</t>
        </r>
      </text>
    </comment>
    <comment ref="I14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Urban
6500</t>
        </r>
      </text>
    </comment>
    <comment ref="E15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Amphia deel 1/4</t>
        </r>
      </text>
    </comment>
    <comment ref="M15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MGPT16L+MGPT16B MCB</t>
        </r>
      </text>
    </comment>
    <comment ref="M16" authorId="0" shapeId="0" xr:uid="{3DD670F2-C876-4958-A024-91E31A62B3CC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REAP Revant uit 3200</t>
        </r>
      </text>
    </comment>
    <comment ref="I17" authorId="0" shapeId="0" xr:uid="{31EB1328-A179-4A3B-AC31-70960677BEFD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KNHB deel 2 - EMIEL</t>
        </r>
      </text>
    </comment>
    <comment ref="M17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Maarten Gijssel
</t>
        </r>
        <r>
          <rPr>
            <sz val="9"/>
            <color indexed="81"/>
            <rFont val="Tahoma"/>
            <family val="2"/>
          </rPr>
          <t xml:space="preserve">A+ mgpt 14B mcD
Cicero mcd
</t>
        </r>
      </text>
    </comment>
    <comment ref="E18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Vitalavie</t>
        </r>
      </text>
    </comment>
    <comment ref="M18" authorId="0" shapeId="0" xr:uid="{6D2E3F66-156A-474D-B13A-B8B054EB4377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mcC MGPT 15 Breda
A+ cicero</t>
        </r>
      </text>
    </comment>
    <comment ref="E19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Amphia 2/4</t>
        </r>
      </text>
    </comment>
    <comment ref="C20" authorId="0" shapeId="0" xr:uid="{8E874A9E-B245-4632-A0BE-47ED39401E66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JADS year</t>
        </r>
      </text>
    </comment>
    <comment ref="E20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Optimedic
</t>
        </r>
      </text>
    </comment>
    <comment ref="I20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NANO PERTEX</t>
        </r>
      </text>
    </comment>
    <comment ref="M2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MGPT14Zwolle 6K mcD</t>
        </r>
      </text>
    </comment>
    <comment ref="E21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11x6500
30 Erasmus
x50%</t>
        </r>
      </text>
    </comment>
    <comment ref="I21" authorId="0" shapeId="0" xr:uid="{ECFF3B15-BD62-41FC-8E67-BAF5A55EABA2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NANO CYTEX</t>
        </r>
      </text>
    </comment>
    <comment ref="E22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Amphia deel 3+4</t>
        </r>
      </text>
    </comment>
    <comment ref="M22" authorId="0" shapeId="0" xr:uid="{32B8EED9-9BCF-446B-A9E0-E991B46BD258}">
      <text>
        <r>
          <rPr>
            <b/>
            <sz val="9"/>
            <color indexed="81"/>
            <rFont val="Tahoma"/>
            <family val="2"/>
          </rPr>
          <t>Maarten Gijssel:</t>
        </r>
        <r>
          <rPr>
            <sz val="9"/>
            <color indexed="81"/>
            <rFont val="Tahoma"/>
            <family val="2"/>
          </rPr>
          <t xml:space="preserve">
mcD MGPT 15 Breda
</t>
        </r>
      </text>
    </comment>
  </commentList>
</comments>
</file>

<file path=xl/sharedStrings.xml><?xml version="1.0" encoding="utf-8"?>
<sst xmlns="http://schemas.openxmlformats.org/spreadsheetml/2006/main" count="275" uniqueCount="176">
  <si>
    <t>sept</t>
  </si>
  <si>
    <t>okt</t>
  </si>
  <si>
    <t>nov</t>
  </si>
  <si>
    <t>dec</t>
  </si>
  <si>
    <t>feb</t>
  </si>
  <si>
    <t>maart</t>
  </si>
  <si>
    <t>april</t>
  </si>
  <si>
    <t>mei</t>
  </si>
  <si>
    <t>juni</t>
  </si>
  <si>
    <t>juli</t>
  </si>
  <si>
    <t>jan '18</t>
  </si>
  <si>
    <t>personeel</t>
  </si>
  <si>
    <t>aug</t>
  </si>
  <si>
    <t>TOTALEN</t>
  </si>
  <si>
    <t>KA BV</t>
  </si>
  <si>
    <t>UNDO</t>
  </si>
  <si>
    <t>CRO</t>
  </si>
  <si>
    <t>Kans</t>
  </si>
  <si>
    <t>Akkoord</t>
  </si>
  <si>
    <t>Bedrijf</t>
  </si>
  <si>
    <t>Opdracht</t>
  </si>
  <si>
    <t>ACID</t>
  </si>
  <si>
    <t>rowing</t>
  </si>
  <si>
    <t>Workshops</t>
  </si>
  <si>
    <t>Fysio/Misc</t>
  </si>
  <si>
    <t>Sports</t>
  </si>
  <si>
    <t>Health</t>
  </si>
  <si>
    <t>Lifestyle</t>
  </si>
  <si>
    <t>Undo - textiles</t>
  </si>
  <si>
    <t>Commericial</t>
  </si>
  <si>
    <t>DIM</t>
  </si>
  <si>
    <t>Prestatiemetingen</t>
  </si>
  <si>
    <t>Inspanningsfysiologie</t>
  </si>
  <si>
    <t>Biomechanica</t>
  </si>
  <si>
    <t>Team-Testbatterij</t>
  </si>
  <si>
    <t>Panasj</t>
  </si>
  <si>
    <t>KNHB</t>
  </si>
  <si>
    <t>KZ</t>
  </si>
  <si>
    <t>FC Eindhoven</t>
  </si>
  <si>
    <t>Aleco</t>
  </si>
  <si>
    <t xml:space="preserve">Fysio </t>
  </si>
  <si>
    <t>Misc</t>
  </si>
  <si>
    <t>MG - 1 manszaak</t>
  </si>
  <si>
    <t>Flexchair</t>
  </si>
  <si>
    <t>Optimedic</t>
  </si>
  <si>
    <t>&lt;  &gt;</t>
  </si>
  <si>
    <t>Uitbetaling</t>
  </si>
  <si>
    <t>Facturing</t>
  </si>
  <si>
    <t>Smart Stadium DB</t>
  </si>
  <si>
    <t>KUL testbatterij (N4S)</t>
  </si>
  <si>
    <t>Gent wielrennen (N4S)</t>
  </si>
  <si>
    <t>Arbo?</t>
  </si>
  <si>
    <t>VU roei (RAAK)</t>
  </si>
  <si>
    <t>SST (Crossroads)</t>
  </si>
  <si>
    <t>MHC de Warande</t>
  </si>
  <si>
    <t>Tilburg Trappers</t>
  </si>
  <si>
    <t>Isokine BVBA</t>
  </si>
  <si>
    <t>v Broekhoven FT</t>
  </si>
  <si>
    <t>INCUS Performance</t>
  </si>
  <si>
    <t>Catapult</t>
  </si>
  <si>
    <t>NAC</t>
  </si>
  <si>
    <t>Aleco / PSV</t>
  </si>
  <si>
    <t>R&amp;D Smart Textiles</t>
  </si>
  <si>
    <t>R&amp;D Biomechanics</t>
  </si>
  <si>
    <t>SKILLVOL</t>
  </si>
  <si>
    <t>Gent</t>
  </si>
  <si>
    <t>Leuven</t>
  </si>
  <si>
    <t>RAAK</t>
  </si>
  <si>
    <t>Funding</t>
  </si>
  <si>
    <t>VU roei</t>
  </si>
  <si>
    <t>Interreg 50%</t>
  </si>
  <si>
    <t>NANO 50%</t>
  </si>
  <si>
    <t xml:space="preserve">MOTION </t>
  </si>
  <si>
    <t>Exoskellet</t>
  </si>
  <si>
    <t>ST scoliose</t>
  </si>
  <si>
    <t xml:space="preserve"> </t>
  </si>
  <si>
    <t>Smart Textiles SALES</t>
  </si>
  <si>
    <t>Testbatterij</t>
  </si>
  <si>
    <t>Vitalavie</t>
  </si>
  <si>
    <t>NEC</t>
  </si>
  <si>
    <t>Haagse (dietiek)</t>
  </si>
  <si>
    <t>Haagse (long)</t>
  </si>
  <si>
    <t>Bikefitting</t>
  </si>
  <si>
    <t>Sprintvermogen</t>
  </si>
  <si>
    <t>Startsnelheid</t>
  </si>
  <si>
    <t>Tennis</t>
  </si>
  <si>
    <t>Golf</t>
  </si>
  <si>
    <t>Bio-impedantie</t>
  </si>
  <si>
    <t>V</t>
  </si>
  <si>
    <t>R&amp;D - Revant?</t>
  </si>
  <si>
    <t>VWS Avans</t>
  </si>
  <si>
    <t>adem/dietiek</t>
  </si>
  <si>
    <t>biomech bike</t>
  </si>
  <si>
    <t>biomech ijs</t>
  </si>
  <si>
    <t>biomech voetb</t>
  </si>
  <si>
    <t>testbat hockey</t>
  </si>
  <si>
    <t>testbat soccer</t>
  </si>
  <si>
    <t>X</t>
  </si>
  <si>
    <t>Alexander Kneepkens</t>
  </si>
  <si>
    <t>biomech tennis</t>
  </si>
  <si>
    <t>biomech golf</t>
  </si>
  <si>
    <t>Amber?</t>
  </si>
  <si>
    <t>jul</t>
  </si>
  <si>
    <t>CYTEX cycling</t>
  </si>
  <si>
    <t>PERTEX running</t>
  </si>
  <si>
    <t>Prest.Met.</t>
  </si>
  <si>
    <t>huur+misc</t>
  </si>
  <si>
    <t>Radboud UMC</t>
  </si>
  <si>
    <t>iBT Amputatie</t>
  </si>
  <si>
    <t>R&amp;D iBT</t>
  </si>
  <si>
    <t>Wendbaarheid</t>
  </si>
  <si>
    <t>Booking Agenda</t>
  </si>
  <si>
    <t>KA</t>
  </si>
  <si>
    <t>A+</t>
  </si>
  <si>
    <t>Barabaz</t>
  </si>
  <si>
    <t>Rokx</t>
  </si>
  <si>
    <t>Neuromodulatie</t>
  </si>
  <si>
    <t>FC Chelsea</t>
  </si>
  <si>
    <t>TARGET</t>
  </si>
  <si>
    <t>ST</t>
  </si>
  <si>
    <t>Scoliosis patients</t>
  </si>
  <si>
    <t>CP patients</t>
  </si>
  <si>
    <t>Elite players</t>
  </si>
  <si>
    <t xml:space="preserve">Health professionals </t>
  </si>
  <si>
    <t>Amateur athletes</t>
  </si>
  <si>
    <t>team players</t>
  </si>
  <si>
    <t>Elite athletes</t>
  </si>
  <si>
    <t xml:space="preserve">dietry </t>
  </si>
  <si>
    <t>cycling</t>
  </si>
  <si>
    <t>Service</t>
  </si>
  <si>
    <t>Current</t>
  </si>
  <si>
    <t>Franchise</t>
  </si>
  <si>
    <t>R&amp;D</t>
  </si>
  <si>
    <t>Course</t>
  </si>
  <si>
    <t>Product</t>
  </si>
  <si>
    <t>Belasting</t>
  </si>
  <si>
    <t>Takaii</t>
  </si>
  <si>
    <t>Jumpsuit</t>
  </si>
  <si>
    <t>playertracker</t>
  </si>
  <si>
    <t>ST'</t>
  </si>
  <si>
    <t>Haagse COPD/Dietiek</t>
  </si>
  <si>
    <t>PE / NCOI</t>
  </si>
  <si>
    <t>RS</t>
  </si>
  <si>
    <t>i7 min W</t>
  </si>
  <si>
    <t>needling</t>
  </si>
  <si>
    <t>LEGENDA</t>
  </si>
  <si>
    <t>uitbetaald</t>
  </si>
  <si>
    <t>bevestigd in</t>
  </si>
  <si>
    <t>bevestigd uit</t>
  </si>
  <si>
    <t>optioneel</t>
  </si>
  <si>
    <t>BEVESTIGD</t>
  </si>
  <si>
    <t>CLOSE</t>
  </si>
  <si>
    <t>OPTIE</t>
  </si>
  <si>
    <t>LEAD</t>
  </si>
  <si>
    <t>SAAS</t>
  </si>
  <si>
    <t>?SAAS</t>
  </si>
  <si>
    <t>LOAN</t>
  </si>
  <si>
    <t>26 juni '17</t>
  </si>
  <si>
    <t>EB.89045</t>
  </si>
  <si>
    <t>&lt;&lt;&lt;</t>
  </si>
  <si>
    <t>SALDO-BV</t>
  </si>
  <si>
    <t>DWELL</t>
  </si>
  <si>
    <t>CROSSROADS</t>
  </si>
  <si>
    <t>N4S</t>
  </si>
  <si>
    <t>SportsLapp</t>
  </si>
  <si>
    <t>PSV</t>
  </si>
  <si>
    <t xml:space="preserve">Olympiakos </t>
  </si>
  <si>
    <t>GENK</t>
  </si>
  <si>
    <t>Urban INNO BMX</t>
  </si>
  <si>
    <t>U 46900 L 100k</t>
  </si>
  <si>
    <t>DrFit</t>
  </si>
  <si>
    <t>EFRO</t>
  </si>
  <si>
    <t>MOTION</t>
  </si>
  <si>
    <t>MG1</t>
  </si>
  <si>
    <t>SALDO-MG1</t>
  </si>
  <si>
    <t>iso+ms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</si>
</sst>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B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AAE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6" fillId="11" borderId="0" xfId="0" applyFont="1" applyFill="1"/>
    <xf numFmtId="0" fontId="6" fillId="0" borderId="0" xfId="0" applyFont="1" applyAlignment="1">
      <alignment horizontal="center"/>
    </xf>
    <xf numFmtId="0" fontId="6" fillId="2" borderId="0" xfId="0" applyFont="1" applyFill="1"/>
    <xf numFmtId="0" fontId="6" fillId="0" borderId="0" xfId="0" applyFont="1"/>
    <xf numFmtId="0" fontId="6" fillId="10" borderId="0" xfId="0" applyFont="1" applyFill="1"/>
    <xf numFmtId="0" fontId="6" fillId="3" borderId="0" xfId="0" applyFont="1" applyFill="1" applyAlignment="1">
      <alignment horizontal="center"/>
    </xf>
    <xf numFmtId="0" fontId="6" fillId="8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12" borderId="0" xfId="0" applyFont="1" applyFill="1"/>
    <xf numFmtId="0" fontId="6" fillId="13" borderId="0" xfId="0" applyFont="1" applyFill="1"/>
    <xf numFmtId="0" fontId="6" fillId="14" borderId="0" xfId="0" applyFont="1" applyFill="1"/>
    <xf numFmtId="0" fontId="0" fillId="3" borderId="0" xfId="0" applyFill="1"/>
    <xf numFmtId="0" fontId="7" fillId="0" borderId="0" xfId="0" applyFont="1"/>
    <xf numFmtId="0" fontId="6" fillId="0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/>
    <xf numFmtId="0" fontId="0" fillId="15" borderId="0" xfId="0" applyFill="1"/>
    <xf numFmtId="0" fontId="0" fillId="0" borderId="0" xfId="0" applyAlignment="1">
      <alignment horizontal="left"/>
    </xf>
    <xf numFmtId="0" fontId="0" fillId="16" borderId="0" xfId="0" applyFill="1"/>
    <xf numFmtId="0" fontId="0" fillId="0" borderId="0" xfId="0" quotePrefix="1" applyAlignment="1">
      <alignment horizontal="left"/>
    </xf>
    <xf numFmtId="0" fontId="6" fillId="17" borderId="0" xfId="0" applyFont="1" applyFill="1"/>
    <xf numFmtId="0" fontId="0" fillId="18" borderId="0" xfId="0" applyFill="1"/>
    <xf numFmtId="0" fontId="0" fillId="4" borderId="0" xfId="0" applyFill="1"/>
    <xf numFmtId="0" fontId="6" fillId="19" borderId="0" xfId="0" applyFont="1" applyFill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18" borderId="1" xfId="0" applyNumberFormat="1" applyFill="1" applyBorder="1"/>
    <xf numFmtId="164" fontId="0" fillId="0" borderId="0" xfId="0" applyNumberFormat="1"/>
    <xf numFmtId="164" fontId="0" fillId="18" borderId="0" xfId="0" applyNumberFormat="1" applyFill="1"/>
    <xf numFmtId="164" fontId="2" fillId="0" borderId="0" xfId="0" applyNumberFormat="1" applyFont="1"/>
    <xf numFmtId="164" fontId="1" fillId="0" borderId="0" xfId="0" applyNumberFormat="1" applyFont="1"/>
    <xf numFmtId="164" fontId="2" fillId="18" borderId="0" xfId="0" applyNumberFormat="1" applyFont="1" applyFill="1"/>
    <xf numFmtId="164" fontId="2" fillId="0" borderId="1" xfId="0" applyNumberFormat="1" applyFont="1" applyBorder="1"/>
    <xf numFmtId="164" fontId="8" fillId="0" borderId="1" xfId="0" applyNumberFormat="1" applyFont="1" applyBorder="1"/>
    <xf numFmtId="164" fontId="3" fillId="18" borderId="1" xfId="0" applyNumberFormat="1" applyFont="1" applyFill="1" applyBorder="1"/>
    <xf numFmtId="164" fontId="8" fillId="0" borderId="0" xfId="0" applyNumberFormat="1" applyFont="1"/>
    <xf numFmtId="164" fontId="1" fillId="18" borderId="0" xfId="0" applyNumberFormat="1" applyFont="1" applyFill="1"/>
    <xf numFmtId="164" fontId="7" fillId="0" borderId="0" xfId="0" applyNumberFormat="1" applyFont="1"/>
    <xf numFmtId="164" fontId="3" fillId="18" borderId="0" xfId="0" applyNumberFormat="1" applyFont="1" applyFill="1"/>
    <xf numFmtId="164" fontId="7" fillId="18" borderId="0" xfId="0" applyNumberFormat="1" applyFont="1" applyFill="1"/>
    <xf numFmtId="0" fontId="0" fillId="10" borderId="0" xfId="0" applyFill="1"/>
    <xf numFmtId="0" fontId="0" fillId="13" borderId="0" xfId="0" applyFill="1"/>
    <xf numFmtId="0" fontId="0" fillId="9" borderId="0" xfId="0" applyFill="1"/>
    <xf numFmtId="0" fontId="9" fillId="0" borderId="0" xfId="0" applyFont="1"/>
    <xf numFmtId="0" fontId="0" fillId="0" borderId="0" xfId="0" applyBorder="1"/>
    <xf numFmtId="164" fontId="7" fillId="0" borderId="0" xfId="0" applyNumberFormat="1" applyFont="1" applyBorder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EEAAE3"/>
      <color rgb="FF99FF33"/>
      <color rgb="FFF5B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opLeftCell="B1" workbookViewId="0">
      <selection activeCell="D16" sqref="D16"/>
    </sheetView>
  </sheetViews>
  <sheetFormatPr defaultColWidth="8.68359375" defaultRowHeight="16.8" x14ac:dyDescent="0.65"/>
  <cols>
    <col min="1" max="1" width="15.15625" style="7" customWidth="1"/>
    <col min="2" max="2" width="18" style="7" customWidth="1"/>
    <col min="3" max="3" width="11.578125" style="7" customWidth="1"/>
    <col min="4" max="4" width="16.83984375" style="7" customWidth="1"/>
    <col min="5" max="5" width="23.41796875" style="7" customWidth="1"/>
    <col min="6" max="6" width="8.68359375" style="7"/>
    <col min="7" max="7" width="11.26171875" style="7" customWidth="1"/>
    <col min="8" max="8" width="17.05078125" style="7" bestFit="1" customWidth="1"/>
    <col min="9" max="9" width="19.578125" style="7" customWidth="1"/>
    <col min="10" max="10" width="21.26171875" style="7" customWidth="1"/>
    <col min="11" max="11" width="8.68359375" style="7"/>
    <col min="12" max="12" width="12" style="7" customWidth="1"/>
    <col min="13" max="14" width="8.68359375" style="7"/>
    <col min="15" max="15" width="16.41796875" style="7" customWidth="1"/>
    <col min="16" max="16384" width="8.68359375" style="7"/>
  </cols>
  <sheetData>
    <row r="1" spans="1:15" x14ac:dyDescent="0.65">
      <c r="A1" s="4"/>
      <c r="B1" s="4"/>
      <c r="C1" s="4"/>
      <c r="D1" s="4"/>
      <c r="E1" s="4" t="s">
        <v>14</v>
      </c>
      <c r="F1" s="4"/>
      <c r="G1" s="4"/>
      <c r="H1" s="4"/>
      <c r="I1" s="4"/>
      <c r="J1" s="4"/>
      <c r="K1" s="5" t="s">
        <v>45</v>
      </c>
      <c r="L1" s="6" t="s">
        <v>42</v>
      </c>
      <c r="M1" s="6"/>
      <c r="N1" s="6"/>
      <c r="O1" s="17"/>
    </row>
    <row r="3" spans="1:15" x14ac:dyDescent="0.65">
      <c r="A3" s="8" t="s">
        <v>16</v>
      </c>
      <c r="B3" s="8"/>
      <c r="C3" s="9" t="s">
        <v>45</v>
      </c>
      <c r="D3" s="10"/>
      <c r="E3" s="10" t="s">
        <v>28</v>
      </c>
      <c r="F3" s="10"/>
      <c r="G3" s="9" t="s">
        <v>45</v>
      </c>
      <c r="H3" s="11"/>
      <c r="I3" s="11" t="s">
        <v>31</v>
      </c>
      <c r="J3" s="11"/>
      <c r="K3" s="5" t="s">
        <v>45</v>
      </c>
      <c r="L3" s="12" t="s">
        <v>23</v>
      </c>
      <c r="M3" s="12" t="s">
        <v>40</v>
      </c>
      <c r="N3" s="12" t="s">
        <v>41</v>
      </c>
      <c r="O3" s="12" t="s">
        <v>56</v>
      </c>
    </row>
    <row r="5" spans="1:15" x14ac:dyDescent="0.65">
      <c r="A5" s="13" t="s">
        <v>29</v>
      </c>
      <c r="B5" s="13" t="s">
        <v>171</v>
      </c>
      <c r="C5" s="13"/>
      <c r="D5" s="13" t="s">
        <v>26</v>
      </c>
      <c r="E5" s="13" t="s">
        <v>25</v>
      </c>
      <c r="F5" s="13" t="s">
        <v>27</v>
      </c>
      <c r="G5" s="13"/>
      <c r="H5" s="13" t="s">
        <v>33</v>
      </c>
      <c r="I5" s="13" t="s">
        <v>34</v>
      </c>
      <c r="J5" s="13" t="s">
        <v>32</v>
      </c>
    </row>
    <row r="6" spans="1:15" x14ac:dyDescent="0.65">
      <c r="E6" s="19" t="s">
        <v>64</v>
      </c>
    </row>
    <row r="7" spans="1:15" x14ac:dyDescent="0.65">
      <c r="A7" s="14" t="s">
        <v>30</v>
      </c>
      <c r="B7" s="14" t="s">
        <v>161</v>
      </c>
      <c r="D7" s="18" t="s">
        <v>80</v>
      </c>
      <c r="E7" s="14" t="s">
        <v>53</v>
      </c>
      <c r="F7" s="16" t="s">
        <v>51</v>
      </c>
      <c r="H7" s="14" t="s">
        <v>36</v>
      </c>
      <c r="I7" s="14" t="s">
        <v>35</v>
      </c>
      <c r="J7" s="15" t="s">
        <v>39</v>
      </c>
      <c r="L7" s="7" t="s">
        <v>112</v>
      </c>
      <c r="M7" s="7" t="s">
        <v>142</v>
      </c>
    </row>
    <row r="8" spans="1:15" x14ac:dyDescent="0.65">
      <c r="A8" s="14" t="s">
        <v>44</v>
      </c>
      <c r="B8" s="18" t="s">
        <v>172</v>
      </c>
      <c r="D8" s="15" t="s">
        <v>81</v>
      </c>
      <c r="E8" s="14" t="s">
        <v>50</v>
      </c>
      <c r="H8" s="14" t="s">
        <v>37</v>
      </c>
      <c r="I8" s="15" t="s">
        <v>39</v>
      </c>
      <c r="J8" s="15" t="s">
        <v>38</v>
      </c>
      <c r="L8" s="7" t="s">
        <v>113</v>
      </c>
      <c r="M8" s="7" t="s">
        <v>143</v>
      </c>
    </row>
    <row r="9" spans="1:15" x14ac:dyDescent="0.65">
      <c r="A9" s="14" t="s">
        <v>114</v>
      </c>
      <c r="B9" s="15" t="s">
        <v>21</v>
      </c>
      <c r="D9" s="18" t="s">
        <v>172</v>
      </c>
      <c r="E9" s="14" t="s">
        <v>49</v>
      </c>
      <c r="H9" s="14" t="s">
        <v>168</v>
      </c>
      <c r="I9" s="18" t="s">
        <v>48</v>
      </c>
      <c r="J9" s="15" t="s">
        <v>57</v>
      </c>
      <c r="L9" s="7" t="s">
        <v>141</v>
      </c>
      <c r="M9" s="7" t="s">
        <v>144</v>
      </c>
    </row>
    <row r="10" spans="1:15" x14ac:dyDescent="0.65">
      <c r="A10" s="15" t="s">
        <v>115</v>
      </c>
      <c r="D10" s="15" t="s">
        <v>21</v>
      </c>
      <c r="E10" s="15" t="s">
        <v>52</v>
      </c>
      <c r="H10" s="14" t="s">
        <v>79</v>
      </c>
      <c r="I10" s="15" t="s">
        <v>38</v>
      </c>
      <c r="J10" s="22"/>
    </row>
    <row r="11" spans="1:15" x14ac:dyDescent="0.65">
      <c r="A11" s="15" t="s">
        <v>43</v>
      </c>
      <c r="D11" s="15" t="s">
        <v>90</v>
      </c>
      <c r="E11" s="32" t="s">
        <v>58</v>
      </c>
      <c r="H11" s="14" t="s">
        <v>167</v>
      </c>
      <c r="I11" s="15" t="s">
        <v>54</v>
      </c>
      <c r="J11" s="22"/>
    </row>
    <row r="12" spans="1:15" x14ac:dyDescent="0.65">
      <c r="D12" s="15" t="s">
        <v>170</v>
      </c>
      <c r="E12" s="32" t="s">
        <v>59</v>
      </c>
      <c r="H12" s="14" t="s">
        <v>60</v>
      </c>
      <c r="I12" s="15" t="s">
        <v>55</v>
      </c>
      <c r="J12" s="22"/>
    </row>
    <row r="13" spans="1:15" x14ac:dyDescent="0.65">
      <c r="H13" s="18" t="s">
        <v>117</v>
      </c>
      <c r="I13" s="15" t="s">
        <v>165</v>
      </c>
      <c r="J13" s="22"/>
    </row>
    <row r="14" spans="1:15" x14ac:dyDescent="0.65">
      <c r="H14" s="18" t="s">
        <v>166</v>
      </c>
      <c r="J14" s="22"/>
    </row>
    <row r="15" spans="1:15" x14ac:dyDescent="0.65">
      <c r="H15" s="15" t="s">
        <v>38</v>
      </c>
      <c r="I15" s="14" t="s">
        <v>83</v>
      </c>
      <c r="J15" s="22"/>
    </row>
    <row r="16" spans="1:15" x14ac:dyDescent="0.65">
      <c r="A16" s="35" t="s">
        <v>145</v>
      </c>
      <c r="I16" s="14" t="s">
        <v>84</v>
      </c>
      <c r="J16" s="22"/>
    </row>
    <row r="17" spans="1:10" x14ac:dyDescent="0.65">
      <c r="A17" s="14" t="s">
        <v>150</v>
      </c>
      <c r="H17" s="7" t="s">
        <v>85</v>
      </c>
      <c r="I17" s="14" t="s">
        <v>110</v>
      </c>
      <c r="J17" s="22"/>
    </row>
    <row r="18" spans="1:10" x14ac:dyDescent="0.65">
      <c r="A18" s="18" t="s">
        <v>151</v>
      </c>
      <c r="H18" s="7" t="s">
        <v>86</v>
      </c>
      <c r="J18" s="22"/>
    </row>
    <row r="19" spans="1:10" x14ac:dyDescent="0.65">
      <c r="A19" s="15" t="s">
        <v>152</v>
      </c>
      <c r="H19" s="7" t="s">
        <v>82</v>
      </c>
    </row>
    <row r="20" spans="1:10" x14ac:dyDescent="0.65">
      <c r="A20" s="32" t="s">
        <v>153</v>
      </c>
    </row>
    <row r="21" spans="1:10" x14ac:dyDescent="0.65">
      <c r="H21" s="7" t="s">
        <v>111</v>
      </c>
      <c r="J21" s="7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55000000000000004"/>
  <cols>
    <col min="1" max="1" width="19.26171875" customWidth="1"/>
    <col min="2" max="2" width="22.41796875" customWidth="1"/>
    <col min="3" max="3" width="13.83984375" customWidth="1"/>
    <col min="4" max="4" width="13.578125" customWidth="1"/>
    <col min="5" max="5" width="17.578125" customWidth="1"/>
    <col min="12" max="12" width="19.3125" customWidth="1"/>
  </cols>
  <sheetData>
    <row r="1" spans="1:13" ht="16.8" x14ac:dyDescent="0.65">
      <c r="A1" s="4" t="s">
        <v>14</v>
      </c>
      <c r="B1" s="20" t="s">
        <v>19</v>
      </c>
      <c r="C1" s="20" t="s">
        <v>20</v>
      </c>
      <c r="D1" s="20" t="s">
        <v>68</v>
      </c>
      <c r="E1" s="20" t="s">
        <v>17</v>
      </c>
      <c r="F1" s="20" t="s">
        <v>18</v>
      </c>
      <c r="G1" s="20" t="s">
        <v>47</v>
      </c>
      <c r="H1" s="20" t="s">
        <v>46</v>
      </c>
      <c r="I1" s="20"/>
      <c r="J1" s="30" t="s">
        <v>130</v>
      </c>
      <c r="K1" s="28" t="s">
        <v>118</v>
      </c>
      <c r="L1" s="20"/>
    </row>
    <row r="2" spans="1:13" ht="16.8" x14ac:dyDescent="0.65">
      <c r="A2" s="10" t="s">
        <v>28</v>
      </c>
      <c r="B2" s="15" t="s">
        <v>21</v>
      </c>
      <c r="C2" t="s">
        <v>74</v>
      </c>
      <c r="D2" t="s">
        <v>70</v>
      </c>
      <c r="E2" t="s">
        <v>62</v>
      </c>
      <c r="F2" s="24"/>
      <c r="G2" s="24"/>
      <c r="H2" s="24"/>
      <c r="K2" s="29" t="s">
        <v>119</v>
      </c>
      <c r="L2" t="s">
        <v>123</v>
      </c>
      <c r="M2" t="s">
        <v>120</v>
      </c>
    </row>
    <row r="3" spans="1:13" ht="16.8" x14ac:dyDescent="0.65">
      <c r="B3" s="15" t="s">
        <v>69</v>
      </c>
      <c r="C3" t="s">
        <v>22</v>
      </c>
      <c r="D3" t="s">
        <v>67</v>
      </c>
      <c r="E3" t="s">
        <v>62</v>
      </c>
      <c r="F3" s="24"/>
      <c r="G3" s="24"/>
      <c r="H3" s="24"/>
      <c r="K3" s="29" t="s">
        <v>119</v>
      </c>
      <c r="L3" t="s">
        <v>126</v>
      </c>
      <c r="M3" t="s">
        <v>22</v>
      </c>
    </row>
    <row r="4" spans="1:13" ht="16.8" x14ac:dyDescent="0.65">
      <c r="B4" s="14" t="s">
        <v>65</v>
      </c>
      <c r="C4" s="3" t="s">
        <v>103</v>
      </c>
      <c r="D4" t="s">
        <v>71</v>
      </c>
      <c r="E4" t="s">
        <v>62</v>
      </c>
      <c r="F4" s="24" t="s">
        <v>88</v>
      </c>
      <c r="G4" s="24"/>
      <c r="H4" s="24" t="s">
        <v>2</v>
      </c>
      <c r="K4" s="29" t="s">
        <v>119</v>
      </c>
      <c r="L4" t="s">
        <v>124</v>
      </c>
      <c r="M4" t="s">
        <v>128</v>
      </c>
    </row>
    <row r="5" spans="1:13" ht="16.8" x14ac:dyDescent="0.65">
      <c r="B5" s="14" t="s">
        <v>66</v>
      </c>
      <c r="C5" t="s">
        <v>104</v>
      </c>
      <c r="D5" t="s">
        <v>71</v>
      </c>
      <c r="E5" t="s">
        <v>62</v>
      </c>
      <c r="F5" s="24" t="s">
        <v>88</v>
      </c>
      <c r="G5" s="24" t="s">
        <v>102</v>
      </c>
      <c r="H5" s="24" t="s">
        <v>2</v>
      </c>
      <c r="K5" s="29" t="s">
        <v>119</v>
      </c>
      <c r="L5" t="s">
        <v>124</v>
      </c>
    </row>
    <row r="6" spans="1:13" ht="16.8" x14ac:dyDescent="0.65">
      <c r="B6" s="15" t="s">
        <v>140</v>
      </c>
      <c r="C6" t="s">
        <v>91</v>
      </c>
      <c r="D6" t="s">
        <v>67</v>
      </c>
      <c r="E6" t="s">
        <v>62</v>
      </c>
      <c r="F6" s="24"/>
      <c r="G6" s="24"/>
      <c r="H6" s="24"/>
      <c r="K6" s="29" t="s">
        <v>119</v>
      </c>
      <c r="L6" t="s">
        <v>123</v>
      </c>
      <c r="M6" t="s">
        <v>127</v>
      </c>
    </row>
    <row r="7" spans="1:13" ht="16.8" x14ac:dyDescent="0.65">
      <c r="B7" s="18" t="s">
        <v>58</v>
      </c>
      <c r="E7" t="s">
        <v>76</v>
      </c>
      <c r="F7" s="24" t="s">
        <v>75</v>
      </c>
      <c r="G7" s="24"/>
      <c r="H7" s="24"/>
      <c r="K7" s="29" t="s">
        <v>119</v>
      </c>
      <c r="L7" t="s">
        <v>124</v>
      </c>
    </row>
    <row r="8" spans="1:13" ht="16.8" x14ac:dyDescent="0.65">
      <c r="B8" s="18" t="s">
        <v>59</v>
      </c>
      <c r="E8" t="s">
        <v>76</v>
      </c>
      <c r="F8" s="24"/>
      <c r="G8" s="24"/>
      <c r="H8" s="24"/>
      <c r="K8" s="29" t="s">
        <v>119</v>
      </c>
      <c r="L8" t="s">
        <v>126</v>
      </c>
      <c r="M8" t="s">
        <v>122</v>
      </c>
    </row>
    <row r="9" spans="1:13" ht="16.8" x14ac:dyDescent="0.65">
      <c r="B9" s="18" t="s">
        <v>72</v>
      </c>
      <c r="C9" t="s">
        <v>73</v>
      </c>
      <c r="D9" t="s">
        <v>70</v>
      </c>
      <c r="E9" t="s">
        <v>89</v>
      </c>
      <c r="F9" s="24"/>
      <c r="G9" s="24"/>
      <c r="H9" s="24"/>
      <c r="K9" s="29" t="s">
        <v>119</v>
      </c>
      <c r="L9" t="s">
        <v>123</v>
      </c>
      <c r="M9" t="s">
        <v>121</v>
      </c>
    </row>
    <row r="10" spans="1:13" ht="16.8" x14ac:dyDescent="0.65">
      <c r="B10" s="18" t="s">
        <v>136</v>
      </c>
      <c r="C10" t="s">
        <v>137</v>
      </c>
      <c r="F10" s="24"/>
      <c r="G10" s="24"/>
      <c r="H10" s="24"/>
      <c r="K10" s="29" t="s">
        <v>119</v>
      </c>
    </row>
    <row r="11" spans="1:13" ht="16.8" x14ac:dyDescent="0.65">
      <c r="B11" s="14" t="s">
        <v>64</v>
      </c>
      <c r="C11" t="s">
        <v>138</v>
      </c>
      <c r="F11" s="24"/>
      <c r="G11" s="24"/>
      <c r="H11" s="24"/>
      <c r="K11" s="31" t="s">
        <v>139</v>
      </c>
      <c r="L11" t="s">
        <v>124</v>
      </c>
      <c r="M11" t="s">
        <v>125</v>
      </c>
    </row>
    <row r="12" spans="1:13" ht="16.8" x14ac:dyDescent="0.65">
      <c r="B12" s="15" t="s">
        <v>170</v>
      </c>
      <c r="F12" s="24"/>
      <c r="G12" s="24"/>
      <c r="H12" s="24"/>
      <c r="K12" s="31"/>
    </row>
    <row r="13" spans="1:13" ht="16.8" x14ac:dyDescent="0.65">
      <c r="A13" s="8" t="s">
        <v>16</v>
      </c>
      <c r="B13" s="14" t="s">
        <v>44</v>
      </c>
      <c r="C13" t="s">
        <v>116</v>
      </c>
      <c r="F13" s="24">
        <v>2017</v>
      </c>
      <c r="J13" s="24" t="s">
        <v>132</v>
      </c>
      <c r="K13" s="24" t="s">
        <v>133</v>
      </c>
    </row>
    <row r="14" spans="1:13" ht="16.8" x14ac:dyDescent="0.65">
      <c r="B14" s="14" t="s">
        <v>78</v>
      </c>
      <c r="C14" t="s">
        <v>87</v>
      </c>
      <c r="D14" s="23"/>
      <c r="F14" s="24" t="s">
        <v>88</v>
      </c>
      <c r="G14" s="24"/>
      <c r="H14" s="24"/>
      <c r="J14" s="24" t="s">
        <v>132</v>
      </c>
      <c r="K14" s="24" t="s">
        <v>133</v>
      </c>
    </row>
    <row r="15" spans="1:13" ht="16.8" x14ac:dyDescent="0.65">
      <c r="A15" s="25"/>
      <c r="B15" s="15" t="s">
        <v>107</v>
      </c>
      <c r="C15" s="25" t="s">
        <v>108</v>
      </c>
      <c r="D15" s="25"/>
      <c r="E15" s="25" t="s">
        <v>109</v>
      </c>
      <c r="F15" s="26"/>
      <c r="G15" s="26"/>
      <c r="H15" s="26"/>
      <c r="J15" s="24" t="s">
        <v>134</v>
      </c>
      <c r="K15" s="24" t="s">
        <v>132</v>
      </c>
    </row>
    <row r="16" spans="1:13" ht="16.8" x14ac:dyDescent="0.65">
      <c r="A16" s="25"/>
      <c r="B16" s="22"/>
      <c r="C16" s="25"/>
      <c r="D16" s="25"/>
      <c r="F16" s="24"/>
      <c r="G16" s="24"/>
      <c r="H16" s="24"/>
    </row>
    <row r="17" spans="1:11" ht="16.8" x14ac:dyDescent="0.65">
      <c r="A17" s="11" t="s">
        <v>31</v>
      </c>
      <c r="B17" s="14" t="s">
        <v>61</v>
      </c>
      <c r="C17" t="s">
        <v>96</v>
      </c>
      <c r="E17" t="s">
        <v>77</v>
      </c>
      <c r="F17" s="24" t="s">
        <v>88</v>
      </c>
      <c r="G17" s="24" t="s">
        <v>97</v>
      </c>
      <c r="H17" s="24" t="s">
        <v>97</v>
      </c>
      <c r="J17" s="24" t="s">
        <v>129</v>
      </c>
      <c r="K17" s="24" t="s">
        <v>131</v>
      </c>
    </row>
    <row r="18" spans="1:11" ht="16.8" x14ac:dyDescent="0.65">
      <c r="B18" s="15" t="s">
        <v>38</v>
      </c>
      <c r="C18" t="s">
        <v>96</v>
      </c>
      <c r="E18" t="s">
        <v>77</v>
      </c>
      <c r="F18" s="24"/>
      <c r="G18" s="24"/>
      <c r="H18" s="24"/>
      <c r="J18" s="24" t="s">
        <v>129</v>
      </c>
      <c r="K18" s="24" t="s">
        <v>131</v>
      </c>
    </row>
    <row r="19" spans="1:11" ht="16.8" x14ac:dyDescent="0.65">
      <c r="B19" s="15" t="s">
        <v>57</v>
      </c>
      <c r="C19" t="s">
        <v>92</v>
      </c>
      <c r="E19" t="s">
        <v>63</v>
      </c>
      <c r="F19" s="24"/>
      <c r="G19" s="24"/>
      <c r="H19" s="24"/>
      <c r="J19" s="24" t="s">
        <v>129</v>
      </c>
      <c r="K19" s="24" t="s">
        <v>154</v>
      </c>
    </row>
    <row r="20" spans="1:11" ht="16.8" x14ac:dyDescent="0.65">
      <c r="B20" s="15" t="s">
        <v>48</v>
      </c>
      <c r="C20" t="s">
        <v>95</v>
      </c>
      <c r="E20" t="s">
        <v>77</v>
      </c>
      <c r="F20" s="24"/>
      <c r="G20" s="24"/>
      <c r="H20" s="24"/>
      <c r="J20" s="24" t="s">
        <v>129</v>
      </c>
      <c r="K20" s="24" t="s">
        <v>154</v>
      </c>
    </row>
    <row r="21" spans="1:11" ht="16.8" x14ac:dyDescent="0.65">
      <c r="B21" s="15" t="s">
        <v>54</v>
      </c>
      <c r="C21" t="s">
        <v>95</v>
      </c>
      <c r="F21" s="24"/>
      <c r="G21" s="24"/>
      <c r="H21" s="24"/>
      <c r="J21" s="24" t="s">
        <v>129</v>
      </c>
      <c r="K21" s="24" t="s">
        <v>154</v>
      </c>
    </row>
    <row r="22" spans="1:11" ht="16.8" x14ac:dyDescent="0.65">
      <c r="B22" s="15" t="s">
        <v>55</v>
      </c>
      <c r="C22" t="s">
        <v>93</v>
      </c>
      <c r="F22" s="24"/>
      <c r="G22" s="24"/>
      <c r="H22" s="24"/>
      <c r="J22" s="24" t="s">
        <v>129</v>
      </c>
      <c r="K22" s="24"/>
    </row>
    <row r="23" spans="1:11" ht="16.8" x14ac:dyDescent="0.65">
      <c r="B23" s="18" t="s">
        <v>117</v>
      </c>
      <c r="C23" t="s">
        <v>94</v>
      </c>
      <c r="E23" t="s">
        <v>63</v>
      </c>
      <c r="F23" s="24"/>
      <c r="G23" s="24"/>
      <c r="H23" s="24"/>
      <c r="J23" s="24" t="s">
        <v>129</v>
      </c>
      <c r="K23" s="24" t="s">
        <v>154</v>
      </c>
    </row>
    <row r="24" spans="1:11" ht="16.8" x14ac:dyDescent="0.65">
      <c r="B24" s="15" t="s">
        <v>60</v>
      </c>
      <c r="C24" t="s">
        <v>94</v>
      </c>
      <c r="E24" t="s">
        <v>63</v>
      </c>
      <c r="F24" s="24"/>
      <c r="G24" s="24"/>
      <c r="H24" s="24"/>
      <c r="J24" s="24" t="s">
        <v>129</v>
      </c>
      <c r="K24" s="24" t="s">
        <v>154</v>
      </c>
    </row>
    <row r="25" spans="1:11" ht="16.8" x14ac:dyDescent="0.65">
      <c r="B25" s="15" t="s">
        <v>79</v>
      </c>
      <c r="C25" t="s">
        <v>94</v>
      </c>
      <c r="E25" t="s">
        <v>63</v>
      </c>
      <c r="F25" s="24"/>
      <c r="G25" s="24"/>
      <c r="H25" s="24"/>
      <c r="J25" s="24" t="s">
        <v>129</v>
      </c>
      <c r="K25" s="24" t="s">
        <v>154</v>
      </c>
    </row>
    <row r="26" spans="1:11" ht="16.8" x14ac:dyDescent="0.65">
      <c r="B26" s="15" t="s">
        <v>98</v>
      </c>
      <c r="C26" t="s">
        <v>99</v>
      </c>
      <c r="E26" t="s">
        <v>63</v>
      </c>
      <c r="J26" s="24" t="s">
        <v>129</v>
      </c>
      <c r="K26" s="24" t="s">
        <v>155</v>
      </c>
    </row>
    <row r="27" spans="1:11" ht="16.8" x14ac:dyDescent="0.65">
      <c r="B27" s="15" t="s">
        <v>101</v>
      </c>
      <c r="C27" t="s">
        <v>100</v>
      </c>
      <c r="E27" t="s">
        <v>63</v>
      </c>
      <c r="J27" s="24" t="s">
        <v>129</v>
      </c>
      <c r="K27" s="24" t="s">
        <v>155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0"/>
  <sheetViews>
    <sheetView tabSelected="1" zoomScaleNormal="100" workbookViewId="0">
      <selection activeCell="H25" sqref="H25"/>
    </sheetView>
  </sheetViews>
  <sheetFormatPr defaultRowHeight="14.4" x14ac:dyDescent="0.55000000000000004"/>
  <cols>
    <col min="1" max="1" width="10.05078125" bestFit="1" customWidth="1"/>
    <col min="2" max="2" width="11.47265625" style="37" bestFit="1" customWidth="1"/>
    <col min="3" max="3" width="10.47265625" bestFit="1" customWidth="1"/>
    <col min="4" max="4" width="3" customWidth="1"/>
    <col min="5" max="5" width="11.89453125" bestFit="1" customWidth="1"/>
    <col min="6" max="6" width="11.47265625" bestFit="1" customWidth="1"/>
    <col min="7" max="8" width="11.47265625" customWidth="1"/>
    <col min="9" max="9" width="10.89453125" bestFit="1" customWidth="1"/>
    <col min="10" max="10" width="11.47265625" bestFit="1" customWidth="1"/>
    <col min="11" max="11" width="9.89453125" bestFit="1" customWidth="1"/>
    <col min="12" max="12" width="10.1015625" bestFit="1" customWidth="1"/>
    <col min="13" max="13" width="12.3671875" bestFit="1" customWidth="1"/>
    <col min="14" max="14" width="12.26171875" customWidth="1"/>
    <col min="15" max="16" width="11.89453125" bestFit="1" customWidth="1"/>
    <col min="17" max="17" width="10.20703125" customWidth="1"/>
    <col min="18" max="18" width="6.05078125" customWidth="1"/>
  </cols>
  <sheetData>
    <row r="1" spans="1:22" x14ac:dyDescent="0.55000000000000004">
      <c r="A1" t="s">
        <v>14</v>
      </c>
      <c r="E1" s="55" t="s">
        <v>16</v>
      </c>
      <c r="F1" s="56" t="s">
        <v>15</v>
      </c>
      <c r="G1" s="56"/>
      <c r="H1" s="56"/>
      <c r="I1" s="57" t="s">
        <v>105</v>
      </c>
      <c r="J1" s="57"/>
      <c r="K1" t="s">
        <v>135</v>
      </c>
      <c r="M1" s="61" t="s">
        <v>173</v>
      </c>
      <c r="N1" t="s">
        <v>156</v>
      </c>
    </row>
    <row r="2" spans="1:22" x14ac:dyDescent="0.55000000000000004">
      <c r="B2" s="37" t="s">
        <v>11</v>
      </c>
      <c r="C2" t="s">
        <v>106</v>
      </c>
      <c r="E2" s="58" t="s">
        <v>161</v>
      </c>
      <c r="F2" s="58" t="s">
        <v>162</v>
      </c>
      <c r="G2" s="58" t="s">
        <v>175</v>
      </c>
      <c r="H2" s="58" t="s">
        <v>64</v>
      </c>
      <c r="I2" s="58" t="s">
        <v>163</v>
      </c>
      <c r="J2" s="58" t="s">
        <v>164</v>
      </c>
      <c r="L2" t="s">
        <v>24</v>
      </c>
      <c r="M2" s="33"/>
      <c r="O2" t="s">
        <v>13</v>
      </c>
      <c r="P2" t="s">
        <v>160</v>
      </c>
      <c r="Q2" s="61" t="s">
        <v>174</v>
      </c>
    </row>
    <row r="3" spans="1:22" s="38" customFormat="1" x14ac:dyDescent="0.55000000000000004">
      <c r="A3" s="38" t="s">
        <v>157</v>
      </c>
      <c r="B3" s="40"/>
      <c r="C3" s="40"/>
      <c r="D3" s="40"/>
      <c r="E3" s="40"/>
      <c r="F3" s="40" t="s">
        <v>158</v>
      </c>
      <c r="G3" s="40"/>
      <c r="H3" s="40"/>
      <c r="I3" s="40"/>
      <c r="K3" s="40"/>
      <c r="L3" s="40"/>
      <c r="M3" s="41"/>
      <c r="N3" s="40"/>
      <c r="O3" s="40">
        <v>120</v>
      </c>
      <c r="P3" s="40"/>
      <c r="Q3" s="42"/>
    </row>
    <row r="4" spans="1:22" x14ac:dyDescent="0.55000000000000004">
      <c r="A4" t="s">
        <v>9</v>
      </c>
      <c r="B4" s="42">
        <v>-6414.79</v>
      </c>
      <c r="C4" s="42">
        <v>-845.2</v>
      </c>
      <c r="D4" s="42"/>
      <c r="E4" s="42"/>
      <c r="F4" s="42" t="s">
        <v>169</v>
      </c>
      <c r="G4" s="42"/>
      <c r="H4" s="42"/>
      <c r="I4" s="42"/>
      <c r="J4" s="42"/>
      <c r="K4" s="42"/>
      <c r="L4" s="42"/>
      <c r="M4" s="43">
        <f>1106.43+11495</f>
        <v>12601.43</v>
      </c>
      <c r="N4" s="42">
        <v>45000</v>
      </c>
      <c r="O4" s="42">
        <f t="shared" ref="O4:O22" si="0">SUM(B4:L4,N4)</f>
        <v>37740.01</v>
      </c>
      <c r="P4" s="42">
        <f>O3+O4</f>
        <v>37860.01</v>
      </c>
      <c r="Q4" s="42"/>
    </row>
    <row r="5" spans="1:22" x14ac:dyDescent="0.55000000000000004">
      <c r="A5" t="s">
        <v>12</v>
      </c>
      <c r="B5" s="42">
        <v>-6134.89</v>
      </c>
      <c r="C5" s="42">
        <v>-5973.75</v>
      </c>
      <c r="D5" s="42"/>
      <c r="E5" s="42"/>
      <c r="I5" s="42">
        <v>-1793.22</v>
      </c>
      <c r="J5" s="42"/>
      <c r="K5" s="42"/>
      <c r="L5" s="42"/>
      <c r="M5" s="43">
        <f>6056.72+7948.29</f>
        <v>14005.01</v>
      </c>
      <c r="N5" s="42"/>
      <c r="O5" s="42">
        <f t="shared" si="0"/>
        <v>-13901.859999999999</v>
      </c>
      <c r="P5" s="42">
        <f t="shared" ref="P5:P7" si="1">P4+O5</f>
        <v>23958.15</v>
      </c>
      <c r="Q5" s="42"/>
    </row>
    <row r="6" spans="1:22" x14ac:dyDescent="0.55000000000000004">
      <c r="A6" t="s">
        <v>0</v>
      </c>
      <c r="B6" s="42">
        <v>-8597.81</v>
      </c>
      <c r="C6" s="42">
        <v>-1807.02</v>
      </c>
      <c r="D6" s="42"/>
      <c r="E6" s="42"/>
      <c r="F6" s="42"/>
      <c r="G6" s="42"/>
      <c r="H6" s="42"/>
      <c r="I6" s="42">
        <v>1815</v>
      </c>
      <c r="J6" s="42"/>
      <c r="K6" s="42"/>
      <c r="L6" s="42"/>
      <c r="M6" s="43">
        <f>463+24.99</f>
        <v>487.99</v>
      </c>
      <c r="N6" s="42">
        <v>15000</v>
      </c>
      <c r="O6" s="42">
        <f t="shared" si="0"/>
        <v>6410.17</v>
      </c>
      <c r="P6" s="42">
        <f t="shared" si="1"/>
        <v>30368.32</v>
      </c>
      <c r="Q6" s="42"/>
      <c r="V6" s="36"/>
    </row>
    <row r="7" spans="1:22" x14ac:dyDescent="0.55000000000000004">
      <c r="A7" t="s">
        <v>1</v>
      </c>
      <c r="B7" s="44">
        <v>-6929.78</v>
      </c>
      <c r="C7" s="44">
        <f>-484-410.49-7-3.1-28.9-147.16-133-14.9-145.2+1512-4.2-121-185.4-269.99001-4-34.98-103.93-30-14.99-132.74-52.3-95.13-610.3</f>
        <v>-1520.7100100000002</v>
      </c>
      <c r="D7" s="45"/>
      <c r="E7" s="44">
        <f>-11404.25-23631.12</f>
        <v>-35035.369999999995</v>
      </c>
      <c r="F7" s="42">
        <v>-15385.15</v>
      </c>
      <c r="G7" s="42"/>
      <c r="H7" s="42"/>
      <c r="I7" s="42" t="s">
        <v>159</v>
      </c>
      <c r="J7" s="42"/>
      <c r="K7" s="42" t="s">
        <v>75</v>
      </c>
      <c r="L7" s="42"/>
      <c r="M7" s="46">
        <f>1250+2868.36+1766.36</f>
        <v>5884.72</v>
      </c>
      <c r="N7" s="42">
        <v>45000</v>
      </c>
      <c r="O7" s="42">
        <f t="shared" si="0"/>
        <v>-13871.010009999998</v>
      </c>
      <c r="P7" s="42">
        <f t="shared" si="1"/>
        <v>16497.309990000002</v>
      </c>
      <c r="Q7" s="42"/>
      <c r="V7" s="36"/>
    </row>
    <row r="8" spans="1:22" x14ac:dyDescent="0.55000000000000004">
      <c r="A8" t="s">
        <v>2</v>
      </c>
      <c r="B8" s="44">
        <v>-7007.2</v>
      </c>
      <c r="C8" s="44">
        <f>-410.49-183.4-64-42-9.15-43.9-8-75-4.2-6-24.99-74.35-65.74-69.9-16-109.18-172.5-42-42-25.09-247.71-39-25.6-7.2-9.8</f>
        <v>-1817.2</v>
      </c>
      <c r="D8" s="45"/>
      <c r="E8" s="42"/>
      <c r="F8" s="44">
        <v>-3079.45</v>
      </c>
      <c r="G8" s="44"/>
      <c r="H8" s="44"/>
      <c r="I8" s="42"/>
      <c r="J8" s="42"/>
      <c r="K8" s="42"/>
      <c r="L8" s="42"/>
      <c r="M8" s="46">
        <f>3776+90+3023.36</f>
        <v>6889.3600000000006</v>
      </c>
      <c r="N8" s="42"/>
      <c r="O8" s="42">
        <f t="shared" si="0"/>
        <v>-11903.849999999999</v>
      </c>
      <c r="P8" s="42">
        <f>P7+O8</f>
        <v>4593.459990000003</v>
      </c>
      <c r="Q8" s="42"/>
      <c r="V8" s="36"/>
    </row>
    <row r="9" spans="1:22" x14ac:dyDescent="0.55000000000000004">
      <c r="A9" t="s">
        <v>3</v>
      </c>
      <c r="B9" s="44">
        <v>-6806.44</v>
      </c>
      <c r="C9" s="44">
        <f>-410.49-3.5-155.78-61.36+42-29.95-51.5-17.9-42-119.96-152.29-35.88+2811.61-482.77-698.88-189.06-1331-174.18-141.47-166.55</f>
        <v>-1410.91</v>
      </c>
      <c r="D9" s="45"/>
      <c r="E9" s="42"/>
      <c r="F9" s="44">
        <v>-2811.61</v>
      </c>
      <c r="G9" s="44"/>
      <c r="H9" s="44"/>
      <c r="I9" s="44">
        <v>1862.35</v>
      </c>
      <c r="J9" s="44"/>
      <c r="K9" s="42"/>
      <c r="L9" s="42">
        <v>968</v>
      </c>
      <c r="M9" s="46">
        <f>11260+8425.34</f>
        <v>19685.34</v>
      </c>
      <c r="N9" s="42"/>
      <c r="O9" s="42">
        <f t="shared" si="0"/>
        <v>-8198.61</v>
      </c>
      <c r="P9" s="42">
        <f>P8+O9</f>
        <v>-3605.1500099999976</v>
      </c>
      <c r="Q9" s="42"/>
      <c r="V9" s="36"/>
    </row>
    <row r="10" spans="1:22" s="38" customFormat="1" x14ac:dyDescent="0.55000000000000004">
      <c r="A10" s="38" t="s">
        <v>10</v>
      </c>
      <c r="B10" s="40">
        <v>-8653.6200000000008</v>
      </c>
      <c r="C10" s="47">
        <f>-62.99-7.9-40.78-410.49-32.97-42-98.5-16-145.2-7.5-11-71-34.78-50.14-484-3-60.8-310.97-42-22.4-6.9-13</f>
        <v>-1974.3200000000002</v>
      </c>
      <c r="D10" s="47"/>
      <c r="E10" s="40">
        <v>-611.87</v>
      </c>
      <c r="F10" s="48"/>
      <c r="G10" s="48"/>
      <c r="H10" s="48"/>
      <c r="I10" s="47">
        <f>2685-199.65</f>
        <v>2485.35</v>
      </c>
      <c r="J10" s="47"/>
      <c r="K10" s="40">
        <v>6340</v>
      </c>
      <c r="L10" s="40">
        <f>266.8+66.2+549</f>
        <v>882</v>
      </c>
      <c r="M10" s="49"/>
      <c r="N10" s="42">
        <v>5000</v>
      </c>
      <c r="O10" s="40">
        <f t="shared" si="0"/>
        <v>3467.5399999999991</v>
      </c>
      <c r="P10" s="40">
        <f>P9+O10</f>
        <v>-137.61000999999851</v>
      </c>
      <c r="Q10" s="40"/>
      <c r="V10" s="39"/>
    </row>
    <row r="11" spans="1:22" x14ac:dyDescent="0.55000000000000004">
      <c r="A11" t="s">
        <v>4</v>
      </c>
      <c r="B11" s="42">
        <v>-12456.02</v>
      </c>
      <c r="C11" s="44">
        <f>-363-183.77-5.95-42-1-20-44.1-189.06-13.5-3831.4-42-137.84-164.98-28.47-410.49</f>
        <v>-5477.56</v>
      </c>
      <c r="D11" s="44"/>
      <c r="E11" s="42"/>
      <c r="F11" s="50"/>
      <c r="G11" s="50"/>
      <c r="H11" s="50"/>
      <c r="I11" s="45"/>
      <c r="J11" s="44">
        <v>400</v>
      </c>
      <c r="K11" s="42"/>
      <c r="L11" s="42"/>
      <c r="M11" s="51"/>
      <c r="N11" s="42">
        <v>10000</v>
      </c>
      <c r="O11" s="42">
        <f t="shared" si="0"/>
        <v>-7533.5800000000017</v>
      </c>
      <c r="P11" s="42">
        <f>P10+O11</f>
        <v>-7671.1900100000003</v>
      </c>
      <c r="Q11" s="42"/>
      <c r="V11" s="36"/>
    </row>
    <row r="12" spans="1:22" x14ac:dyDescent="0.55000000000000004">
      <c r="A12" t="s">
        <v>5</v>
      </c>
      <c r="B12" s="42">
        <v>-13513.45</v>
      </c>
      <c r="C12" s="44">
        <f>-410.49-5.95-6.74-42-1.5-75.63-87.4-129-42-150-5.95-222.45</f>
        <v>-1179.1099999999999</v>
      </c>
      <c r="D12" s="44"/>
      <c r="E12" s="44">
        <f>-3630-3113-302.5</f>
        <v>-7045.5</v>
      </c>
      <c r="F12" s="50"/>
      <c r="G12" s="50"/>
      <c r="H12" s="50"/>
      <c r="I12" s="52"/>
      <c r="J12" s="52"/>
      <c r="K12" s="42">
        <v>3194</v>
      </c>
      <c r="L12" s="42">
        <v>453.72</v>
      </c>
      <c r="M12" s="46">
        <v>3626.74</v>
      </c>
      <c r="N12" s="42"/>
      <c r="O12" s="42">
        <f t="shared" si="0"/>
        <v>-18090.34</v>
      </c>
      <c r="P12" s="42">
        <f>P11+O12</f>
        <v>-25761.530010000002</v>
      </c>
      <c r="Q12" s="42"/>
      <c r="V12" s="36"/>
    </row>
    <row r="13" spans="1:22" x14ac:dyDescent="0.55000000000000004">
      <c r="A13" t="s">
        <v>6</v>
      </c>
      <c r="B13" s="42">
        <v>-15207.04</v>
      </c>
      <c r="C13" s="44">
        <f>-249-5.95-6.8-38.25-42-6-50.63-15.44-145.2-42-410.49</f>
        <v>-1011.76</v>
      </c>
      <c r="D13" s="44"/>
      <c r="E13" s="44">
        <f>104846.88-605</f>
        <v>104241.88</v>
      </c>
      <c r="F13" s="44">
        <v>-4400</v>
      </c>
      <c r="G13" s="44"/>
      <c r="H13" s="44"/>
      <c r="I13" s="44">
        <v>-2420</v>
      </c>
      <c r="J13" s="45"/>
      <c r="K13" s="42"/>
      <c r="L13" s="52"/>
      <c r="M13" s="53"/>
      <c r="N13" s="44">
        <v>-45934</v>
      </c>
      <c r="O13" s="42">
        <f t="shared" si="0"/>
        <v>35269.08</v>
      </c>
      <c r="P13" s="42">
        <f t="shared" ref="P13:P19" si="2">P12+O13</f>
        <v>9507.5499899999995</v>
      </c>
      <c r="Q13" s="42"/>
      <c r="T13" s="36"/>
    </row>
    <row r="14" spans="1:22" x14ac:dyDescent="0.55000000000000004">
      <c r="A14" t="s">
        <v>7</v>
      </c>
      <c r="B14" s="42">
        <v>-12048.09</v>
      </c>
      <c r="C14" s="44">
        <f>-31.94-5.95-25.9-836-450.73-67.5-31.3-42-484-302.5-410.49</f>
        <v>-2688.3099999999995</v>
      </c>
      <c r="D14" s="44"/>
      <c r="E14" s="44">
        <v>-91.5</v>
      </c>
      <c r="F14" s="42"/>
      <c r="G14" s="42"/>
      <c r="H14" s="42"/>
      <c r="I14" s="44">
        <v>6500</v>
      </c>
      <c r="J14" s="44">
        <v>-181.5</v>
      </c>
      <c r="K14" s="42"/>
      <c r="L14" s="44">
        <v>3284.32</v>
      </c>
      <c r="M14" s="43"/>
      <c r="N14" s="42">
        <v>-7000</v>
      </c>
      <c r="O14" s="42">
        <f t="shared" si="0"/>
        <v>-12225.08</v>
      </c>
      <c r="P14" s="42">
        <f t="shared" si="2"/>
        <v>-2717.5300100000004</v>
      </c>
      <c r="Q14" s="42"/>
      <c r="T14" s="36"/>
      <c r="U14" s="36"/>
    </row>
    <row r="15" spans="1:22" x14ac:dyDescent="0.55000000000000004">
      <c r="A15" t="s">
        <v>8</v>
      </c>
      <c r="B15" s="44">
        <v>-12999.65</v>
      </c>
      <c r="C15" s="44">
        <f>-410.49-42-54.66-340.31-6-187.25-6.95-42.91-11.7-226.88-31.5-5.95-264.99</f>
        <v>-1631.5900000000001</v>
      </c>
      <c r="D15" s="44"/>
      <c r="E15" s="45">
        <f>-16250-847</f>
        <v>-17097</v>
      </c>
      <c r="F15" s="44">
        <f>21156.09+24917.76</f>
        <v>46073.85</v>
      </c>
      <c r="G15" s="44">
        <v>-9500</v>
      </c>
      <c r="H15" s="52"/>
      <c r="I15" s="42"/>
      <c r="J15" s="42">
        <f>25000-1694</f>
        <v>23306</v>
      </c>
      <c r="K15" s="42"/>
      <c r="L15" s="52">
        <f>3250+453.72+223.2</f>
        <v>3926.92</v>
      </c>
      <c r="M15" s="46">
        <v>5604.57</v>
      </c>
      <c r="N15" s="42"/>
      <c r="O15" s="42">
        <f t="shared" si="0"/>
        <v>32078.53</v>
      </c>
      <c r="P15" s="42">
        <f>P14+O15</f>
        <v>29360.999989999997</v>
      </c>
      <c r="Q15" s="42"/>
      <c r="T15" s="36"/>
      <c r="U15" s="36"/>
    </row>
    <row r="16" spans="1:22" x14ac:dyDescent="0.55000000000000004">
      <c r="A16" t="s">
        <v>9</v>
      </c>
      <c r="B16" s="44">
        <v>-12841.81</v>
      </c>
      <c r="C16" s="44">
        <f>-5.95-38-0.01-31.5-1597.97-93.9-42-16.75-75.8-264.99-15.69</f>
        <v>-2182.56</v>
      </c>
      <c r="D16" s="44"/>
      <c r="E16" s="44">
        <f>-227.77-155.15</f>
        <v>-382.92</v>
      </c>
      <c r="F16" s="44">
        <v>5736.55</v>
      </c>
      <c r="G16" s="44">
        <v>-10500</v>
      </c>
      <c r="H16" s="44">
        <v>99.2</v>
      </c>
      <c r="I16" s="52"/>
      <c r="J16" s="44">
        <f>-29.95-25.99</f>
        <v>-55.94</v>
      </c>
      <c r="K16" s="42"/>
      <c r="L16" s="52">
        <f>3250+90.75+249.4</f>
        <v>3590.15</v>
      </c>
      <c r="M16" s="51">
        <v>-3200</v>
      </c>
      <c r="N16" s="42"/>
      <c r="O16" s="42">
        <f t="shared" si="0"/>
        <v>-16537.329999999994</v>
      </c>
      <c r="P16" s="42">
        <f t="shared" si="2"/>
        <v>12823.669990000002</v>
      </c>
      <c r="Q16" s="42"/>
      <c r="T16" s="36"/>
      <c r="U16" s="36"/>
    </row>
    <row r="17" spans="1:21" x14ac:dyDescent="0.55000000000000004">
      <c r="A17" t="s">
        <v>12</v>
      </c>
      <c r="B17" s="50">
        <v>-8108</v>
      </c>
      <c r="C17" s="50">
        <v>-500</v>
      </c>
      <c r="D17" s="44"/>
      <c r="E17" s="52"/>
      <c r="F17" s="45">
        <v>-21223.79</v>
      </c>
      <c r="G17" s="45">
        <v>-42145</v>
      </c>
      <c r="H17" s="52"/>
      <c r="I17" s="52">
        <v>2006.32</v>
      </c>
      <c r="J17" s="52"/>
      <c r="K17" s="42"/>
      <c r="L17" s="52">
        <v>3250</v>
      </c>
      <c r="M17" s="53">
        <f>6024.22+7423.1</f>
        <v>13447.32</v>
      </c>
      <c r="N17" s="45">
        <v>-8000</v>
      </c>
      <c r="O17" s="42">
        <f t="shared" si="0"/>
        <v>-74720.47</v>
      </c>
      <c r="P17" s="42">
        <f t="shared" si="2"/>
        <v>-61896.800009999999</v>
      </c>
      <c r="Q17" s="42"/>
      <c r="T17" s="36"/>
      <c r="U17" s="36"/>
    </row>
    <row r="18" spans="1:21" x14ac:dyDescent="0.55000000000000004">
      <c r="A18" t="s">
        <v>0</v>
      </c>
      <c r="B18" s="50">
        <v>-8108</v>
      </c>
      <c r="C18" s="50">
        <v>-1000</v>
      </c>
      <c r="D18" s="44"/>
      <c r="E18" s="52">
        <v>10982</v>
      </c>
      <c r="F18" s="45"/>
      <c r="G18" s="45"/>
      <c r="H18" s="45"/>
      <c r="I18" s="42"/>
      <c r="J18" s="42"/>
      <c r="K18" s="42"/>
      <c r="L18" s="52"/>
      <c r="M18" s="54">
        <v>4465.45</v>
      </c>
      <c r="N18" s="42"/>
      <c r="O18" s="42">
        <f t="shared" si="0"/>
        <v>1874</v>
      </c>
      <c r="P18" s="42">
        <f t="shared" si="2"/>
        <v>-60022.800009999999</v>
      </c>
      <c r="Q18" s="42"/>
      <c r="T18" s="36"/>
      <c r="U18" s="36"/>
    </row>
    <row r="19" spans="1:21" x14ac:dyDescent="0.55000000000000004">
      <c r="A19" t="s">
        <v>1</v>
      </c>
      <c r="B19" s="50">
        <v>-8108</v>
      </c>
      <c r="C19" s="50">
        <v>-1000</v>
      </c>
      <c r="D19" s="44"/>
      <c r="E19" s="45">
        <v>-16250</v>
      </c>
      <c r="F19" s="52">
        <f>72855-F15-F16</f>
        <v>21044.600000000002</v>
      </c>
      <c r="G19" s="52">
        <v>27450</v>
      </c>
      <c r="H19" s="50"/>
      <c r="I19" s="42"/>
      <c r="J19" s="59"/>
      <c r="K19" s="42"/>
      <c r="L19" s="52"/>
      <c r="M19" s="43"/>
      <c r="N19" s="42"/>
      <c r="O19" s="42">
        <f t="shared" si="0"/>
        <v>23136.600000000002</v>
      </c>
      <c r="P19" s="42">
        <f t="shared" si="2"/>
        <v>-36886.20001</v>
      </c>
      <c r="Q19" s="42"/>
      <c r="T19" s="36"/>
      <c r="U19" s="36"/>
    </row>
    <row r="20" spans="1:21" x14ac:dyDescent="0.55000000000000004">
      <c r="A20" t="s">
        <v>2</v>
      </c>
      <c r="B20" s="50">
        <v>-8108</v>
      </c>
      <c r="C20" s="45">
        <v>-2500</v>
      </c>
      <c r="D20" s="44"/>
      <c r="E20" s="52">
        <v>8175</v>
      </c>
      <c r="F20" s="50"/>
      <c r="G20" s="52">
        <v>34695</v>
      </c>
      <c r="H20" s="50"/>
      <c r="I20" s="52">
        <f>20000-2000-1200-4200-1000-1600</f>
        <v>10000</v>
      </c>
      <c r="J20" s="60"/>
      <c r="K20" s="42"/>
      <c r="L20" s="52"/>
      <c r="M20" s="54">
        <v>6000</v>
      </c>
      <c r="N20" s="42"/>
      <c r="O20" s="42">
        <f t="shared" si="0"/>
        <v>42262</v>
      </c>
      <c r="P20" s="42">
        <f>P19+O20</f>
        <v>5375.7999899999995</v>
      </c>
      <c r="Q20" s="42"/>
      <c r="T20" s="36"/>
      <c r="U20" s="36"/>
    </row>
    <row r="21" spans="1:21" x14ac:dyDescent="0.55000000000000004">
      <c r="A21" t="s">
        <v>3</v>
      </c>
      <c r="B21" s="50">
        <v>-8108</v>
      </c>
      <c r="C21" s="50">
        <v>-1000</v>
      </c>
      <c r="D21" s="44"/>
      <c r="E21" s="52">
        <v>60900</v>
      </c>
      <c r="F21" s="52"/>
      <c r="G21" s="52"/>
      <c r="H21" s="50">
        <v>75000</v>
      </c>
      <c r="I21" s="52">
        <f>20000-1000-4000-5000</f>
        <v>10000</v>
      </c>
      <c r="J21" s="45">
        <v>-15000</v>
      </c>
      <c r="K21" s="42"/>
      <c r="L21" s="52"/>
      <c r="M21" s="43"/>
      <c r="N21" s="42"/>
      <c r="O21" s="42">
        <f t="shared" si="0"/>
        <v>121792</v>
      </c>
      <c r="P21" s="42">
        <f>P20+O21</f>
        <v>127167.79999</v>
      </c>
      <c r="Q21" s="42"/>
      <c r="T21" s="36"/>
      <c r="U21" s="36"/>
    </row>
    <row r="22" spans="1:21" x14ac:dyDescent="0.55000000000000004">
      <c r="A22" s="33">
        <v>2019</v>
      </c>
      <c r="B22" s="43"/>
      <c r="C22" s="43"/>
      <c r="D22" s="43"/>
      <c r="E22" s="51">
        <v>-32500</v>
      </c>
      <c r="F22" s="43"/>
      <c r="G22" s="43">
        <v>0</v>
      </c>
      <c r="H22" s="43"/>
      <c r="I22" s="43"/>
      <c r="J22" s="43"/>
      <c r="K22" s="43"/>
      <c r="L22" s="54"/>
      <c r="M22" s="54">
        <v>6600</v>
      </c>
      <c r="N22" s="43"/>
      <c r="O22" s="43">
        <f t="shared" si="0"/>
        <v>-32500</v>
      </c>
      <c r="P22" s="43">
        <f>P21+O22</f>
        <v>94667.79999</v>
      </c>
      <c r="Q22" s="43"/>
      <c r="R22" s="36"/>
    </row>
    <row r="23" spans="1:21" x14ac:dyDescent="0.55000000000000004">
      <c r="L23" s="21"/>
    </row>
    <row r="24" spans="1:21" x14ac:dyDescent="0.55000000000000004">
      <c r="A24" s="34" t="s">
        <v>145</v>
      </c>
      <c r="C24" s="2"/>
      <c r="D24" s="2"/>
      <c r="L24" s="21"/>
      <c r="O24" s="42"/>
    </row>
    <row r="25" spans="1:21" x14ac:dyDescent="0.55000000000000004">
      <c r="A25" t="s">
        <v>146</v>
      </c>
      <c r="C25" s="2"/>
      <c r="D25" s="2"/>
    </row>
    <row r="26" spans="1:21" x14ac:dyDescent="0.55000000000000004">
      <c r="A26" s="21" t="s">
        <v>147</v>
      </c>
      <c r="B26" s="1" t="s">
        <v>148</v>
      </c>
      <c r="C26" s="27" t="s">
        <v>149</v>
      </c>
      <c r="D26" s="2"/>
    </row>
    <row r="29" spans="1:21" x14ac:dyDescent="0.55000000000000004">
      <c r="A29" s="25"/>
    </row>
    <row r="30" spans="1:21" x14ac:dyDescent="0.55000000000000004">
      <c r="A30" s="2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Pipeline</vt:lpstr>
      <vt:lpstr>Cashpostie</vt:lpstr>
    </vt:vector>
  </TitlesOfParts>
  <Company>Avans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Gijssel</dc:creator>
  <cp:lastModifiedBy>Maarten Gijssel</cp:lastModifiedBy>
  <cp:lastPrinted>2018-07-29T10:40:22Z</cp:lastPrinted>
  <dcterms:created xsi:type="dcterms:W3CDTF">2017-09-17T18:16:05Z</dcterms:created>
  <dcterms:modified xsi:type="dcterms:W3CDTF">2018-08-02T15:58:09Z</dcterms:modified>
</cp:coreProperties>
</file>