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19200" windowHeight="7620" tabRatio="856" activeTab="1"/>
  </bookViews>
  <sheets>
    <sheet name="FORMULA 10-02-22" sheetId="32" r:id="rId1"/>
    <sheet name="INVENTARIO MATERIAS PRIMAS" sheetId="29" r:id="rId2"/>
    <sheet name="INVENTARIO PRODUCTO TERMINADO" sheetId="4" r:id="rId3"/>
    <sheet name="INVENTARIO BOLSAS TERMINADA" sheetId="6" r:id="rId4"/>
    <sheet name="INVENTARIO DE ESI" sheetId="15" r:id="rId5"/>
    <sheet name="INVENTARIO CRUZ ROJA" sheetId="33" r:id="rId6"/>
    <sheet name="INVENTARIO DE H.E.P" sheetId="36" r:id="rId7"/>
    <sheet name="INVENTARIO H.P" sheetId="35" r:id="rId8"/>
  </sheets>
  <externalReferences>
    <externalReference r:id="rId9"/>
  </externalReferences>
  <definedNames>
    <definedName name="_xlnm.Print_Area" localSheetId="0">'FORMULA 10-02-22'!$A$4:$H$75</definedName>
    <definedName name="_xlnm.Print_Area" localSheetId="4">'INVENTARIO DE ESI'!$B$29:$C$50</definedName>
  </definedNames>
  <calcPr calcId="162913"/>
</workbook>
</file>

<file path=xl/calcChain.xml><?xml version="1.0" encoding="utf-8"?>
<calcChain xmlns="http://schemas.openxmlformats.org/spreadsheetml/2006/main">
  <c r="BB20" i="29" l="1"/>
  <c r="AV20" i="29"/>
  <c r="AN20" i="29"/>
  <c r="Z20" i="29"/>
  <c r="CJ19" i="6" l="1"/>
  <c r="D19" i="6"/>
  <c r="D33" i="6"/>
  <c r="D32" i="6"/>
  <c r="D31" i="6"/>
  <c r="D30" i="6"/>
  <c r="D29" i="6"/>
  <c r="D27" i="6"/>
  <c r="D26" i="6"/>
  <c r="D25" i="6"/>
  <c r="D24" i="6"/>
  <c r="D22" i="6"/>
  <c r="D21" i="6"/>
  <c r="D18" i="6"/>
  <c r="D17" i="6"/>
  <c r="D16" i="6"/>
  <c r="D15" i="6"/>
  <c r="D14" i="6"/>
  <c r="D13" i="6"/>
  <c r="D12" i="6"/>
  <c r="D9" i="6"/>
  <c r="D11" i="6"/>
  <c r="D8" i="6"/>
  <c r="BO16" i="6" l="1"/>
  <c r="BO9" i="29" l="1"/>
  <c r="CK20" i="4"/>
  <c r="CK7" i="4"/>
  <c r="E7" i="29"/>
  <c r="E8" i="29"/>
  <c r="E6" i="29"/>
  <c r="BP6" i="29"/>
  <c r="BP10" i="29"/>
  <c r="BP9" i="29"/>
  <c r="BP7" i="29"/>
  <c r="BN11" i="29"/>
  <c r="BM11" i="29"/>
  <c r="BN9" i="29"/>
  <c r="BN8" i="29"/>
  <c r="BN13" i="29"/>
  <c r="BN22" i="29"/>
  <c r="BN19" i="29"/>
  <c r="BN10" i="29"/>
  <c r="BN6" i="29" l="1"/>
  <c r="BK9" i="29" l="1"/>
  <c r="BL10" i="29"/>
  <c r="BD10" i="29" l="1"/>
  <c r="BH25" i="29"/>
  <c r="BH21" i="29"/>
  <c r="BH22" i="29"/>
  <c r="BH19" i="29"/>
  <c r="BH9" i="29"/>
  <c r="BH7" i="29"/>
  <c r="BH11" i="29"/>
  <c r="BH6" i="29"/>
  <c r="BJ10" i="29"/>
  <c r="BJ9" i="29"/>
  <c r="BJ7" i="29"/>
  <c r="BJ6" i="29"/>
  <c r="BW13" i="4"/>
  <c r="BW7" i="4"/>
  <c r="BY20" i="4"/>
  <c r="BF10" i="29" l="1"/>
  <c r="BD7" i="29" l="1"/>
  <c r="BD25" i="29"/>
  <c r="BD22" i="29"/>
  <c r="BD21" i="29"/>
  <c r="BD19" i="29"/>
  <c r="BD9" i="29"/>
  <c r="R27" i="6" l="1"/>
  <c r="G35" i="6"/>
  <c r="BS11" i="6" l="1"/>
  <c r="BW7" i="6"/>
  <c r="BU7" i="6"/>
  <c r="BW14" i="4" l="1"/>
  <c r="BW20" i="4"/>
  <c r="BM20" i="4"/>
  <c r="BW25" i="4"/>
  <c r="BW30" i="4"/>
  <c r="BW32" i="4"/>
  <c r="BW8" i="4"/>
  <c r="BV29" i="6" l="1"/>
  <c r="BW9" i="6"/>
  <c r="BB13" i="29"/>
  <c r="BB22" i="29"/>
  <c r="BB19" i="29"/>
  <c r="BB10" i="29"/>
  <c r="BB9" i="29"/>
  <c r="BB6" i="29"/>
  <c r="BW10" i="4"/>
  <c r="AZ11" i="29" l="1"/>
  <c r="AZ10" i="29"/>
  <c r="AZ9" i="29"/>
  <c r="AZ7" i="29"/>
  <c r="AZ6" i="29"/>
  <c r="AZ25" i="29"/>
  <c r="AZ23" i="29"/>
  <c r="AZ21" i="29"/>
  <c r="AX21" i="29"/>
  <c r="AX18" i="29"/>
  <c r="AX25" i="29"/>
  <c r="AX22" i="29"/>
  <c r="AX19" i="29"/>
  <c r="AX10" i="29"/>
  <c r="AX9" i="29"/>
  <c r="AX7" i="29"/>
  <c r="AX11" i="29"/>
  <c r="BR13" i="4"/>
  <c r="BO32" i="4" l="1"/>
  <c r="AU9" i="29" l="1"/>
  <c r="BL12" i="6" l="1"/>
  <c r="AV19" i="29" l="1"/>
  <c r="AU11" i="29"/>
  <c r="AV8" i="29"/>
  <c r="AV6" i="29"/>
  <c r="AV9" i="29"/>
  <c r="AV7" i="29"/>
  <c r="AV10" i="29" l="1"/>
  <c r="AJ10" i="29" l="1"/>
  <c r="AV25" i="29"/>
  <c r="AV22" i="29"/>
  <c r="AV21" i="29"/>
  <c r="C37" i="29" l="1"/>
  <c r="C36" i="29"/>
  <c r="D38" i="29"/>
  <c r="C38" i="29"/>
  <c r="D20" i="4"/>
  <c r="R10" i="29"/>
  <c r="AT9" i="29" l="1"/>
  <c r="AT7" i="29"/>
  <c r="AT6" i="29"/>
  <c r="BK7" i="4"/>
  <c r="AT10" i="29" l="1"/>
  <c r="G108" i="32"/>
  <c r="G107" i="32"/>
  <c r="G106" i="32"/>
  <c r="G105" i="32"/>
  <c r="G104" i="32"/>
  <c r="G103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F75" i="32"/>
  <c r="H76" i="32" s="1"/>
  <c r="F72" i="32"/>
  <c r="H73" i="32" s="1"/>
  <c r="F66" i="32"/>
  <c r="H68" i="32" s="1"/>
  <c r="F63" i="32"/>
  <c r="H64" i="32" s="1"/>
  <c r="H62" i="32"/>
  <c r="F60" i="32"/>
  <c r="H60" i="32" s="1"/>
  <c r="H59" i="32"/>
  <c r="H58" i="32"/>
  <c r="F55" i="32"/>
  <c r="H56" i="32" s="1"/>
  <c r="F52" i="32"/>
  <c r="H52" i="32" s="1"/>
  <c r="H51" i="32"/>
  <c r="H50" i="32"/>
  <c r="F46" i="32"/>
  <c r="H47" i="32" s="1"/>
  <c r="H44" i="32"/>
  <c r="F43" i="32"/>
  <c r="F36" i="32"/>
  <c r="H38" i="32" s="1"/>
  <c r="F29" i="32"/>
  <c r="H32" i="32" s="1"/>
  <c r="F22" i="32"/>
  <c r="H27" i="32" s="1"/>
  <c r="F14" i="32"/>
  <c r="H20" i="32" s="1"/>
  <c r="F9" i="32"/>
  <c r="H11" i="32" s="1"/>
  <c r="BG10" i="4"/>
  <c r="H22" i="32" l="1"/>
  <c r="H25" i="32"/>
  <c r="H9" i="32"/>
  <c r="H16" i="32"/>
  <c r="H13" i="32"/>
  <c r="AT13" i="29"/>
  <c r="AT19" i="29"/>
  <c r="AT22" i="29"/>
  <c r="AR10" i="29"/>
  <c r="AR9" i="29"/>
  <c r="AR6" i="29"/>
  <c r="AP6" i="29"/>
  <c r="BG17" i="4" l="1"/>
  <c r="AP25" i="29" l="1"/>
  <c r="AP22" i="29"/>
  <c r="AP21" i="29"/>
  <c r="AP19" i="29"/>
  <c r="AP18" i="29"/>
  <c r="AP10" i="29"/>
  <c r="AP9" i="29"/>
  <c r="AP7" i="29"/>
  <c r="AN11" i="29"/>
  <c r="AN6" i="29"/>
  <c r="AN9" i="29"/>
  <c r="CM26" i="6" l="1"/>
  <c r="CK26" i="6"/>
  <c r="CI26" i="6"/>
  <c r="CG26" i="6"/>
  <c r="CE26" i="6"/>
  <c r="CC26" i="6"/>
  <c r="CA26" i="6"/>
  <c r="BY26" i="6"/>
  <c r="BW26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AZ13" i="6"/>
  <c r="AM9" i="29" l="1"/>
  <c r="AN10" i="29" l="1"/>
  <c r="AN7" i="29"/>
  <c r="AN25" i="29"/>
  <c r="AN21" i="29"/>
  <c r="AN22" i="29"/>
  <c r="AN19" i="29"/>
  <c r="AN18" i="29"/>
  <c r="AK25" i="29" l="1"/>
  <c r="AK23" i="29"/>
  <c r="AK22" i="29"/>
  <c r="AK21" i="29"/>
  <c r="AK18" i="29"/>
  <c r="C39" i="29"/>
  <c r="C35" i="29"/>
  <c r="C34" i="29"/>
  <c r="C33" i="29"/>
  <c r="C32" i="29"/>
  <c r="C31" i="29"/>
  <c r="X12" i="29" l="1"/>
  <c r="AF11" i="29"/>
  <c r="AJ11" i="29"/>
  <c r="AJ9" i="29"/>
  <c r="AI32" i="4"/>
  <c r="AS10" i="4" l="1"/>
  <c r="AJ25" i="29" l="1"/>
  <c r="AJ23" i="29"/>
  <c r="AH10" i="29" l="1"/>
  <c r="AH9" i="29"/>
  <c r="AH6" i="29"/>
  <c r="AH25" i="29"/>
  <c r="AH22" i="29"/>
  <c r="AH19" i="29"/>
  <c r="X6" i="29"/>
  <c r="AC25" i="29" l="1"/>
  <c r="X13" i="29"/>
  <c r="Z6" i="29"/>
  <c r="AB22" i="29"/>
  <c r="AB19" i="29"/>
  <c r="AD16" i="29"/>
  <c r="AF12" i="29"/>
  <c r="AF10" i="29"/>
  <c r="AB21" i="29" l="1"/>
  <c r="AB25" i="29"/>
  <c r="AB10" i="29"/>
  <c r="AB9" i="29"/>
  <c r="AB6" i="29"/>
  <c r="Z11" i="29"/>
  <c r="Z10" i="29" l="1"/>
  <c r="Z9" i="29"/>
  <c r="X10" i="29" l="1"/>
  <c r="X9" i="29"/>
  <c r="X7" i="29"/>
  <c r="X14" i="29"/>
  <c r="AG20" i="4" l="1"/>
  <c r="V19" i="29" l="1"/>
  <c r="V9" i="29"/>
  <c r="U13" i="29"/>
  <c r="V18" i="29"/>
  <c r="V25" i="29"/>
  <c r="V22" i="29"/>
  <c r="V10" i="29"/>
  <c r="V7" i="29"/>
  <c r="AE15" i="4" l="1"/>
  <c r="AC14" i="4" l="1"/>
  <c r="AC13" i="4"/>
  <c r="AC20" i="4"/>
  <c r="AC19" i="4"/>
  <c r="S25" i="29" l="1"/>
  <c r="J25" i="29"/>
  <c r="S22" i="29"/>
  <c r="S19" i="29"/>
  <c r="T10" i="29" l="1"/>
  <c r="T9" i="29"/>
  <c r="T7" i="29"/>
  <c r="T6" i="29"/>
  <c r="R9" i="29"/>
  <c r="R7" i="29"/>
  <c r="R6" i="29"/>
  <c r="AA9" i="6" l="1"/>
  <c r="Y20" i="4" l="1"/>
  <c r="Y10" i="4"/>
  <c r="R25" i="29" l="1"/>
  <c r="R22" i="29"/>
  <c r="R19" i="29"/>
  <c r="R11" i="29"/>
  <c r="R13" i="29"/>
  <c r="P25" i="29"/>
  <c r="P23" i="29"/>
  <c r="P22" i="29"/>
  <c r="P19" i="29"/>
  <c r="P9" i="29"/>
  <c r="P10" i="29"/>
  <c r="P7" i="29"/>
  <c r="D25" i="29" l="1"/>
  <c r="CM25" i="6"/>
  <c r="CK25" i="6"/>
  <c r="CI25" i="6"/>
  <c r="CG25" i="6"/>
  <c r="CC25" i="6"/>
  <c r="CA25" i="6"/>
  <c r="BY25" i="6"/>
  <c r="BW25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CE25" i="6"/>
  <c r="D26" i="4"/>
  <c r="F26" i="4" s="1"/>
  <c r="CM24" i="6"/>
  <c r="CK24" i="6"/>
  <c r="CI24" i="6"/>
  <c r="CG24" i="6"/>
  <c r="CE24" i="6"/>
  <c r="CC24" i="6"/>
  <c r="CA24" i="6"/>
  <c r="BY24" i="6"/>
  <c r="BW24" i="6"/>
  <c r="BU24" i="6"/>
  <c r="BS24" i="6"/>
  <c r="BQ24" i="6"/>
  <c r="BO24" i="6"/>
  <c r="BM24" i="6"/>
  <c r="BK24" i="6"/>
  <c r="BI24" i="6"/>
  <c r="BG24" i="6"/>
  <c r="BE24" i="6"/>
  <c r="BC24" i="6"/>
  <c r="BA24" i="6"/>
  <c r="AY24" i="6"/>
  <c r="AW24" i="6"/>
  <c r="AU24" i="6"/>
  <c r="AS24" i="6"/>
  <c r="AQ24" i="6"/>
  <c r="AO24" i="6"/>
  <c r="AM24" i="6"/>
  <c r="AK24" i="6"/>
  <c r="AI24" i="6"/>
  <c r="AG24" i="6"/>
  <c r="AE24" i="6"/>
  <c r="AC24" i="6"/>
  <c r="AA24" i="6"/>
  <c r="Y24" i="6"/>
  <c r="W24" i="6"/>
  <c r="U24" i="6"/>
  <c r="S24" i="6"/>
  <c r="R24" i="6"/>
  <c r="Q24" i="6"/>
  <c r="O24" i="6"/>
  <c r="M24" i="6"/>
  <c r="K24" i="6"/>
  <c r="I24" i="6"/>
  <c r="D25" i="4"/>
  <c r="F25" i="4" s="1"/>
  <c r="CM33" i="6"/>
  <c r="CK33" i="6"/>
  <c r="CI33" i="6"/>
  <c r="CG33" i="6"/>
  <c r="CE33" i="6"/>
  <c r="CC33" i="6"/>
  <c r="CA33" i="6"/>
  <c r="BY33" i="6"/>
  <c r="BW33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O33" i="6"/>
  <c r="M33" i="6"/>
  <c r="K33" i="6"/>
  <c r="I33" i="6"/>
  <c r="D34" i="4"/>
  <c r="F34" i="4" s="1"/>
  <c r="R30" i="6"/>
  <c r="R22" i="6"/>
  <c r="F25" i="6" l="1"/>
  <c r="F24" i="6"/>
  <c r="F33" i="6"/>
  <c r="E25" i="29" l="1"/>
  <c r="D24" i="29"/>
  <c r="G24" i="29" s="1"/>
  <c r="D23" i="29"/>
  <c r="J22" i="29"/>
  <c r="D21" i="29"/>
  <c r="E21" i="29" s="1"/>
  <c r="N20" i="29"/>
  <c r="D20" i="29"/>
  <c r="G20" i="29" s="1"/>
  <c r="J19" i="29"/>
  <c r="D19" i="29"/>
  <c r="J18" i="29"/>
  <c r="D18" i="29"/>
  <c r="G18" i="29" s="1"/>
  <c r="D17" i="29"/>
  <c r="G17" i="29" s="1"/>
  <c r="D16" i="29"/>
  <c r="G16" i="29" s="1"/>
  <c r="D15" i="29"/>
  <c r="E15" i="29" s="1"/>
  <c r="D14" i="29"/>
  <c r="E14" i="29" s="1"/>
  <c r="D13" i="29"/>
  <c r="D12" i="29"/>
  <c r="G12" i="29" s="1"/>
  <c r="D11" i="29"/>
  <c r="E11" i="29" s="1"/>
  <c r="N10" i="29"/>
  <c r="J10" i="29"/>
  <c r="D10" i="29"/>
  <c r="E10" i="29" s="1"/>
  <c r="K9" i="29"/>
  <c r="J9" i="29"/>
  <c r="D9" i="29" s="1"/>
  <c r="F8" i="29"/>
  <c r="D8" i="29"/>
  <c r="J7" i="29"/>
  <c r="D7" i="29" s="1"/>
  <c r="N6" i="29"/>
  <c r="L6" i="29"/>
  <c r="D6" i="29"/>
  <c r="CM32" i="6"/>
  <c r="CK32" i="6"/>
  <c r="CI32" i="6"/>
  <c r="CG32" i="6"/>
  <c r="CE32" i="6"/>
  <c r="CC32" i="6"/>
  <c r="CA32" i="6"/>
  <c r="BY32" i="6"/>
  <c r="BW32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D33" i="4"/>
  <c r="F33" i="4" s="1"/>
  <c r="CM31" i="6"/>
  <c r="CK31" i="6"/>
  <c r="CI31" i="6"/>
  <c r="CG31" i="6"/>
  <c r="CE31" i="6"/>
  <c r="CC31" i="6"/>
  <c r="CA31" i="6"/>
  <c r="BY31" i="6"/>
  <c r="BW31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D32" i="4"/>
  <c r="F32" i="4" s="1"/>
  <c r="CM30" i="6"/>
  <c r="CK30" i="6"/>
  <c r="CI30" i="6"/>
  <c r="CG30" i="6"/>
  <c r="CE30" i="6"/>
  <c r="CC30" i="6"/>
  <c r="CA30" i="6"/>
  <c r="BY30" i="6"/>
  <c r="BW30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D31" i="4"/>
  <c r="F31" i="4" s="1"/>
  <c r="CM29" i="6"/>
  <c r="CK29" i="6"/>
  <c r="CI29" i="6"/>
  <c r="CG29" i="6"/>
  <c r="CE29" i="6"/>
  <c r="CC29" i="6"/>
  <c r="CA29" i="6"/>
  <c r="BY29" i="6"/>
  <c r="BW29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D30" i="4"/>
  <c r="F30" i="4" s="1"/>
  <c r="CM27" i="6"/>
  <c r="CK27" i="6"/>
  <c r="CI27" i="6"/>
  <c r="CG27" i="6"/>
  <c r="CE27" i="6"/>
  <c r="CC27" i="6"/>
  <c r="CA27" i="6"/>
  <c r="BY27" i="6"/>
  <c r="BW27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D28" i="4"/>
  <c r="F28" i="4" s="1"/>
  <c r="I23" i="6"/>
  <c r="K23" i="6"/>
  <c r="M23" i="6"/>
  <c r="O23" i="6"/>
  <c r="Q23" i="6"/>
  <c r="R23" i="6"/>
  <c r="S23" i="6"/>
  <c r="U23" i="6"/>
  <c r="W23" i="6"/>
  <c r="Y23" i="6"/>
  <c r="AA23" i="6"/>
  <c r="AC23" i="6"/>
  <c r="AE23" i="6"/>
  <c r="AG23" i="6"/>
  <c r="AI23" i="6"/>
  <c r="AK23" i="6"/>
  <c r="AM23" i="6"/>
  <c r="AO23" i="6"/>
  <c r="AQ23" i="6"/>
  <c r="AS23" i="6"/>
  <c r="AU23" i="6"/>
  <c r="AW23" i="6"/>
  <c r="AY23" i="6"/>
  <c r="BA23" i="6"/>
  <c r="BC23" i="6"/>
  <c r="BE23" i="6"/>
  <c r="BG23" i="6"/>
  <c r="BI23" i="6"/>
  <c r="BK23" i="6"/>
  <c r="BM23" i="6"/>
  <c r="BO23" i="6"/>
  <c r="BS23" i="6"/>
  <c r="BU23" i="6"/>
  <c r="BW23" i="6"/>
  <c r="BY23" i="6"/>
  <c r="CA23" i="6"/>
  <c r="CC23" i="6"/>
  <c r="CE23" i="6"/>
  <c r="CG23" i="6"/>
  <c r="CI23" i="6"/>
  <c r="CK23" i="6"/>
  <c r="CM23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M22" i="6"/>
  <c r="AO22" i="6"/>
  <c r="AQ22" i="6"/>
  <c r="AS22" i="6"/>
  <c r="AU22" i="6"/>
  <c r="AW22" i="6"/>
  <c r="AY22" i="6"/>
  <c r="BA22" i="6"/>
  <c r="BC22" i="6"/>
  <c r="BE22" i="6"/>
  <c r="BG22" i="6"/>
  <c r="BI22" i="6"/>
  <c r="BK22" i="6"/>
  <c r="BM22" i="6"/>
  <c r="BO22" i="6"/>
  <c r="BQ22" i="6"/>
  <c r="BS22" i="6"/>
  <c r="BU22" i="6"/>
  <c r="BW22" i="6"/>
  <c r="BY22" i="6"/>
  <c r="CA22" i="6"/>
  <c r="CC22" i="6"/>
  <c r="CE22" i="6"/>
  <c r="CG22" i="6"/>
  <c r="CI22" i="6"/>
  <c r="CK22" i="6"/>
  <c r="CM22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I21" i="6"/>
  <c r="AK21" i="6"/>
  <c r="AM21" i="6"/>
  <c r="AO21" i="6"/>
  <c r="AQ21" i="6"/>
  <c r="AS21" i="6"/>
  <c r="AU21" i="6"/>
  <c r="AW21" i="6"/>
  <c r="AY21" i="6"/>
  <c r="BA21" i="6"/>
  <c r="BC21" i="6"/>
  <c r="BE21" i="6"/>
  <c r="BG21" i="6"/>
  <c r="BI21" i="6"/>
  <c r="BK21" i="6"/>
  <c r="BM21" i="6"/>
  <c r="BO21" i="6"/>
  <c r="BQ21" i="6"/>
  <c r="BS21" i="6"/>
  <c r="BU21" i="6"/>
  <c r="BW21" i="6"/>
  <c r="BY21" i="6"/>
  <c r="CA21" i="6"/>
  <c r="CC21" i="6"/>
  <c r="CE21" i="6"/>
  <c r="CG21" i="6"/>
  <c r="CI21" i="6"/>
  <c r="CK21" i="6"/>
  <c r="CM21" i="6"/>
  <c r="D27" i="4"/>
  <c r="F27" i="4" s="1"/>
  <c r="D24" i="4"/>
  <c r="F24" i="4" s="1"/>
  <c r="D23" i="4"/>
  <c r="F23" i="4" s="1"/>
  <c r="D22" i="4"/>
  <c r="F22" i="4" s="1"/>
  <c r="CM19" i="6"/>
  <c r="CK19" i="6"/>
  <c r="CI19" i="6"/>
  <c r="CG19" i="6"/>
  <c r="CE19" i="6"/>
  <c r="CC19" i="6"/>
  <c r="CA19" i="6"/>
  <c r="BY19" i="6"/>
  <c r="BW19" i="6"/>
  <c r="BU19" i="6"/>
  <c r="BS19" i="6"/>
  <c r="BQ19" i="6"/>
  <c r="BO19" i="6"/>
  <c r="BM19" i="6"/>
  <c r="BK19" i="6"/>
  <c r="BI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S20" i="4"/>
  <c r="F20" i="4" s="1"/>
  <c r="CM18" i="6"/>
  <c r="CK18" i="6"/>
  <c r="CI18" i="6"/>
  <c r="CG18" i="6"/>
  <c r="CE18" i="6"/>
  <c r="CC18" i="6"/>
  <c r="CA18" i="6"/>
  <c r="BY18" i="6"/>
  <c r="BW18" i="6"/>
  <c r="BU18" i="6"/>
  <c r="BS18" i="6"/>
  <c r="BQ18" i="6"/>
  <c r="BO18" i="6"/>
  <c r="BM18" i="6"/>
  <c r="BK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D19" i="4"/>
  <c r="F19" i="4" s="1"/>
  <c r="CM17" i="6"/>
  <c r="CK17" i="6"/>
  <c r="CI17" i="6"/>
  <c r="CG17" i="6"/>
  <c r="CE17" i="6"/>
  <c r="CC17" i="6"/>
  <c r="CA17" i="6"/>
  <c r="BY17" i="6"/>
  <c r="BW17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D18" i="4"/>
  <c r="F18" i="4" s="1"/>
  <c r="CM16" i="6"/>
  <c r="CK16" i="6"/>
  <c r="CI16" i="6"/>
  <c r="CG16" i="6"/>
  <c r="CE16" i="6"/>
  <c r="CC16" i="6"/>
  <c r="CA16" i="6"/>
  <c r="BY16" i="6"/>
  <c r="BW16" i="6"/>
  <c r="BU16" i="6"/>
  <c r="BS16" i="6"/>
  <c r="BQ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D17" i="4"/>
  <c r="F17" i="4" s="1"/>
  <c r="CM15" i="6"/>
  <c r="CK15" i="6"/>
  <c r="CI15" i="6"/>
  <c r="CG15" i="6"/>
  <c r="CE15" i="6"/>
  <c r="CC15" i="6"/>
  <c r="CA15" i="6"/>
  <c r="BY15" i="6"/>
  <c r="BW15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D16" i="4"/>
  <c r="F16" i="4" s="1"/>
  <c r="CM14" i="6"/>
  <c r="CK14" i="6"/>
  <c r="CI14" i="6"/>
  <c r="CG14" i="6"/>
  <c r="CE14" i="6"/>
  <c r="CC14" i="6"/>
  <c r="CA14" i="6"/>
  <c r="BY14" i="6"/>
  <c r="BW14" i="6"/>
  <c r="BU14" i="6"/>
  <c r="BS14" i="6"/>
  <c r="BQ14" i="6"/>
  <c r="BO14" i="6"/>
  <c r="BM14" i="6"/>
  <c r="BK14" i="6"/>
  <c r="BI14" i="6"/>
  <c r="BG14" i="6"/>
  <c r="BE14" i="6"/>
  <c r="BC14" i="6"/>
  <c r="BA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D15" i="4"/>
  <c r="F15" i="4" s="1"/>
  <c r="CM13" i="6"/>
  <c r="CK13" i="6"/>
  <c r="CI13" i="6"/>
  <c r="CG13" i="6"/>
  <c r="CE13" i="6"/>
  <c r="CC13" i="6"/>
  <c r="CA13" i="6"/>
  <c r="BY13" i="6"/>
  <c r="BW13" i="6"/>
  <c r="BU13" i="6"/>
  <c r="BS13" i="6"/>
  <c r="BQ13" i="6"/>
  <c r="BO13" i="6"/>
  <c r="BM13" i="6"/>
  <c r="BK13" i="6"/>
  <c r="BI13" i="6"/>
  <c r="BG13" i="6"/>
  <c r="BE13" i="6"/>
  <c r="BC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R13" i="6"/>
  <c r="D14" i="4"/>
  <c r="F14" i="4" s="1"/>
  <c r="CM12" i="6"/>
  <c r="CK12" i="6"/>
  <c r="CI12" i="6"/>
  <c r="CG12" i="6"/>
  <c r="CE12" i="6"/>
  <c r="CC12" i="6"/>
  <c r="CA12" i="6"/>
  <c r="BY12" i="6"/>
  <c r="BW12" i="6"/>
  <c r="BU12" i="6"/>
  <c r="BS12" i="6"/>
  <c r="BQ12" i="6"/>
  <c r="BO12" i="6"/>
  <c r="BM12" i="6"/>
  <c r="BK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M12" i="6"/>
  <c r="O12" i="6"/>
  <c r="K12" i="6"/>
  <c r="I12" i="6"/>
  <c r="R12" i="6"/>
  <c r="Q13" i="4"/>
  <c r="D13" i="4" s="1"/>
  <c r="F13" i="4" s="1"/>
  <c r="CM11" i="6"/>
  <c r="CK11" i="6"/>
  <c r="CI11" i="6"/>
  <c r="CG11" i="6"/>
  <c r="CE11" i="6"/>
  <c r="CC11" i="6"/>
  <c r="CA11" i="6"/>
  <c r="BY11" i="6"/>
  <c r="BW11" i="6"/>
  <c r="BU11" i="6"/>
  <c r="BQ11" i="6"/>
  <c r="BO11" i="6"/>
  <c r="BM11" i="6"/>
  <c r="BK11" i="6"/>
  <c r="BG11" i="6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AA11" i="6"/>
  <c r="Y11" i="6"/>
  <c r="W11" i="6"/>
  <c r="U11" i="6"/>
  <c r="S11" i="6"/>
  <c r="O11" i="6"/>
  <c r="M11" i="6"/>
  <c r="K11" i="6"/>
  <c r="I11" i="6"/>
  <c r="WWA11" i="6"/>
  <c r="D12" i="4"/>
  <c r="F12" i="4" s="1"/>
  <c r="CM9" i="6"/>
  <c r="WWA9" i="6"/>
  <c r="CK9" i="6"/>
  <c r="CI9" i="6"/>
  <c r="CG9" i="6"/>
  <c r="CE9" i="6"/>
  <c r="CC9" i="6"/>
  <c r="CA9" i="6"/>
  <c r="BY9" i="6"/>
  <c r="BU9" i="6"/>
  <c r="BS9" i="6"/>
  <c r="BQ9" i="6"/>
  <c r="BO9" i="6"/>
  <c r="BM9" i="6"/>
  <c r="BK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Y9" i="6"/>
  <c r="W9" i="6"/>
  <c r="U9" i="6"/>
  <c r="S9" i="6"/>
  <c r="Q9" i="6"/>
  <c r="O9" i="6"/>
  <c r="M9" i="6"/>
  <c r="K9" i="6"/>
  <c r="I9" i="6"/>
  <c r="S10" i="4"/>
  <c r="D10" i="4" s="1"/>
  <c r="F10" i="4" s="1"/>
  <c r="CM8" i="6"/>
  <c r="WWA8" i="6"/>
  <c r="CK8" i="6"/>
  <c r="CI8" i="6"/>
  <c r="CG8" i="6"/>
  <c r="CE8" i="6"/>
  <c r="CC8" i="6"/>
  <c r="CA8" i="6"/>
  <c r="BY8" i="6"/>
  <c r="BS8" i="6"/>
  <c r="BW8" i="6"/>
  <c r="BU8" i="6"/>
  <c r="BO8" i="6"/>
  <c r="BK8" i="6"/>
  <c r="BG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BQ8" i="6"/>
  <c r="BM8" i="6"/>
  <c r="BI8" i="6"/>
  <c r="BE8" i="6"/>
  <c r="D9" i="4"/>
  <c r="F9" i="4" s="1"/>
  <c r="CM7" i="6"/>
  <c r="CE7" i="6"/>
  <c r="CK7" i="6"/>
  <c r="D7" i="6" s="1"/>
  <c r="CI7" i="6"/>
  <c r="CG7" i="6"/>
  <c r="CC7" i="6"/>
  <c r="CA7" i="6"/>
  <c r="BY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D8" i="4"/>
  <c r="F8" i="4" s="1"/>
  <c r="O7" i="4"/>
  <c r="D7" i="4" s="1"/>
  <c r="F7" i="4" s="1"/>
  <c r="G14" i="29" l="1"/>
  <c r="G6" i="29"/>
  <c r="G8" i="29"/>
  <c r="G15" i="29"/>
  <c r="G13" i="29"/>
  <c r="E13" i="29"/>
  <c r="E18" i="29"/>
  <c r="G19" i="29"/>
  <c r="G11" i="29"/>
  <c r="E19" i="29"/>
  <c r="G7" i="29"/>
  <c r="E9" i="29"/>
  <c r="G9" i="29"/>
  <c r="G23" i="29"/>
  <c r="E23" i="29"/>
  <c r="E17" i="29"/>
  <c r="E20" i="29"/>
  <c r="G10" i="29"/>
  <c r="E12" i="29"/>
  <c r="E16" i="29"/>
  <c r="G21" i="29"/>
  <c r="E24" i="29"/>
  <c r="G25" i="29"/>
  <c r="F21" i="6"/>
  <c r="F26" i="6"/>
  <c r="F23" i="6"/>
  <c r="F22" i="6"/>
  <c r="F32" i="6"/>
  <c r="F31" i="6"/>
  <c r="F30" i="6"/>
  <c r="F29" i="6"/>
  <c r="F27" i="6"/>
  <c r="F19" i="6"/>
  <c r="F18" i="6"/>
  <c r="F17" i="6"/>
  <c r="F16" i="6"/>
  <c r="F15" i="6"/>
  <c r="F13" i="6"/>
  <c r="F12" i="6"/>
  <c r="F11" i="6"/>
  <c r="F9" i="6"/>
  <c r="F8" i="6"/>
  <c r="F7" i="6"/>
  <c r="H4" i="6" l="1"/>
  <c r="J4" i="6"/>
  <c r="L4" i="6"/>
  <c r="N4" i="6"/>
  <c r="P4" i="6"/>
  <c r="R4" i="6"/>
  <c r="T4" i="6"/>
  <c r="V4" i="6"/>
  <c r="X4" i="6"/>
  <c r="Z4" i="6"/>
  <c r="AB4" i="6"/>
  <c r="AD4" i="6"/>
  <c r="AF4" i="6"/>
  <c r="AH4" i="6"/>
  <c r="AJ4" i="6"/>
  <c r="AL4" i="6"/>
  <c r="AN4" i="6"/>
  <c r="AP4" i="6"/>
  <c r="AR4" i="6"/>
  <c r="AT4" i="6"/>
  <c r="AV4" i="6"/>
  <c r="AX4" i="6"/>
  <c r="AZ4" i="6"/>
  <c r="BB4" i="6"/>
  <c r="BD4" i="6"/>
  <c r="BF4" i="6"/>
  <c r="BH4" i="6"/>
  <c r="BJ4" i="6"/>
  <c r="BL4" i="6"/>
  <c r="BN4" i="6"/>
  <c r="BP4" i="6"/>
  <c r="BR4" i="6"/>
  <c r="BT4" i="6"/>
  <c r="BV4" i="6"/>
  <c r="BX4" i="6"/>
  <c r="BZ4" i="6"/>
  <c r="CB4" i="6"/>
  <c r="CD4" i="6"/>
  <c r="CF4" i="6"/>
  <c r="CH4" i="6"/>
  <c r="CJ4" i="6"/>
  <c r="D22" i="29" l="1"/>
  <c r="E22" i="29" s="1"/>
  <c r="G22" i="29" l="1"/>
  <c r="F14" i="6" l="1"/>
</calcChain>
</file>

<file path=xl/sharedStrings.xml><?xml version="1.0" encoding="utf-8"?>
<sst xmlns="http://schemas.openxmlformats.org/spreadsheetml/2006/main" count="1237" uniqueCount="632">
  <si>
    <t>INVENTARIO ACTUAL</t>
  </si>
  <si>
    <t>INVENTARIO MINIMO</t>
  </si>
  <si>
    <t>REPOSICION</t>
  </si>
  <si>
    <t>BOLSAS DE PASTA 3KG</t>
  </si>
  <si>
    <t>YESO NACIONAL DE 1 KG</t>
  </si>
  <si>
    <t>Ingreso</t>
  </si>
  <si>
    <t>Egreso</t>
  </si>
  <si>
    <t>CAL HIDRATADA 1kg</t>
  </si>
  <si>
    <t>Nro.</t>
  </si>
  <si>
    <t>DESCRIPCION</t>
  </si>
  <si>
    <t>CAL HIDRATADA (Kg)</t>
  </si>
  <si>
    <t>DOLOMITA (Kg)</t>
  </si>
  <si>
    <t>CEMENTO GRIS (Kg)</t>
  </si>
  <si>
    <t>CEMENTO BLANCO (Kg)</t>
  </si>
  <si>
    <t>YESO (Kg)</t>
  </si>
  <si>
    <t>GRAVA Roja Nº0 (Kg)</t>
  </si>
  <si>
    <t>ESTILOSA AMARILLA (Kg)</t>
  </si>
  <si>
    <t>PINkLOT (Kg)</t>
  </si>
  <si>
    <t>POLVO DE MARMOL (Kg)</t>
  </si>
  <si>
    <t>MACRO FIBRA (Kg)</t>
  </si>
  <si>
    <t>MICRO FIBRA (Kg)</t>
  </si>
  <si>
    <t>STYLOSA HIDROXIETIL (85 Gr)</t>
  </si>
  <si>
    <t>BASE RENDIDORA PARA PINTURA EN POLVO (1,25 Kg)</t>
  </si>
  <si>
    <t>INVENTARIO / SACO</t>
  </si>
  <si>
    <t>INVENTARIO / KG</t>
  </si>
  <si>
    <t>CAL HIDRATADA LIQUIDA</t>
  </si>
  <si>
    <t>TALCO INDUSTRIAL</t>
  </si>
  <si>
    <t>CANT.</t>
  </si>
  <si>
    <t>INVENTARIO DE BOLSAS TERMINADAS</t>
  </si>
  <si>
    <t>BOLSAS DE ESTYLOSA - 85 GR</t>
  </si>
  <si>
    <t>BOLSAS DE YESO - 1 KG</t>
  </si>
  <si>
    <t>BOLSAS DE CAL - 1 KG</t>
  </si>
  <si>
    <t>BOLSAS DE CEMENTO BLANCO - 1 KG</t>
  </si>
  <si>
    <t>BOLSAS DE TAPA GRIETA - 0,75 KG</t>
  </si>
  <si>
    <t>BOLSAS DE BASE RENDIDORA - 1,25 KG</t>
  </si>
  <si>
    <t>BOLSAS DE GRAFIADO - 6 KG</t>
  </si>
  <si>
    <t>BOLSAS DE CAL LIQUIDA - 1 GAL</t>
  </si>
  <si>
    <t>INVENTARIO DE MATERIAS PRIMAS</t>
  </si>
  <si>
    <t>INVENTARIO DE PRODUCTO TERMINADO</t>
  </si>
  <si>
    <t>TAPA GRIETA - 0,75KG</t>
  </si>
  <si>
    <t>FORMULACION DE PRODUCTOS TERMINADOS</t>
  </si>
  <si>
    <t>PRODUCTO TERMINADO</t>
  </si>
  <si>
    <t>MATERIAS PRIMAS</t>
  </si>
  <si>
    <t xml:space="preserve">UND. </t>
  </si>
  <si>
    <t>Kg</t>
  </si>
  <si>
    <t>cc</t>
  </si>
  <si>
    <t>IMPERMEABILIZANTE EN POLVO PLUS (120CC + 450Gr)</t>
  </si>
  <si>
    <t>MARCA</t>
  </si>
  <si>
    <t>COLOR</t>
  </si>
  <si>
    <t>CODIGO</t>
  </si>
  <si>
    <t>AZUL</t>
  </si>
  <si>
    <t>BLANCO</t>
  </si>
  <si>
    <t>GRIS</t>
  </si>
  <si>
    <t>ESTANTE DE CRUZ ROJA</t>
  </si>
  <si>
    <t>AESI-CR</t>
  </si>
  <si>
    <t>GUANTES QUIRURGICOS</t>
  </si>
  <si>
    <t>AESI-GQ</t>
  </si>
  <si>
    <t>GASAS</t>
  </si>
  <si>
    <t>AESI-GS</t>
  </si>
  <si>
    <t>BENDAS</t>
  </si>
  <si>
    <t>AESI-BD</t>
  </si>
  <si>
    <t>ADHESIVO</t>
  </si>
  <si>
    <t>AESI-AD</t>
  </si>
  <si>
    <t>AESI-AO</t>
  </si>
  <si>
    <t>AGUA OXIGENADA</t>
  </si>
  <si>
    <t>GERDEX</t>
  </si>
  <si>
    <t>AESI-GX</t>
  </si>
  <si>
    <t>ACETAMINOFEN TABLETAS</t>
  </si>
  <si>
    <t>EASI-AC</t>
  </si>
  <si>
    <t>EASI-IB</t>
  </si>
  <si>
    <t>IBUPROFENO TABLETAS</t>
  </si>
  <si>
    <t>RANITIDINA TABLETAS</t>
  </si>
  <si>
    <t>AESI-RN</t>
  </si>
  <si>
    <t>LORATADINA TABLETAS</t>
  </si>
  <si>
    <t>AESI-LR</t>
  </si>
  <si>
    <t>ANTUX JBE</t>
  </si>
  <si>
    <t>AESI-AX</t>
  </si>
  <si>
    <t>AESI-IY</t>
  </si>
  <si>
    <t>INYECTADORAS ( 3CC- 5CC-20CC)</t>
  </si>
  <si>
    <t>SCALP ADULTO</t>
  </si>
  <si>
    <t>AESI-SC</t>
  </si>
  <si>
    <t>ANALGESICO AMP</t>
  </si>
  <si>
    <t>AESI-AG</t>
  </si>
  <si>
    <t>RANITIDINA AMP</t>
  </si>
  <si>
    <t>EASI-RNA</t>
  </si>
  <si>
    <t>LIDOCAINA 2% AMP</t>
  </si>
  <si>
    <t>SOL 0,9%</t>
  </si>
  <si>
    <t>AESI-SL</t>
  </si>
  <si>
    <t>YODO</t>
  </si>
  <si>
    <t>AESI-YD</t>
  </si>
  <si>
    <t>CROMICO #3</t>
  </si>
  <si>
    <t>EASI-HS</t>
  </si>
  <si>
    <t>EASI-EX</t>
  </si>
  <si>
    <t>EXTINTOR DE POLVO QUIMICO SECO</t>
  </si>
  <si>
    <t>EP-AL-MECL</t>
  </si>
  <si>
    <t>EP-AL-MEL1</t>
  </si>
  <si>
    <t>MAQUINA EMPACADORA DE CHUPIS</t>
  </si>
  <si>
    <t>EP-AP-MEPBP</t>
  </si>
  <si>
    <t>EP-AP-MEPMP</t>
  </si>
  <si>
    <t>EP-AP-MEPAP</t>
  </si>
  <si>
    <t>EP-AM-SAAG</t>
  </si>
  <si>
    <t>EP-AM-EM</t>
  </si>
  <si>
    <t>ESCALERA MOVIL</t>
  </si>
  <si>
    <t>EP-ALS-EEP</t>
  </si>
  <si>
    <t>EP-AL-SO1</t>
  </si>
  <si>
    <t>EP-AL-SO2</t>
  </si>
  <si>
    <t>EP-AL-MSL20</t>
  </si>
  <si>
    <t>EP-AP-MSP50</t>
  </si>
  <si>
    <t>OPERATIVIDAD</t>
  </si>
  <si>
    <t>SI</t>
  </si>
  <si>
    <t>NO</t>
  </si>
  <si>
    <t>MAQUINA SELLADORA DE LIQUIDOS 20cm</t>
  </si>
  <si>
    <t>SILOS PARA ALMACENAMIENTO DE ARENA Y GRAVA</t>
  </si>
  <si>
    <t>PESO DIGITAL (PEQ)</t>
  </si>
  <si>
    <t>EP-AP-PDP</t>
  </si>
  <si>
    <t>EP-AP-MSM</t>
  </si>
  <si>
    <t>MAQUINA SELLADORA MANUAL</t>
  </si>
  <si>
    <t>IMPERMEABILIZANTE EN POLVO  PARA CONCRETO PLUS+ (450g + 120cc)</t>
  </si>
  <si>
    <t>CHS + TAPA GRIETA - SACO 0,75KG</t>
  </si>
  <si>
    <t>CHS+ YESO NACIONAL- SACO 1 KG</t>
  </si>
  <si>
    <t>CHS+ CEMENTO BLANCO NACIONAL- SACO 1KG</t>
  </si>
  <si>
    <t>CHS+ CAL HIDRATADA- SACO 1KG</t>
  </si>
  <si>
    <t>CHS+ BASE RENDIDORA EN POLVO PARA PINTURA DE CAUCHO (1,25 KG )</t>
  </si>
  <si>
    <t>CHS+ MICROFIBRA DE POLIPROPILENO (100gr)</t>
  </si>
  <si>
    <t>CHS+ MACROFIBRA TEREFTALATO DE DIMETILO (100 GR)</t>
  </si>
  <si>
    <t>CHS+ PASTA EN POLVO PLUS-SACO (3KG + 60CC)</t>
  </si>
  <si>
    <t>CHS+ GRAFIADO EN POLVO- SACO 6 KG</t>
  </si>
  <si>
    <t>CHS+ PEGO PREMIUM GRIS - SACO 7 KG</t>
  </si>
  <si>
    <t>CHS+ CAL PREPARADA LIQUIDA (1 GALON)</t>
  </si>
  <si>
    <t>DRAGER X-PLORE 3300</t>
  </si>
  <si>
    <t>HERRAMIENTAS DE PRODUCCION DE OPERADOR</t>
  </si>
  <si>
    <t>HPO-TPP-CH</t>
  </si>
  <si>
    <t>MARTILLO DE GOMA</t>
  </si>
  <si>
    <t>DESTORNILLADOR DE PALETA</t>
  </si>
  <si>
    <t>ESPATULA DE METAL</t>
  </si>
  <si>
    <t>PIQUETA PEQUEÑA</t>
  </si>
  <si>
    <t>ALICATE PEQUEÑO</t>
  </si>
  <si>
    <t>CORTA EXACTO DE PLASTICO</t>
  </si>
  <si>
    <t>BROCHA DE 2"</t>
  </si>
  <si>
    <t>LAPIZ DE COLOR</t>
  </si>
  <si>
    <t xml:space="preserve">LLAVE </t>
  </si>
  <si>
    <t>HPO-CH-CEP</t>
  </si>
  <si>
    <t>HPO-CH-B2</t>
  </si>
  <si>
    <t>HPO-CH-LC</t>
  </si>
  <si>
    <t>HPO-CH-LL</t>
  </si>
  <si>
    <t>HPO-CH-AP</t>
  </si>
  <si>
    <t>HPO-CH-PP</t>
  </si>
  <si>
    <t>HPO-CH-TGM</t>
  </si>
  <si>
    <t>HPO-CH-EM</t>
  </si>
  <si>
    <t>HPO-CH-DP</t>
  </si>
  <si>
    <t>HPO-CH-CC</t>
  </si>
  <si>
    <t>CHS+ PEGO PREMIUM GRIS - SACO 10 KG</t>
  </si>
  <si>
    <t>INGRESOS TOTALES</t>
  </si>
  <si>
    <t>CH</t>
  </si>
  <si>
    <t>CB</t>
  </si>
  <si>
    <t>CG</t>
  </si>
  <si>
    <t>DL</t>
  </si>
  <si>
    <t>IP</t>
  </si>
  <si>
    <t>EH</t>
  </si>
  <si>
    <t>PK</t>
  </si>
  <si>
    <t>YN</t>
  </si>
  <si>
    <t>MT</t>
  </si>
  <si>
    <t>MP</t>
  </si>
  <si>
    <t>PM</t>
  </si>
  <si>
    <t>SP</t>
  </si>
  <si>
    <t>BOLSAS DE MEZCLILLA- 7KG</t>
  </si>
  <si>
    <t>Lt</t>
  </si>
  <si>
    <t>CHS-PEGA PLUSS - 15KG</t>
  </si>
  <si>
    <t>PEGA PLUS 15KG</t>
  </si>
  <si>
    <t>INGRESO</t>
  </si>
  <si>
    <t>EGRESO</t>
  </si>
  <si>
    <t>PPL15</t>
  </si>
  <si>
    <t>POLVILLO DE PIEDRA (Kg)</t>
  </si>
  <si>
    <t>PIEDRA PICADA FINA (Kg)</t>
  </si>
  <si>
    <t>PL</t>
  </si>
  <si>
    <t>PF</t>
  </si>
  <si>
    <t>EP-AP-SAP</t>
  </si>
  <si>
    <t>MAQUINA CERNIDORA</t>
  </si>
  <si>
    <t>EP-AM-TMP</t>
  </si>
  <si>
    <t>EP-AM-TMG</t>
  </si>
  <si>
    <t>EP-AA-BAP</t>
  </si>
  <si>
    <t>BALANZA DE ALTO PESO DIGITAL</t>
  </si>
  <si>
    <t>CHS-CONCRE-PLUS - 15 KG</t>
  </si>
  <si>
    <t>ARENA</t>
  </si>
  <si>
    <t>Diseño de dosificaciones para CONCRETOS</t>
  </si>
  <si>
    <t>RESISTENCIA (Kg/cm2)</t>
  </si>
  <si>
    <t>1;2;2</t>
  </si>
  <si>
    <t>1;2;3</t>
  </si>
  <si>
    <t>1;2;3.5</t>
  </si>
  <si>
    <t>1;2;2.5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</si>
  <si>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</si>
  <si>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</si>
  <si>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</si>
  <si>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</si>
  <si>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</si>
  <si>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</si>
  <si>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</si>
  <si>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</si>
  <si>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</si>
  <si>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CEMENTO-ARENA-PIEDRA</t>
  </si>
  <si>
    <t>Diseño de dosificaciones para MORTEROS</t>
  </si>
  <si>
    <t>1;2</t>
  </si>
  <si>
    <t>1;5</t>
  </si>
  <si>
    <t>1;6</t>
  </si>
  <si>
    <t>1;7</t>
  </si>
  <si>
    <t>CEMENTO-ARENA-CAL</t>
  </si>
  <si>
    <t>1;4   Ó  1;4;0,5</t>
  </si>
  <si>
    <t>1;3  Ó   1;3;0,5</t>
  </si>
  <si>
    <t>CEM</t>
  </si>
  <si>
    <t xml:space="preserve"> CHS-CONCRE-PLUS - 15 KG</t>
  </si>
  <si>
    <t>CHS+ PEGO PREMIUM GRIS - SACO 15 KG</t>
  </si>
  <si>
    <t>CONCRE PLUS 15KG</t>
  </si>
  <si>
    <t>CHS-STYLOSA BLANCA TIPO "A". 50gr</t>
  </si>
  <si>
    <t>CHS+ GRAFIADO EN POLVO- SACO 15 KG</t>
  </si>
  <si>
    <t>BOLSAS DE GRAFIADO 15KG</t>
  </si>
  <si>
    <t>BOLSAS DE PASTA 8KG</t>
  </si>
  <si>
    <t>CHS+ PASTA EN POLVO PLUS-SACO (8KG + 120CC)</t>
  </si>
  <si>
    <t>MICRO POLVO (Kg)</t>
  </si>
  <si>
    <t>CHS+ PINTURA IMPERMEABLE (10KG)</t>
  </si>
  <si>
    <t>BOLSAS DE PINTURA IMPERMEABLE EN POLVO 10 KG</t>
  </si>
  <si>
    <t>PINTURA IMPERMEABLE PARA CONCRETOS (10KG)</t>
  </si>
  <si>
    <t xml:space="preserve">PASTA EN POLVO PLUS </t>
  </si>
  <si>
    <t>CANT. LOTE.</t>
  </si>
  <si>
    <t>100 Und</t>
  </si>
  <si>
    <t>MEZCLILLA  PREMIUM</t>
  </si>
  <si>
    <t xml:space="preserve">PEGO BLANCO PREMIUM </t>
  </si>
  <si>
    <t>STYLOSA BLANCA TIPO "A" (50 Gr)</t>
  </si>
  <si>
    <t>15KG=</t>
  </si>
  <si>
    <t>7KG=</t>
  </si>
  <si>
    <t>10KG=</t>
  </si>
  <si>
    <t>85Gr=</t>
  </si>
  <si>
    <t>50Gr=</t>
  </si>
  <si>
    <t>1,25KG=</t>
  </si>
  <si>
    <t>1KG=</t>
  </si>
  <si>
    <t>5KG=</t>
  </si>
  <si>
    <t>0,45KG=</t>
  </si>
  <si>
    <t>MA</t>
  </si>
  <si>
    <t>TROMPO</t>
  </si>
  <si>
    <t>CHS+ESTUCO GRIS (12KG)</t>
  </si>
  <si>
    <t>BOLSAS ESTUCO GRIS 12KG</t>
  </si>
  <si>
    <t>MICRO-ARENA (Kg)</t>
  </si>
  <si>
    <t>ESTUCO GRIS (12KG)</t>
  </si>
  <si>
    <t>12KG=</t>
  </si>
  <si>
    <t>CBP</t>
  </si>
  <si>
    <t>CEMENTO BLANCO PREPARADO (Kg)</t>
  </si>
  <si>
    <t>PEGO PREMIUM  GRIS</t>
  </si>
  <si>
    <t>CEMENTO BLANCO PREPARADO  1KG</t>
  </si>
  <si>
    <t>PP8</t>
  </si>
  <si>
    <t>EG12</t>
  </si>
  <si>
    <t>PIP10</t>
  </si>
  <si>
    <t>BOLSAS DE PEGO GRIS- 15KG</t>
  </si>
  <si>
    <t>BOLSAS DE PEGO GRIS - 7 KG</t>
  </si>
  <si>
    <t>BOLSAS DE PEGO GRIS- 10KG</t>
  </si>
  <si>
    <t>1,5KG=</t>
  </si>
  <si>
    <t>SB50</t>
  </si>
  <si>
    <t>DICIEMBRE, 2021</t>
  </si>
  <si>
    <t>SB</t>
  </si>
  <si>
    <t>ESTILOSA BLANCA (kg)</t>
  </si>
  <si>
    <t>GV</t>
  </si>
  <si>
    <t>SUPER PLASTIFICANTE (Kg)</t>
  </si>
  <si>
    <t>EH85</t>
  </si>
  <si>
    <t>IP450</t>
  </si>
  <si>
    <t>TG750</t>
  </si>
  <si>
    <t>CB1</t>
  </si>
  <si>
    <t>YN1</t>
  </si>
  <si>
    <t>CH1</t>
  </si>
  <si>
    <t>BR1,25</t>
  </si>
  <si>
    <t>MT100</t>
  </si>
  <si>
    <t>MP100</t>
  </si>
  <si>
    <t>PP3</t>
  </si>
  <si>
    <t>GP6</t>
  </si>
  <si>
    <t>PP7</t>
  </si>
  <si>
    <t>PP10</t>
  </si>
  <si>
    <t>CP15</t>
  </si>
  <si>
    <t>PP15</t>
  </si>
  <si>
    <t>GP15</t>
  </si>
  <si>
    <t>PPB15</t>
  </si>
  <si>
    <t>ADITIVOS E IMPERMEABILIZANTES para Concretos y Morteros</t>
  </si>
  <si>
    <t>BOLSAS FIBRA (MACRO Y MICRO) 1Kg</t>
  </si>
  <si>
    <t>BOLSAS DE IMPERMEABILIZANTE PLUS 450grs+120cc</t>
  </si>
  <si>
    <t>ACABADOS SUPERFICIALES para Paredes y Techos</t>
  </si>
  <si>
    <t>OTROS PRODUCTOS:</t>
  </si>
  <si>
    <t>1.2</t>
  </si>
  <si>
    <t>1.3</t>
  </si>
  <si>
    <t>1.1</t>
  </si>
  <si>
    <t>1.4</t>
  </si>
  <si>
    <t>3.3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</si>
  <si>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</si>
  <si>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</si>
  <si>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</si>
  <si>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</si>
  <si>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</si>
  <si>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</si>
  <si>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</si>
  <si>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</si>
  <si>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</si>
  <si>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</si>
  <si>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</si>
  <si>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3.4</t>
  </si>
  <si>
    <t>3.5</t>
  </si>
  <si>
    <t>3.6</t>
  </si>
  <si>
    <t>4.1</t>
  </si>
  <si>
    <t>MORTEROS Y CONCRETOS para la Construcción</t>
  </si>
  <si>
    <t>CHS+ CEMENTO BLANCO NACIONAL- SACO 4,5KG</t>
  </si>
  <si>
    <t>CB4,5</t>
  </si>
  <si>
    <t>CHS+ PEGO PREMIUM BLANCO - SACO 15 KG</t>
  </si>
  <si>
    <t>BOLSAS DE PEGO BLANCO- 15KG</t>
  </si>
  <si>
    <t>3.7</t>
  </si>
  <si>
    <t>CHS+ MEZCLILLA - SACO 7 KG</t>
  </si>
  <si>
    <t>MZ7</t>
  </si>
  <si>
    <t>VIENE DE:</t>
  </si>
  <si>
    <t>4.2</t>
  </si>
  <si>
    <t>4.3</t>
  </si>
  <si>
    <t>4.4</t>
  </si>
  <si>
    <t>4.5</t>
  </si>
  <si>
    <t>MARACAIBO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</si>
  <si>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</si>
  <si>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</si>
  <si>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</si>
  <si>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</si>
  <si>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</si>
  <si>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</si>
  <si>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</si>
  <si>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</si>
  <si>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</si>
  <si>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</si>
  <si>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</si>
  <si>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</si>
  <si>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>PP8-</t>
    </r>
    <r>
      <rPr>
        <sz val="10"/>
        <color theme="1"/>
        <rFont val="Calibri"/>
        <family val="2"/>
        <scheme val="minor"/>
      </rPr>
      <t>8KG=</t>
    </r>
  </si>
  <si>
    <t>KG/TROMPO</t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</si>
  <si>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</si>
  <si>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</si>
  <si>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</si>
  <si>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</si>
  <si>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</si>
  <si>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</si>
  <si>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</si>
  <si>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</si>
  <si>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</si>
  <si>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</si>
  <si>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t>IMPERMEABILIZANTE EN POLVO preparado (sika 101 mortero- Sealco100) (Kg)</t>
  </si>
  <si>
    <t>TIERRA ROJA (Kg)</t>
  </si>
  <si>
    <t>TR</t>
  </si>
  <si>
    <t>Mostrario</t>
  </si>
  <si>
    <t>CANT. CUÑETES</t>
  </si>
  <si>
    <t>NRO.</t>
  </si>
  <si>
    <t>PESOS DE SILOS DE MATERIA PRIMA</t>
  </si>
  <si>
    <t>PESO (KG)</t>
  </si>
  <si>
    <t>SILO#1: MICRO POLVO</t>
  </si>
  <si>
    <t>PESO(KG)/CUÑETE</t>
  </si>
  <si>
    <t>SILO#2: POLVILLO</t>
  </si>
  <si>
    <t>SILO#3: TIERRA ROJA</t>
  </si>
  <si>
    <t>SILO#4: PIEDRA FINA</t>
  </si>
  <si>
    <r>
      <rPr>
        <b/>
        <sz val="11"/>
        <color rgb="FFFF0000"/>
        <rFont val="Calibri"/>
        <family val="2"/>
        <scheme val="minor"/>
      </rPr>
      <t>NOTA:</t>
    </r>
    <r>
      <rPr>
        <sz val="11"/>
        <rFont val="Calibri"/>
        <family val="2"/>
        <scheme val="minor"/>
      </rPr>
      <t xml:space="preserve"> un anillo de pipa avarca un volumen de 4 cuñetes </t>
    </r>
  </si>
  <si>
    <t>MOSTRARIOS</t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</si>
  <si>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</si>
  <si>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</si>
  <si>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</si>
  <si>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</si>
  <si>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</si>
  <si>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</si>
  <si>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</si>
  <si>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</si>
  <si>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</si>
  <si>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</si>
  <si>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</si>
  <si>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</si>
  <si>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</si>
  <si>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</si>
  <si>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</si>
  <si>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</si>
  <si>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</si>
  <si>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</si>
  <si>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</si>
  <si>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</si>
  <si>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</si>
  <si>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</si>
  <si>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</si>
  <si>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</si>
  <si>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</si>
  <si>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</si>
  <si>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</si>
  <si>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</si>
  <si>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</si>
  <si>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</si>
  <si>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SILO#8: MICRO ARENA</t>
  </si>
  <si>
    <t>SILO#9: GRAVA ROJA NRO 0</t>
  </si>
  <si>
    <t>SILO#5: GRAVA ROJA NRO 0</t>
  </si>
  <si>
    <t>SILO#6: DOLOMITA</t>
  </si>
  <si>
    <t>SILO#7: CEMENTO GRIS</t>
  </si>
  <si>
    <t>LIGHT FLEX</t>
  </si>
  <si>
    <t>TOTAL</t>
  </si>
  <si>
    <t>TRUPER</t>
  </si>
  <si>
    <t>CHS+</t>
  </si>
  <si>
    <t xml:space="preserve">ROJO </t>
  </si>
  <si>
    <t>CLP1</t>
  </si>
  <si>
    <t xml:space="preserve">ELEVADOR CANGLION </t>
  </si>
  <si>
    <t xml:space="preserve">MEZCLADORA </t>
  </si>
  <si>
    <t>EP-APT</t>
  </si>
  <si>
    <t>CARRETILLAS</t>
  </si>
  <si>
    <t>ALMACENAMIENTO DE MATERIAS PRIMAS SILO 1</t>
  </si>
  <si>
    <t>ALMACENAMIENTO DE MATERIAS PRIMAS SILO 2</t>
  </si>
  <si>
    <t>ALMACENAMIENTO DE MATERIAS PRIMAS SILO 3</t>
  </si>
  <si>
    <t>ALMACENAMIENTO DE MATERIAS PRIMAS SILO 4/5</t>
  </si>
  <si>
    <t>ALMACENAMIENTO DE MATERIAS PRIMAS SILO 6/7</t>
  </si>
  <si>
    <t xml:space="preserve">MESA DE TALLER </t>
  </si>
  <si>
    <t>SELLADORA AUXILIAR</t>
  </si>
  <si>
    <t>ESCALERA</t>
  </si>
  <si>
    <r>
      <rPr>
        <b/>
        <sz val="11"/>
        <color theme="1"/>
        <rFont val="Calibri"/>
        <family val="2"/>
        <scheme val="minor"/>
      </rPr>
      <t>ALMACEN DE PRODUCTOS TERMINADOS</t>
    </r>
    <r>
      <rPr>
        <sz val="11"/>
        <color theme="1"/>
        <rFont val="Calibri"/>
        <family val="2"/>
        <scheme val="minor"/>
      </rPr>
      <t xml:space="preserve"> </t>
    </r>
  </si>
  <si>
    <t>PIPA DE ALMACEN DE PRODUCTOS TERMINADOS1</t>
  </si>
  <si>
    <t>PIPA DE ALMACEN DE PRODUCTOS TERMINADOS2</t>
  </si>
  <si>
    <t xml:space="preserve">ESTANTE DE ALMACEN DE PRODUCTOS TERMINADOS </t>
  </si>
  <si>
    <t xml:space="preserve">CESTAS PLASTICAS DE ALMACEN </t>
  </si>
  <si>
    <t>MOLINO 1</t>
  </si>
  <si>
    <t>MOLINO 2</t>
  </si>
  <si>
    <t>INVENTARIO DE CRUZ ROJA</t>
  </si>
  <si>
    <t>CONDICION</t>
  </si>
  <si>
    <t>INVENTARIO DE HERRAMIENTAS Y EQUIPOS DE PRODUCCION</t>
  </si>
  <si>
    <t>PALETAS DE MADERA</t>
  </si>
  <si>
    <t>CARRUCHAS DOS RUEDAS DE GOMAS</t>
  </si>
  <si>
    <t>PALAS</t>
  </si>
  <si>
    <t>BRAGA DE TELA</t>
  </si>
  <si>
    <t xml:space="preserve">PROTECTORES AUDITIVOS </t>
  </si>
  <si>
    <t xml:space="preserve">DELANTALES DE TELA </t>
  </si>
  <si>
    <t>TAPABOCAS NEGROS</t>
  </si>
  <si>
    <t>PERSONNA</t>
  </si>
  <si>
    <t>PROLIFE</t>
  </si>
  <si>
    <t>MORADO</t>
  </si>
  <si>
    <t>VERDE</t>
  </si>
  <si>
    <t>TRANSPARENTES</t>
  </si>
  <si>
    <t>NEGRO</t>
  </si>
  <si>
    <t>VERDE / AMARRILLO</t>
  </si>
  <si>
    <t>MARRONES</t>
  </si>
  <si>
    <t xml:space="preserve">INVENTARIO DE ALMACEN DE EQUIPOS DE SEGURIDAD INDUSTRIAL EN PLANTA </t>
  </si>
  <si>
    <t xml:space="preserve">DELANTALES DE TELA  </t>
  </si>
  <si>
    <t>TAPABOCAS CHS+</t>
  </si>
  <si>
    <t>AESIP-B-BT</t>
  </si>
  <si>
    <t>AESIP-C-LS</t>
  </si>
  <si>
    <t>AESIP-C-PA</t>
  </si>
  <si>
    <t>AESIP-C-TN</t>
  </si>
  <si>
    <t>AESIP-D-DT</t>
  </si>
  <si>
    <t>AESIP-D-GT</t>
  </si>
  <si>
    <t>IPEESI-DT</t>
  </si>
  <si>
    <t>IPEESI-MA</t>
  </si>
  <si>
    <t>IPEESI-TN</t>
  </si>
  <si>
    <t>IPEESI-GT</t>
  </si>
  <si>
    <t>IPEESI-BS</t>
  </si>
  <si>
    <t>IPEESI-LS</t>
  </si>
  <si>
    <t>IPEESI-PA</t>
  </si>
  <si>
    <t xml:space="preserve">TOTAL </t>
  </si>
  <si>
    <t>NOTA: CODIGO= XXX-XX   =INVENTARIO EN PLANTA ENTREGADOS DE EQUIPOS DE SEGURIDAD INDUSTRIAL-EQUIPO (CASCOS C)</t>
  </si>
  <si>
    <t>INVENTARIO DE HERRAMIENTAS DE PLANTA</t>
  </si>
  <si>
    <t xml:space="preserve">MAQUINA EMPACADORA DEL CAL LIQUIDA </t>
  </si>
  <si>
    <t xml:space="preserve">MAQUINA EMPACADORA DE LIQUIDOS </t>
  </si>
  <si>
    <t xml:space="preserve">MAQUINA EMPACADORA DE SUPER PLASTIFICANTE </t>
  </si>
  <si>
    <t xml:space="preserve">MAQUINA EMPACADORA DE POLVO DE BAJO PESO </t>
  </si>
  <si>
    <t>MAQUINA EMPACADORA DE POLVO MEDIANO PESO</t>
  </si>
  <si>
    <t xml:space="preserve">MAQUINA EMPACADORA DE POLVO DE ALTO PESO </t>
  </si>
  <si>
    <t xml:space="preserve">MAQUINA SELLADORA DEL POLVO 50cm </t>
  </si>
  <si>
    <t xml:space="preserve">TROMPO MEZCLADOR PEQUEÑO </t>
  </si>
  <si>
    <t xml:space="preserve">TROMPO MEZCLADOR GRANDE </t>
  </si>
  <si>
    <t>ESCRITORIO DE PASAJE Y EMBAJE</t>
  </si>
  <si>
    <t>SILLA OPERADOR 1</t>
  </si>
  <si>
    <t>SILLA OPERADOR 3</t>
  </si>
  <si>
    <t>SILLA OPERADOR 2</t>
  </si>
  <si>
    <t xml:space="preserve">SILO PORTATIL DE ALMACENAMIENTO </t>
  </si>
  <si>
    <t>EP-AL-MECH</t>
  </si>
  <si>
    <t xml:space="preserve"> EP-AP-MSM</t>
  </si>
  <si>
    <t>EP-AM-MC</t>
  </si>
  <si>
    <t>EP-AL-SO3</t>
  </si>
  <si>
    <t>LOCKER GRANDE</t>
  </si>
  <si>
    <t>LOCKER 1</t>
  </si>
  <si>
    <t>LOCKER 2</t>
  </si>
  <si>
    <t>AESIP-A-CS</t>
  </si>
  <si>
    <t>CASCO DE SEGURIDAD</t>
  </si>
  <si>
    <t xml:space="preserve">VERDE </t>
  </si>
  <si>
    <t>BRAGA DESECHABLE</t>
  </si>
  <si>
    <t>NUEVO 100%</t>
  </si>
  <si>
    <t>NOTA: CODIGO= XXXXX-X-XX = ALMACEN DE EQUIPO DE SEGURIDAD INDUSTRIAL - UBICACIÓN (A,B,C Y D...) - EQUIPO (LENTES DE SEGURIDAD)</t>
  </si>
  <si>
    <t>AESIP-B-CL</t>
  </si>
  <si>
    <t>CAMISA MANGA LARGA</t>
  </si>
  <si>
    <t>AESIP-C-MA</t>
  </si>
  <si>
    <t>NUEVOS 100%</t>
  </si>
  <si>
    <t>AESIP-D-CM</t>
  </si>
  <si>
    <t>NEGRO/AZUL/VERDE</t>
  </si>
  <si>
    <t>PRETUL</t>
  </si>
  <si>
    <t>CARTUCHO DE MASCARILLA ANTI-POLVO</t>
  </si>
  <si>
    <t>SAGA</t>
  </si>
  <si>
    <t>M3</t>
  </si>
  <si>
    <t>AESIP-C-BS</t>
  </si>
  <si>
    <t>INVENTARIO EN PLANTA ENTREGADOS, EQUIPOS DE SEGURIDAD INDUSTRIAL</t>
  </si>
  <si>
    <t>IPEESI-CS</t>
  </si>
  <si>
    <t>AESIP-D-CC</t>
  </si>
  <si>
    <t>IPEESI-CL</t>
  </si>
  <si>
    <t>CAMISAS MANGA LARGA</t>
  </si>
  <si>
    <t>IPEESI-TC</t>
  </si>
  <si>
    <t>AESIP-D-TC</t>
  </si>
  <si>
    <t>USADOS 50%</t>
  </si>
  <si>
    <t>USADO 75%</t>
  </si>
  <si>
    <t>VERDE/AMARRILLO</t>
  </si>
  <si>
    <t>GUANTES PVC</t>
  </si>
  <si>
    <t>IPEESI-GP</t>
  </si>
  <si>
    <t>ROJO</t>
  </si>
  <si>
    <t>USADOS 75%</t>
  </si>
  <si>
    <t>PVC</t>
  </si>
  <si>
    <t>AESIP-B-BD</t>
  </si>
  <si>
    <t>MASCARILLA ANTIPOLVO CON 1(UN) FILTRO</t>
  </si>
  <si>
    <t>GENERICA</t>
  </si>
  <si>
    <t>USADO 70%</t>
  </si>
  <si>
    <t>LENTES DE SEGURIDAD - MONOLENTES</t>
  </si>
  <si>
    <t>BOTAS DE SEGURIDAD  - TALLA 39</t>
  </si>
  <si>
    <t>MEMBRANAS DE GOMA ESPUMA PARA FITROS DE POLVO UND.</t>
  </si>
  <si>
    <t>MEMBRANAS DE FELPUDO COMPRIMIDO PARA FITROS DE POLVO UND.</t>
  </si>
  <si>
    <t>AESIP-D-MG</t>
  </si>
  <si>
    <t>AESIP-D-MF</t>
  </si>
  <si>
    <t>GUANTES DE TELA CON LATEX</t>
  </si>
  <si>
    <t>FRANELA CHS+ TALLA "S"</t>
  </si>
  <si>
    <t>MASCARILLA ANTIPOLVO CON 2(DOS) FILTRO</t>
  </si>
  <si>
    <t>FRANELAS CHS+</t>
  </si>
  <si>
    <t>GUANTES DE TELA - LATEX</t>
  </si>
  <si>
    <t>GENERICO</t>
  </si>
  <si>
    <t>HEP-AME</t>
  </si>
  <si>
    <t>HEP-ABT-LG</t>
  </si>
  <si>
    <t>HEP-ABT</t>
  </si>
  <si>
    <t>HEP-ABT-L1</t>
  </si>
  <si>
    <t>HEP-ABT-L2</t>
  </si>
  <si>
    <t>HEP-APT-PA1</t>
  </si>
  <si>
    <t>HEP-APT-PA2</t>
  </si>
  <si>
    <t>HEP-APT-EA</t>
  </si>
  <si>
    <t>HEP-APT-CP</t>
  </si>
  <si>
    <t>HEP-APT-PM</t>
  </si>
  <si>
    <t>PIPA DE AREA DE DOSIFICACION SACOS</t>
  </si>
  <si>
    <t>PIPA DE AREA DE DOSIFICACION 1 GRAVA</t>
  </si>
  <si>
    <t>HPO-CH-</t>
  </si>
  <si>
    <t>HPO-CH-MG</t>
  </si>
  <si>
    <t>HPO-CH-DE</t>
  </si>
  <si>
    <t xml:space="preserve">CAJA DE HERRAMIENTAS CON SEGURO METALICO </t>
  </si>
  <si>
    <t xml:space="preserve">CABEZAL DE CEPILLO </t>
  </si>
  <si>
    <t>DESTORNILLADOR ESTRIAS</t>
  </si>
  <si>
    <t xml:space="preserve">TIJERA GANDE DE METAL </t>
  </si>
  <si>
    <t xml:space="preserve">CASCOS DE SEGURIDAD </t>
  </si>
  <si>
    <t>CASCOS DE SEGURIDAD TOTAL</t>
  </si>
  <si>
    <t>USADO 80%</t>
  </si>
  <si>
    <t>USADOS 80%</t>
  </si>
  <si>
    <t>IPEESI-FC</t>
  </si>
  <si>
    <t>BOTAS DE SEGURIDAD TALLA "40,41,44"</t>
  </si>
  <si>
    <t>TUMA</t>
  </si>
  <si>
    <t>1. AREA DE ALMACEN DE MATERIAS PRIMAS</t>
  </si>
  <si>
    <t>DATO: XXX-XXX-XX CODIGO= HERRAMIENTAS Y EQUIPOS DE PRODUCCION-UBICACIÓN (AREA)-HERRAMIENTA Ò EQUIPO</t>
  </si>
  <si>
    <t>HEP-AMP</t>
  </si>
  <si>
    <t>1.1  AREA DE ALMACEN DE MATERIAS PRIMAS EN SACOS</t>
  </si>
  <si>
    <t>PALETAS DE MADERAS</t>
  </si>
  <si>
    <t xml:space="preserve">SI </t>
  </si>
  <si>
    <t>HEP-AMPS-PM</t>
  </si>
  <si>
    <t>HEP-AMPS-AE</t>
  </si>
  <si>
    <t xml:space="preserve">ALMACEN DE ESTILOSA </t>
  </si>
  <si>
    <t>CESTAS PLASTICAS</t>
  </si>
  <si>
    <t>HEP-AMPS-CP</t>
  </si>
  <si>
    <t xml:space="preserve">EQUIPO CERNIDOR DE MATERIAS PRIMAS </t>
  </si>
  <si>
    <t>HEP-AMPS-CT</t>
  </si>
  <si>
    <t>HEP-AMPS-CD</t>
  </si>
  <si>
    <t>HEP-AMPS-P</t>
  </si>
  <si>
    <t>HEP-AMPS-EC</t>
  </si>
  <si>
    <t>HEP-AMP-EC</t>
  </si>
  <si>
    <t>HEP-AMP-PD1</t>
  </si>
  <si>
    <t>HEP-AMP-PD2</t>
  </si>
  <si>
    <t>HEP-AMP-M1</t>
  </si>
  <si>
    <t>HEP-AMP-M2</t>
  </si>
  <si>
    <t>HEP-AMPS-CM</t>
  </si>
  <si>
    <t>CESTAS PLASTICAS DE MATERIAS PRIMAS</t>
  </si>
  <si>
    <t>HEP-AMPS-MP1</t>
  </si>
  <si>
    <t>HEP-AMPS-MP2</t>
  </si>
  <si>
    <t>HEP-AMPS-MP3</t>
  </si>
  <si>
    <t>HEP-AMPS-MP4/5</t>
  </si>
  <si>
    <t>HEP-AMPS-MP6/7</t>
  </si>
  <si>
    <t>HEP-AMP-CM</t>
  </si>
  <si>
    <t>CERNIDORA  MEDIANA</t>
  </si>
  <si>
    <t>HEP-AMPSL</t>
  </si>
  <si>
    <t>HEP-ATH</t>
  </si>
  <si>
    <t>HEP-ATH-MT</t>
  </si>
  <si>
    <t>HEP-ATH-CH</t>
  </si>
  <si>
    <t>HEP-ATH-CP</t>
  </si>
  <si>
    <t>HEP-ATH-MG</t>
  </si>
  <si>
    <t>HEP-ATH-DP</t>
  </si>
  <si>
    <t>HEP-ATH-DE</t>
  </si>
  <si>
    <t>HEP-ATH-EM</t>
  </si>
  <si>
    <t>HEP-ATH-TG</t>
  </si>
  <si>
    <t>HEP-ATH-PP</t>
  </si>
  <si>
    <t>HEP-ATH-AP</t>
  </si>
  <si>
    <t>HEP-ATH-CE</t>
  </si>
  <si>
    <t>HEP-ATH-B2</t>
  </si>
  <si>
    <t>HEP-ATH-LC</t>
  </si>
  <si>
    <t>HEP-ATH-LL</t>
  </si>
  <si>
    <t>BANQUITO</t>
  </si>
  <si>
    <t>EMPACADORA A ALTO PESO-POLVO</t>
  </si>
  <si>
    <t>EMPACADORA BAJO PESO-POLVO</t>
  </si>
  <si>
    <t>EMPACADORA MEDIANO PESO-POLVO</t>
  </si>
  <si>
    <t>EMPACADORA LIQUIDOS</t>
  </si>
  <si>
    <t>HEP-AME-MZ</t>
  </si>
  <si>
    <t>HEP-AME-EA</t>
  </si>
  <si>
    <t>HEP-AME-SA</t>
  </si>
  <si>
    <t>HEP-AME-ES</t>
  </si>
  <si>
    <t>HEP-AME-MA</t>
  </si>
  <si>
    <t>MESA DE AREA MEZCLADO Y EMPAQUE</t>
  </si>
  <si>
    <t>HEP-AME-BQ</t>
  </si>
  <si>
    <t>HEP-AME-EM</t>
  </si>
  <si>
    <t>HEP-AME-EB</t>
  </si>
  <si>
    <t>HEP-AME-EL</t>
  </si>
  <si>
    <t>HEP-ALLP-</t>
  </si>
  <si>
    <t>MESA DE AREA DE LLENADO DE PLASTIFICANTE</t>
  </si>
  <si>
    <t xml:space="preserve">CESTAS PLASTICAS DE ALMACEN DE BOLSAS TERMINADAS </t>
  </si>
  <si>
    <t>HEP-ABT-CB</t>
  </si>
  <si>
    <t>SELLADORA PEQUEÑA (GENERAL)</t>
  </si>
  <si>
    <t>PESO PEQUEÑO (GENERAL)</t>
  </si>
  <si>
    <t>HEP-ALLP-SP</t>
  </si>
  <si>
    <t>HEP-ALLP-CP</t>
  </si>
  <si>
    <t>HEP-ALLP-MP</t>
  </si>
  <si>
    <t>HEP-ALLP-MP6</t>
  </si>
  <si>
    <t>HEP-ALLP-EM</t>
  </si>
  <si>
    <t>HEP-ALLP-PP</t>
  </si>
  <si>
    <t>HEP-ALLP- EG</t>
  </si>
  <si>
    <t>EMBUDO DE MILILITROS (GENERAL)</t>
  </si>
  <si>
    <t>MEDIDA DE PLASTIFICANTE 60CC (GENERAL)</t>
  </si>
  <si>
    <t>MEDIDA DE PLASTIFICANTE 120CC (GENERAL)</t>
  </si>
  <si>
    <t>COLADOR PEQUEÑO (GENERAL)</t>
  </si>
  <si>
    <t>EMBUDO GRANDE (GENERAL)</t>
  </si>
  <si>
    <t>1.2AREA DE ALMACEN DE MATERIAS PRIMAS EN SILOS</t>
  </si>
  <si>
    <t xml:space="preserve">2. AREA DE TALLER Y HERRAMIENTAS </t>
  </si>
  <si>
    <t xml:space="preserve">3. AREA DE MEZCLADO Y EMPAQUE </t>
  </si>
  <si>
    <t>4. AREA DE LLENADO DE PLASTIFICANTE EN BOLSAS</t>
  </si>
  <si>
    <t>5. ALMACEN DE BOLSAS TERMINADAS</t>
  </si>
  <si>
    <t>PRUEBA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</si>
</sst>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 * #,##0.00_ ;_ * \-#,##0.00_ ;_ * &quot;-&quot;??_ ;_ @_ "/>
    <numFmt numFmtId="165" formatCode="_(* #,##0.00_);_(* \(#,##0.00\);_(* &quot;-&quot;??_);_(@_)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465">
    <xf numFmtId="0" fontId="0" fillId="0" borderId="0" xfId="0"/>
    <xf numFmtId="164" fontId="0" fillId="0" borderId="0" xfId="1" applyFont="1"/>
    <xf numFmtId="0" fontId="2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164" fontId="2" fillId="0" borderId="1" xfId="1" applyFont="1" applyBorder="1" applyAlignment="1">
      <alignment vertical="top"/>
    </xf>
    <xf numFmtId="164" fontId="0" fillId="2" borderId="1" xfId="1" applyFont="1" applyFill="1" applyBorder="1" applyAlignment="1">
      <alignment vertical="top"/>
    </xf>
    <xf numFmtId="164" fontId="3" fillId="4" borderId="1" xfId="1" applyFont="1" applyFill="1" applyBorder="1" applyAlignment="1">
      <alignment vertical="top"/>
    </xf>
    <xf numFmtId="164" fontId="0" fillId="0" borderId="0" xfId="0" applyNumberFormat="1"/>
    <xf numFmtId="0" fontId="0" fillId="5" borderId="0" xfId="0" applyFill="1"/>
    <xf numFmtId="0" fontId="4" fillId="3" borderId="0" xfId="0" applyFont="1" applyFill="1" applyAlignment="1">
      <alignment vertical="center"/>
    </xf>
    <xf numFmtId="164" fontId="2" fillId="0" borderId="2" xfId="1" applyFont="1" applyBorder="1" applyAlignment="1">
      <alignment vertical="top"/>
    </xf>
    <xf numFmtId="0" fontId="3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7" borderId="9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/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3" xfId="0" applyBorder="1"/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/>
    <xf numFmtId="0" fontId="0" fillId="0" borderId="3" xfId="0" applyFill="1" applyBorder="1" applyAlignment="1">
      <alignment horizontal="center" vertical="center"/>
    </xf>
    <xf numFmtId="0" fontId="0" fillId="0" borderId="23" xfId="0" applyFill="1" applyBorder="1"/>
    <xf numFmtId="0" fontId="0" fillId="0" borderId="24" xfId="0" applyBorder="1"/>
    <xf numFmtId="0" fontId="0" fillId="0" borderId="31" xfId="0" applyFont="1" applyBorder="1" applyAlignment="1">
      <alignment horizontal="center" vertical="center"/>
    </xf>
    <xf numFmtId="0" fontId="0" fillId="0" borderId="20" xfId="0" applyBorder="1"/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7" xfId="0" applyBorder="1"/>
    <xf numFmtId="0" fontId="0" fillId="0" borderId="36" xfId="0" applyFont="1" applyBorder="1" applyAlignment="1">
      <alignment horizontal="center" vertical="center"/>
    </xf>
    <xf numFmtId="0" fontId="2" fillId="3" borderId="0" xfId="0" applyFont="1" applyFill="1" applyBorder="1" applyAlignment="1">
      <alignment vertical="top"/>
    </xf>
    <xf numFmtId="164" fontId="3" fillId="4" borderId="0" xfId="1" applyFont="1" applyFill="1" applyBorder="1" applyAlignment="1">
      <alignment vertical="top"/>
    </xf>
    <xf numFmtId="164" fontId="2" fillId="0" borderId="0" xfId="1" applyFont="1" applyBorder="1" applyAlignment="1">
      <alignment vertical="top"/>
    </xf>
    <xf numFmtId="0" fontId="3" fillId="6" borderId="41" xfId="0" applyFont="1" applyFill="1" applyBorder="1" applyAlignment="1">
      <alignment horizontal="center" wrapText="1"/>
    </xf>
    <xf numFmtId="164" fontId="3" fillId="9" borderId="1" xfId="1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/>
    </xf>
    <xf numFmtId="164" fontId="2" fillId="0" borderId="1" xfId="1" applyFont="1" applyFill="1" applyBorder="1" applyAlignment="1">
      <alignment vertical="top"/>
    </xf>
    <xf numFmtId="0" fontId="2" fillId="3" borderId="1" xfId="0" applyFont="1" applyFill="1" applyBorder="1"/>
    <xf numFmtId="14" fontId="0" fillId="0" borderId="0" xfId="0" applyNumberFormat="1"/>
    <xf numFmtId="0" fontId="0" fillId="10" borderId="1" xfId="0" applyFill="1" applyBorder="1" applyAlignment="1">
      <alignment vertical="top" wrapText="1"/>
    </xf>
    <xf numFmtId="164" fontId="6" fillId="2" borderId="1" xfId="1" applyFont="1" applyFill="1" applyBorder="1" applyAlignment="1">
      <alignment vertical="top"/>
    </xf>
    <xf numFmtId="0" fontId="3" fillId="6" borderId="15" xfId="0" applyFont="1" applyFill="1" applyBorder="1" applyAlignment="1">
      <alignment horizontal="center" wrapText="1"/>
    </xf>
    <xf numFmtId="164" fontId="0" fillId="0" borderId="16" xfId="1" applyFont="1" applyBorder="1"/>
    <xf numFmtId="164" fontId="0" fillId="0" borderId="21" xfId="1" applyFont="1" applyBorder="1"/>
    <xf numFmtId="164" fontId="0" fillId="0" borderId="24" xfId="1" applyFont="1" applyBorder="1"/>
    <xf numFmtId="164" fontId="1" fillId="2" borderId="1" xfId="1" applyFont="1" applyFill="1" applyBorder="1" applyAlignment="1">
      <alignment vertical="top"/>
    </xf>
    <xf numFmtId="164" fontId="7" fillId="2" borderId="1" xfId="1" applyFont="1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/>
    <xf numFmtId="13" fontId="0" fillId="2" borderId="1" xfId="1" applyNumberFormat="1" applyFont="1" applyFill="1" applyBorder="1" applyAlignment="1">
      <alignment vertical="top"/>
    </xf>
    <xf numFmtId="0" fontId="0" fillId="0" borderId="0" xfId="0" applyBorder="1"/>
    <xf numFmtId="0" fontId="0" fillId="0" borderId="41" xfId="0" applyFill="1" applyBorder="1" applyAlignment="1">
      <alignment vertical="top" wrapText="1"/>
    </xf>
    <xf numFmtId="164" fontId="3" fillId="4" borderId="41" xfId="1" applyFont="1" applyFill="1" applyBorder="1" applyAlignment="1">
      <alignment vertical="top"/>
    </xf>
    <xf numFmtId="164" fontId="2" fillId="0" borderId="41" xfId="1" applyFont="1" applyBorder="1" applyAlignment="1">
      <alignment vertical="top"/>
    </xf>
    <xf numFmtId="164" fontId="8" fillId="2" borderId="1" xfId="1" applyFont="1" applyFill="1" applyBorder="1" applyAlignment="1">
      <alignment vertical="top"/>
    </xf>
    <xf numFmtId="0" fontId="2" fillId="3" borderId="41" xfId="0" applyFont="1" applyFill="1" applyBorder="1" applyAlignment="1">
      <alignment vertical="top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10" borderId="0" xfId="0" applyFill="1"/>
    <xf numFmtId="0" fontId="0" fillId="0" borderId="2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26" xfId="0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4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164" fontId="0" fillId="0" borderId="1" xfId="1" applyFont="1" applyBorder="1"/>
    <xf numFmtId="0" fontId="0" fillId="0" borderId="43" xfId="0" applyBorder="1"/>
    <xf numFmtId="21" fontId="0" fillId="0" borderId="21" xfId="1" applyNumberFormat="1" applyFont="1" applyBorder="1"/>
    <xf numFmtId="21" fontId="0" fillId="0" borderId="21" xfId="0" applyNumberFormat="1" applyBorder="1"/>
    <xf numFmtId="21" fontId="0" fillId="0" borderId="24" xfId="0" applyNumberFormat="1" applyBorder="1"/>
    <xf numFmtId="21" fontId="0" fillId="0" borderId="26" xfId="1" applyNumberFormat="1" applyFont="1" applyBorder="1"/>
    <xf numFmtId="0" fontId="2" fillId="0" borderId="8" xfId="0" applyFont="1" applyBorder="1"/>
    <xf numFmtId="0" fontId="2" fillId="0" borderId="9" xfId="0" applyFont="1" applyBorder="1"/>
    <xf numFmtId="21" fontId="0" fillId="0" borderId="16" xfId="1" applyNumberFormat="1" applyFont="1" applyBorder="1"/>
    <xf numFmtId="0" fontId="2" fillId="0" borderId="38" xfId="0" applyFont="1" applyBorder="1"/>
    <xf numFmtId="0" fontId="2" fillId="0" borderId="20" xfId="0" applyFont="1" applyBorder="1"/>
    <xf numFmtId="21" fontId="0" fillId="0" borderId="24" xfId="1" applyNumberFormat="1" applyFont="1" applyBorder="1"/>
    <xf numFmtId="164" fontId="0" fillId="0" borderId="41" xfId="1" applyFont="1" applyBorder="1"/>
    <xf numFmtId="164" fontId="4" fillId="3" borderId="0" xfId="0" applyNumberFormat="1" applyFont="1" applyFill="1" applyAlignment="1">
      <alignment vertical="center"/>
    </xf>
    <xf numFmtId="164" fontId="0" fillId="10" borderId="1" xfId="1" applyFont="1" applyFill="1" applyBorder="1" applyAlignment="1">
      <alignment vertical="top"/>
    </xf>
    <xf numFmtId="0" fontId="0" fillId="0" borderId="0" xfId="0" applyAlignment="1">
      <alignment horizontal="right"/>
    </xf>
    <xf numFmtId="164" fontId="0" fillId="0" borderId="1" xfId="0" applyNumberFormat="1" applyBorder="1"/>
    <xf numFmtId="0" fontId="0" fillId="5" borderId="0" xfId="0" applyFont="1" applyFill="1"/>
    <xf numFmtId="0" fontId="0" fillId="0" borderId="0" xfId="0" applyFont="1"/>
    <xf numFmtId="0" fontId="2" fillId="3" borderId="0" xfId="0" applyFont="1" applyFill="1" applyBorder="1"/>
    <xf numFmtId="164" fontId="9" fillId="2" borderId="1" xfId="1" applyFont="1" applyFill="1" applyBorder="1" applyAlignment="1">
      <alignment vertical="top"/>
    </xf>
    <xf numFmtId="164" fontId="10" fillId="2" borderId="1" xfId="1" applyFont="1" applyFill="1" applyBorder="1" applyAlignment="1">
      <alignment vertical="top"/>
    </xf>
    <xf numFmtId="164" fontId="0" fillId="0" borderId="0" xfId="0" applyNumberFormat="1" applyBorder="1"/>
    <xf numFmtId="164" fontId="0" fillId="2" borderId="0" xfId="1" applyFont="1" applyFill="1" applyBorder="1" applyAlignment="1">
      <alignment vertical="top"/>
    </xf>
    <xf numFmtId="164" fontId="0" fillId="0" borderId="0" xfId="1" applyFont="1" applyBorder="1"/>
    <xf numFmtId="164" fontId="11" fillId="2" borderId="1" xfId="1" applyFont="1" applyFill="1" applyBorder="1" applyAlignment="1">
      <alignment vertical="top"/>
    </xf>
    <xf numFmtId="0" fontId="0" fillId="0" borderId="26" xfId="0" applyBorder="1"/>
    <xf numFmtId="0" fontId="0" fillId="0" borderId="53" xfId="0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10" fillId="0" borderId="1" xfId="0" applyFont="1" applyBorder="1"/>
    <xf numFmtId="164" fontId="13" fillId="2" borderId="1" xfId="1" applyFont="1" applyFill="1" applyBorder="1" applyAlignment="1">
      <alignment vertical="top"/>
    </xf>
    <xf numFmtId="0" fontId="0" fillId="10" borderId="0" xfId="0" applyFont="1" applyFill="1"/>
    <xf numFmtId="0" fontId="12" fillId="10" borderId="0" xfId="0" applyFont="1" applyFill="1"/>
    <xf numFmtId="164" fontId="7" fillId="0" borderId="1" xfId="1" applyFont="1" applyBorder="1"/>
    <xf numFmtId="0" fontId="6" fillId="0" borderId="0" xfId="0" applyFont="1"/>
    <xf numFmtId="0" fontId="14" fillId="0" borderId="2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14" fillId="0" borderId="20" xfId="1" applyFont="1" applyBorder="1" applyAlignment="1">
      <alignment horizontal="center" vertical="center" wrapText="1"/>
    </xf>
    <xf numFmtId="164" fontId="14" fillId="0" borderId="13" xfId="1" applyFont="1" applyBorder="1" applyAlignment="1">
      <alignment horizontal="center" vertical="center" wrapText="1"/>
    </xf>
    <xf numFmtId="164" fontId="14" fillId="0" borderId="25" xfId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5" fillId="0" borderId="20" xfId="0" applyFont="1" applyBorder="1" applyAlignment="1">
      <alignment horizontal="right" vertical="center" wrapText="1"/>
    </xf>
    <xf numFmtId="0" fontId="15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horizontal="right" vertical="center" wrapText="1"/>
    </xf>
    <xf numFmtId="0" fontId="14" fillId="0" borderId="27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164" fontId="14" fillId="0" borderId="13" xfId="1" applyFont="1" applyBorder="1" applyAlignment="1">
      <alignment vertical="center" wrapText="1"/>
    </xf>
    <xf numFmtId="164" fontId="14" fillId="0" borderId="25" xfId="1" applyFont="1" applyBorder="1" applyAlignment="1">
      <alignment vertical="center" wrapText="1"/>
    </xf>
    <xf numFmtId="164" fontId="15" fillId="0" borderId="13" xfId="1" applyFont="1" applyBorder="1" applyAlignment="1">
      <alignment horizontal="right" vertical="center" wrapText="1"/>
    </xf>
    <xf numFmtId="0" fontId="0" fillId="0" borderId="50" xfId="0" applyFill="1" applyBorder="1" applyAlignment="1">
      <alignment horizontal="center" vertical="center"/>
    </xf>
    <xf numFmtId="164" fontId="14" fillId="0" borderId="20" xfId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6" fontId="0" fillId="0" borderId="20" xfId="0" applyNumberFormat="1" applyBorder="1" applyAlignment="1">
      <alignment vertical="center" wrapText="1"/>
    </xf>
    <xf numFmtId="166" fontId="0" fillId="0" borderId="13" xfId="0" applyNumberFormat="1" applyBorder="1" applyAlignment="1">
      <alignment vertical="center" wrapText="1"/>
    </xf>
    <xf numFmtId="166" fontId="0" fillId="0" borderId="25" xfId="0" applyNumberFormat="1" applyBorder="1" applyAlignment="1">
      <alignment vertical="center" wrapText="1"/>
    </xf>
    <xf numFmtId="0" fontId="0" fillId="5" borderId="0" xfId="0" applyFill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2" fontId="15" fillId="0" borderId="25" xfId="0" applyNumberFormat="1" applyFont="1" applyBorder="1" applyAlignment="1">
      <alignment horizontal="center" vertical="center" wrapText="1"/>
    </xf>
    <xf numFmtId="164" fontId="15" fillId="0" borderId="20" xfId="1" applyFont="1" applyBorder="1" applyAlignment="1">
      <alignment horizontal="center" vertical="center" wrapText="1"/>
    </xf>
    <xf numFmtId="164" fontId="15" fillId="0" borderId="13" xfId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164" fontId="15" fillId="0" borderId="9" xfId="1" applyFont="1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6" fontId="0" fillId="0" borderId="28" xfId="0" applyNumberFormat="1" applyFon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 wrapText="1"/>
    </xf>
    <xf numFmtId="166" fontId="0" fillId="0" borderId="28" xfId="0" applyNumberFormat="1" applyBorder="1" applyAlignment="1">
      <alignment horizontal="center" vertical="center" wrapText="1"/>
    </xf>
    <xf numFmtId="166" fontId="0" fillId="0" borderId="29" xfId="0" applyNumberFormat="1" applyBorder="1" applyAlignment="1">
      <alignment horizontal="center" vertical="center" wrapText="1"/>
    </xf>
    <xf numFmtId="17" fontId="3" fillId="6" borderId="1" xfId="0" applyNumberFormat="1" applyFont="1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16" fillId="0" borderId="0" xfId="0" applyFont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164" fontId="6" fillId="0" borderId="1" xfId="1" applyFont="1" applyBorder="1"/>
    <xf numFmtId="12" fontId="0" fillId="0" borderId="0" xfId="0" applyNumberFormat="1"/>
    <xf numFmtId="0" fontId="13" fillId="0" borderId="0" xfId="0" applyFont="1" applyAlignment="1">
      <alignment horizontal="right"/>
    </xf>
    <xf numFmtId="164" fontId="1" fillId="0" borderId="1" xfId="1" applyFont="1" applyBorder="1"/>
    <xf numFmtId="164" fontId="10" fillId="0" borderId="1" xfId="1" applyFont="1" applyBorder="1"/>
    <xf numFmtId="164" fontId="13" fillId="0" borderId="1" xfId="1" applyFont="1" applyBorder="1"/>
    <xf numFmtId="164" fontId="9" fillId="0" borderId="1" xfId="1" applyFont="1" applyBorder="1"/>
    <xf numFmtId="164" fontId="6" fillId="0" borderId="41" xfId="1" applyFont="1" applyBorder="1"/>
    <xf numFmtId="164" fontId="7" fillId="0" borderId="41" xfId="1" applyFont="1" applyBorder="1"/>
    <xf numFmtId="0" fontId="7" fillId="0" borderId="0" xfId="0" applyFont="1"/>
    <xf numFmtId="0" fontId="9" fillId="0" borderId="0" xfId="0" applyFont="1"/>
    <xf numFmtId="166" fontId="2" fillId="0" borderId="13" xfId="0" applyNumberFormat="1" applyFont="1" applyBorder="1" applyAlignment="1">
      <alignment horizontal="right" vertical="center" wrapText="1"/>
    </xf>
    <xf numFmtId="43" fontId="0" fillId="0" borderId="0" xfId="0" applyNumberFormat="1"/>
    <xf numFmtId="164" fontId="17" fillId="2" borderId="1" xfId="1" applyFont="1" applyFill="1" applyBorder="1" applyAlignment="1">
      <alignment vertical="top"/>
    </xf>
    <xf numFmtId="43" fontId="4" fillId="3" borderId="0" xfId="0" applyNumberFormat="1" applyFont="1" applyFill="1" applyAlignment="1">
      <alignment vertical="center"/>
    </xf>
    <xf numFmtId="43" fontId="0" fillId="0" borderId="0" xfId="0" applyNumberFormat="1" applyBorder="1"/>
    <xf numFmtId="2" fontId="15" fillId="0" borderId="13" xfId="0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164" fontId="18" fillId="0" borderId="41" xfId="1" applyFont="1" applyBorder="1"/>
    <xf numFmtId="0" fontId="18" fillId="0" borderId="0" xfId="0" applyFont="1"/>
    <xf numFmtId="164" fontId="16" fillId="2" borderId="1" xfId="1" applyFont="1" applyFill="1" applyBorder="1" applyAlignment="1">
      <alignment vertical="top"/>
    </xf>
    <xf numFmtId="164" fontId="7" fillId="0" borderId="1" xfId="1" applyFont="1" applyFill="1" applyBorder="1" applyAlignment="1">
      <alignment vertical="top"/>
    </xf>
    <xf numFmtId="0" fontId="7" fillId="0" borderId="1" xfId="0" applyFont="1" applyBorder="1"/>
    <xf numFmtId="164" fontId="6" fillId="10" borderId="1" xfId="1" applyFont="1" applyFill="1" applyBorder="1"/>
    <xf numFmtId="164" fontId="7" fillId="10" borderId="1" xfId="1" applyFont="1" applyFill="1" applyBorder="1"/>
    <xf numFmtId="0" fontId="2" fillId="3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vertical="top"/>
    </xf>
    <xf numFmtId="0" fontId="0" fillId="11" borderId="1" xfId="0" applyFill="1" applyBorder="1" applyAlignment="1">
      <alignment vertical="top" wrapText="1"/>
    </xf>
    <xf numFmtId="164" fontId="3" fillId="11" borderId="1" xfId="1" applyFont="1" applyFill="1" applyBorder="1" applyAlignment="1">
      <alignment vertical="top"/>
    </xf>
    <xf numFmtId="164" fontId="2" fillId="11" borderId="1" xfId="1" applyFont="1" applyFill="1" applyBorder="1" applyAlignment="1">
      <alignment vertical="top"/>
    </xf>
    <xf numFmtId="164" fontId="0" fillId="11" borderId="1" xfId="1" applyFont="1" applyFill="1" applyBorder="1" applyAlignment="1">
      <alignment vertical="top"/>
    </xf>
    <xf numFmtId="164" fontId="7" fillId="11" borderId="1" xfId="1" applyFont="1" applyFill="1" applyBorder="1" applyAlignment="1">
      <alignment vertical="top"/>
    </xf>
    <xf numFmtId="164" fontId="6" fillId="11" borderId="1" xfId="1" applyFont="1" applyFill="1" applyBorder="1" applyAlignment="1">
      <alignment vertical="top"/>
    </xf>
    <xf numFmtId="164" fontId="1" fillId="11" borderId="1" xfId="1" applyFont="1" applyFill="1" applyBorder="1" applyAlignment="1">
      <alignment vertical="top"/>
    </xf>
    <xf numFmtId="0" fontId="0" fillId="11" borderId="0" xfId="0" applyFill="1"/>
    <xf numFmtId="164" fontId="0" fillId="11" borderId="16" xfId="1" applyFont="1" applyFill="1" applyBorder="1"/>
    <xf numFmtId="0" fontId="2" fillId="11" borderId="1" xfId="0" applyFont="1" applyFill="1" applyBorder="1" applyAlignment="1">
      <alignment vertical="top" wrapText="1"/>
    </xf>
    <xf numFmtId="0" fontId="5" fillId="11" borderId="1" xfId="0" applyFont="1" applyFill="1" applyBorder="1" applyAlignment="1">
      <alignment vertical="top" wrapText="1"/>
    </xf>
    <xf numFmtId="0" fontId="0" fillId="11" borderId="1" xfId="0" applyFill="1" applyBorder="1" applyAlignment="1">
      <alignment horizontal="left"/>
    </xf>
    <xf numFmtId="13" fontId="0" fillId="11" borderId="1" xfId="1" applyNumberFormat="1" applyFont="1" applyFill="1" applyBorder="1" applyAlignment="1">
      <alignment vertical="top"/>
    </xf>
    <xf numFmtId="0" fontId="2" fillId="11" borderId="0" xfId="0" applyFont="1" applyFill="1" applyBorder="1"/>
    <xf numFmtId="164" fontId="3" fillId="11" borderId="41" xfId="1" applyFont="1" applyFill="1" applyBorder="1" applyAlignment="1">
      <alignment vertical="top"/>
    </xf>
    <xf numFmtId="164" fontId="2" fillId="11" borderId="41" xfId="1" applyFont="1" applyFill="1" applyBorder="1" applyAlignment="1">
      <alignment vertical="top"/>
    </xf>
    <xf numFmtId="164" fontId="0" fillId="11" borderId="1" xfId="1" applyFont="1" applyFill="1" applyBorder="1"/>
    <xf numFmtId="164" fontId="7" fillId="11" borderId="1" xfId="1" applyFont="1" applyFill="1" applyBorder="1"/>
    <xf numFmtId="164" fontId="6" fillId="11" borderId="1" xfId="1" applyFont="1" applyFill="1" applyBorder="1"/>
    <xf numFmtId="164" fontId="0" fillId="11" borderId="0" xfId="1" applyFont="1" applyFill="1" applyBorder="1"/>
    <xf numFmtId="0" fontId="0" fillId="11" borderId="0" xfId="0" applyFill="1" applyBorder="1"/>
    <xf numFmtId="164" fontId="3" fillId="12" borderId="1" xfId="1" applyFont="1" applyFill="1" applyBorder="1" applyAlignment="1">
      <alignment vertical="top"/>
    </xf>
    <xf numFmtId="164" fontId="0" fillId="12" borderId="1" xfId="1" applyFont="1" applyFill="1" applyBorder="1" applyAlignment="1">
      <alignment vertical="top"/>
    </xf>
    <xf numFmtId="164" fontId="3" fillId="12" borderId="41" xfId="1" applyFont="1" applyFill="1" applyBorder="1" applyAlignment="1">
      <alignment vertical="top"/>
    </xf>
    <xf numFmtId="0" fontId="0" fillId="0" borderId="6" xfId="0" applyBorder="1"/>
    <xf numFmtId="43" fontId="7" fillId="0" borderId="0" xfId="0" applyNumberFormat="1" applyFont="1"/>
    <xf numFmtId="0" fontId="0" fillId="0" borderId="43" xfId="0" applyFill="1" applyBorder="1"/>
    <xf numFmtId="0" fontId="19" fillId="7" borderId="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15" fillId="0" borderId="0" xfId="0" applyFont="1"/>
    <xf numFmtId="1" fontId="0" fillId="0" borderId="0" xfId="0" applyNumberFormat="1" applyFill="1" applyBorder="1" applyAlignment="1">
      <alignment horizontal="center" vertical="top" wrapText="1"/>
    </xf>
    <xf numFmtId="0" fontId="2" fillId="3" borderId="55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17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2" fillId="3" borderId="9" xfId="0" applyFont="1" applyFill="1" applyBorder="1"/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 applyAlignment="1">
      <alignment vertical="center"/>
    </xf>
    <xf numFmtId="1" fontId="22" fillId="13" borderId="16" xfId="0" applyNumberFormat="1" applyFont="1" applyFill="1" applyBorder="1" applyAlignment="1">
      <alignment horizontal="center" vertical="top" wrapText="1"/>
    </xf>
    <xf numFmtId="1" fontId="22" fillId="13" borderId="21" xfId="0" applyNumberFormat="1" applyFont="1" applyFill="1" applyBorder="1" applyAlignment="1">
      <alignment horizontal="center" vertical="top" wrapText="1"/>
    </xf>
    <xf numFmtId="1" fontId="23" fillId="13" borderId="21" xfId="0" applyNumberFormat="1" applyFont="1" applyFill="1" applyBorder="1" applyAlignment="1">
      <alignment horizontal="center" vertical="top" wrapText="1"/>
    </xf>
    <xf numFmtId="1" fontId="24" fillId="13" borderId="24" xfId="0" applyNumberFormat="1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1" xfId="0" applyBorder="1" applyAlignment="1">
      <alignment horizontal="center"/>
    </xf>
    <xf numFmtId="166" fontId="0" fillId="0" borderId="0" xfId="0" applyNumberFormat="1"/>
    <xf numFmtId="164" fontId="25" fillId="2" borderId="1" xfId="1" applyFont="1" applyFill="1" applyBorder="1" applyAlignment="1">
      <alignment vertical="top"/>
    </xf>
    <xf numFmtId="164" fontId="25" fillId="0" borderId="0" xfId="0" applyNumberFormat="1" applyFont="1"/>
    <xf numFmtId="0" fontId="0" fillId="0" borderId="3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8" borderId="42" xfId="0" applyFill="1" applyBorder="1"/>
    <xf numFmtId="0" fontId="0" fillId="8" borderId="46" xfId="0" applyFill="1" applyBorder="1" applyAlignment="1">
      <alignment horizontal="center" vertical="center"/>
    </xf>
    <xf numFmtId="0" fontId="0" fillId="8" borderId="47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0" fillId="8" borderId="43" xfId="0" applyFill="1" applyBorder="1"/>
    <xf numFmtId="0" fontId="0" fillId="8" borderId="48" xfId="0" applyFill="1" applyBorder="1" applyAlignment="1">
      <alignment horizontal="center" vertical="center"/>
    </xf>
    <xf numFmtId="0" fontId="0" fillId="8" borderId="5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0" fillId="8" borderId="44" xfId="0" applyFill="1" applyBorder="1"/>
    <xf numFmtId="0" fontId="0" fillId="8" borderId="49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right" vertical="center" wrapText="1"/>
    </xf>
    <xf numFmtId="2" fontId="15" fillId="8" borderId="13" xfId="0" applyNumberFormat="1" applyFont="1" applyFill="1" applyBorder="1" applyAlignment="1">
      <alignment horizontal="center" vertical="center" wrapText="1"/>
    </xf>
    <xf numFmtId="0" fontId="0" fillId="8" borderId="45" xfId="0" applyFill="1" applyBorder="1"/>
    <xf numFmtId="0" fontId="0" fillId="8" borderId="50" xfId="0" applyFill="1" applyBorder="1" applyAlignment="1">
      <alignment horizontal="center" vertical="center"/>
    </xf>
    <xf numFmtId="0" fontId="0" fillId="8" borderId="51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43" fontId="7" fillId="0" borderId="0" xfId="0" applyNumberFormat="1" applyFont="1" applyAlignment="1">
      <alignment horizontal="right"/>
    </xf>
    <xf numFmtId="164" fontId="16" fillId="0" borderId="1" xfId="1" applyFont="1" applyBorder="1"/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0" fillId="10" borderId="0" xfId="0" applyFill="1" applyBorder="1" applyAlignment="1">
      <alignment vertical="top" wrapText="1"/>
    </xf>
    <xf numFmtId="164" fontId="3" fillId="10" borderId="0" xfId="1" applyFont="1" applyFill="1" applyBorder="1" applyAlignment="1">
      <alignment vertical="top"/>
    </xf>
    <xf numFmtId="164" fontId="2" fillId="10" borderId="0" xfId="1" applyFont="1" applyFill="1" applyBorder="1" applyAlignment="1">
      <alignment vertical="top"/>
    </xf>
    <xf numFmtId="0" fontId="0" fillId="0" borderId="3" xfId="0" applyBorder="1"/>
    <xf numFmtId="0" fontId="0" fillId="0" borderId="14" xfId="0" applyBorder="1"/>
    <xf numFmtId="164" fontId="2" fillId="0" borderId="22" xfId="1" applyFont="1" applyBorder="1" applyAlignment="1">
      <alignment vertical="top"/>
    </xf>
    <xf numFmtId="164" fontId="2" fillId="0" borderId="3" xfId="1" applyFont="1" applyBorder="1" applyAlignment="1">
      <alignment vertical="top"/>
    </xf>
    <xf numFmtId="164" fontId="2" fillId="0" borderId="56" xfId="1" applyFont="1" applyBorder="1" applyAlignment="1">
      <alignment vertical="top"/>
    </xf>
    <xf numFmtId="164" fontId="2" fillId="0" borderId="35" xfId="1" applyFont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0" fillId="10" borderId="14" xfId="0" applyFill="1" applyBorder="1" applyAlignment="1">
      <alignment vertical="top" wrapText="1"/>
    </xf>
    <xf numFmtId="0" fontId="26" fillId="0" borderId="0" xfId="5"/>
    <xf numFmtId="164" fontId="3" fillId="4" borderId="5" xfId="1" applyFont="1" applyFill="1" applyBorder="1" applyAlignment="1">
      <alignment vertical="top"/>
    </xf>
    <xf numFmtId="0" fontId="0" fillId="0" borderId="2" xfId="0" applyBorder="1"/>
    <xf numFmtId="164" fontId="2" fillId="0" borderId="22" xfId="1" applyFont="1" applyBorder="1" applyAlignment="1">
      <alignment horizontal="center" vertical="top"/>
    </xf>
    <xf numFmtId="164" fontId="3" fillId="5" borderId="1" xfId="1" applyFont="1" applyFill="1" applyBorder="1" applyAlignment="1">
      <alignment vertical="top"/>
    </xf>
    <xf numFmtId="164" fontId="3" fillId="5" borderId="0" xfId="1" applyFont="1" applyFill="1" applyBorder="1" applyAlignment="1">
      <alignment vertical="top"/>
    </xf>
    <xf numFmtId="164" fontId="3" fillId="5" borderId="3" xfId="1" applyFont="1" applyFill="1" applyBorder="1" applyAlignment="1">
      <alignment vertical="top"/>
    </xf>
    <xf numFmtId="0" fontId="0" fillId="5" borderId="14" xfId="0" applyFill="1" applyBorder="1"/>
    <xf numFmtId="0" fontId="0" fillId="5" borderId="3" xfId="0" applyFill="1" applyBorder="1"/>
    <xf numFmtId="164" fontId="2" fillId="14" borderId="1" xfId="1" applyFont="1" applyFill="1" applyBorder="1" applyAlignment="1">
      <alignment vertical="top"/>
    </xf>
    <xf numFmtId="0" fontId="2" fillId="14" borderId="3" xfId="0" applyFont="1" applyFill="1" applyBorder="1" applyAlignment="1">
      <alignment vertical="top" wrapText="1"/>
    </xf>
    <xf numFmtId="0" fontId="0" fillId="0" borderId="57" xfId="0" applyBorder="1"/>
    <xf numFmtId="0" fontId="0" fillId="0" borderId="5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4" fontId="27" fillId="0" borderId="1" xfId="1" applyFont="1" applyBorder="1" applyAlignment="1">
      <alignment vertical="top"/>
    </xf>
    <xf numFmtId="0" fontId="0" fillId="0" borderId="58" xfId="0" applyBorder="1"/>
    <xf numFmtId="164" fontId="3" fillId="5" borderId="41" xfId="1" applyFont="1" applyFill="1" applyBorder="1" applyAlignment="1">
      <alignment vertical="top"/>
    </xf>
    <xf numFmtId="164" fontId="3" fillId="5" borderId="60" xfId="1" applyFont="1" applyFill="1" applyBorder="1" applyAlignment="1">
      <alignment vertical="top"/>
    </xf>
    <xf numFmtId="2" fontId="0" fillId="0" borderId="0" xfId="0" applyNumberFormat="1"/>
    <xf numFmtId="166" fontId="0" fillId="0" borderId="0" xfId="0" applyNumberFormat="1" applyFill="1" applyBorder="1"/>
    <xf numFmtId="164" fontId="0" fillId="0" borderId="1" xfId="1" applyFont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2" fillId="0" borderId="1" xfId="0" applyFont="1" applyBorder="1"/>
    <xf numFmtId="0" fontId="2" fillId="10" borderId="1" xfId="0" applyFont="1" applyFill="1" applyBorder="1" applyAlignment="1">
      <alignment vertical="top" wrapText="1"/>
    </xf>
    <xf numFmtId="0" fontId="2" fillId="10" borderId="3" xfId="0" applyFont="1" applyFill="1" applyBorder="1" applyAlignment="1">
      <alignment vertical="top" wrapText="1"/>
    </xf>
    <xf numFmtId="0" fontId="2" fillId="10" borderId="56" xfId="0" applyFont="1" applyFill="1" applyBorder="1" applyAlignment="1">
      <alignment vertical="top" wrapText="1"/>
    </xf>
    <xf numFmtId="0" fontId="2" fillId="10" borderId="1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0" fillId="0" borderId="3" xfId="1" applyFont="1" applyBorder="1" applyAlignment="1">
      <alignment vertical="top"/>
    </xf>
    <xf numFmtId="164" fontId="2" fillId="14" borderId="1" xfId="1" applyFont="1" applyFill="1" applyBorder="1" applyAlignment="1">
      <alignment horizontal="center" vertical="top"/>
    </xf>
    <xf numFmtId="0" fontId="4" fillId="10" borderId="0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/>
    </xf>
    <xf numFmtId="164" fontId="2" fillId="15" borderId="1" xfId="1" applyFont="1" applyFill="1" applyBorder="1" applyAlignment="1">
      <alignment vertical="top"/>
    </xf>
    <xf numFmtId="164" fontId="27" fillId="16" borderId="1" xfId="1" applyFont="1" applyFill="1" applyBorder="1" applyAlignment="1">
      <alignment horizontal="center" vertical="top"/>
    </xf>
    <xf numFmtId="164" fontId="2" fillId="16" borderId="1" xfId="1" applyFont="1" applyFill="1" applyBorder="1" applyAlignment="1">
      <alignment horizontal="center" vertical="top"/>
    </xf>
    <xf numFmtId="164" fontId="2" fillId="0" borderId="61" xfId="1" applyFont="1" applyBorder="1" applyAlignment="1">
      <alignment vertical="top"/>
    </xf>
    <xf numFmtId="0" fontId="0" fillId="0" borderId="62" xfId="0" applyBorder="1"/>
    <xf numFmtId="0" fontId="2" fillId="3" borderId="42" xfId="0" applyFont="1" applyFill="1" applyBorder="1" applyAlignment="1">
      <alignment vertical="top"/>
    </xf>
    <xf numFmtId="0" fontId="2" fillId="3" borderId="44" xfId="0" applyFont="1" applyFill="1" applyBorder="1" applyAlignment="1">
      <alignment vertical="top"/>
    </xf>
    <xf numFmtId="0" fontId="2" fillId="3" borderId="45" xfId="0" applyFont="1" applyFill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0" fillId="0" borderId="30" xfId="0" applyBorder="1"/>
    <xf numFmtId="0" fontId="2" fillId="0" borderId="16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164" fontId="2" fillId="0" borderId="19" xfId="1" applyFont="1" applyBorder="1" applyAlignment="1">
      <alignment vertical="top"/>
    </xf>
    <xf numFmtId="0" fontId="0" fillId="0" borderId="31" xfId="0" applyBorder="1"/>
    <xf numFmtId="164" fontId="3" fillId="4" borderId="16" xfId="1" applyFont="1" applyFill="1" applyBorder="1" applyAlignment="1">
      <alignment vertical="top"/>
    </xf>
    <xf numFmtId="164" fontId="3" fillId="4" borderId="21" xfId="1" applyFont="1" applyFill="1" applyBorder="1" applyAlignment="1">
      <alignment vertical="top"/>
    </xf>
    <xf numFmtId="0" fontId="0" fillId="4" borderId="21" xfId="0" applyFill="1" applyBorder="1"/>
    <xf numFmtId="0" fontId="0" fillId="4" borderId="24" xfId="0" applyFill="1" applyBorder="1"/>
    <xf numFmtId="0" fontId="2" fillId="0" borderId="62" xfId="0" applyFont="1" applyBorder="1"/>
    <xf numFmtId="0" fontId="2" fillId="0" borderId="2" xfId="0" applyFont="1" applyBorder="1"/>
    <xf numFmtId="0" fontId="2" fillId="0" borderId="31" xfId="0" applyFont="1" applyBorder="1"/>
    <xf numFmtId="164" fontId="3" fillId="4" borderId="24" xfId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164" fontId="1" fillId="10" borderId="1" xfId="1" applyFont="1" applyFill="1" applyBorder="1" applyAlignment="1">
      <alignment vertical="top"/>
    </xf>
    <xf numFmtId="164" fontId="0" fillId="10" borderId="3" xfId="1" applyFont="1" applyFill="1" applyBorder="1" applyAlignment="1">
      <alignment vertical="top"/>
    </xf>
    <xf numFmtId="0" fontId="7" fillId="10" borderId="0" xfId="0" applyFont="1" applyFill="1" applyBorder="1" applyAlignment="1">
      <alignment vertical="top" wrapText="1"/>
    </xf>
    <xf numFmtId="0" fontId="2" fillId="10" borderId="0" xfId="0" applyFont="1" applyFill="1" applyBorder="1" applyAlignment="1">
      <alignment vertical="top" wrapText="1"/>
    </xf>
    <xf numFmtId="164" fontId="0" fillId="10" borderId="0" xfId="1" applyFont="1" applyFill="1" applyBorder="1" applyAlignment="1">
      <alignment vertical="top"/>
    </xf>
    <xf numFmtId="164" fontId="27" fillId="10" borderId="0" xfId="1" applyFont="1" applyFill="1" applyBorder="1" applyAlignment="1">
      <alignment horizontal="center" vertical="top"/>
    </xf>
    <xf numFmtId="0" fontId="0" fillId="10" borderId="0" xfId="0" applyFont="1" applyFill="1" applyBorder="1" applyAlignment="1">
      <alignment vertical="top" wrapText="1"/>
    </xf>
    <xf numFmtId="164" fontId="2" fillId="10" borderId="0" xfId="1" applyFont="1" applyFill="1" applyBorder="1" applyAlignment="1">
      <alignment horizontal="center" vertical="top"/>
    </xf>
    <xf numFmtId="164" fontId="1" fillId="10" borderId="0" xfId="1" applyFont="1" applyFill="1" applyBorder="1" applyAlignment="1">
      <alignment vertical="top"/>
    </xf>
    <xf numFmtId="164" fontId="3" fillId="10" borderId="0" xfId="1" applyFont="1" applyFill="1" applyBorder="1" applyAlignment="1">
      <alignment horizontal="center" vertical="top"/>
    </xf>
    <xf numFmtId="164" fontId="1" fillId="10" borderId="0" xfId="1" applyFont="1" applyFill="1" applyBorder="1" applyAlignment="1">
      <alignment horizontal="center" vertical="top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64" fontId="27" fillId="15" borderId="1" xfId="1" applyFont="1" applyFill="1" applyBorder="1" applyAlignment="1">
      <alignment vertical="top"/>
    </xf>
    <xf numFmtId="0" fontId="27" fillId="15" borderId="3" xfId="0" applyFont="1" applyFill="1" applyBorder="1" applyAlignment="1">
      <alignment vertical="top" wrapText="1"/>
    </xf>
    <xf numFmtId="0" fontId="0" fillId="10" borderId="3" xfId="0" applyFont="1" applyFill="1" applyBorder="1" applyAlignment="1">
      <alignment vertical="top" wrapText="1"/>
    </xf>
    <xf numFmtId="164" fontId="3" fillId="5" borderId="22" xfId="1" applyFont="1" applyFill="1" applyBorder="1" applyAlignment="1">
      <alignment vertical="top"/>
    </xf>
    <xf numFmtId="0" fontId="2" fillId="16" borderId="1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vertical="top" wrapText="1"/>
    </xf>
    <xf numFmtId="164" fontId="2" fillId="15" borderId="1" xfId="1" applyFont="1" applyFill="1" applyBorder="1" applyAlignment="1">
      <alignment horizontal="center" vertical="top"/>
    </xf>
    <xf numFmtId="164" fontId="3" fillId="15" borderId="3" xfId="1" applyFont="1" applyFill="1" applyBorder="1" applyAlignment="1">
      <alignment vertical="top"/>
    </xf>
    <xf numFmtId="164" fontId="2" fillId="15" borderId="3" xfId="1" applyFont="1" applyFill="1" applyBorder="1" applyAlignment="1">
      <alignment vertical="top"/>
    </xf>
    <xf numFmtId="0" fontId="2" fillId="15" borderId="1" xfId="0" applyFont="1" applyFill="1" applyBorder="1"/>
    <xf numFmtId="164" fontId="3" fillId="15" borderId="22" xfId="1" applyFont="1" applyFill="1" applyBorder="1" applyAlignment="1">
      <alignment vertical="top"/>
    </xf>
    <xf numFmtId="164" fontId="3" fillId="15" borderId="1" xfId="1" applyFont="1" applyFill="1" applyBorder="1" applyAlignment="1">
      <alignment vertical="top"/>
    </xf>
    <xf numFmtId="164" fontId="2" fillId="15" borderId="41" xfId="1" applyFont="1" applyFill="1" applyBorder="1" applyAlignment="1">
      <alignment vertical="top"/>
    </xf>
    <xf numFmtId="0" fontId="0" fillId="15" borderId="1" xfId="0" applyFill="1" applyBorder="1" applyAlignment="1">
      <alignment vertical="top" wrapText="1"/>
    </xf>
    <xf numFmtId="164" fontId="2" fillId="15" borderId="41" xfId="1" applyFont="1" applyFill="1" applyBorder="1" applyAlignment="1">
      <alignment horizontal="center" vertical="top"/>
    </xf>
    <xf numFmtId="164" fontId="3" fillId="15" borderId="59" xfId="1" applyFont="1" applyFill="1" applyBorder="1" applyAlignment="1">
      <alignment vertical="top"/>
    </xf>
    <xf numFmtId="164" fontId="25" fillId="0" borderId="1" xfId="1" applyFont="1" applyBorder="1"/>
    <xf numFmtId="0" fontId="25" fillId="0" borderId="0" xfId="0" applyFont="1"/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4" fontId="15" fillId="0" borderId="20" xfId="1" applyFont="1" applyBorder="1" applyAlignment="1">
      <alignment horizontal="right" vertical="center" wrapText="1"/>
    </xf>
    <xf numFmtId="164" fontId="15" fillId="0" borderId="25" xfId="1" applyFont="1" applyBorder="1" applyAlignment="1">
      <alignment horizontal="righ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0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8" borderId="34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7" borderId="8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 applyAlignment="1">
      <alignment horizontal="center"/>
    </xf>
    <xf numFmtId="166" fontId="0" fillId="0" borderId="20" xfId="0" applyNumberFormat="1" applyFont="1" applyBorder="1" applyAlignment="1">
      <alignment horizontal="center" vertical="center"/>
    </xf>
    <xf numFmtId="166" fontId="0" fillId="0" borderId="13" xfId="0" applyNumberFormat="1" applyFont="1" applyBorder="1" applyAlignment="1">
      <alignment horizontal="center" vertical="center"/>
    </xf>
    <xf numFmtId="166" fontId="0" fillId="0" borderId="25" xfId="0" applyNumberFormat="1" applyFont="1" applyBorder="1" applyAlignment="1">
      <alignment horizontal="center" vertical="center"/>
    </xf>
    <xf numFmtId="14" fontId="2" fillId="3" borderId="4" xfId="0" quotePrefix="1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4" fontId="2" fillId="3" borderId="1" xfId="0" quotePrefix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quotePrefix="1" applyNumberFormat="1" applyFont="1" applyFill="1" applyBorder="1" applyAlignment="1">
      <alignment horizontal="center"/>
    </xf>
    <xf numFmtId="14" fontId="2" fillId="3" borderId="3" xfId="0" quotePrefix="1" applyNumberFormat="1" applyFont="1" applyFill="1" applyBorder="1" applyAlignment="1">
      <alignment horizontal="center"/>
    </xf>
  </cellXfs>
  <cellStyles count="6">
    <cellStyle name="Hipervínculo" xfId="5" builtinId="8"/>
    <cellStyle name="Millares" xfId="1" builtinId="3"/>
    <cellStyle name="Millares 2" xfId="2"/>
    <cellStyle name="Millares 2 2" xfId="4"/>
    <cellStyle name="Millares 3" xfId="3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569432</xdr:colOff>
      <xdr:row>2</xdr:row>
      <xdr:rowOff>666750</xdr:rowOff>
    </xdr:from>
    <xdr:to>
      <xdr:col>1</xdr:col>
      <xdr:colOff>2224719</xdr:colOff>
      <xdr:row>5</xdr:row>
      <xdr:rowOff>68960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182" y="752475"/>
          <a:ext cx="1655287" cy="70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  <xdr:twoCellAnchor>
    <xdr:from>
      <xdr:col>7</xdr:col>
      <xdr:colOff>107156</xdr:colOff>
      <xdr:row>29</xdr:row>
      <xdr:rowOff>154781</xdr:rowOff>
    </xdr:from>
    <xdr:to>
      <xdr:col>9</xdr:col>
      <xdr:colOff>142875</xdr:colOff>
      <xdr:row>32</xdr:row>
      <xdr:rowOff>95250</xdr:rowOff>
    </xdr:to>
    <xdr:sp macro="" textlink="">
      <xdr:nvSpPr>
        <xdr:cNvPr id="23" name="CuadroTexto 22"/>
        <xdr:cNvSpPr txBox="1"/>
      </xdr:nvSpPr>
      <xdr:spPr>
        <a:xfrm>
          <a:off x="8774906" y="7179469"/>
          <a:ext cx="217884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Silos de 5</a:t>
          </a:r>
          <a:r>
            <a:rPr lang="es-ES" sz="1100" b="1" baseline="0">
              <a:solidFill>
                <a:srgbClr val="FF0000"/>
              </a:solidFill>
            </a:rPr>
            <a:t> anillos de pipa- Equivalente a 4 CUÑETES cada anillo</a:t>
          </a:r>
        </a:p>
        <a:p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11907</xdr:colOff>
      <xdr:row>29</xdr:row>
      <xdr:rowOff>47625</xdr:rowOff>
    </xdr:from>
    <xdr:to>
      <xdr:col>7</xdr:col>
      <xdr:colOff>246563</xdr:colOff>
      <xdr:row>58</xdr:row>
      <xdr:rowOff>52122</xdr:rowOff>
    </xdr:to>
    <xdr:grpSp>
      <xdr:nvGrpSpPr>
        <xdr:cNvPr id="27" name="Grupo 26"/>
        <xdr:cNvGrpSpPr/>
      </xdr:nvGrpSpPr>
      <xdr:grpSpPr>
        <a:xfrm>
          <a:off x="7843574" y="7085542"/>
          <a:ext cx="1081322" cy="6407413"/>
          <a:chOff x="7860515" y="7036594"/>
          <a:chExt cx="1080000" cy="6243372"/>
        </a:xfrm>
      </xdr:grpSpPr>
      <xdr:sp macro="" textlink="">
        <xdr:nvSpPr>
          <xdr:cNvPr id="28" name="Elipse 27"/>
          <xdr:cNvSpPr/>
        </xdr:nvSpPr>
        <xdr:spPr>
          <a:xfrm>
            <a:off x="7860515" y="11301401"/>
            <a:ext cx="1080000" cy="1080000"/>
          </a:xfrm>
          <a:prstGeom prst="ellipse">
            <a:avLst/>
          </a:prstGeom>
          <a:solidFill>
            <a:schemeClr val="tx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29" name="Elipse 28"/>
          <xdr:cNvSpPr/>
        </xdr:nvSpPr>
        <xdr:spPr>
          <a:xfrm>
            <a:off x="8034211" y="7128114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0" name="Elipse 29"/>
          <xdr:cNvSpPr/>
        </xdr:nvSpPr>
        <xdr:spPr>
          <a:xfrm>
            <a:off x="8034211" y="7933480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1" name="Elipse 30"/>
          <xdr:cNvSpPr/>
        </xdr:nvSpPr>
        <xdr:spPr>
          <a:xfrm>
            <a:off x="8034211" y="8754097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2" name="Elipse 31"/>
          <xdr:cNvSpPr/>
        </xdr:nvSpPr>
        <xdr:spPr>
          <a:xfrm>
            <a:off x="8034211" y="957471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33" name="Conector recto 32"/>
          <xdr:cNvCxnSpPr/>
        </xdr:nvCxnSpPr>
        <xdr:spPr>
          <a:xfrm>
            <a:off x="8034211" y="9943673"/>
            <a:ext cx="704001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ángulo 33"/>
          <xdr:cNvSpPr/>
        </xdr:nvSpPr>
        <xdr:spPr>
          <a:xfrm>
            <a:off x="7989093" y="7036594"/>
            <a:ext cx="785813" cy="330993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5" name="CuadroTexto 34"/>
          <xdr:cNvSpPr txBox="1"/>
        </xdr:nvSpPr>
        <xdr:spPr>
          <a:xfrm>
            <a:off x="8239130" y="7289259"/>
            <a:ext cx="297656" cy="429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1</a:t>
            </a:r>
          </a:p>
        </xdr:txBody>
      </xdr:sp>
      <xdr:sp macro="" textlink="">
        <xdr:nvSpPr>
          <xdr:cNvPr id="36" name="CuadroTexto 35"/>
          <xdr:cNvSpPr txBox="1"/>
        </xdr:nvSpPr>
        <xdr:spPr>
          <a:xfrm>
            <a:off x="8239130" y="8107899"/>
            <a:ext cx="297656" cy="416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2</a:t>
            </a:r>
          </a:p>
        </xdr:txBody>
      </xdr:sp>
      <xdr:sp macro="" textlink="">
        <xdr:nvSpPr>
          <xdr:cNvPr id="37" name="CuadroTexto 36"/>
          <xdr:cNvSpPr txBox="1"/>
        </xdr:nvSpPr>
        <xdr:spPr>
          <a:xfrm>
            <a:off x="8239130" y="8939172"/>
            <a:ext cx="297656" cy="429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3</a:t>
            </a:r>
          </a:p>
        </xdr:txBody>
      </xdr:sp>
      <xdr:sp macro="" textlink="">
        <xdr:nvSpPr>
          <xdr:cNvPr id="38" name="CuadroTexto 37"/>
          <xdr:cNvSpPr txBox="1"/>
        </xdr:nvSpPr>
        <xdr:spPr>
          <a:xfrm>
            <a:off x="8239130" y="9644108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4</a:t>
            </a:r>
          </a:p>
        </xdr:txBody>
      </xdr:sp>
      <xdr:sp macro="" textlink="">
        <xdr:nvSpPr>
          <xdr:cNvPr id="39" name="CuadroTexto 38"/>
          <xdr:cNvSpPr txBox="1"/>
        </xdr:nvSpPr>
        <xdr:spPr>
          <a:xfrm>
            <a:off x="8239130" y="991951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5</a:t>
            </a:r>
          </a:p>
        </xdr:txBody>
      </xdr:sp>
      <xdr:sp macro="" textlink="">
        <xdr:nvSpPr>
          <xdr:cNvPr id="40" name="CuadroTexto 39"/>
          <xdr:cNvSpPr txBox="1"/>
        </xdr:nvSpPr>
        <xdr:spPr>
          <a:xfrm>
            <a:off x="8203419" y="11656196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chemeClr val="bg1"/>
                </a:solidFill>
              </a:rPr>
              <a:t>8</a:t>
            </a:r>
          </a:p>
        </xdr:txBody>
      </xdr:sp>
      <xdr:sp macro="" textlink="">
        <xdr:nvSpPr>
          <xdr:cNvPr id="41" name="Elipse 40"/>
          <xdr:cNvSpPr/>
        </xdr:nvSpPr>
        <xdr:spPr>
          <a:xfrm>
            <a:off x="8262938" y="12703966"/>
            <a:ext cx="576000" cy="576000"/>
          </a:xfrm>
          <a:prstGeom prst="ellipse">
            <a:avLst/>
          </a:prstGeom>
          <a:solidFill>
            <a:srgbClr val="00B050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2" name="CuadroTexto 41"/>
          <xdr:cNvSpPr txBox="1"/>
        </xdr:nvSpPr>
        <xdr:spPr>
          <a:xfrm>
            <a:off x="8393913" y="12811103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43" name="Elipse 42"/>
          <xdr:cNvSpPr/>
        </xdr:nvSpPr>
        <xdr:spPr>
          <a:xfrm>
            <a:off x="8019924" y="1039386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4" name="CuadroTexto 43"/>
          <xdr:cNvSpPr txBox="1"/>
        </xdr:nvSpPr>
        <xdr:spPr>
          <a:xfrm>
            <a:off x="8141501" y="10463258"/>
            <a:ext cx="490532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6/</a:t>
            </a:r>
          </a:p>
        </xdr:txBody>
      </xdr:sp>
      <xdr:sp macro="" textlink="">
        <xdr:nvSpPr>
          <xdr:cNvPr id="45" name="CuadroTexto 44"/>
          <xdr:cNvSpPr txBox="1"/>
        </xdr:nvSpPr>
        <xdr:spPr>
          <a:xfrm>
            <a:off x="8224843" y="1073866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7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2096302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2048677" cy="98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877102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2048677" cy="986400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0</xdr:row>
      <xdr:rowOff>0</xdr:rowOff>
    </xdr:from>
    <xdr:ext cx="2048677" cy="9864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0"/>
          <a:ext cx="2048677" cy="986400"/>
        </a:xfrm>
        <a:prstGeom prst="rect">
          <a:avLst/>
        </a:prstGeom>
      </xdr:spPr>
    </xdr:pic>
    <xdr:clientData/>
  </xdr:oneCellAnchor>
  <xdr:twoCellAnchor>
    <xdr:from>
      <xdr:col>2</xdr:col>
      <xdr:colOff>466725</xdr:colOff>
      <xdr:row>29</xdr:row>
      <xdr:rowOff>142875</xdr:rowOff>
    </xdr:from>
    <xdr:to>
      <xdr:col>2</xdr:col>
      <xdr:colOff>1943100</xdr:colOff>
      <xdr:row>47</xdr:row>
      <xdr:rowOff>171450</xdr:rowOff>
    </xdr:to>
    <xdr:sp macro="" textlink="">
      <xdr:nvSpPr>
        <xdr:cNvPr id="3" name="Rectángulo 2"/>
        <xdr:cNvSpPr/>
      </xdr:nvSpPr>
      <xdr:spPr>
        <a:xfrm>
          <a:off x="1714500" y="6696075"/>
          <a:ext cx="1476375" cy="3457575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476250</xdr:colOff>
      <xdr:row>33</xdr:row>
      <xdr:rowOff>180975</xdr:rowOff>
    </xdr:from>
    <xdr:to>
      <xdr:col>2</xdr:col>
      <xdr:colOff>1924050</xdr:colOff>
      <xdr:row>34</xdr:row>
      <xdr:rowOff>0</xdr:rowOff>
    </xdr:to>
    <xdr:cxnSp macro="">
      <xdr:nvCxnSpPr>
        <xdr:cNvPr id="6" name="Conector recto 5"/>
        <xdr:cNvCxnSpPr/>
      </xdr:nvCxnSpPr>
      <xdr:spPr>
        <a:xfrm flipV="1">
          <a:off x="1724025" y="7496175"/>
          <a:ext cx="144780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43</xdr:row>
      <xdr:rowOff>0</xdr:rowOff>
    </xdr:from>
    <xdr:to>
      <xdr:col>2</xdr:col>
      <xdr:colOff>1924050</xdr:colOff>
      <xdr:row>43</xdr:row>
      <xdr:rowOff>9525</xdr:rowOff>
    </xdr:to>
    <xdr:cxnSp macro="">
      <xdr:nvCxnSpPr>
        <xdr:cNvPr id="8" name="Conector recto 7"/>
        <xdr:cNvCxnSpPr/>
      </xdr:nvCxnSpPr>
      <xdr:spPr>
        <a:xfrm flipV="1">
          <a:off x="1704975" y="9220200"/>
          <a:ext cx="14668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28</xdr:row>
      <xdr:rowOff>9526</xdr:rowOff>
    </xdr:from>
    <xdr:to>
      <xdr:col>2</xdr:col>
      <xdr:colOff>1533525</xdr:colOff>
      <xdr:row>29</xdr:row>
      <xdr:rowOff>104776</xdr:rowOff>
    </xdr:to>
    <xdr:sp macro="" textlink="">
      <xdr:nvSpPr>
        <xdr:cNvPr id="9" name="CuadroTexto 8"/>
        <xdr:cNvSpPr txBox="1"/>
      </xdr:nvSpPr>
      <xdr:spPr>
        <a:xfrm>
          <a:off x="1800225" y="5934076"/>
          <a:ext cx="981075" cy="28575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1">
              <a:latin typeface="Aharoni" panose="02010803020104030203" pitchFamily="2" charset="-79"/>
              <a:cs typeface="Aharoni" panose="02010803020104030203" pitchFamily="2" charset="-79"/>
            </a:rPr>
            <a:t>AESIP</a:t>
          </a:r>
        </a:p>
      </xdr:txBody>
    </xdr:sp>
    <xdr:clientData/>
  </xdr:twoCellAnchor>
  <xdr:twoCellAnchor>
    <xdr:from>
      <xdr:col>2</xdr:col>
      <xdr:colOff>1</xdr:colOff>
      <xdr:row>30</xdr:row>
      <xdr:rowOff>152400</xdr:rowOff>
    </xdr:from>
    <xdr:to>
      <xdr:col>2</xdr:col>
      <xdr:colOff>228601</xdr:colOff>
      <xdr:row>32</xdr:row>
      <xdr:rowOff>114300</xdr:rowOff>
    </xdr:to>
    <xdr:sp macro="" textlink="">
      <xdr:nvSpPr>
        <xdr:cNvPr id="11" name="CuadroTexto 10"/>
        <xdr:cNvSpPr txBox="1"/>
      </xdr:nvSpPr>
      <xdr:spPr>
        <a:xfrm>
          <a:off x="1247776" y="64674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A</a:t>
          </a:r>
        </a:p>
      </xdr:txBody>
    </xdr:sp>
    <xdr:clientData/>
  </xdr:twoCellAnchor>
  <xdr:twoCellAnchor>
    <xdr:from>
      <xdr:col>2</xdr:col>
      <xdr:colOff>476249</xdr:colOff>
      <xdr:row>29</xdr:row>
      <xdr:rowOff>180973</xdr:rowOff>
    </xdr:from>
    <xdr:to>
      <xdr:col>2</xdr:col>
      <xdr:colOff>1676400</xdr:colOff>
      <xdr:row>32</xdr:row>
      <xdr:rowOff>28574</xdr:rowOff>
    </xdr:to>
    <xdr:sp macro="" textlink="">
      <xdr:nvSpPr>
        <xdr:cNvPr id="12" name="CuadroTexto 11"/>
        <xdr:cNvSpPr txBox="1"/>
      </xdr:nvSpPr>
      <xdr:spPr>
        <a:xfrm>
          <a:off x="1724024" y="6734173"/>
          <a:ext cx="1200151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CS</a:t>
          </a:r>
          <a:r>
            <a:rPr lang="es-ES" sz="800" b="0"/>
            <a:t>-Cascos de seguridad </a:t>
          </a:r>
        </a:p>
      </xdr:txBody>
    </xdr:sp>
    <xdr:clientData/>
  </xdr:twoCellAnchor>
  <xdr:twoCellAnchor>
    <xdr:from>
      <xdr:col>2</xdr:col>
      <xdr:colOff>438149</xdr:colOff>
      <xdr:row>33</xdr:row>
      <xdr:rowOff>180976</xdr:rowOff>
    </xdr:from>
    <xdr:to>
      <xdr:col>2</xdr:col>
      <xdr:colOff>1895474</xdr:colOff>
      <xdr:row>37</xdr:row>
      <xdr:rowOff>66675</xdr:rowOff>
    </xdr:to>
    <xdr:sp macro="" textlink="">
      <xdr:nvSpPr>
        <xdr:cNvPr id="13" name="CuadroTexto 12"/>
        <xdr:cNvSpPr txBox="1"/>
      </xdr:nvSpPr>
      <xdr:spPr>
        <a:xfrm>
          <a:off x="1685924" y="7496176"/>
          <a:ext cx="1457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desechables 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-bragas de tela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-Camisa manga larga</a:t>
          </a:r>
          <a:endParaRPr lang="es-ES" sz="800">
            <a:effectLst/>
          </a:endParaRPr>
        </a:p>
        <a:p>
          <a:endParaRPr lang="es-ES" sz="800" b="0"/>
        </a:p>
      </xdr:txBody>
    </xdr:sp>
    <xdr:clientData/>
  </xdr:twoCellAnchor>
  <xdr:twoCellAnchor>
    <xdr:from>
      <xdr:col>1</xdr:col>
      <xdr:colOff>914401</xdr:colOff>
      <xdr:row>35</xdr:row>
      <xdr:rowOff>0</xdr:rowOff>
    </xdr:from>
    <xdr:to>
      <xdr:col>2</xdr:col>
      <xdr:colOff>209551</xdr:colOff>
      <xdr:row>36</xdr:row>
      <xdr:rowOff>152400</xdr:rowOff>
    </xdr:to>
    <xdr:sp macro="" textlink="">
      <xdr:nvSpPr>
        <xdr:cNvPr id="14" name="CuadroTexto 13"/>
        <xdr:cNvSpPr txBox="1"/>
      </xdr:nvSpPr>
      <xdr:spPr>
        <a:xfrm>
          <a:off x="1228726" y="72675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B</a:t>
          </a:r>
        </a:p>
      </xdr:txBody>
    </xdr:sp>
    <xdr:clientData/>
  </xdr:twoCellAnchor>
  <xdr:twoCellAnchor>
    <xdr:from>
      <xdr:col>1</xdr:col>
      <xdr:colOff>904876</xdr:colOff>
      <xdr:row>39</xdr:row>
      <xdr:rowOff>104775</xdr:rowOff>
    </xdr:from>
    <xdr:to>
      <xdr:col>2</xdr:col>
      <xdr:colOff>200026</xdr:colOff>
      <xdr:row>41</xdr:row>
      <xdr:rowOff>66675</xdr:rowOff>
    </xdr:to>
    <xdr:sp macro="" textlink="">
      <xdr:nvSpPr>
        <xdr:cNvPr id="15" name="CuadroTexto 14"/>
        <xdr:cNvSpPr txBox="1"/>
      </xdr:nvSpPr>
      <xdr:spPr>
        <a:xfrm>
          <a:off x="1219201" y="8134350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C</a:t>
          </a:r>
        </a:p>
      </xdr:txBody>
    </xdr:sp>
    <xdr:clientData/>
  </xdr:twoCellAnchor>
  <xdr:twoCellAnchor>
    <xdr:from>
      <xdr:col>1</xdr:col>
      <xdr:colOff>895351</xdr:colOff>
      <xdr:row>44</xdr:row>
      <xdr:rowOff>76200</xdr:rowOff>
    </xdr:from>
    <xdr:to>
      <xdr:col>2</xdr:col>
      <xdr:colOff>190501</xdr:colOff>
      <xdr:row>46</xdr:row>
      <xdr:rowOff>38100</xdr:rowOff>
    </xdr:to>
    <xdr:sp macro="" textlink="">
      <xdr:nvSpPr>
        <xdr:cNvPr id="16" name="CuadroTexto 15"/>
        <xdr:cNvSpPr txBox="1"/>
      </xdr:nvSpPr>
      <xdr:spPr>
        <a:xfrm>
          <a:off x="1209676" y="90582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D</a:t>
          </a:r>
        </a:p>
      </xdr:txBody>
    </xdr:sp>
    <xdr:clientData/>
  </xdr:twoCellAnchor>
  <xdr:twoCellAnchor>
    <xdr:from>
      <xdr:col>2</xdr:col>
      <xdr:colOff>440330</xdr:colOff>
      <xdr:row>37</xdr:row>
      <xdr:rowOff>181433</xdr:rowOff>
    </xdr:from>
    <xdr:to>
      <xdr:col>2</xdr:col>
      <xdr:colOff>2032153</xdr:colOff>
      <xdr:row>43</xdr:row>
      <xdr:rowOff>23327</xdr:rowOff>
    </xdr:to>
    <xdr:sp macro="" textlink="">
      <xdr:nvSpPr>
        <xdr:cNvPr id="17" name="CuadroTexto 16"/>
        <xdr:cNvSpPr txBox="1"/>
      </xdr:nvSpPr>
      <xdr:spPr>
        <a:xfrm>
          <a:off x="1691203" y="8501463"/>
          <a:ext cx="1591823" cy="978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ascarilla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anti-polvo 1 cartucho.</a:t>
          </a:r>
          <a:endParaRPr lang="es-ES" sz="800">
            <a:effectLst/>
          </a:endParaRPr>
        </a:p>
        <a:p>
          <a:pPr algn="l"/>
          <a:r>
            <a:rPr lang="es-ES" sz="800" b="1"/>
            <a:t>MA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Mascarilla anti-polvo 1 cartucho.</a:t>
          </a:r>
        </a:p>
        <a:p>
          <a:pPr algn="l"/>
          <a:r>
            <a:rPr lang="es-ES" sz="800" b="1"/>
            <a:t>L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Lentes de seguridad</a:t>
          </a:r>
        </a:p>
        <a:p>
          <a:pPr algn="l"/>
          <a:r>
            <a:rPr lang="es-ES" sz="800" b="1"/>
            <a:t>PA</a:t>
          </a:r>
          <a:r>
            <a:rPr lang="es-ES" sz="800" b="0"/>
            <a:t>-Protectores auditivos</a:t>
          </a:r>
        </a:p>
        <a:p>
          <a:pPr algn="l"/>
          <a:r>
            <a:rPr lang="es-ES" sz="800" b="1"/>
            <a:t>BS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Botas de seguridad</a:t>
          </a:r>
        </a:p>
      </xdr:txBody>
    </xdr:sp>
    <xdr:clientData/>
  </xdr:twoCellAnchor>
  <xdr:twoCellAnchor>
    <xdr:from>
      <xdr:col>2</xdr:col>
      <xdr:colOff>438149</xdr:colOff>
      <xdr:row>43</xdr:row>
      <xdr:rowOff>19048</xdr:rowOff>
    </xdr:from>
    <xdr:to>
      <xdr:col>2</xdr:col>
      <xdr:colOff>1952624</xdr:colOff>
      <xdr:row>48</xdr:row>
      <xdr:rowOff>28575</xdr:rowOff>
    </xdr:to>
    <xdr:sp macro="" textlink="">
      <xdr:nvSpPr>
        <xdr:cNvPr id="18" name="CuadroTexto 17"/>
        <xdr:cNvSpPr txBox="1"/>
      </xdr:nvSpPr>
      <xdr:spPr>
        <a:xfrm>
          <a:off x="1685924" y="9239248"/>
          <a:ext cx="1514475" cy="962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DT-</a:t>
          </a:r>
          <a:r>
            <a:rPr lang="es-ES" sz="800" b="0" baseline="0"/>
            <a:t> </a:t>
          </a:r>
          <a:r>
            <a:rPr lang="es-ES" sz="800" b="0"/>
            <a:t>Delantales</a:t>
          </a:r>
          <a:r>
            <a:rPr lang="es-ES" sz="800" b="0" baseline="0"/>
            <a:t> de tela</a:t>
          </a:r>
        </a:p>
        <a:p>
          <a:pPr algn="l"/>
          <a:r>
            <a:rPr lang="es-ES" sz="800" b="1" baseline="0"/>
            <a:t>GT-</a:t>
          </a:r>
          <a:r>
            <a:rPr lang="es-ES" sz="800" b="0" baseline="0"/>
            <a:t> Guantes de tela</a:t>
          </a:r>
        </a:p>
        <a:p>
          <a:pPr algn="l"/>
          <a:r>
            <a:rPr lang="es-ES" sz="800" b="1" baseline="0"/>
            <a:t>FC</a:t>
          </a:r>
          <a:r>
            <a:rPr lang="es-ES" sz="800" b="0" baseline="0"/>
            <a:t>- Franela chs+-</a:t>
          </a:r>
        </a:p>
        <a:p>
          <a:pPr algn="l"/>
          <a:r>
            <a:rPr lang="es-ES" sz="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es-ES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ES" sz="800" b="0" baseline="0"/>
            <a:t>Tapabocas chs+</a:t>
          </a:r>
        </a:p>
        <a:p>
          <a:pPr algn="l"/>
          <a:r>
            <a:rPr lang="es-ES" sz="800" b="1" baseline="0"/>
            <a:t>TN</a:t>
          </a:r>
          <a:r>
            <a:rPr lang="es-ES" sz="800" b="0" baseline="0"/>
            <a:t>+Tapabocas negros</a:t>
          </a:r>
        </a:p>
        <a:p>
          <a:pPr algn="l"/>
          <a:r>
            <a:rPr lang="es-ES" sz="800" b="1" baseline="0"/>
            <a:t>CM</a:t>
          </a:r>
          <a:r>
            <a:rPr lang="es-ES" sz="800" b="0" baseline="0"/>
            <a:t>+Cartuchos de mascarilla</a:t>
          </a:r>
        </a:p>
      </xdr:txBody>
    </xdr:sp>
    <xdr:clientData/>
  </xdr:twoCellAnchor>
  <xdr:twoCellAnchor>
    <xdr:from>
      <xdr:col>2</xdr:col>
      <xdr:colOff>466725</xdr:colOff>
      <xdr:row>38</xdr:row>
      <xdr:rowOff>0</xdr:rowOff>
    </xdr:from>
    <xdr:to>
      <xdr:col>2</xdr:col>
      <xdr:colOff>1971675</xdr:colOff>
      <xdr:row>38</xdr:row>
      <xdr:rowOff>9525</xdr:rowOff>
    </xdr:to>
    <xdr:cxnSp macro="">
      <xdr:nvCxnSpPr>
        <xdr:cNvPr id="20" name="Conector recto 19"/>
        <xdr:cNvCxnSpPr/>
      </xdr:nvCxnSpPr>
      <xdr:spPr>
        <a:xfrm flipV="1">
          <a:off x="1714500" y="8267700"/>
          <a:ext cx="15049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0"/>
          <a:ext cx="2048677" cy="986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S+Inv.Coro%202022%20ENE-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10-05-21"/>
      <sheetName val="FORMULA 23-09-21 "/>
      <sheetName val="INVENTARIO MATERIAS PRIMAS"/>
      <sheetName val="INVENTARIO PRODUCTO TERMINADO"/>
      <sheetName val="INVENTARIO BOLSAS TERMINADA"/>
      <sheetName val="INVENTARIODE E.P."/>
      <sheetName val="INVENTARIO DE ESI"/>
      <sheetName val="FORMULA 04-12-20"/>
      <sheetName val="Hoja1"/>
      <sheetName val="Hoja2"/>
      <sheetName val="REGISTRO DE MATERIA PRIM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52" zoomScale="120" zoomScaleNormal="120" workbookViewId="0">
      <selection activeCell="I59" sqref="I59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1.14062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28.140625" customWidth="1"/>
  </cols>
  <sheetData>
    <row r="1" spans="1:9" ht="6.75" customHeight="1" x14ac:dyDescent="0.25"/>
    <row r="2" spans="1:9" hidden="1" x14ac:dyDescent="0.25"/>
    <row r="3" spans="1:9" ht="60.75" customHeight="1" x14ac:dyDescent="0.25">
      <c r="A3" s="14"/>
      <c r="B3" s="8"/>
      <c r="C3" s="8"/>
      <c r="D3" s="14"/>
      <c r="E3" s="15"/>
      <c r="F3" s="15"/>
      <c r="G3" s="8"/>
      <c r="H3" s="163"/>
    </row>
    <row r="4" spans="1:9" ht="26.25" x14ac:dyDescent="0.25">
      <c r="A4" s="16"/>
      <c r="B4" s="9"/>
      <c r="C4" s="9" t="s">
        <v>40</v>
      </c>
      <c r="D4" s="16"/>
      <c r="E4" s="9"/>
      <c r="F4" s="9"/>
      <c r="G4" s="9"/>
      <c r="H4" s="16"/>
    </row>
    <row r="5" spans="1:9" ht="15.75" thickBot="1" x14ac:dyDescent="0.3">
      <c r="B5" s="17"/>
      <c r="D5" s="451" t="s">
        <v>237</v>
      </c>
      <c r="E5" s="451"/>
      <c r="G5" s="116"/>
      <c r="I5" s="63">
        <v>44602</v>
      </c>
    </row>
    <row r="6" spans="1:9" ht="16.5" thickBot="1" x14ac:dyDescent="0.3">
      <c r="B6" s="18" t="s">
        <v>41</v>
      </c>
      <c r="C6" s="19" t="s">
        <v>42</v>
      </c>
      <c r="D6" s="20" t="s">
        <v>43</v>
      </c>
      <c r="E6" s="21" t="s">
        <v>27</v>
      </c>
      <c r="F6" s="239" t="s">
        <v>329</v>
      </c>
      <c r="G6" s="452" t="s">
        <v>222</v>
      </c>
      <c r="H6" s="453"/>
    </row>
    <row r="7" spans="1:9" ht="15.75" thickBot="1" x14ac:dyDescent="0.3">
      <c r="A7" s="22">
        <v>1</v>
      </c>
      <c r="B7" s="23" t="s">
        <v>316</v>
      </c>
      <c r="C7" s="24" t="s">
        <v>318</v>
      </c>
      <c r="D7" s="25" t="s">
        <v>44</v>
      </c>
      <c r="E7" s="26">
        <v>10</v>
      </c>
      <c r="F7" s="138">
        <v>10</v>
      </c>
      <c r="G7" s="454" t="s">
        <v>223</v>
      </c>
      <c r="H7" s="455"/>
    </row>
    <row r="8" spans="1:9" ht="15.75" thickBot="1" x14ac:dyDescent="0.3">
      <c r="A8" s="281">
        <v>2</v>
      </c>
      <c r="B8" s="272" t="s">
        <v>317</v>
      </c>
      <c r="C8" s="27" t="s">
        <v>319</v>
      </c>
      <c r="D8" s="28" t="s">
        <v>44</v>
      </c>
      <c r="E8" s="29">
        <v>10</v>
      </c>
      <c r="F8" s="275">
        <v>10</v>
      </c>
      <c r="G8" s="454" t="s">
        <v>223</v>
      </c>
      <c r="H8" s="455"/>
    </row>
    <row r="9" spans="1:9" ht="15" customHeight="1" x14ac:dyDescent="0.25">
      <c r="A9" s="411">
        <v>3</v>
      </c>
      <c r="B9" s="414" t="s">
        <v>221</v>
      </c>
      <c r="C9" s="30" t="s">
        <v>320</v>
      </c>
      <c r="D9" s="31" t="s">
        <v>44</v>
      </c>
      <c r="E9" s="32">
        <v>35</v>
      </c>
      <c r="F9" s="456">
        <f>SUM(E9:E12)</f>
        <v>75.185000000000002</v>
      </c>
      <c r="G9" s="146" t="s">
        <v>326</v>
      </c>
      <c r="H9" s="164">
        <f>+F9/0.75</f>
        <v>100.24666666666667</v>
      </c>
    </row>
    <row r="10" spans="1:9" x14ac:dyDescent="0.25">
      <c r="A10" s="412"/>
      <c r="B10" s="415"/>
      <c r="C10" s="33" t="s">
        <v>321</v>
      </c>
      <c r="D10" s="34" t="s">
        <v>44</v>
      </c>
      <c r="E10" s="35">
        <v>15</v>
      </c>
      <c r="F10" s="457"/>
      <c r="G10" s="147"/>
      <c r="H10" s="165"/>
    </row>
    <row r="11" spans="1:9" x14ac:dyDescent="0.25">
      <c r="A11" s="412"/>
      <c r="B11" s="421"/>
      <c r="C11" s="36" t="s">
        <v>322</v>
      </c>
      <c r="D11" s="37" t="s">
        <v>44</v>
      </c>
      <c r="E11" s="38">
        <v>25</v>
      </c>
      <c r="F11" s="457"/>
      <c r="G11" s="148" t="s">
        <v>327</v>
      </c>
      <c r="H11" s="201">
        <f>+F9/3</f>
        <v>25.061666666666667</v>
      </c>
      <c r="I11" s="268"/>
    </row>
    <row r="12" spans="1:9" x14ac:dyDescent="0.25">
      <c r="A12" s="412"/>
      <c r="B12" s="421"/>
      <c r="C12" s="36" t="s">
        <v>323</v>
      </c>
      <c r="D12" s="37" t="s">
        <v>44</v>
      </c>
      <c r="E12" s="38">
        <v>0.185</v>
      </c>
      <c r="F12" s="457"/>
      <c r="G12" s="147"/>
      <c r="H12" s="165"/>
    </row>
    <row r="13" spans="1:9" ht="15.75" thickBot="1" x14ac:dyDescent="0.3">
      <c r="A13" s="413"/>
      <c r="B13" s="421"/>
      <c r="C13" s="36" t="s">
        <v>324</v>
      </c>
      <c r="D13" s="37" t="s">
        <v>45</v>
      </c>
      <c r="E13" s="38">
        <v>60</v>
      </c>
      <c r="F13" s="458"/>
      <c r="G13" s="148" t="s">
        <v>328</v>
      </c>
      <c r="H13" s="166">
        <f>+F9/8</f>
        <v>9.3981250000000003</v>
      </c>
      <c r="I13" s="338"/>
    </row>
    <row r="14" spans="1:9" x14ac:dyDescent="0.25">
      <c r="A14" s="446">
        <v>4</v>
      </c>
      <c r="B14" s="445" t="s">
        <v>325</v>
      </c>
      <c r="C14" s="282" t="s">
        <v>330</v>
      </c>
      <c r="D14" s="283" t="s">
        <v>44</v>
      </c>
      <c r="E14" s="284">
        <v>40</v>
      </c>
      <c r="F14" s="448">
        <f>SUM(E14:E21)</f>
        <v>121.15</v>
      </c>
      <c r="G14" s="285"/>
      <c r="H14" s="286"/>
      <c r="I14" s="339"/>
    </row>
    <row r="15" spans="1:9" x14ac:dyDescent="0.25">
      <c r="A15" s="446"/>
      <c r="B15" s="438"/>
      <c r="C15" s="287" t="s">
        <v>331</v>
      </c>
      <c r="D15" s="288" t="s">
        <v>44</v>
      </c>
      <c r="E15" s="289">
        <v>10</v>
      </c>
      <c r="F15" s="449"/>
      <c r="G15" s="290"/>
      <c r="H15" s="291"/>
      <c r="I15" s="95"/>
    </row>
    <row r="16" spans="1:9" x14ac:dyDescent="0.25">
      <c r="A16" s="446"/>
      <c r="B16" s="438"/>
      <c r="C16" s="292" t="s">
        <v>337</v>
      </c>
      <c r="D16" s="288" t="s">
        <v>44</v>
      </c>
      <c r="E16" s="293">
        <v>10</v>
      </c>
      <c r="F16" s="449"/>
      <c r="G16" s="294" t="s">
        <v>338</v>
      </c>
      <c r="H16" s="295">
        <f>+F14/6</f>
        <v>20.191666666666666</v>
      </c>
      <c r="I16" s="95"/>
    </row>
    <row r="17" spans="1:9" x14ac:dyDescent="0.25">
      <c r="A17" s="412"/>
      <c r="B17" s="438"/>
      <c r="C17" s="292" t="s">
        <v>332</v>
      </c>
      <c r="D17" s="288" t="s">
        <v>44</v>
      </c>
      <c r="E17" s="293">
        <v>25</v>
      </c>
      <c r="F17" s="449"/>
      <c r="G17" s="290"/>
      <c r="H17" s="295"/>
      <c r="I17" s="95"/>
    </row>
    <row r="18" spans="1:9" x14ac:dyDescent="0.25">
      <c r="A18" s="412"/>
      <c r="B18" s="438"/>
      <c r="C18" s="292" t="s">
        <v>333</v>
      </c>
      <c r="D18" s="288" t="s">
        <v>44</v>
      </c>
      <c r="E18" s="293">
        <v>0.15</v>
      </c>
      <c r="F18" s="449"/>
      <c r="G18" s="290"/>
      <c r="H18" s="295"/>
      <c r="I18" s="95"/>
    </row>
    <row r="19" spans="1:9" x14ac:dyDescent="0.25">
      <c r="A19" s="412"/>
      <c r="B19" s="438"/>
      <c r="C19" s="292" t="s">
        <v>334</v>
      </c>
      <c r="D19" s="288" t="s">
        <v>44</v>
      </c>
      <c r="E19" s="293">
        <v>4</v>
      </c>
      <c r="F19" s="449"/>
      <c r="G19" s="290"/>
      <c r="H19" s="295"/>
      <c r="I19" s="95"/>
    </row>
    <row r="20" spans="1:9" x14ac:dyDescent="0.25">
      <c r="A20" s="412"/>
      <c r="B20" s="438"/>
      <c r="C20" s="292" t="s">
        <v>335</v>
      </c>
      <c r="D20" s="288" t="s">
        <v>44</v>
      </c>
      <c r="E20" s="293">
        <v>16</v>
      </c>
      <c r="F20" s="449"/>
      <c r="G20" s="294" t="s">
        <v>339</v>
      </c>
      <c r="H20" s="295">
        <f>+F14/15</f>
        <v>8.0766666666666662</v>
      </c>
      <c r="I20" s="95"/>
    </row>
    <row r="21" spans="1:9" ht="15.75" thickBot="1" x14ac:dyDescent="0.3">
      <c r="A21" s="420"/>
      <c r="B21" s="438"/>
      <c r="C21" s="296" t="s">
        <v>336</v>
      </c>
      <c r="D21" s="297" t="s">
        <v>44</v>
      </c>
      <c r="E21" s="298">
        <v>16</v>
      </c>
      <c r="F21" s="450"/>
      <c r="G21" s="299"/>
      <c r="H21" s="300"/>
      <c r="I21" s="75"/>
    </row>
    <row r="22" spans="1:9" x14ac:dyDescent="0.25">
      <c r="A22" s="411">
        <v>5</v>
      </c>
      <c r="B22" s="447" t="s">
        <v>245</v>
      </c>
      <c r="C22" s="97" t="s">
        <v>330</v>
      </c>
      <c r="D22" s="100" t="s">
        <v>44</v>
      </c>
      <c r="E22" s="87">
        <v>40</v>
      </c>
      <c r="F22" s="428">
        <f>SUM(E22:E28)</f>
        <v>105.1</v>
      </c>
      <c r="G22" s="153" t="s">
        <v>228</v>
      </c>
      <c r="H22" s="167">
        <f>+F22/7</f>
        <v>15.014285714285714</v>
      </c>
      <c r="I22" s="186"/>
    </row>
    <row r="23" spans="1:9" x14ac:dyDescent="0.25">
      <c r="A23" s="446"/>
      <c r="B23" s="422"/>
      <c r="C23" s="238" t="s">
        <v>331</v>
      </c>
      <c r="D23" s="100" t="s">
        <v>44</v>
      </c>
      <c r="E23" s="129">
        <v>10</v>
      </c>
      <c r="F23" s="444"/>
      <c r="G23" s="153"/>
      <c r="H23" s="168"/>
      <c r="I23" s="186"/>
    </row>
    <row r="24" spans="1:9" x14ac:dyDescent="0.25">
      <c r="A24" s="446"/>
      <c r="B24" s="422"/>
      <c r="C24" s="98" t="s">
        <v>337</v>
      </c>
      <c r="D24" s="100" t="s">
        <v>44</v>
      </c>
      <c r="E24" s="89">
        <v>10</v>
      </c>
      <c r="F24" s="444"/>
      <c r="G24" s="153"/>
      <c r="H24" s="168"/>
    </row>
    <row r="25" spans="1:9" x14ac:dyDescent="0.25">
      <c r="A25" s="412"/>
      <c r="B25" s="422"/>
      <c r="C25" s="98" t="s">
        <v>332</v>
      </c>
      <c r="D25" s="100" t="s">
        <v>44</v>
      </c>
      <c r="E25" s="89">
        <v>25</v>
      </c>
      <c r="F25" s="444"/>
      <c r="G25" s="153" t="s">
        <v>229</v>
      </c>
      <c r="H25" s="168">
        <f>+F22/10</f>
        <v>10.51</v>
      </c>
      <c r="I25" s="186"/>
    </row>
    <row r="26" spans="1:9" x14ac:dyDescent="0.25">
      <c r="A26" s="412"/>
      <c r="B26" s="422"/>
      <c r="C26" s="84" t="s">
        <v>333</v>
      </c>
      <c r="D26" s="88" t="s">
        <v>44</v>
      </c>
      <c r="E26" s="89">
        <v>0.1</v>
      </c>
      <c r="F26" s="444"/>
      <c r="G26" s="153"/>
      <c r="H26" s="168"/>
      <c r="I26" s="186"/>
    </row>
    <row r="27" spans="1:9" x14ac:dyDescent="0.25">
      <c r="A27" s="420"/>
      <c r="B27" s="422"/>
      <c r="C27" s="98" t="s">
        <v>334</v>
      </c>
      <c r="D27" s="100" t="s">
        <v>44</v>
      </c>
      <c r="E27" s="89">
        <v>4</v>
      </c>
      <c r="F27" s="444"/>
      <c r="G27" s="153" t="s">
        <v>227</v>
      </c>
      <c r="H27" s="168">
        <f>+F22/15</f>
        <v>7.0066666666666659</v>
      </c>
      <c r="I27" s="186"/>
    </row>
    <row r="28" spans="1:9" ht="15.75" thickBot="1" x14ac:dyDescent="0.3">
      <c r="A28" s="413"/>
      <c r="B28" s="423"/>
      <c r="C28" s="98" t="s">
        <v>335</v>
      </c>
      <c r="D28" s="100" t="s">
        <v>44</v>
      </c>
      <c r="E28" s="89">
        <v>16</v>
      </c>
      <c r="F28" s="429"/>
      <c r="G28" s="152"/>
      <c r="H28" s="144"/>
      <c r="I28" s="186"/>
    </row>
    <row r="29" spans="1:9" x14ac:dyDescent="0.25">
      <c r="A29" s="411">
        <v>6</v>
      </c>
      <c r="B29" s="447" t="s">
        <v>225</v>
      </c>
      <c r="C29" s="97" t="s">
        <v>330</v>
      </c>
      <c r="D29" s="100" t="s">
        <v>44</v>
      </c>
      <c r="E29" s="87">
        <v>40</v>
      </c>
      <c r="F29" s="428">
        <f>SUM(E29:E35)</f>
        <v>105.1</v>
      </c>
      <c r="G29" s="149"/>
      <c r="H29" s="136"/>
      <c r="I29" s="197"/>
    </row>
    <row r="30" spans="1:9" x14ac:dyDescent="0.25">
      <c r="A30" s="446"/>
      <c r="B30" s="422"/>
      <c r="C30" s="238" t="s">
        <v>331</v>
      </c>
      <c r="D30" s="100" t="s">
        <v>44</v>
      </c>
      <c r="E30" s="129">
        <v>10</v>
      </c>
      <c r="F30" s="444"/>
      <c r="G30" s="150"/>
      <c r="H30" s="137"/>
    </row>
    <row r="31" spans="1:9" x14ac:dyDescent="0.25">
      <c r="A31" s="412"/>
      <c r="B31" s="422"/>
      <c r="C31" s="98" t="s">
        <v>337</v>
      </c>
      <c r="D31" s="100" t="s">
        <v>44</v>
      </c>
      <c r="E31" s="89">
        <v>10</v>
      </c>
      <c r="F31" s="444"/>
      <c r="G31" s="150"/>
      <c r="H31" s="137"/>
    </row>
    <row r="32" spans="1:9" x14ac:dyDescent="0.25">
      <c r="A32" s="412"/>
      <c r="B32" s="422"/>
      <c r="C32" s="98" t="s">
        <v>355</v>
      </c>
      <c r="D32" s="100" t="s">
        <v>44</v>
      </c>
      <c r="E32" s="89">
        <v>25</v>
      </c>
      <c r="F32" s="444"/>
      <c r="G32" s="153" t="s">
        <v>227</v>
      </c>
      <c r="H32" s="168">
        <f>+F29/15</f>
        <v>7.0066666666666659</v>
      </c>
      <c r="I32" s="1"/>
    </row>
    <row r="33" spans="1:9" x14ac:dyDescent="0.25">
      <c r="A33" s="420"/>
      <c r="B33" s="422"/>
      <c r="C33" s="84" t="s">
        <v>333</v>
      </c>
      <c r="D33" s="88" t="s">
        <v>44</v>
      </c>
      <c r="E33" s="89">
        <v>0.1</v>
      </c>
      <c r="F33" s="444"/>
      <c r="G33" s="150"/>
      <c r="H33" s="137"/>
      <c r="I33" s="197"/>
    </row>
    <row r="34" spans="1:9" x14ac:dyDescent="0.25">
      <c r="A34" s="420"/>
      <c r="B34" s="422"/>
      <c r="C34" s="98" t="s">
        <v>334</v>
      </c>
      <c r="D34" s="100" t="s">
        <v>44</v>
      </c>
      <c r="E34" s="89">
        <v>4</v>
      </c>
      <c r="F34" s="444"/>
      <c r="G34" s="150"/>
      <c r="H34" s="137"/>
      <c r="I34" s="197"/>
    </row>
    <row r="35" spans="1:9" ht="15.75" thickBot="1" x14ac:dyDescent="0.3">
      <c r="A35" s="420"/>
      <c r="B35" s="422"/>
      <c r="C35" s="98" t="s">
        <v>335</v>
      </c>
      <c r="D35" s="100" t="s">
        <v>44</v>
      </c>
      <c r="E35" s="89">
        <v>16</v>
      </c>
      <c r="F35" s="444"/>
      <c r="G35" s="150"/>
      <c r="H35" s="137"/>
    </row>
    <row r="36" spans="1:9" x14ac:dyDescent="0.25">
      <c r="A36" s="411">
        <v>7</v>
      </c>
      <c r="B36" s="447" t="s">
        <v>224</v>
      </c>
      <c r="C36" s="97" t="s">
        <v>330</v>
      </c>
      <c r="D36" s="100" t="s">
        <v>44</v>
      </c>
      <c r="E36" s="87">
        <v>40</v>
      </c>
      <c r="F36" s="428">
        <f>SUM(E36:E42)</f>
        <v>105.1</v>
      </c>
      <c r="G36" s="155"/>
      <c r="H36" s="142"/>
    </row>
    <row r="37" spans="1:9" x14ac:dyDescent="0.25">
      <c r="A37" s="446"/>
      <c r="B37" s="422"/>
      <c r="C37" s="238" t="s">
        <v>331</v>
      </c>
      <c r="D37" s="100" t="s">
        <v>44</v>
      </c>
      <c r="E37" s="129">
        <v>10</v>
      </c>
      <c r="F37" s="444"/>
      <c r="G37" s="151"/>
      <c r="H37" s="143"/>
    </row>
    <row r="38" spans="1:9" x14ac:dyDescent="0.25">
      <c r="A38" s="412"/>
      <c r="B38" s="422"/>
      <c r="C38" s="98" t="s">
        <v>337</v>
      </c>
      <c r="D38" s="100" t="s">
        <v>44</v>
      </c>
      <c r="E38" s="89">
        <v>10</v>
      </c>
      <c r="F38" s="444"/>
      <c r="G38" s="153" t="s">
        <v>228</v>
      </c>
      <c r="H38" s="143">
        <f>+F36/7</f>
        <v>15.014285714285714</v>
      </c>
    </row>
    <row r="39" spans="1:9" x14ac:dyDescent="0.25">
      <c r="A39" s="412"/>
      <c r="B39" s="422"/>
      <c r="C39" s="98" t="s">
        <v>332</v>
      </c>
      <c r="D39" s="100" t="s">
        <v>44</v>
      </c>
      <c r="E39" s="89">
        <v>25</v>
      </c>
      <c r="F39" s="444"/>
      <c r="G39" s="151"/>
      <c r="H39" s="143"/>
    </row>
    <row r="40" spans="1:9" x14ac:dyDescent="0.25">
      <c r="A40" s="420"/>
      <c r="B40" s="422"/>
      <c r="C40" s="84" t="s">
        <v>333</v>
      </c>
      <c r="D40" s="88" t="s">
        <v>44</v>
      </c>
      <c r="E40" s="89">
        <v>0.1</v>
      </c>
      <c r="F40" s="444"/>
      <c r="G40" s="151"/>
      <c r="H40" s="143"/>
    </row>
    <row r="41" spans="1:9" x14ac:dyDescent="0.25">
      <c r="A41" s="420"/>
      <c r="B41" s="422"/>
      <c r="C41" s="98" t="s">
        <v>334</v>
      </c>
      <c r="D41" s="100" t="s">
        <v>44</v>
      </c>
      <c r="E41" s="89">
        <v>4</v>
      </c>
      <c r="F41" s="444"/>
      <c r="G41" s="151"/>
      <c r="H41" s="143"/>
    </row>
    <row r="42" spans="1:9" ht="15.75" thickBot="1" x14ac:dyDescent="0.3">
      <c r="A42" s="420"/>
      <c r="B42" s="422"/>
      <c r="C42" s="98" t="s">
        <v>335</v>
      </c>
      <c r="D42" s="100" t="s">
        <v>44</v>
      </c>
      <c r="E42" s="89">
        <v>16</v>
      </c>
      <c r="F42" s="444"/>
      <c r="G42" s="151"/>
      <c r="H42" s="143"/>
    </row>
    <row r="43" spans="1:9" x14ac:dyDescent="0.25">
      <c r="A43" s="411">
        <v>8</v>
      </c>
      <c r="B43" s="445" t="s">
        <v>168</v>
      </c>
      <c r="C43" s="39" t="s">
        <v>356</v>
      </c>
      <c r="D43" s="40" t="s">
        <v>44</v>
      </c>
      <c r="E43" s="32">
        <v>35</v>
      </c>
      <c r="F43" s="428">
        <f>SUM(E43:E45)</f>
        <v>90</v>
      </c>
      <c r="G43" s="156"/>
      <c r="H43" s="278"/>
    </row>
    <row r="44" spans="1:9" x14ac:dyDescent="0.25">
      <c r="A44" s="412"/>
      <c r="B44" s="438"/>
      <c r="C44" s="41" t="s">
        <v>357</v>
      </c>
      <c r="D44" s="42" t="s">
        <v>44</v>
      </c>
      <c r="E44" s="35">
        <v>20</v>
      </c>
      <c r="F44" s="444"/>
      <c r="G44" s="153" t="s">
        <v>227</v>
      </c>
      <c r="H44" s="169">
        <f>+F43/15</f>
        <v>6</v>
      </c>
    </row>
    <row r="45" spans="1:9" ht="15.75" thickBot="1" x14ac:dyDescent="0.3">
      <c r="A45" s="413"/>
      <c r="B45" s="439"/>
      <c r="C45" s="93" t="s">
        <v>358</v>
      </c>
      <c r="D45" s="94" t="s">
        <v>44</v>
      </c>
      <c r="E45" s="45">
        <v>35</v>
      </c>
      <c r="F45" s="429"/>
      <c r="G45" s="158"/>
      <c r="H45" s="140"/>
    </row>
    <row r="46" spans="1:9" x14ac:dyDescent="0.25">
      <c r="A46" s="411">
        <v>9</v>
      </c>
      <c r="B46" s="445" t="s">
        <v>211</v>
      </c>
      <c r="C46" s="96" t="s">
        <v>359</v>
      </c>
      <c r="D46" s="40" t="s">
        <v>44</v>
      </c>
      <c r="E46" s="32">
        <v>35</v>
      </c>
      <c r="F46" s="428">
        <f>SUM(E46:E49)</f>
        <v>95.1</v>
      </c>
      <c r="G46" s="156"/>
      <c r="H46" s="278"/>
    </row>
    <row r="47" spans="1:9" x14ac:dyDescent="0.25">
      <c r="A47" s="412"/>
      <c r="B47" s="438"/>
      <c r="C47" s="41" t="s">
        <v>360</v>
      </c>
      <c r="D47" s="42" t="s">
        <v>44</v>
      </c>
      <c r="E47" s="35">
        <v>40</v>
      </c>
      <c r="F47" s="444"/>
      <c r="G47" s="153" t="s">
        <v>227</v>
      </c>
      <c r="H47" s="139">
        <f>+F46/15</f>
        <v>6.34</v>
      </c>
    </row>
    <row r="48" spans="1:9" x14ac:dyDescent="0.25">
      <c r="A48" s="420"/>
      <c r="B48" s="438"/>
      <c r="C48" s="41" t="s">
        <v>361</v>
      </c>
      <c r="D48" s="42" t="s">
        <v>44</v>
      </c>
      <c r="E48" s="38">
        <v>0.1</v>
      </c>
      <c r="F48" s="444"/>
      <c r="G48" s="153"/>
      <c r="H48" s="139"/>
    </row>
    <row r="49" spans="1:8" ht="15.75" thickBot="1" x14ac:dyDescent="0.3">
      <c r="A49" s="413"/>
      <c r="B49" s="439"/>
      <c r="C49" s="93" t="s">
        <v>362</v>
      </c>
      <c r="D49" s="94" t="s">
        <v>44</v>
      </c>
      <c r="E49" s="45">
        <v>20</v>
      </c>
      <c r="F49" s="429"/>
      <c r="G49" s="158"/>
      <c r="H49" s="140"/>
    </row>
    <row r="50" spans="1:8" ht="15.75" thickBot="1" x14ac:dyDescent="0.3">
      <c r="A50" s="281">
        <v>10</v>
      </c>
      <c r="B50" s="271" t="s">
        <v>21</v>
      </c>
      <c r="C50" s="127" t="s">
        <v>363</v>
      </c>
      <c r="D50" s="145" t="s">
        <v>44</v>
      </c>
      <c r="E50" s="138">
        <v>10</v>
      </c>
      <c r="F50" s="273">
        <v>10</v>
      </c>
      <c r="G50" s="276" t="s">
        <v>230</v>
      </c>
      <c r="H50" s="141">
        <f>+F50/0.085</f>
        <v>117.64705882352941</v>
      </c>
    </row>
    <row r="51" spans="1:8" ht="15.75" thickBot="1" x14ac:dyDescent="0.3">
      <c r="A51" s="22">
        <v>11</v>
      </c>
      <c r="B51" s="179" t="s">
        <v>226</v>
      </c>
      <c r="C51" s="46" t="s">
        <v>364</v>
      </c>
      <c r="D51" s="170" t="s">
        <v>44</v>
      </c>
      <c r="E51" s="274">
        <v>10</v>
      </c>
      <c r="F51" s="138">
        <v>10</v>
      </c>
      <c r="G51" s="276" t="s">
        <v>231</v>
      </c>
      <c r="H51" s="141">
        <f>+F51/0.05</f>
        <v>200</v>
      </c>
    </row>
    <row r="52" spans="1:8" x14ac:dyDescent="0.25">
      <c r="A52" s="424">
        <v>12</v>
      </c>
      <c r="B52" s="272"/>
      <c r="C52" s="97" t="s">
        <v>365</v>
      </c>
      <c r="D52" s="99" t="s">
        <v>44</v>
      </c>
      <c r="E52" s="87">
        <v>50</v>
      </c>
      <c r="F52" s="424">
        <f>SUM(E52:E54)</f>
        <v>56.25</v>
      </c>
      <c r="G52" s="434" t="s">
        <v>232</v>
      </c>
      <c r="H52" s="432">
        <f>+F52/1.25</f>
        <v>45</v>
      </c>
    </row>
    <row r="53" spans="1:8" x14ac:dyDescent="0.25">
      <c r="A53" s="440"/>
      <c r="B53" s="438" t="s">
        <v>22</v>
      </c>
      <c r="C53" s="98" t="s">
        <v>366</v>
      </c>
      <c r="D53" s="100" t="s">
        <v>44</v>
      </c>
      <c r="E53" s="202">
        <v>6</v>
      </c>
      <c r="F53" s="440"/>
      <c r="G53" s="435"/>
      <c r="H53" s="437"/>
    </row>
    <row r="54" spans="1:8" ht="15.75" thickBot="1" x14ac:dyDescent="0.3">
      <c r="A54" s="425"/>
      <c r="B54" s="439"/>
      <c r="C54" s="85" t="s">
        <v>367</v>
      </c>
      <c r="D54" s="154" t="s">
        <v>44</v>
      </c>
      <c r="E54" s="91">
        <v>0.25</v>
      </c>
      <c r="F54" s="425"/>
      <c r="G54" s="436"/>
      <c r="H54" s="433"/>
    </row>
    <row r="55" spans="1:8" x14ac:dyDescent="0.25">
      <c r="A55" s="424">
        <v>13</v>
      </c>
      <c r="B55" s="441" t="s">
        <v>246</v>
      </c>
      <c r="C55" s="102" t="s">
        <v>368</v>
      </c>
      <c r="D55" s="128" t="s">
        <v>44</v>
      </c>
      <c r="E55" s="129">
        <v>40</v>
      </c>
      <c r="F55" s="428">
        <f>SUM(E55:E57)</f>
        <v>90</v>
      </c>
      <c r="G55" s="156"/>
      <c r="H55" s="278"/>
    </row>
    <row r="56" spans="1:8" x14ac:dyDescent="0.25">
      <c r="A56" s="440"/>
      <c r="B56" s="442"/>
      <c r="C56" s="84" t="s">
        <v>369</v>
      </c>
      <c r="D56" s="88" t="s">
        <v>44</v>
      </c>
      <c r="E56" s="89">
        <v>20</v>
      </c>
      <c r="F56" s="444"/>
      <c r="G56" s="153" t="s">
        <v>233</v>
      </c>
      <c r="H56" s="279">
        <f>+F55/1</f>
        <v>90</v>
      </c>
    </row>
    <row r="57" spans="1:8" ht="15.75" thickBot="1" x14ac:dyDescent="0.3">
      <c r="A57" s="425"/>
      <c r="B57" s="443"/>
      <c r="C57" s="85" t="s">
        <v>370</v>
      </c>
      <c r="D57" s="90" t="s">
        <v>44</v>
      </c>
      <c r="E57" s="91">
        <v>30</v>
      </c>
      <c r="F57" s="429"/>
      <c r="G57" s="159"/>
      <c r="H57" s="280"/>
    </row>
    <row r="58" spans="1:8" ht="15.75" thickBot="1" x14ac:dyDescent="0.3">
      <c r="A58" s="22">
        <v>14</v>
      </c>
      <c r="B58" s="50" t="s">
        <v>4</v>
      </c>
      <c r="C58" s="27" t="s">
        <v>371</v>
      </c>
      <c r="D58" s="28" t="s">
        <v>44</v>
      </c>
      <c r="E58" s="29">
        <v>30</v>
      </c>
      <c r="F58" s="138">
        <v>30</v>
      </c>
      <c r="G58" s="171" t="s">
        <v>233</v>
      </c>
      <c r="H58" s="141">
        <f>+F58/1</f>
        <v>30</v>
      </c>
    </row>
    <row r="59" spans="1:8" ht="15.75" thickBot="1" x14ac:dyDescent="0.3">
      <c r="A59" s="22">
        <v>15</v>
      </c>
      <c r="B59" s="50" t="s">
        <v>7</v>
      </c>
      <c r="C59" s="46" t="s">
        <v>372</v>
      </c>
      <c r="D59" s="47" t="s">
        <v>44</v>
      </c>
      <c r="E59" s="48">
        <v>20</v>
      </c>
      <c r="F59" s="138">
        <v>20</v>
      </c>
      <c r="G59" s="153" t="s">
        <v>233</v>
      </c>
      <c r="H59" s="141">
        <f>+F59/1</f>
        <v>20</v>
      </c>
    </row>
    <row r="60" spans="1:8" ht="15.75" thickBot="1" x14ac:dyDescent="0.3">
      <c r="A60" s="424">
        <v>16</v>
      </c>
      <c r="B60" s="426" t="s">
        <v>25</v>
      </c>
      <c r="C60" s="46" t="s">
        <v>373</v>
      </c>
      <c r="D60" s="47" t="s">
        <v>44</v>
      </c>
      <c r="E60" s="48">
        <v>20</v>
      </c>
      <c r="F60" s="428">
        <f>SUM(E60:E61)</f>
        <v>50</v>
      </c>
      <c r="G60" s="430" t="s">
        <v>234</v>
      </c>
      <c r="H60" s="432">
        <f>+F60/5</f>
        <v>10</v>
      </c>
    </row>
    <row r="61" spans="1:8" ht="15.75" thickBot="1" x14ac:dyDescent="0.3">
      <c r="A61" s="425"/>
      <c r="B61" s="427"/>
      <c r="C61" s="46" t="s">
        <v>374</v>
      </c>
      <c r="D61" s="47" t="s">
        <v>166</v>
      </c>
      <c r="E61" s="48">
        <v>30</v>
      </c>
      <c r="F61" s="429"/>
      <c r="G61" s="431"/>
      <c r="H61" s="433"/>
    </row>
    <row r="62" spans="1:8" ht="15.75" thickBot="1" x14ac:dyDescent="0.3">
      <c r="A62" s="281">
        <v>17</v>
      </c>
      <c r="B62" s="50" t="s">
        <v>26</v>
      </c>
      <c r="C62" s="24" t="s">
        <v>375</v>
      </c>
      <c r="D62" s="25" t="s">
        <v>44</v>
      </c>
      <c r="E62" s="26">
        <v>25</v>
      </c>
      <c r="F62" s="138">
        <v>25</v>
      </c>
      <c r="G62" s="276" t="s">
        <v>234</v>
      </c>
      <c r="H62" s="141">
        <f>+F62/5</f>
        <v>5</v>
      </c>
    </row>
    <row r="63" spans="1:8" x14ac:dyDescent="0.25">
      <c r="A63" s="411">
        <v>18</v>
      </c>
      <c r="B63" s="422" t="s">
        <v>46</v>
      </c>
      <c r="C63" s="39" t="s">
        <v>376</v>
      </c>
      <c r="D63" s="49" t="s">
        <v>44</v>
      </c>
      <c r="E63" s="51">
        <v>25</v>
      </c>
      <c r="F63" s="417">
        <f>SUM(E63:E65)</f>
        <v>30.1</v>
      </c>
      <c r="G63" s="156"/>
      <c r="H63" s="172"/>
    </row>
    <row r="64" spans="1:8" x14ac:dyDescent="0.25">
      <c r="A64" s="412"/>
      <c r="B64" s="422"/>
      <c r="C64" s="41" t="s">
        <v>377</v>
      </c>
      <c r="D64" s="42" t="s">
        <v>44</v>
      </c>
      <c r="E64" s="35">
        <v>5</v>
      </c>
      <c r="F64" s="418"/>
      <c r="G64" s="277" t="s">
        <v>235</v>
      </c>
      <c r="H64" s="174">
        <f>+F63/0.45</f>
        <v>66.888888888888886</v>
      </c>
    </row>
    <row r="65" spans="1:8" ht="15.75" thickBot="1" x14ac:dyDescent="0.3">
      <c r="A65" s="413"/>
      <c r="B65" s="423"/>
      <c r="C65" s="44" t="s">
        <v>378</v>
      </c>
      <c r="D65" s="42" t="s">
        <v>44</v>
      </c>
      <c r="E65" s="38">
        <v>0.1</v>
      </c>
      <c r="F65" s="419"/>
      <c r="G65" s="157"/>
      <c r="H65" s="173"/>
    </row>
    <row r="66" spans="1:8" x14ac:dyDescent="0.25">
      <c r="A66" s="411">
        <v>19</v>
      </c>
      <c r="B66" s="414" t="s">
        <v>220</v>
      </c>
      <c r="C66" s="46" t="s">
        <v>373</v>
      </c>
      <c r="D66" s="86" t="s">
        <v>44</v>
      </c>
      <c r="E66" s="87">
        <v>18</v>
      </c>
      <c r="F66" s="417">
        <f>SUM(E66:E71)</f>
        <v>92.75</v>
      </c>
      <c r="G66" s="160"/>
      <c r="H66" s="175"/>
    </row>
    <row r="67" spans="1:8" x14ac:dyDescent="0.25">
      <c r="A67" s="412"/>
      <c r="B67" s="415" t="s">
        <v>39</v>
      </c>
      <c r="C67" s="84" t="s">
        <v>377</v>
      </c>
      <c r="D67" s="88" t="s">
        <v>44</v>
      </c>
      <c r="E67" s="89">
        <v>55</v>
      </c>
      <c r="F67" s="418"/>
      <c r="G67" s="161"/>
      <c r="H67" s="176"/>
    </row>
    <row r="68" spans="1:8" x14ac:dyDescent="0.25">
      <c r="A68" s="420"/>
      <c r="B68" s="421"/>
      <c r="C68" s="98" t="s">
        <v>379</v>
      </c>
      <c r="D68" s="88" t="s">
        <v>44</v>
      </c>
      <c r="E68" s="89">
        <v>14</v>
      </c>
      <c r="F68" s="418"/>
      <c r="G68" s="277" t="s">
        <v>229</v>
      </c>
      <c r="H68" s="176">
        <f>+F66/10</f>
        <v>9.2750000000000004</v>
      </c>
    </row>
    <row r="69" spans="1:8" x14ac:dyDescent="0.25">
      <c r="A69" s="420"/>
      <c r="B69" s="421"/>
      <c r="C69" s="43" t="s">
        <v>380</v>
      </c>
      <c r="D69" s="88" t="s">
        <v>44</v>
      </c>
      <c r="E69" s="89">
        <v>4</v>
      </c>
      <c r="F69" s="418"/>
      <c r="G69" s="277"/>
      <c r="H69" s="176"/>
    </row>
    <row r="70" spans="1:8" x14ac:dyDescent="0.25">
      <c r="A70" s="420"/>
      <c r="B70" s="421"/>
      <c r="C70" s="84" t="s">
        <v>382</v>
      </c>
      <c r="D70" s="88" t="s">
        <v>44</v>
      </c>
      <c r="E70" s="89">
        <v>1.5</v>
      </c>
      <c r="F70" s="418"/>
      <c r="G70" s="161"/>
      <c r="H70" s="176"/>
    </row>
    <row r="71" spans="1:8" ht="15.75" thickBot="1" x14ac:dyDescent="0.3">
      <c r="A71" s="413"/>
      <c r="B71" s="416"/>
      <c r="C71" s="44" t="s">
        <v>383</v>
      </c>
      <c r="D71" s="90" t="s">
        <v>44</v>
      </c>
      <c r="E71" s="91">
        <v>0.25</v>
      </c>
      <c r="F71" s="419"/>
      <c r="G71" s="162"/>
      <c r="H71" s="177"/>
    </row>
    <row r="72" spans="1:8" x14ac:dyDescent="0.25">
      <c r="A72" s="411">
        <v>20</v>
      </c>
      <c r="B72" s="414" t="s">
        <v>241</v>
      </c>
      <c r="C72" s="46" t="s">
        <v>373</v>
      </c>
      <c r="D72" s="86" t="s">
        <v>44</v>
      </c>
      <c r="E72" s="87">
        <v>24</v>
      </c>
      <c r="F72" s="417">
        <f>SUM(E72:E74)</f>
        <v>84.185000000000002</v>
      </c>
      <c r="G72" s="160"/>
      <c r="H72" s="175"/>
    </row>
    <row r="73" spans="1:8" x14ac:dyDescent="0.25">
      <c r="A73" s="412"/>
      <c r="B73" s="415" t="s">
        <v>39</v>
      </c>
      <c r="C73" s="84" t="s">
        <v>377</v>
      </c>
      <c r="D73" s="88" t="s">
        <v>44</v>
      </c>
      <c r="E73" s="89">
        <v>60</v>
      </c>
      <c r="F73" s="418"/>
      <c r="G73" s="196" t="s">
        <v>242</v>
      </c>
      <c r="H73" s="176">
        <f>+F72/12</f>
        <v>7.0154166666666669</v>
      </c>
    </row>
    <row r="74" spans="1:8" ht="15.75" thickBot="1" x14ac:dyDescent="0.3">
      <c r="A74" s="413"/>
      <c r="B74" s="416"/>
      <c r="C74" s="44" t="s">
        <v>378</v>
      </c>
      <c r="D74" s="90" t="s">
        <v>44</v>
      </c>
      <c r="E74" s="91">
        <v>0.185</v>
      </c>
      <c r="F74" s="419"/>
      <c r="G74" s="162"/>
      <c r="H74" s="177"/>
    </row>
    <row r="75" spans="1:8" x14ac:dyDescent="0.25">
      <c r="A75" s="411">
        <v>21</v>
      </c>
      <c r="B75" s="414" t="s">
        <v>381</v>
      </c>
      <c r="C75" s="46" t="s">
        <v>384</v>
      </c>
      <c r="D75" s="86" t="s">
        <v>44</v>
      </c>
      <c r="E75" s="87">
        <v>20</v>
      </c>
      <c r="F75" s="417">
        <f>SUM(E75:E77)</f>
        <v>30</v>
      </c>
      <c r="G75" s="160"/>
      <c r="H75" s="175"/>
    </row>
    <row r="76" spans="1:8" x14ac:dyDescent="0.25">
      <c r="A76" s="412"/>
      <c r="B76" s="415" t="s">
        <v>39</v>
      </c>
      <c r="C76" s="84" t="s">
        <v>377</v>
      </c>
      <c r="D76" s="88" t="s">
        <v>44</v>
      </c>
      <c r="E76" s="89">
        <v>5</v>
      </c>
      <c r="F76" s="418"/>
      <c r="G76" s="196" t="s">
        <v>253</v>
      </c>
      <c r="H76" s="176">
        <f>+F75/1.5</f>
        <v>20</v>
      </c>
    </row>
    <row r="77" spans="1:8" ht="15.75" thickBot="1" x14ac:dyDescent="0.3">
      <c r="A77" s="413"/>
      <c r="B77" s="416"/>
      <c r="C77" s="44" t="s">
        <v>379</v>
      </c>
      <c r="D77" s="90" t="s">
        <v>44</v>
      </c>
      <c r="E77" s="91">
        <v>5</v>
      </c>
      <c r="F77" s="419"/>
      <c r="G77" s="162"/>
      <c r="H77" s="177"/>
    </row>
    <row r="83" spans="1:9" ht="15.75" thickBot="1" x14ac:dyDescent="0.3"/>
    <row r="84" spans="1:9" ht="15.75" thickBot="1" x14ac:dyDescent="0.3">
      <c r="B84" s="409" t="s">
        <v>184</v>
      </c>
      <c r="C84" s="410"/>
    </row>
    <row r="85" spans="1:9" s="13" customFormat="1" ht="15.75" thickBot="1" x14ac:dyDescent="0.3">
      <c r="A85" s="12"/>
      <c r="B85" s="107" t="s">
        <v>185</v>
      </c>
      <c r="C85" s="108" t="s">
        <v>199</v>
      </c>
      <c r="D85" s="12"/>
      <c r="E85" s="13" t="s">
        <v>208</v>
      </c>
      <c r="G85" t="s">
        <v>183</v>
      </c>
      <c r="I85"/>
    </row>
    <row r="86" spans="1:9" s="13" customFormat="1" x14ac:dyDescent="0.25">
      <c r="A86" s="12"/>
      <c r="B86" s="102">
        <v>280</v>
      </c>
      <c r="C86" s="106" t="s">
        <v>186</v>
      </c>
      <c r="D86" s="12"/>
      <c r="E86" s="13">
        <v>18</v>
      </c>
      <c r="G86">
        <f>+E86*2</f>
        <v>36</v>
      </c>
      <c r="I86"/>
    </row>
    <row r="87" spans="1:9" s="13" customFormat="1" x14ac:dyDescent="0.25">
      <c r="A87" s="12"/>
      <c r="B87" s="84">
        <v>249</v>
      </c>
      <c r="C87" s="104" t="s">
        <v>189</v>
      </c>
      <c r="D87" s="12"/>
      <c r="E87" s="13">
        <v>15</v>
      </c>
      <c r="G87">
        <f>+E87*2</f>
        <v>30</v>
      </c>
      <c r="I87"/>
    </row>
    <row r="88" spans="1:9" s="13" customFormat="1" x14ac:dyDescent="0.25">
      <c r="A88" s="12"/>
      <c r="B88" s="84">
        <v>226</v>
      </c>
      <c r="C88" s="104" t="s">
        <v>187</v>
      </c>
      <c r="D88" s="12"/>
      <c r="E88" s="13">
        <v>15</v>
      </c>
      <c r="G88">
        <f>+E88*2</f>
        <v>30</v>
      </c>
      <c r="I88"/>
    </row>
    <row r="89" spans="1:9" s="13" customFormat="1" x14ac:dyDescent="0.25">
      <c r="A89" s="12"/>
      <c r="B89" s="84">
        <v>210</v>
      </c>
      <c r="C89" s="104" t="s">
        <v>188</v>
      </c>
      <c r="D89" s="12"/>
      <c r="E89" s="13">
        <v>15</v>
      </c>
      <c r="G89">
        <f>+E89*2</f>
        <v>30</v>
      </c>
      <c r="I89"/>
    </row>
    <row r="90" spans="1:9" s="13" customFormat="1" x14ac:dyDescent="0.25">
      <c r="A90" s="12"/>
      <c r="B90" s="84">
        <v>200</v>
      </c>
      <c r="C90" s="104" t="s">
        <v>190</v>
      </c>
      <c r="D90" s="12"/>
      <c r="E90" s="13">
        <v>15</v>
      </c>
      <c r="G90">
        <f>+E90*2</f>
        <v>30</v>
      </c>
      <c r="I90"/>
    </row>
    <row r="91" spans="1:9" s="13" customFormat="1" x14ac:dyDescent="0.25">
      <c r="A91" s="12"/>
      <c r="B91" s="84">
        <v>189</v>
      </c>
      <c r="C91" s="104" t="s">
        <v>191</v>
      </c>
      <c r="D91" s="12"/>
      <c r="E91" s="13">
        <v>15</v>
      </c>
      <c r="G91">
        <f>+E91*2.5</f>
        <v>37.5</v>
      </c>
      <c r="I91"/>
    </row>
    <row r="92" spans="1:9" s="13" customFormat="1" x14ac:dyDescent="0.25">
      <c r="A92" s="12"/>
      <c r="B92" s="84">
        <v>179</v>
      </c>
      <c r="C92" s="104" t="s">
        <v>192</v>
      </c>
      <c r="D92" s="12"/>
      <c r="E92" s="13">
        <v>15</v>
      </c>
      <c r="G92">
        <f>+E92*2.5</f>
        <v>37.5</v>
      </c>
      <c r="I92"/>
    </row>
    <row r="93" spans="1:9" s="13" customFormat="1" x14ac:dyDescent="0.25">
      <c r="A93" s="12"/>
      <c r="B93" s="84">
        <v>168</v>
      </c>
      <c r="C93" s="104" t="s">
        <v>193</v>
      </c>
      <c r="D93" s="12"/>
      <c r="E93" s="13">
        <v>15</v>
      </c>
      <c r="G93">
        <f>+E93*3</f>
        <v>45</v>
      </c>
      <c r="I93"/>
    </row>
    <row r="94" spans="1:9" s="13" customFormat="1" x14ac:dyDescent="0.25">
      <c r="A94" s="12"/>
      <c r="B94" s="84">
        <v>159</v>
      </c>
      <c r="C94" s="104" t="s">
        <v>194</v>
      </c>
      <c r="D94" s="12"/>
      <c r="E94" s="13">
        <v>15</v>
      </c>
      <c r="G94">
        <f>+E94*3</f>
        <v>45</v>
      </c>
      <c r="I94"/>
    </row>
    <row r="95" spans="1:9" s="13" customFormat="1" x14ac:dyDescent="0.25">
      <c r="A95" s="12"/>
      <c r="B95" s="84">
        <v>140</v>
      </c>
      <c r="C95" s="104" t="s">
        <v>195</v>
      </c>
      <c r="D95" s="12"/>
      <c r="E95" s="13">
        <v>15</v>
      </c>
      <c r="G95">
        <f>+E95*3</f>
        <v>45</v>
      </c>
      <c r="I95"/>
    </row>
    <row r="96" spans="1:9" s="13" customFormat="1" x14ac:dyDescent="0.25">
      <c r="A96" s="12"/>
      <c r="B96" s="84">
        <v>119</v>
      </c>
      <c r="C96" s="104" t="s">
        <v>196</v>
      </c>
      <c r="D96" s="12"/>
      <c r="E96" s="13">
        <v>15</v>
      </c>
      <c r="G96">
        <f>+E96*3</f>
        <v>45</v>
      </c>
      <c r="I96"/>
    </row>
    <row r="97" spans="1:9" s="13" customFormat="1" x14ac:dyDescent="0.25">
      <c r="A97" s="12"/>
      <c r="B97" s="84">
        <v>109</v>
      </c>
      <c r="C97" s="104" t="s">
        <v>197</v>
      </c>
      <c r="D97" s="12"/>
      <c r="E97" s="13">
        <v>15</v>
      </c>
      <c r="G97">
        <f>+E97*4</f>
        <v>60</v>
      </c>
      <c r="I97"/>
    </row>
    <row r="98" spans="1:9" s="13" customFormat="1" ht="15.75" thickBot="1" x14ac:dyDescent="0.3">
      <c r="A98" s="12"/>
      <c r="B98" s="85">
        <v>99</v>
      </c>
      <c r="C98" s="105" t="s">
        <v>198</v>
      </c>
      <c r="D98" s="12"/>
      <c r="E98" s="13">
        <v>15</v>
      </c>
      <c r="G98">
        <f>+E98*4</f>
        <v>60</v>
      </c>
      <c r="I98"/>
    </row>
    <row r="100" spans="1:9" s="13" customFormat="1" ht="15.75" thickBot="1" x14ac:dyDescent="0.3">
      <c r="A100" s="12"/>
      <c r="B100"/>
      <c r="C100"/>
      <c r="D100" s="12"/>
      <c r="E100" s="12"/>
      <c r="F100" s="12"/>
      <c r="I100"/>
    </row>
    <row r="101" spans="1:9" s="13" customFormat="1" ht="15.75" thickBot="1" x14ac:dyDescent="0.3">
      <c r="A101" s="12"/>
      <c r="B101" s="409" t="s">
        <v>200</v>
      </c>
      <c r="C101" s="410"/>
      <c r="D101" s="12"/>
      <c r="E101" s="12"/>
      <c r="F101" s="12"/>
      <c r="I101"/>
    </row>
    <row r="102" spans="1:9" s="13" customFormat="1" ht="15.75" thickBot="1" x14ac:dyDescent="0.3">
      <c r="A102" s="12"/>
      <c r="B102" s="110" t="s">
        <v>185</v>
      </c>
      <c r="C102" s="111" t="s">
        <v>205</v>
      </c>
      <c r="D102" s="12"/>
      <c r="E102" s="12" t="s">
        <v>208</v>
      </c>
      <c r="F102" s="12"/>
      <c r="G102" s="13" t="s">
        <v>183</v>
      </c>
      <c r="I102"/>
    </row>
    <row r="103" spans="1:9" s="13" customFormat="1" x14ac:dyDescent="0.25">
      <c r="A103" s="12"/>
      <c r="B103" s="83">
        <v>310</v>
      </c>
      <c r="C103" s="109" t="s">
        <v>201</v>
      </c>
      <c r="D103" s="12"/>
      <c r="E103" s="12">
        <v>23</v>
      </c>
      <c r="F103" s="12"/>
      <c r="G103" s="13">
        <f>+E103*2</f>
        <v>46</v>
      </c>
      <c r="I103"/>
    </row>
    <row r="104" spans="1:9" s="13" customFormat="1" x14ac:dyDescent="0.25">
      <c r="A104" s="12"/>
      <c r="B104" s="84">
        <v>280</v>
      </c>
      <c r="C104" s="103" t="s">
        <v>207</v>
      </c>
      <c r="D104" s="12"/>
      <c r="E104" s="12">
        <v>25</v>
      </c>
      <c r="F104" s="12"/>
      <c r="G104" s="13">
        <f>+E104*3</f>
        <v>75</v>
      </c>
      <c r="I104"/>
    </row>
    <row r="105" spans="1:9" s="13" customFormat="1" x14ac:dyDescent="0.25">
      <c r="A105" s="12"/>
      <c r="B105" s="84">
        <v>240</v>
      </c>
      <c r="C105" s="103" t="s">
        <v>206</v>
      </c>
      <c r="D105" s="12"/>
      <c r="E105" s="12">
        <v>15</v>
      </c>
      <c r="F105" s="12"/>
      <c r="G105" s="13">
        <f>+E105*4</f>
        <v>60</v>
      </c>
      <c r="I105"/>
    </row>
    <row r="106" spans="1:9" s="13" customFormat="1" x14ac:dyDescent="0.25">
      <c r="A106" s="12"/>
      <c r="B106" s="84">
        <v>200</v>
      </c>
      <c r="C106" s="103" t="s">
        <v>202</v>
      </c>
      <c r="D106" s="12"/>
      <c r="E106" s="12">
        <v>15</v>
      </c>
      <c r="F106" s="12"/>
      <c r="G106" s="13">
        <f>+E106*5</f>
        <v>75</v>
      </c>
      <c r="I106"/>
    </row>
    <row r="107" spans="1:9" s="13" customFormat="1" x14ac:dyDescent="0.25">
      <c r="A107" s="12"/>
      <c r="B107" s="84">
        <v>160</v>
      </c>
      <c r="C107" s="103" t="s">
        <v>203</v>
      </c>
      <c r="D107" s="12"/>
      <c r="E107" s="12">
        <v>15</v>
      </c>
      <c r="F107" s="12"/>
      <c r="G107" s="13">
        <f>+E107*6</f>
        <v>90</v>
      </c>
      <c r="I107"/>
    </row>
    <row r="108" spans="1:9" s="13" customFormat="1" ht="15.75" thickBot="1" x14ac:dyDescent="0.3">
      <c r="A108" s="12"/>
      <c r="B108" s="85">
        <v>120</v>
      </c>
      <c r="C108" s="112" t="s">
        <v>204</v>
      </c>
      <c r="D108" s="12"/>
      <c r="E108" s="12">
        <v>15</v>
      </c>
      <c r="F108" s="12"/>
      <c r="G108" s="13">
        <f>+E108*7</f>
        <v>105</v>
      </c>
      <c r="I108"/>
    </row>
  </sheetData>
  <mergeCells count="52">
    <mergeCell ref="D5:E5"/>
    <mergeCell ref="G6:H6"/>
    <mergeCell ref="G7:H7"/>
    <mergeCell ref="G8:H8"/>
    <mergeCell ref="A9:A13"/>
    <mergeCell ref="B9:B13"/>
    <mergeCell ref="F9:F13"/>
    <mergeCell ref="A14:A21"/>
    <mergeCell ref="B14:B21"/>
    <mergeCell ref="F14:F21"/>
    <mergeCell ref="A22:A28"/>
    <mergeCell ref="B22:B28"/>
    <mergeCell ref="F22:F28"/>
    <mergeCell ref="A29:A35"/>
    <mergeCell ref="B29:B35"/>
    <mergeCell ref="F29:F35"/>
    <mergeCell ref="A36:A42"/>
    <mergeCell ref="B36:B42"/>
    <mergeCell ref="F36:F42"/>
    <mergeCell ref="A43:A45"/>
    <mergeCell ref="B43:B45"/>
    <mergeCell ref="F43:F45"/>
    <mergeCell ref="A46:A49"/>
    <mergeCell ref="B46:B49"/>
    <mergeCell ref="F46:F49"/>
    <mergeCell ref="G52:G54"/>
    <mergeCell ref="H52:H54"/>
    <mergeCell ref="B53:B54"/>
    <mergeCell ref="A55:A57"/>
    <mergeCell ref="B55:B57"/>
    <mergeCell ref="F55:F57"/>
    <mergeCell ref="A52:A54"/>
    <mergeCell ref="F52:F54"/>
    <mergeCell ref="A60:A61"/>
    <mergeCell ref="B60:B61"/>
    <mergeCell ref="F60:F61"/>
    <mergeCell ref="G60:G61"/>
    <mergeCell ref="H60:H61"/>
    <mergeCell ref="A66:A71"/>
    <mergeCell ref="B66:B71"/>
    <mergeCell ref="F66:F71"/>
    <mergeCell ref="A63:A65"/>
    <mergeCell ref="B63:B65"/>
    <mergeCell ref="F63:F65"/>
    <mergeCell ref="B84:C84"/>
    <mergeCell ref="B101:C101"/>
    <mergeCell ref="A72:A74"/>
    <mergeCell ref="B72:B74"/>
    <mergeCell ref="F72:F74"/>
    <mergeCell ref="A75:A77"/>
    <mergeCell ref="B75:B77"/>
    <mergeCell ref="F75:F77"/>
  </mergeCells>
  <printOptions horizontalCentered="1"/>
  <pageMargins left="0" right="0" top="0" bottom="0" header="0" footer="0"/>
  <pageSetup scale="75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3"/>
  <sheetViews>
    <sheetView showGridLines="0" tabSelected="1" zoomScale="90" zoomScaleNormal="90" workbookViewId="0">
      <pane xSplit="5" ySplit="5" topLeftCell="K6" activePane="bottomRight" state="frozen"/>
      <selection pane="topRight" activeCell="E1" sqref="E1"/>
      <selection pane="bottomLeft" activeCell="A6" sqref="A6"/>
      <selection pane="bottomRight" activeCell="D20" sqref="D20"/>
    </sheetView>
  </sheetViews>
  <sheetFormatPr baseColWidth="10" defaultRowHeight="15" x14ac:dyDescent="0.25"/>
  <cols>
    <col min="1" max="1" width="4.7109375" customWidth="1"/>
    <col min="2" max="2" width="50.7109375" customWidth="1"/>
    <col min="3" max="3" width="15.85546875" customWidth="1"/>
    <col min="4" max="4" width="14.85546875" customWidth="1"/>
    <col min="5" max="5" width="18.140625" customWidth="1"/>
    <col min="6" max="6" width="13" customWidth="1"/>
    <col min="7" max="7" width="12.7109375" customWidth="1"/>
    <col min="8" max="8" width="20.140625" bestFit="1" customWidth="1"/>
    <col min="9" max="9" width="12" customWidth="1"/>
    <col min="11" max="11" width="11.5703125" customWidth="1"/>
    <col min="12" max="12" width="10.42578125" customWidth="1"/>
    <col min="13" max="13" width="12.7109375" customWidth="1"/>
    <col min="19" max="19" width="14.7109375" customWidth="1"/>
    <col min="20" max="20" width="14" customWidth="1"/>
    <col min="25" max="25" width="14.28515625" bestFit="1" customWidth="1"/>
    <col min="31" max="31" width="15.7109375" bestFit="1" customWidth="1"/>
    <col min="32" max="32" width="19" customWidth="1"/>
    <col min="33" max="33" width="15.42578125" bestFit="1" customWidth="1"/>
    <col min="34" max="34" width="14.28515625" bestFit="1" customWidth="1"/>
    <col min="35" max="35" width="15.42578125" bestFit="1" customWidth="1"/>
    <col min="37" max="37" width="15.7109375" bestFit="1" customWidth="1"/>
    <col min="38" max="38" width="12.7109375" bestFit="1" customWidth="1"/>
    <col min="39" max="39" width="17.85546875" bestFit="1" customWidth="1"/>
    <col min="40" max="40" width="12.28515625" bestFit="1" customWidth="1"/>
    <col min="41" max="41" width="17.85546875" bestFit="1" customWidth="1"/>
    <col min="42" max="42" width="13.42578125" bestFit="1" customWidth="1"/>
    <col min="44" max="44" width="12.28515625" customWidth="1"/>
    <col min="66" max="66" width="12.28515625" customWidth="1"/>
    <col min="67" max="67" width="11.7109375" customWidth="1"/>
    <col min="68" max="68" width="12.7109375" customWidth="1"/>
  </cols>
  <sheetData>
    <row r="1" spans="1:145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145" ht="26.25" x14ac:dyDescent="0.25">
      <c r="A2" s="9"/>
      <c r="B2" s="9" t="s">
        <v>37</v>
      </c>
      <c r="C2" s="9"/>
      <c r="D2" s="9"/>
      <c r="E2" s="9"/>
      <c r="F2" s="114"/>
      <c r="G2" s="9"/>
      <c r="H2" s="9"/>
      <c r="I2" s="114"/>
      <c r="J2" s="9"/>
      <c r="K2" s="114"/>
      <c r="L2" s="114"/>
      <c r="M2" s="199"/>
      <c r="N2" s="9"/>
      <c r="O2" s="9"/>
      <c r="P2" s="9"/>
      <c r="Q2" s="9"/>
      <c r="R2" s="9"/>
      <c r="S2" s="9"/>
      <c r="T2" s="199"/>
      <c r="U2" s="9"/>
      <c r="V2" s="9"/>
      <c r="W2" s="9"/>
      <c r="X2" s="9"/>
      <c r="Y2" s="114"/>
      <c r="Z2" s="9"/>
      <c r="AA2" s="9"/>
      <c r="AB2" s="9"/>
      <c r="AC2" s="9"/>
      <c r="AD2" s="9"/>
      <c r="AE2" s="199"/>
      <c r="AF2" s="114"/>
      <c r="AG2" s="114"/>
      <c r="AH2" s="114"/>
      <c r="AI2" s="114"/>
      <c r="AJ2" s="9"/>
      <c r="AK2" s="199"/>
      <c r="AL2" s="9"/>
      <c r="AM2" s="199"/>
      <c r="AN2" s="114"/>
      <c r="AO2" s="199"/>
      <c r="AP2" s="114"/>
      <c r="AQ2" s="9"/>
      <c r="AR2" s="19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145" x14ac:dyDescent="0.25">
      <c r="J3" s="7"/>
      <c r="Q3" s="7"/>
      <c r="R3" s="92"/>
      <c r="X3" s="195"/>
      <c r="AB3" s="7"/>
      <c r="AF3" s="270" t="s">
        <v>354</v>
      </c>
      <c r="AG3" s="7"/>
      <c r="AI3" s="197"/>
      <c r="BN3" s="197"/>
      <c r="BQ3" s="197"/>
      <c r="BU3" s="197"/>
    </row>
    <row r="4" spans="1:145" x14ac:dyDescent="0.25">
      <c r="D4" s="7"/>
      <c r="H4" s="210" t="s">
        <v>255</v>
      </c>
      <c r="I4" s="461">
        <v>44567</v>
      </c>
      <c r="J4" s="462"/>
      <c r="K4" s="459">
        <v>44207</v>
      </c>
      <c r="L4" s="460"/>
      <c r="M4" s="459">
        <v>44573</v>
      </c>
      <c r="N4" s="460"/>
      <c r="O4" s="459">
        <v>44574</v>
      </c>
      <c r="P4" s="460"/>
      <c r="Q4" s="459">
        <v>44575</v>
      </c>
      <c r="R4" s="460"/>
      <c r="S4" s="459">
        <v>44578</v>
      </c>
      <c r="T4" s="460"/>
      <c r="U4" s="459">
        <v>44582</v>
      </c>
      <c r="V4" s="460"/>
      <c r="W4" s="461">
        <v>44585</v>
      </c>
      <c r="X4" s="462"/>
      <c r="Y4" s="461">
        <v>44586</v>
      </c>
      <c r="Z4" s="462"/>
      <c r="AA4" s="459">
        <v>44587</v>
      </c>
      <c r="AB4" s="460"/>
      <c r="AC4" s="459">
        <v>44588</v>
      </c>
      <c r="AD4" s="460"/>
      <c r="AE4" s="459">
        <v>44589</v>
      </c>
      <c r="AF4" s="460"/>
      <c r="AG4" s="459">
        <v>44592</v>
      </c>
      <c r="AH4" s="460"/>
      <c r="AI4" s="459">
        <v>44229</v>
      </c>
      <c r="AJ4" s="460"/>
      <c r="AK4" s="459">
        <v>44595</v>
      </c>
      <c r="AL4" s="460"/>
      <c r="AM4" s="459">
        <v>44596</v>
      </c>
      <c r="AN4" s="460"/>
      <c r="AO4" s="461">
        <v>44599</v>
      </c>
      <c r="AP4" s="462"/>
      <c r="AQ4" s="462">
        <v>44600</v>
      </c>
      <c r="AR4" s="462"/>
      <c r="AS4" s="462">
        <v>44601</v>
      </c>
      <c r="AT4" s="462"/>
      <c r="AU4" s="461">
        <v>44603</v>
      </c>
      <c r="AV4" s="462"/>
      <c r="AW4" s="461">
        <v>44607</v>
      </c>
      <c r="AX4" s="462"/>
      <c r="AY4" s="461">
        <v>44608</v>
      </c>
      <c r="AZ4" s="462"/>
      <c r="BA4" s="461">
        <v>44610</v>
      </c>
      <c r="BB4" s="462"/>
      <c r="BC4" s="459">
        <v>44613</v>
      </c>
      <c r="BD4" s="460"/>
      <c r="BE4" s="459">
        <v>44614</v>
      </c>
      <c r="BF4" s="460"/>
      <c r="BG4" s="459">
        <v>44615</v>
      </c>
      <c r="BH4" s="460"/>
      <c r="BI4" s="459">
        <v>44616</v>
      </c>
      <c r="BJ4" s="460"/>
      <c r="BK4" s="459">
        <v>44617</v>
      </c>
      <c r="BL4" s="460"/>
      <c r="BM4" s="459">
        <v>44623</v>
      </c>
      <c r="BN4" s="460"/>
      <c r="BO4" s="461">
        <v>44624</v>
      </c>
      <c r="BP4" s="462"/>
      <c r="BQ4" s="459"/>
      <c r="BR4" s="460"/>
      <c r="BS4" s="459"/>
      <c r="BT4" s="460"/>
      <c r="BU4" s="459"/>
      <c r="BV4" s="460"/>
      <c r="BW4" s="459"/>
      <c r="BX4" s="460"/>
      <c r="BY4" s="459"/>
      <c r="BZ4" s="460"/>
      <c r="CA4" s="459"/>
      <c r="CB4" s="460"/>
      <c r="CC4" s="459"/>
      <c r="CD4" s="460"/>
      <c r="CE4" s="461"/>
      <c r="CF4" s="462"/>
    </row>
    <row r="5" spans="1:145" s="75" customFormat="1" ht="30" x14ac:dyDescent="0.25">
      <c r="A5" s="11" t="s">
        <v>8</v>
      </c>
      <c r="B5" s="11" t="s">
        <v>9</v>
      </c>
      <c r="C5" s="11" t="s">
        <v>49</v>
      </c>
      <c r="D5" s="11" t="s">
        <v>24</v>
      </c>
      <c r="E5" s="11" t="s">
        <v>23</v>
      </c>
      <c r="F5" s="11" t="s">
        <v>1</v>
      </c>
      <c r="G5" s="11" t="s">
        <v>2</v>
      </c>
      <c r="H5" s="55" t="s">
        <v>310</v>
      </c>
      <c r="I5" s="11" t="s">
        <v>169</v>
      </c>
      <c r="J5" s="11" t="s">
        <v>170</v>
      </c>
      <c r="K5" s="11" t="s">
        <v>169</v>
      </c>
      <c r="L5" s="11" t="s">
        <v>170</v>
      </c>
      <c r="M5" s="11" t="s">
        <v>169</v>
      </c>
      <c r="N5" s="11" t="s">
        <v>170</v>
      </c>
      <c r="O5" s="11" t="s">
        <v>169</v>
      </c>
      <c r="P5" s="11" t="s">
        <v>170</v>
      </c>
      <c r="Q5" s="11" t="s">
        <v>169</v>
      </c>
      <c r="R5" s="11" t="s">
        <v>170</v>
      </c>
      <c r="S5" s="11" t="s">
        <v>169</v>
      </c>
      <c r="T5" s="11" t="s">
        <v>170</v>
      </c>
      <c r="U5" s="11" t="s">
        <v>169</v>
      </c>
      <c r="V5" s="11" t="s">
        <v>170</v>
      </c>
      <c r="W5" s="11" t="s">
        <v>169</v>
      </c>
      <c r="X5" s="11" t="s">
        <v>170</v>
      </c>
      <c r="Y5" s="11" t="s">
        <v>169</v>
      </c>
      <c r="Z5" s="11" t="s">
        <v>170</v>
      </c>
      <c r="AA5" s="11" t="s">
        <v>169</v>
      </c>
      <c r="AB5" s="11" t="s">
        <v>170</v>
      </c>
      <c r="AC5" s="11" t="s">
        <v>169</v>
      </c>
      <c r="AD5" s="11" t="s">
        <v>170</v>
      </c>
      <c r="AE5" s="11" t="s">
        <v>169</v>
      </c>
      <c r="AF5" s="11" t="s">
        <v>170</v>
      </c>
      <c r="AG5" s="11" t="s">
        <v>169</v>
      </c>
      <c r="AH5" s="11" t="s">
        <v>170</v>
      </c>
      <c r="AI5" s="11" t="s">
        <v>169</v>
      </c>
      <c r="AJ5" s="11" t="s">
        <v>170</v>
      </c>
      <c r="AK5" s="11" t="s">
        <v>169</v>
      </c>
      <c r="AL5" s="11" t="s">
        <v>170</v>
      </c>
      <c r="AM5" s="11" t="s">
        <v>169</v>
      </c>
      <c r="AN5" s="11" t="s">
        <v>170</v>
      </c>
      <c r="AO5" s="11" t="s">
        <v>169</v>
      </c>
      <c r="AP5" s="11" t="s">
        <v>170</v>
      </c>
      <c r="AQ5" s="11" t="s">
        <v>169</v>
      </c>
      <c r="AR5" s="11" t="s">
        <v>170</v>
      </c>
      <c r="AS5" s="11" t="s">
        <v>169</v>
      </c>
      <c r="AT5" s="11" t="s">
        <v>170</v>
      </c>
      <c r="AU5" s="11" t="s">
        <v>169</v>
      </c>
      <c r="AV5" s="11" t="s">
        <v>170</v>
      </c>
      <c r="AW5" s="11" t="s">
        <v>169</v>
      </c>
      <c r="AX5" s="11" t="s">
        <v>170</v>
      </c>
      <c r="AY5" s="11" t="s">
        <v>169</v>
      </c>
      <c r="AZ5" s="11" t="s">
        <v>170</v>
      </c>
      <c r="BA5" s="11" t="s">
        <v>169</v>
      </c>
      <c r="BB5" s="11" t="s">
        <v>170</v>
      </c>
      <c r="BC5" s="11" t="s">
        <v>169</v>
      </c>
      <c r="BD5" s="11" t="s">
        <v>170</v>
      </c>
      <c r="BE5" s="11" t="s">
        <v>169</v>
      </c>
      <c r="BF5" s="11" t="s">
        <v>170</v>
      </c>
      <c r="BG5" s="11" t="s">
        <v>169</v>
      </c>
      <c r="BH5" s="11" t="s">
        <v>170</v>
      </c>
      <c r="BI5" s="11" t="s">
        <v>169</v>
      </c>
      <c r="BJ5" s="11" t="s">
        <v>170</v>
      </c>
      <c r="BK5" s="11" t="s">
        <v>169</v>
      </c>
      <c r="BL5" s="11" t="s">
        <v>170</v>
      </c>
      <c r="BM5" s="11" t="s">
        <v>169</v>
      </c>
      <c r="BN5" s="11" t="s">
        <v>170</v>
      </c>
      <c r="BO5" s="11" t="s">
        <v>169</v>
      </c>
      <c r="BP5" s="11" t="s">
        <v>170</v>
      </c>
      <c r="BQ5" s="11" t="s">
        <v>169</v>
      </c>
      <c r="BR5" s="11" t="s">
        <v>170</v>
      </c>
      <c r="BS5" s="11" t="s">
        <v>169</v>
      </c>
      <c r="BT5" s="11" t="s">
        <v>170</v>
      </c>
      <c r="BU5" s="11" t="s">
        <v>169</v>
      </c>
      <c r="BV5" s="11" t="s">
        <v>170</v>
      </c>
      <c r="BW5" s="11" t="s">
        <v>169</v>
      </c>
      <c r="BX5" s="11" t="s">
        <v>170</v>
      </c>
      <c r="BY5" s="11" t="s">
        <v>169</v>
      </c>
      <c r="BZ5" s="11" t="s">
        <v>170</v>
      </c>
      <c r="CA5" s="11" t="s">
        <v>169</v>
      </c>
      <c r="CB5" s="11" t="s">
        <v>170</v>
      </c>
      <c r="CC5" s="11" t="s">
        <v>169</v>
      </c>
      <c r="CD5" s="11" t="s">
        <v>170</v>
      </c>
      <c r="CE5" s="11" t="s">
        <v>169</v>
      </c>
      <c r="CF5" s="11" t="s">
        <v>170</v>
      </c>
    </row>
    <row r="6" spans="1:145" s="75" customFormat="1" x14ac:dyDescent="0.25">
      <c r="A6" s="2">
        <v>1</v>
      </c>
      <c r="B6" s="64" t="s">
        <v>10</v>
      </c>
      <c r="C6" s="72" t="s">
        <v>153</v>
      </c>
      <c r="D6" s="6">
        <f>SUM(H6:CQ6)</f>
        <v>2518.3000000000002</v>
      </c>
      <c r="E6" s="6">
        <f>+D6/10.45</f>
        <v>240.98564593301438</v>
      </c>
      <c r="F6" s="4">
        <v>400</v>
      </c>
      <c r="G6" s="4">
        <f>D6-F6</f>
        <v>2118.3000000000002</v>
      </c>
      <c r="H6" s="234">
        <v>1665.5</v>
      </c>
      <c r="I6" s="5"/>
      <c r="J6" s="5"/>
      <c r="K6" s="5"/>
      <c r="L6" s="5">
        <f>-1*20</f>
        <v>-20</v>
      </c>
      <c r="M6" s="5"/>
      <c r="N6" s="5">
        <f>-102*1</f>
        <v>-102</v>
      </c>
      <c r="O6" s="5"/>
      <c r="P6" s="5"/>
      <c r="Q6" s="5"/>
      <c r="R6" s="71">
        <f>-10*10-8*24</f>
        <v>-292</v>
      </c>
      <c r="S6" s="5"/>
      <c r="T6" s="5">
        <f>-7*45</f>
        <v>-315</v>
      </c>
      <c r="U6" s="5"/>
      <c r="V6" s="5"/>
      <c r="W6" s="121"/>
      <c r="X6" s="71">
        <f>-6*50-1*24-4*20</f>
        <v>-404</v>
      </c>
      <c r="Y6" s="5"/>
      <c r="Z6" s="5">
        <f>-5*24-1*48-1*55</f>
        <v>-223</v>
      </c>
      <c r="AA6" s="5"/>
      <c r="AB6" s="5">
        <f>-19*10</f>
        <v>-190</v>
      </c>
      <c r="AC6" s="5"/>
      <c r="AD6" s="5"/>
      <c r="AE6" s="5"/>
      <c r="AF6" s="71"/>
      <c r="AG6" s="5"/>
      <c r="AH6" s="198">
        <f>-4*9.3-1.5*55</f>
        <v>-119.7</v>
      </c>
      <c r="AI6" s="5"/>
      <c r="AJ6" s="5"/>
      <c r="AK6" s="5">
        <v>5000</v>
      </c>
      <c r="AL6" s="5"/>
      <c r="AM6" s="5"/>
      <c r="AN6" s="5">
        <f>-5*45-10*10-21*5</f>
        <v>-430</v>
      </c>
      <c r="AO6" s="5"/>
      <c r="AP6" s="5">
        <f>-3*20</f>
        <v>-60</v>
      </c>
      <c r="AQ6" s="5"/>
      <c r="AR6" s="5">
        <f>-5*24</f>
        <v>-120</v>
      </c>
      <c r="AS6" s="71"/>
      <c r="AT6" s="71">
        <f>-2*24-5*18-4*20-1*35-6*45</f>
        <v>-523</v>
      </c>
      <c r="AU6" s="5"/>
      <c r="AV6" s="5">
        <f>-3*30</f>
        <v>-90</v>
      </c>
      <c r="AW6" s="71"/>
      <c r="AX6" s="5"/>
      <c r="AY6" s="5"/>
      <c r="AZ6" s="5">
        <f>-2*35</f>
        <v>-70</v>
      </c>
      <c r="BA6" s="5"/>
      <c r="BB6" s="5">
        <f>-5*18</f>
        <v>-90</v>
      </c>
      <c r="BC6" s="5"/>
      <c r="BD6" s="5"/>
      <c r="BE6" s="5"/>
      <c r="BF6" s="5"/>
      <c r="BG6" s="5"/>
      <c r="BH6" s="71">
        <f>-1*155</f>
        <v>-155</v>
      </c>
      <c r="BI6" s="5"/>
      <c r="BJ6" s="5">
        <f>-7*35-7*24</f>
        <v>-413</v>
      </c>
      <c r="BK6" s="5"/>
      <c r="BL6" s="71">
        <v>-2.5</v>
      </c>
      <c r="BM6" s="5"/>
      <c r="BN6" s="71">
        <f>-4*18-5*30-1*50</f>
        <v>-272</v>
      </c>
      <c r="BO6" s="5"/>
      <c r="BP6" s="5">
        <f>-4*24-4*40</f>
        <v>-256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5"/>
    </row>
    <row r="7" spans="1:145" s="75" customFormat="1" x14ac:dyDescent="0.25">
      <c r="A7" s="2">
        <v>2</v>
      </c>
      <c r="B7" s="3" t="s">
        <v>11</v>
      </c>
      <c r="C7" s="72" t="s">
        <v>156</v>
      </c>
      <c r="D7" s="6">
        <f>SUM(H7:CQ7)</f>
        <v>1925</v>
      </c>
      <c r="E7" s="6">
        <f>+D7/22.55</f>
        <v>85.365853658536579</v>
      </c>
      <c r="F7" s="4">
        <v>500</v>
      </c>
      <c r="G7" s="4">
        <f>D7-F7</f>
        <v>1425</v>
      </c>
      <c r="H7" s="234">
        <v>405</v>
      </c>
      <c r="I7" s="5"/>
      <c r="J7" s="5">
        <f>-4*10</f>
        <v>-40</v>
      </c>
      <c r="K7" s="5"/>
      <c r="L7" s="5"/>
      <c r="M7" s="5"/>
      <c r="N7" s="5"/>
      <c r="O7" s="5"/>
      <c r="P7" s="5">
        <f>-18*10</f>
        <v>-180</v>
      </c>
      <c r="Q7" s="5"/>
      <c r="R7" s="5">
        <f>-4*10</f>
        <v>-40</v>
      </c>
      <c r="S7" s="5"/>
      <c r="T7" s="5">
        <f>-7*10</f>
        <v>-70</v>
      </c>
      <c r="U7" s="5"/>
      <c r="V7" s="5">
        <f>-4*10</f>
        <v>-40</v>
      </c>
      <c r="W7" s="5">
        <v>45</v>
      </c>
      <c r="X7" s="5">
        <f>-1*50-6*5</f>
        <v>-80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3000</v>
      </c>
      <c r="AL7" s="5"/>
      <c r="AM7" s="5"/>
      <c r="AN7" s="5">
        <f>-5*10-5*10</f>
        <v>-100</v>
      </c>
      <c r="AO7" s="5"/>
      <c r="AP7" s="5">
        <f>-4*10</f>
        <v>-40</v>
      </c>
      <c r="AQ7" s="5"/>
      <c r="AR7" s="5"/>
      <c r="AS7" s="5"/>
      <c r="AT7" s="5">
        <f>-1*15-6*10</f>
        <v>-75</v>
      </c>
      <c r="AU7" s="5"/>
      <c r="AV7" s="5">
        <f>-18*11.5</f>
        <v>-207</v>
      </c>
      <c r="AW7" s="5"/>
      <c r="AX7" s="5">
        <f>-9*12-6*10-10*10</f>
        <v>-268</v>
      </c>
      <c r="AY7" s="5"/>
      <c r="AZ7" s="5">
        <f>-2*15</f>
        <v>-30</v>
      </c>
      <c r="BA7" s="5"/>
      <c r="BB7" s="5"/>
      <c r="BC7" s="5"/>
      <c r="BD7" s="5">
        <f>-15*10</f>
        <v>-150</v>
      </c>
      <c r="BE7" s="5"/>
      <c r="BF7" s="5"/>
      <c r="BG7" s="5"/>
      <c r="BH7" s="5">
        <f>-4*10</f>
        <v>-40</v>
      </c>
      <c r="BI7" s="5"/>
      <c r="BJ7" s="5">
        <f>-7*15</f>
        <v>-105</v>
      </c>
      <c r="BK7" s="5"/>
      <c r="BL7" s="5"/>
      <c r="BM7" s="5"/>
      <c r="BN7" s="5"/>
      <c r="BO7" s="5"/>
      <c r="BP7" s="5">
        <f>-4*15</f>
        <v>-60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</row>
    <row r="8" spans="1:145" s="75" customFormat="1" x14ac:dyDescent="0.25">
      <c r="A8" s="2">
        <v>3</v>
      </c>
      <c r="B8" s="3" t="s">
        <v>13</v>
      </c>
      <c r="C8" s="72" t="s">
        <v>154</v>
      </c>
      <c r="D8" s="6">
        <f t="shared" ref="D8:D25" si="0">SUM(H8:CQ8)</f>
        <v>416</v>
      </c>
      <c r="E8" s="6">
        <f>+D8/40</f>
        <v>10.4</v>
      </c>
      <c r="F8" s="4">
        <f>5*21.25</f>
        <v>106.25</v>
      </c>
      <c r="G8" s="4">
        <f>D8-F8</f>
        <v>309.75</v>
      </c>
      <c r="H8" s="234">
        <v>739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>
        <f>-3*40</f>
        <v>-120</v>
      </c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>
        <v>-3</v>
      </c>
      <c r="BM8" s="5"/>
      <c r="BN8" s="5">
        <f>-5*40</f>
        <v>-200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5"/>
      <c r="EO8" s="125"/>
    </row>
    <row r="9" spans="1:145" s="75" customFormat="1" x14ac:dyDescent="0.25">
      <c r="A9" s="2">
        <v>4</v>
      </c>
      <c r="B9" s="64" t="s">
        <v>12</v>
      </c>
      <c r="C9" s="72" t="s">
        <v>155</v>
      </c>
      <c r="D9" s="6">
        <f>SUM(H9:CQ9)</f>
        <v>1184.2000000000003</v>
      </c>
      <c r="E9" s="6">
        <f>+D9/40</f>
        <v>29.605000000000008</v>
      </c>
      <c r="F9" s="4">
        <v>500</v>
      </c>
      <c r="G9" s="4">
        <f t="shared" ref="G9:G25" si="1">D9-F9</f>
        <v>684.20000000000027</v>
      </c>
      <c r="H9" s="234">
        <v>592.70000000000027</v>
      </c>
      <c r="I9" s="5"/>
      <c r="J9" s="5">
        <f>-4*20</f>
        <v>-80</v>
      </c>
      <c r="K9" s="5">
        <f>45*40</f>
        <v>1800</v>
      </c>
      <c r="L9" s="5"/>
      <c r="M9" s="5"/>
      <c r="N9" s="5"/>
      <c r="O9" s="5"/>
      <c r="P9" s="5">
        <f>-9.5*20-18*20</f>
        <v>-550</v>
      </c>
      <c r="Q9" s="121"/>
      <c r="R9" s="5">
        <f>-10*55-8*60</f>
        <v>-1030</v>
      </c>
      <c r="S9" s="5"/>
      <c r="T9" s="5">
        <f>-7*20</f>
        <v>-140</v>
      </c>
      <c r="U9" s="5"/>
      <c r="V9" s="5">
        <f>-4*20-6*5</f>
        <v>-110</v>
      </c>
      <c r="W9" s="71"/>
      <c r="X9" s="5">
        <f>-1*5-6*20-1*60</f>
        <v>-185</v>
      </c>
      <c r="Y9" s="5"/>
      <c r="Z9" s="71">
        <f>-5*60-1*20</f>
        <v>-320</v>
      </c>
      <c r="AA9" s="5"/>
      <c r="AB9" s="5">
        <f>-19*20</f>
        <v>-380</v>
      </c>
      <c r="AC9" s="5"/>
      <c r="AD9" s="5"/>
      <c r="AE9" s="5"/>
      <c r="AF9" s="269">
        <v>-40</v>
      </c>
      <c r="AG9" s="5"/>
      <c r="AH9" s="5">
        <f>-4*20-1.5*20</f>
        <v>-110</v>
      </c>
      <c r="AI9" s="5"/>
      <c r="AJ9" s="5">
        <f>-4*20</f>
        <v>-80</v>
      </c>
      <c r="AK9" s="5"/>
      <c r="AL9" s="5"/>
      <c r="AM9" s="5">
        <f>40*40</f>
        <v>1600</v>
      </c>
      <c r="AN9" s="5">
        <f>-5*20-5*20</f>
        <v>-200</v>
      </c>
      <c r="AO9" s="5"/>
      <c r="AP9" s="5">
        <f>-4*20</f>
        <v>-80</v>
      </c>
      <c r="AQ9" s="269">
        <v>-20</v>
      </c>
      <c r="AR9" s="71">
        <f>-5*60</f>
        <v>-300</v>
      </c>
      <c r="AS9" s="5"/>
      <c r="AT9" s="5">
        <f>-2*60-5*55-1*25-6*20</f>
        <v>-540</v>
      </c>
      <c r="AU9" s="5">
        <f>44*40</f>
        <v>1760</v>
      </c>
      <c r="AV9" s="71">
        <f>-18*22.5-3*20</f>
        <v>-465</v>
      </c>
      <c r="AW9" s="5"/>
      <c r="AX9" s="71">
        <f>-9*23-10*23.5</f>
        <v>-442</v>
      </c>
      <c r="AY9" s="5"/>
      <c r="AZ9" s="5">
        <f>-3*20-2*25</f>
        <v>-110</v>
      </c>
      <c r="BA9" s="5"/>
      <c r="BB9" s="5">
        <f>-5*55</f>
        <v>-275</v>
      </c>
      <c r="BC9" s="5"/>
      <c r="BD9" s="5">
        <f>-15*25</f>
        <v>-375</v>
      </c>
      <c r="BE9" s="5"/>
      <c r="BF9" s="5"/>
      <c r="BG9" s="5"/>
      <c r="BH9" s="5">
        <f>-4*25</f>
        <v>-100</v>
      </c>
      <c r="BI9" s="5"/>
      <c r="BJ9" s="5">
        <f>-7*25-7*60</f>
        <v>-595</v>
      </c>
      <c r="BK9" s="5">
        <f>45*40</f>
        <v>1800</v>
      </c>
      <c r="BL9" s="5">
        <v>-1.5</v>
      </c>
      <c r="BM9" s="5"/>
      <c r="BN9" s="5">
        <f>-4*55-5*20</f>
        <v>-320</v>
      </c>
      <c r="BO9" s="5">
        <f>20*40</f>
        <v>800</v>
      </c>
      <c r="BP9" s="5">
        <f>-4*20-4*60</f>
        <v>-320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L9" s="125"/>
      <c r="EM9" s="125"/>
      <c r="EN9" s="125"/>
      <c r="EO9" s="125"/>
    </row>
    <row r="10" spans="1:145" s="75" customFormat="1" ht="17.25" customHeight="1" x14ac:dyDescent="0.25">
      <c r="A10" s="2">
        <v>5</v>
      </c>
      <c r="B10" s="3" t="s">
        <v>257</v>
      </c>
      <c r="C10" s="72" t="s">
        <v>256</v>
      </c>
      <c r="D10" s="6">
        <f>SUM(H10:CQ10)</f>
        <v>32.782500000000013</v>
      </c>
      <c r="E10" s="6">
        <f>+D10/1</f>
        <v>32.782500000000013</v>
      </c>
      <c r="F10" s="4">
        <v>10</v>
      </c>
      <c r="G10" s="4">
        <f t="shared" si="1"/>
        <v>22.782500000000013</v>
      </c>
      <c r="H10" s="234">
        <v>9.2250000000000156</v>
      </c>
      <c r="I10" s="5"/>
      <c r="J10" s="71">
        <f>-4*0.15</f>
        <v>-0.6</v>
      </c>
      <c r="K10" s="5">
        <v>20.97</v>
      </c>
      <c r="L10" s="71"/>
      <c r="M10" s="5"/>
      <c r="N10" s="5">
        <f>-64*0.05</f>
        <v>-3.2</v>
      </c>
      <c r="O10" s="5"/>
      <c r="P10" s="5">
        <f>-18*0.1</f>
        <v>-1.8</v>
      </c>
      <c r="Q10" s="5"/>
      <c r="R10" s="71">
        <f>-10*0.25-4*0.1-8*0.185-203*0.05</f>
        <v>-14.530000000000001</v>
      </c>
      <c r="S10" s="5">
        <v>2.2000000000000002</v>
      </c>
      <c r="T10" s="5">
        <f>-7*0.185</f>
        <v>-1.2949999999999999</v>
      </c>
      <c r="U10" s="5"/>
      <c r="V10" s="5">
        <f>-4*0.15</f>
        <v>-0.6</v>
      </c>
      <c r="W10" s="5"/>
      <c r="X10" s="71">
        <f>-1*0.25-1*0.1-6*0.185-1*0.185</f>
        <v>-1.645</v>
      </c>
      <c r="Y10" s="5"/>
      <c r="Z10" s="5">
        <f>-5*0.185-1*0.185</f>
        <v>-1.1100000000000001</v>
      </c>
      <c r="AA10" s="5"/>
      <c r="AB10" s="5">
        <f>-19*0.1</f>
        <v>-1.9000000000000001</v>
      </c>
      <c r="AC10" s="5"/>
      <c r="AD10" s="5"/>
      <c r="AE10" s="5">
        <v>27</v>
      </c>
      <c r="AF10" s="5">
        <f>-130*0.05</f>
        <v>-6.5</v>
      </c>
      <c r="AG10" s="5"/>
      <c r="AH10" s="71">
        <f>-4*0.1-1.5*0.185</f>
        <v>-0.67749999999999999</v>
      </c>
      <c r="AI10" s="5"/>
      <c r="AJ10" s="71">
        <f>-174*0.05</f>
        <v>-8.7000000000000011</v>
      </c>
      <c r="AK10" s="5"/>
      <c r="AL10" s="71"/>
      <c r="AM10" s="5"/>
      <c r="AN10" s="71">
        <f>-5*0.15-5*0.185</f>
        <v>-1.675</v>
      </c>
      <c r="AO10" s="5"/>
      <c r="AP10" s="5">
        <f>-4*0.15</f>
        <v>-0.6</v>
      </c>
      <c r="AQ10" s="5"/>
      <c r="AR10" s="5">
        <f>-5*0.185</f>
        <v>-0.92500000000000004</v>
      </c>
      <c r="AS10" s="5">
        <v>50</v>
      </c>
      <c r="AT10" s="5">
        <f>-2*0.185-5*0.25-7*0.185</f>
        <v>-2.915</v>
      </c>
      <c r="AU10" s="5"/>
      <c r="AV10" s="5">
        <f>-18*0.1-2*0.05</f>
        <v>-1.9000000000000001</v>
      </c>
      <c r="AW10" s="5"/>
      <c r="AX10" s="5">
        <f>-9*0.1-6*0.1-10*0.15</f>
        <v>-3</v>
      </c>
      <c r="AY10" s="5"/>
      <c r="AZ10" s="5">
        <f>-2*0.185-213*0.05</f>
        <v>-11.02</v>
      </c>
      <c r="BA10" s="5"/>
      <c r="BB10" s="5">
        <f>-5*0.25</f>
        <v>-1.25</v>
      </c>
      <c r="BC10" s="5"/>
      <c r="BD10" s="71">
        <f>-15*0.1-7*0.05</f>
        <v>-1.85</v>
      </c>
      <c r="BE10" s="5"/>
      <c r="BF10" s="71">
        <f>-1*0.5</f>
        <v>-0.5</v>
      </c>
      <c r="BG10" s="5"/>
      <c r="BH10" s="71"/>
      <c r="BI10" s="5"/>
      <c r="BJ10" s="5">
        <f>-14*0.185</f>
        <v>-2.59</v>
      </c>
      <c r="BK10" s="5"/>
      <c r="BL10" s="5">
        <f>-30*0.05</f>
        <v>-1.5</v>
      </c>
      <c r="BM10" s="5"/>
      <c r="BN10" s="5">
        <f>-4*0.25</f>
        <v>-1</v>
      </c>
      <c r="BO10" s="5"/>
      <c r="BP10" s="5">
        <f>-8*0.185-37*0.05</f>
        <v>-3.33</v>
      </c>
      <c r="BQ10" s="5"/>
      <c r="BR10" s="5"/>
      <c r="BS10" s="5"/>
      <c r="BT10" s="71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145" s="75" customFormat="1" ht="17.25" customHeight="1" x14ac:dyDescent="0.25">
      <c r="A11" s="2">
        <v>6</v>
      </c>
      <c r="B11" s="3" t="s">
        <v>244</v>
      </c>
      <c r="C11" s="72" t="s">
        <v>243</v>
      </c>
      <c r="D11" s="6">
        <f t="shared" si="0"/>
        <v>354</v>
      </c>
      <c r="E11" s="6">
        <f>+D11/20</f>
        <v>17.7</v>
      </c>
      <c r="F11" s="4">
        <v>500</v>
      </c>
      <c r="G11" s="4">
        <f t="shared" si="1"/>
        <v>-146</v>
      </c>
      <c r="H11" s="234">
        <v>478.6</v>
      </c>
      <c r="I11" s="5"/>
      <c r="J11" s="5"/>
      <c r="K11" s="5"/>
      <c r="L11" s="5"/>
      <c r="M11" s="5"/>
      <c r="N11" s="5"/>
      <c r="O11" s="5"/>
      <c r="P11" s="5"/>
      <c r="Q11" s="5"/>
      <c r="R11" s="5">
        <f>-4*20</f>
        <v>-80</v>
      </c>
      <c r="S11" s="5"/>
      <c r="T11" s="5"/>
      <c r="U11" s="5"/>
      <c r="V11" s="5"/>
      <c r="W11" s="5"/>
      <c r="X11" s="5"/>
      <c r="Y11" s="5"/>
      <c r="Z11" s="5">
        <f>-1*140</f>
        <v>-140</v>
      </c>
      <c r="AA11" s="5"/>
      <c r="AB11" s="5"/>
      <c r="AC11" s="5"/>
      <c r="AD11" s="5"/>
      <c r="AE11" s="5"/>
      <c r="AF11" s="5">
        <f>-61-3</f>
        <v>-64</v>
      </c>
      <c r="AG11" s="5"/>
      <c r="AH11" s="5"/>
      <c r="AI11" s="5"/>
      <c r="AJ11" s="5">
        <f>-10*10</f>
        <v>-100</v>
      </c>
      <c r="AK11" s="5"/>
      <c r="AL11" s="5"/>
      <c r="AM11" s="5"/>
      <c r="AN11" s="5">
        <f>-20*4.5</f>
        <v>-90</v>
      </c>
      <c r="AO11" s="5"/>
      <c r="AP11" s="58"/>
      <c r="AQ11" s="5"/>
      <c r="AR11" s="5"/>
      <c r="AS11" s="5"/>
      <c r="AT11" s="5"/>
      <c r="AU11" s="5">
        <f>13*20+11.9</f>
        <v>271.89999999999998</v>
      </c>
      <c r="AV11" s="5"/>
      <c r="AW11" s="5"/>
      <c r="AX11" s="5">
        <f>-6*23.3</f>
        <v>-139.80000000000001</v>
      </c>
      <c r="AY11" s="5"/>
      <c r="AZ11" s="5">
        <f>-1*26</f>
        <v>-26</v>
      </c>
      <c r="BA11" s="5"/>
      <c r="BB11" s="5"/>
      <c r="BC11" s="5"/>
      <c r="BD11" s="5"/>
      <c r="BE11" s="5"/>
      <c r="BF11" s="5"/>
      <c r="BG11" s="5">
        <v>9.3000000000000007</v>
      </c>
      <c r="BH11" s="5">
        <f>-1*120</f>
        <v>-120</v>
      </c>
      <c r="BI11" s="5"/>
      <c r="BJ11" s="5"/>
      <c r="BK11" s="5">
        <v>7</v>
      </c>
      <c r="BL11" s="5">
        <v>-7</v>
      </c>
      <c r="BM11" s="5">
        <f>22*20+14</f>
        <v>454</v>
      </c>
      <c r="BN11" s="5">
        <f>-1*100</f>
        <v>-100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145" s="75" customFormat="1" ht="17.25" customHeight="1" x14ac:dyDescent="0.25">
      <c r="A12" s="2">
        <v>7</v>
      </c>
      <c r="B12" s="3" t="s">
        <v>16</v>
      </c>
      <c r="C12" s="72" t="s">
        <v>158</v>
      </c>
      <c r="D12" s="6">
        <f t="shared" si="0"/>
        <v>0.30499999999998795</v>
      </c>
      <c r="E12" s="6">
        <f>+D12/25.5</f>
        <v>1.1960784313725017E-2</v>
      </c>
      <c r="F12" s="4">
        <v>20</v>
      </c>
      <c r="G12" s="4">
        <f t="shared" si="1"/>
        <v>-19.695000000000011</v>
      </c>
      <c r="H12" s="234">
        <v>12.289999999999988</v>
      </c>
      <c r="I12" s="5"/>
      <c r="J12" s="5"/>
      <c r="K12" s="5"/>
      <c r="L12" s="5"/>
      <c r="M12" s="5"/>
      <c r="N12" s="65"/>
      <c r="O12" s="5"/>
      <c r="P12" s="5"/>
      <c r="Q12" s="5"/>
      <c r="R12" s="5"/>
      <c r="S12" s="5"/>
      <c r="T12" s="5"/>
      <c r="U12" s="5"/>
      <c r="V12" s="5"/>
      <c r="W12" s="5"/>
      <c r="X12" s="5">
        <f>-136*0.085</f>
        <v>-11.56</v>
      </c>
      <c r="Y12" s="5"/>
      <c r="Z12" s="5"/>
      <c r="AA12" s="5"/>
      <c r="AB12" s="5"/>
      <c r="AC12" s="5"/>
      <c r="AD12" s="5"/>
      <c r="AE12" s="5"/>
      <c r="AF12" s="5">
        <f>-5*0.085</f>
        <v>-0.42500000000000004</v>
      </c>
      <c r="AG12" s="5"/>
      <c r="AH12" s="6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145" s="75" customFormat="1" ht="30" x14ac:dyDescent="0.25">
      <c r="A13" s="2">
        <v>8</v>
      </c>
      <c r="B13" s="3" t="s">
        <v>340</v>
      </c>
      <c r="C13" s="72" t="s">
        <v>157</v>
      </c>
      <c r="D13" s="6">
        <f t="shared" si="0"/>
        <v>154.4</v>
      </c>
      <c r="E13" s="6">
        <f>+D13/20</f>
        <v>7.7200000000000006</v>
      </c>
      <c r="F13" s="4">
        <v>25</v>
      </c>
      <c r="G13" s="4">
        <f t="shared" si="1"/>
        <v>129.4</v>
      </c>
      <c r="H13" s="234">
        <v>35.900000000000006</v>
      </c>
      <c r="I13" s="5"/>
      <c r="J13" s="5"/>
      <c r="K13" s="5"/>
      <c r="L13" s="5"/>
      <c r="M13" s="5"/>
      <c r="N13" s="5"/>
      <c r="O13" s="5"/>
      <c r="P13" s="5"/>
      <c r="Q13" s="5"/>
      <c r="R13" s="5">
        <f>-10*1.5</f>
        <v>-15</v>
      </c>
      <c r="S13" s="5"/>
      <c r="T13" s="5"/>
      <c r="U13" s="5">
        <f>9*20</f>
        <v>180</v>
      </c>
      <c r="V13" s="5"/>
      <c r="W13" s="5"/>
      <c r="X13" s="5">
        <f>-1*25.5</f>
        <v>-25.5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f>-5*1.5</f>
        <v>-7.5</v>
      </c>
      <c r="AU13" s="5"/>
      <c r="AV13" s="5"/>
      <c r="AW13" s="5"/>
      <c r="AX13" s="5"/>
      <c r="AY13" s="5"/>
      <c r="AZ13" s="5"/>
      <c r="BA13" s="5"/>
      <c r="BB13" s="5">
        <f>-5*1.5</f>
        <v>-7.5</v>
      </c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>
        <f>-4*1.5</f>
        <v>-6</v>
      </c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145" s="75" customFormat="1" x14ac:dyDescent="0.25">
      <c r="A14" s="2">
        <v>9</v>
      </c>
      <c r="B14" s="3" t="s">
        <v>17</v>
      </c>
      <c r="C14" s="72" t="s">
        <v>159</v>
      </c>
      <c r="D14" s="6">
        <f t="shared" si="0"/>
        <v>48</v>
      </c>
      <c r="E14" s="6">
        <f>+D14/6</f>
        <v>8</v>
      </c>
      <c r="F14" s="4">
        <v>50</v>
      </c>
      <c r="G14" s="4">
        <f t="shared" si="1"/>
        <v>-2</v>
      </c>
      <c r="H14" s="234">
        <v>54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>
        <f>-1*6</f>
        <v>-6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145" s="75" customFormat="1" x14ac:dyDescent="0.25">
      <c r="A15" s="2">
        <v>10</v>
      </c>
      <c r="B15" s="3" t="s">
        <v>14</v>
      </c>
      <c r="C15" s="72" t="s">
        <v>160</v>
      </c>
      <c r="D15" s="6">
        <f t="shared" si="0"/>
        <v>0</v>
      </c>
      <c r="E15" s="6">
        <f>+D15/25</f>
        <v>0</v>
      </c>
      <c r="F15" s="4">
        <v>150</v>
      </c>
      <c r="G15" s="4">
        <f t="shared" si="1"/>
        <v>-150</v>
      </c>
      <c r="H15" s="234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>
        <v>44</v>
      </c>
      <c r="BH15" s="5">
        <v>-44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145" s="75" customFormat="1" x14ac:dyDescent="0.25">
      <c r="A16" s="2">
        <v>11</v>
      </c>
      <c r="B16" s="3" t="s">
        <v>19</v>
      </c>
      <c r="C16" s="72" t="s">
        <v>161</v>
      </c>
      <c r="D16" s="6">
        <f t="shared" si="0"/>
        <v>0</v>
      </c>
      <c r="E16" s="6">
        <f>+D16/20</f>
        <v>0</v>
      </c>
      <c r="F16" s="4">
        <v>200</v>
      </c>
      <c r="G16" s="4">
        <f t="shared" si="1"/>
        <v>-200</v>
      </c>
      <c r="H16" s="234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80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f>-800*0.1</f>
        <v>-80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</row>
    <row r="17" spans="1:145" s="75" customFormat="1" x14ac:dyDescent="0.25">
      <c r="A17" s="2">
        <v>12</v>
      </c>
      <c r="B17" s="3" t="s">
        <v>20</v>
      </c>
      <c r="C17" s="72" t="s">
        <v>162</v>
      </c>
      <c r="D17" s="6">
        <f t="shared" si="0"/>
        <v>40</v>
      </c>
      <c r="E17" s="6">
        <f>+D17/15</f>
        <v>2.6666666666666665</v>
      </c>
      <c r="F17" s="4">
        <v>100</v>
      </c>
      <c r="G17" s="4">
        <f t="shared" si="1"/>
        <v>-60</v>
      </c>
      <c r="H17" s="234"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>
        <v>20</v>
      </c>
      <c r="BB17" s="5">
        <v>-20</v>
      </c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>
        <v>60</v>
      </c>
      <c r="BP17" s="5">
        <v>-20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145" s="75" customFormat="1" x14ac:dyDescent="0.25">
      <c r="A18" s="2">
        <v>13</v>
      </c>
      <c r="B18" s="3" t="s">
        <v>15</v>
      </c>
      <c r="C18" s="72" t="s">
        <v>258</v>
      </c>
      <c r="D18" s="6">
        <f t="shared" si="0"/>
        <v>391</v>
      </c>
      <c r="E18" s="6">
        <f>+D18/25</f>
        <v>15.64</v>
      </c>
      <c r="F18" s="4">
        <v>90</v>
      </c>
      <c r="G18" s="4">
        <f t="shared" si="1"/>
        <v>301</v>
      </c>
      <c r="H18" s="234">
        <v>173</v>
      </c>
      <c r="I18" s="5"/>
      <c r="J18" s="5">
        <f>-4*16</f>
        <v>-64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-4*16</f>
        <v>-64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f>292+389-45</f>
        <v>636</v>
      </c>
      <c r="AL18" s="5"/>
      <c r="AM18" s="5"/>
      <c r="AN18" s="5">
        <f>-5*16</f>
        <v>-80</v>
      </c>
      <c r="AO18" s="5">
        <v>14</v>
      </c>
      <c r="AP18" s="5">
        <f>-4*16</f>
        <v>-64</v>
      </c>
      <c r="AQ18" s="5"/>
      <c r="AR18" s="5"/>
      <c r="AS18" s="5"/>
      <c r="AT18" s="5"/>
      <c r="AU18" s="5"/>
      <c r="AV18" s="5"/>
      <c r="AW18" s="5"/>
      <c r="AX18" s="5">
        <f>-10*16</f>
        <v>-160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</row>
    <row r="19" spans="1:145" s="75" customFormat="1" x14ac:dyDescent="0.25">
      <c r="A19" s="2">
        <v>14</v>
      </c>
      <c r="B19" s="64" t="s">
        <v>18</v>
      </c>
      <c r="C19" s="72" t="s">
        <v>163</v>
      </c>
      <c r="D19" s="6">
        <f>SUM(H19:CQ19)</f>
        <v>366.99999999999761</v>
      </c>
      <c r="E19" s="6">
        <f>+D19/31</f>
        <v>11.838709677419278</v>
      </c>
      <c r="F19" s="4">
        <v>300</v>
      </c>
      <c r="G19" s="4">
        <f t="shared" si="1"/>
        <v>66.999999999997613</v>
      </c>
      <c r="H19" s="234">
        <v>893.09999999999764</v>
      </c>
      <c r="I19" s="5">
        <v>88.9</v>
      </c>
      <c r="J19" s="5">
        <f>-4*4</f>
        <v>-16</v>
      </c>
      <c r="K19" s="5"/>
      <c r="L19" s="5"/>
      <c r="M19" s="5"/>
      <c r="N19" s="5"/>
      <c r="O19" s="5"/>
      <c r="P19" s="5">
        <f>-18*4</f>
        <v>-72</v>
      </c>
      <c r="Q19" s="5"/>
      <c r="R19" s="5">
        <f>-10*14-4*4</f>
        <v>-156</v>
      </c>
      <c r="S19" s="5">
        <f>769-738</f>
        <v>31</v>
      </c>
      <c r="T19" s="5"/>
      <c r="U19" s="5">
        <v>45</v>
      </c>
      <c r="V19" s="5">
        <f>-4*4-6*5</f>
        <v>-46</v>
      </c>
      <c r="W19" s="5"/>
      <c r="X19" s="5"/>
      <c r="Y19" s="5"/>
      <c r="Z19" s="5"/>
      <c r="AA19" s="5"/>
      <c r="AB19" s="5">
        <f>-16*4</f>
        <v>-64</v>
      </c>
      <c r="AC19" s="5"/>
      <c r="AD19" s="5"/>
      <c r="AE19" s="5"/>
      <c r="AF19" s="5"/>
      <c r="AG19" s="5"/>
      <c r="AH19" s="5">
        <f>-4*4</f>
        <v>-16</v>
      </c>
      <c r="AI19" s="5"/>
      <c r="AJ19" s="5"/>
      <c r="AK19" s="5">
        <v>195</v>
      </c>
      <c r="AL19" s="5"/>
      <c r="AM19" s="5"/>
      <c r="AN19" s="5">
        <f>-5*4</f>
        <v>-20</v>
      </c>
      <c r="AO19" s="5"/>
      <c r="AP19" s="5">
        <f>-4*4</f>
        <v>-16</v>
      </c>
      <c r="AQ19" s="5"/>
      <c r="AR19" s="5"/>
      <c r="AS19" s="5"/>
      <c r="AT19" s="5">
        <f>-5*14</f>
        <v>-70</v>
      </c>
      <c r="AU19" s="5"/>
      <c r="AV19" s="5">
        <f>-18*5</f>
        <v>-90</v>
      </c>
      <c r="AW19" s="5"/>
      <c r="AX19" s="5">
        <f>-9*4-6*4-10*4</f>
        <v>-100</v>
      </c>
      <c r="AY19" s="5"/>
      <c r="AZ19" s="5"/>
      <c r="BA19" s="5"/>
      <c r="BB19" s="5">
        <f>-5*16</f>
        <v>-80</v>
      </c>
      <c r="BC19" s="5"/>
      <c r="BD19" s="5">
        <f>-15*4</f>
        <v>-60</v>
      </c>
      <c r="BE19" s="5"/>
      <c r="BF19" s="5"/>
      <c r="BG19" s="5"/>
      <c r="BH19" s="5">
        <f>-4*4</f>
        <v>-16</v>
      </c>
      <c r="BI19" s="5"/>
      <c r="BJ19" s="5"/>
      <c r="BK19" s="5"/>
      <c r="BL19" s="5"/>
      <c r="BM19" s="5"/>
      <c r="BN19" s="5">
        <f>-4*16</f>
        <v>-64</v>
      </c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145" s="75" customFormat="1" x14ac:dyDescent="0.25">
      <c r="A20" s="2">
        <v>15</v>
      </c>
      <c r="B20" s="3" t="s">
        <v>259</v>
      </c>
      <c r="C20" s="72" t="s">
        <v>164</v>
      </c>
      <c r="D20" s="6">
        <f t="shared" si="0"/>
        <v>3.6600000000000246</v>
      </c>
      <c r="E20" s="6">
        <f>+D20/200</f>
        <v>1.8300000000000122E-2</v>
      </c>
      <c r="F20" s="4">
        <v>200</v>
      </c>
      <c r="G20" s="4">
        <f t="shared" si="1"/>
        <v>-196.33999999999997</v>
      </c>
      <c r="H20" s="234">
        <v>16.420000000000016</v>
      </c>
      <c r="I20" s="5">
        <v>9.3800000000000008</v>
      </c>
      <c r="J20" s="5"/>
      <c r="K20" s="5"/>
      <c r="L20" s="5"/>
      <c r="M20" s="5"/>
      <c r="N20" s="71">
        <f>-180*0.06-125*0.12</f>
        <v>-25.799999999999997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f>-25*0.06</f>
        <v>-1.5</v>
      </c>
      <c r="AA20" s="5"/>
      <c r="AB20" s="5"/>
      <c r="AC20" s="5"/>
      <c r="AD20" s="5"/>
      <c r="AE20" s="5"/>
      <c r="AF20" s="5"/>
      <c r="AG20" s="5"/>
      <c r="AH20" s="5"/>
      <c r="AI20" s="5">
        <v>60</v>
      </c>
      <c r="AJ20" s="5"/>
      <c r="AK20" s="5"/>
      <c r="AL20" s="5"/>
      <c r="AM20" s="5"/>
      <c r="AN20" s="5">
        <f>-290*0.12</f>
        <v>-34.799999999999997</v>
      </c>
      <c r="AO20" s="5"/>
      <c r="AP20" s="5"/>
      <c r="AQ20" s="5"/>
      <c r="AR20" s="5"/>
      <c r="AS20" s="5"/>
      <c r="AT20" s="5"/>
      <c r="AU20" s="5"/>
      <c r="AV20" s="5">
        <f>-231*0.06-29*0.12</f>
        <v>-17.34</v>
      </c>
      <c r="AW20" s="5"/>
      <c r="AX20" s="5"/>
      <c r="AY20" s="5"/>
      <c r="AZ20" s="5"/>
      <c r="BA20" s="5"/>
      <c r="BB20" s="5">
        <f>-45*0.06</f>
        <v>-2.6999999999999997</v>
      </c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145" s="75" customFormat="1" x14ac:dyDescent="0.25">
      <c r="A21" s="80">
        <v>16</v>
      </c>
      <c r="B21" s="81" t="s">
        <v>341</v>
      </c>
      <c r="C21" s="82" t="s">
        <v>342</v>
      </c>
      <c r="D21" s="77">
        <f t="shared" si="0"/>
        <v>-229</v>
      </c>
      <c r="E21" s="77">
        <f>+D21/35</f>
        <v>-6.5428571428571427</v>
      </c>
      <c r="F21" s="78">
        <v>200</v>
      </c>
      <c r="G21" s="78">
        <f t="shared" si="1"/>
        <v>-429</v>
      </c>
      <c r="H21" s="234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v>300</v>
      </c>
      <c r="AB21" s="5">
        <f>-19*10</f>
        <v>-190</v>
      </c>
      <c r="AC21" s="5">
        <v>190</v>
      </c>
      <c r="AD21" s="5"/>
      <c r="AE21" s="5"/>
      <c r="AF21" s="5"/>
      <c r="AG21" s="5"/>
      <c r="AH21" s="5"/>
      <c r="AI21" s="5"/>
      <c r="AJ21" s="5"/>
      <c r="AK21" s="5">
        <f>511-300</f>
        <v>211</v>
      </c>
      <c r="AL21" s="5"/>
      <c r="AM21" s="5"/>
      <c r="AN21" s="5">
        <f>-5*10</f>
        <v>-50</v>
      </c>
      <c r="AO21" s="5"/>
      <c r="AP21" s="5">
        <f>-4*10</f>
        <v>-40</v>
      </c>
      <c r="AQ21" s="5"/>
      <c r="AR21" s="5"/>
      <c r="AS21" s="5"/>
      <c r="AT21" s="5"/>
      <c r="AU21" s="5"/>
      <c r="AV21" s="5">
        <f>-18*10</f>
        <v>-180</v>
      </c>
      <c r="AW21" s="5"/>
      <c r="AX21" s="5">
        <f>-9*10-6*10-10*10</f>
        <v>-250</v>
      </c>
      <c r="AY21" s="5"/>
      <c r="AZ21" s="5">
        <f>-3*10</f>
        <v>-30</v>
      </c>
      <c r="BA21" s="5"/>
      <c r="BB21" s="5"/>
      <c r="BC21" s="5"/>
      <c r="BD21" s="5">
        <f>-15*10</f>
        <v>-150</v>
      </c>
      <c r="BE21" s="5"/>
      <c r="BF21" s="5"/>
      <c r="BG21" s="5"/>
      <c r="BH21" s="5">
        <f>-4*10</f>
        <v>-40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145" s="75" customFormat="1" x14ac:dyDescent="0.25">
      <c r="A22" s="2">
        <v>17</v>
      </c>
      <c r="B22" s="3" t="s">
        <v>217</v>
      </c>
      <c r="C22" s="72" t="s">
        <v>162</v>
      </c>
      <c r="D22" s="77">
        <f t="shared" si="0"/>
        <v>468</v>
      </c>
      <c r="E22" s="77">
        <f>+D22/15</f>
        <v>31.2</v>
      </c>
      <c r="F22" s="4"/>
      <c r="G22" s="78">
        <f t="shared" si="1"/>
        <v>468</v>
      </c>
      <c r="H22" s="234">
        <v>1156</v>
      </c>
      <c r="I22" s="5"/>
      <c r="J22" s="5">
        <f>-4*16</f>
        <v>-64</v>
      </c>
      <c r="K22" s="5"/>
      <c r="L22" s="5"/>
      <c r="M22" s="5"/>
      <c r="N22" s="5"/>
      <c r="O22" s="5"/>
      <c r="P22" s="5">
        <f>-18*16</f>
        <v>-288</v>
      </c>
      <c r="Q22" s="5"/>
      <c r="R22" s="5">
        <f>-10*4-4*16</f>
        <v>-104</v>
      </c>
      <c r="S22" s="5">
        <f>848-700+540</f>
        <v>688</v>
      </c>
      <c r="T22" s="5"/>
      <c r="U22" s="5"/>
      <c r="V22" s="5">
        <f>-4*16</f>
        <v>-64</v>
      </c>
      <c r="W22" s="5"/>
      <c r="X22" s="5"/>
      <c r="Y22" s="5"/>
      <c r="Z22" s="5"/>
      <c r="AA22" s="5"/>
      <c r="AB22" s="5">
        <f>-16*16-3*20</f>
        <v>-316</v>
      </c>
      <c r="AC22" s="5"/>
      <c r="AD22" s="5"/>
      <c r="AE22" s="5"/>
      <c r="AF22" s="5"/>
      <c r="AG22" s="5"/>
      <c r="AH22" s="5">
        <f>-4*16</f>
        <v>-64</v>
      </c>
      <c r="AI22" s="5"/>
      <c r="AJ22" s="5"/>
      <c r="AK22" s="5">
        <f>515+18*4+40*16-511</f>
        <v>716</v>
      </c>
      <c r="AL22" s="5"/>
      <c r="AM22" s="5"/>
      <c r="AN22" s="5">
        <f>-5*16</f>
        <v>-80</v>
      </c>
      <c r="AO22" s="5"/>
      <c r="AP22" s="5">
        <f>-4*16</f>
        <v>-64</v>
      </c>
      <c r="AQ22" s="5"/>
      <c r="AR22" s="5"/>
      <c r="AS22" s="5"/>
      <c r="AT22" s="5">
        <f>-5*4</f>
        <v>-20</v>
      </c>
      <c r="AU22" s="5"/>
      <c r="AV22" s="5">
        <f>-18*16</f>
        <v>-288</v>
      </c>
      <c r="AW22" s="5"/>
      <c r="AX22" s="5">
        <f>-9*16-6*16-10*16</f>
        <v>-400</v>
      </c>
      <c r="AY22" s="5"/>
      <c r="AZ22" s="5"/>
      <c r="BA22" s="5"/>
      <c r="BB22" s="5">
        <f>-5*4</f>
        <v>-20</v>
      </c>
      <c r="BC22" s="5"/>
      <c r="BD22" s="5">
        <f>-15*16</f>
        <v>-240</v>
      </c>
      <c r="BE22" s="5"/>
      <c r="BF22" s="5"/>
      <c r="BG22" s="5"/>
      <c r="BH22" s="5">
        <f>-4*16</f>
        <v>-64</v>
      </c>
      <c r="BI22" s="5"/>
      <c r="BJ22" s="5"/>
      <c r="BK22" s="5"/>
      <c r="BL22" s="5"/>
      <c r="BM22" s="5"/>
      <c r="BN22" s="5">
        <f>-4*4</f>
        <v>-16</v>
      </c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145" s="75" customFormat="1" x14ac:dyDescent="0.25">
      <c r="A23" s="80">
        <v>18</v>
      </c>
      <c r="B23" s="81" t="s">
        <v>172</v>
      </c>
      <c r="C23" s="82" t="s">
        <v>174</v>
      </c>
      <c r="D23" s="77">
        <f t="shared" si="0"/>
        <v>372</v>
      </c>
      <c r="E23" s="77">
        <f>+D23/35</f>
        <v>10.628571428571428</v>
      </c>
      <c r="F23" s="78">
        <v>200</v>
      </c>
      <c r="G23" s="78">
        <f t="shared" si="1"/>
        <v>172</v>
      </c>
      <c r="H23" s="234">
        <v>350</v>
      </c>
      <c r="I23" s="5"/>
      <c r="J23" s="5"/>
      <c r="K23" s="5"/>
      <c r="L23" s="5"/>
      <c r="M23" s="5"/>
      <c r="N23" s="5"/>
      <c r="O23" s="5"/>
      <c r="P23" s="5">
        <f>-9.5*35</f>
        <v>-332.5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>
        <v>300</v>
      </c>
      <c r="AD23" s="5"/>
      <c r="AE23" s="5"/>
      <c r="AF23" s="5"/>
      <c r="AG23" s="5"/>
      <c r="AH23" s="5"/>
      <c r="AI23" s="5"/>
      <c r="AJ23" s="5">
        <f>-4*35</f>
        <v>-140</v>
      </c>
      <c r="AK23" s="5">
        <f>477-177.5</f>
        <v>299.5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>
        <f>-3*35</f>
        <v>-105</v>
      </c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145" s="75" customFormat="1" x14ac:dyDescent="0.25">
      <c r="A24" s="2">
        <v>19</v>
      </c>
      <c r="B24" s="3" t="s">
        <v>173</v>
      </c>
      <c r="C24" s="72" t="s">
        <v>175</v>
      </c>
      <c r="D24" s="6">
        <f t="shared" si="0"/>
        <v>270</v>
      </c>
      <c r="E24" s="6">
        <f>+D24/40</f>
        <v>6.75</v>
      </c>
      <c r="F24" s="4">
        <v>200</v>
      </c>
      <c r="G24" s="4">
        <f t="shared" si="1"/>
        <v>70</v>
      </c>
      <c r="H24" s="234"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270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145" s="75" customFormat="1" x14ac:dyDescent="0.25">
      <c r="A25" s="2">
        <v>20</v>
      </c>
      <c r="B25" s="3" t="s">
        <v>240</v>
      </c>
      <c r="C25" s="72" t="s">
        <v>236</v>
      </c>
      <c r="D25" s="6">
        <f t="shared" si="0"/>
        <v>-524</v>
      </c>
      <c r="E25" s="6">
        <f>+D25/30</f>
        <v>-17.466666666666665</v>
      </c>
      <c r="F25" s="4">
        <v>200</v>
      </c>
      <c r="G25" s="4">
        <f t="shared" si="1"/>
        <v>-724</v>
      </c>
      <c r="H25" s="234">
        <v>2250</v>
      </c>
      <c r="I25" s="5"/>
      <c r="J25" s="5">
        <f>-4*50</f>
        <v>-200</v>
      </c>
      <c r="K25" s="5"/>
      <c r="L25" s="5"/>
      <c r="M25" s="5"/>
      <c r="N25" s="5"/>
      <c r="O25" s="5"/>
      <c r="P25" s="5">
        <f>-9.5*35-18*50</f>
        <v>-1232.5</v>
      </c>
      <c r="Q25" s="5"/>
      <c r="R25" s="5">
        <f>-4*50</f>
        <v>-200</v>
      </c>
      <c r="S25" s="5">
        <f>2300-617.5</f>
        <v>1682.5</v>
      </c>
      <c r="T25" s="5"/>
      <c r="U25" s="5"/>
      <c r="V25" s="5">
        <f>-4*50</f>
        <v>-200</v>
      </c>
      <c r="W25" s="5"/>
      <c r="X25" s="5"/>
      <c r="Y25" s="5"/>
      <c r="Z25" s="5"/>
      <c r="AA25" s="5"/>
      <c r="AB25" s="5">
        <f>-19*50</f>
        <v>-950</v>
      </c>
      <c r="AC25" s="5">
        <f>2300-1150</f>
        <v>1150</v>
      </c>
      <c r="AD25" s="5"/>
      <c r="AE25" s="5"/>
      <c r="AF25" s="5"/>
      <c r="AG25" s="5"/>
      <c r="AH25" s="5">
        <f>-4*50</f>
        <v>-200</v>
      </c>
      <c r="AI25" s="5"/>
      <c r="AJ25" s="5">
        <f>-4*35</f>
        <v>-140</v>
      </c>
      <c r="AK25" s="5">
        <f>2446-1960</f>
        <v>486</v>
      </c>
      <c r="AL25" s="5"/>
      <c r="AM25" s="5"/>
      <c r="AN25" s="5">
        <f>-5*45</f>
        <v>-225</v>
      </c>
      <c r="AO25" s="5"/>
      <c r="AP25" s="5">
        <f>-4*40</f>
        <v>-160</v>
      </c>
      <c r="AQ25" s="5"/>
      <c r="AR25" s="5"/>
      <c r="AS25" s="5"/>
      <c r="AT25" s="5"/>
      <c r="AU25" s="5"/>
      <c r="AV25" s="5">
        <f>-18*40</f>
        <v>-720</v>
      </c>
      <c r="AW25" s="5"/>
      <c r="AX25" s="5">
        <f>-9*40-6*40-10*40</f>
        <v>-1000</v>
      </c>
      <c r="AY25" s="5"/>
      <c r="AZ25" s="5">
        <f>-3*35</f>
        <v>-105</v>
      </c>
      <c r="BA25" s="5"/>
      <c r="BB25" s="5"/>
      <c r="BC25" s="5"/>
      <c r="BD25" s="5">
        <f>-15*40</f>
        <v>-600</v>
      </c>
      <c r="BE25" s="5"/>
      <c r="BF25" s="5"/>
      <c r="BG25" s="5"/>
      <c r="BH25" s="5">
        <f>-4*40</f>
        <v>-160</v>
      </c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145" s="75" customFormat="1" x14ac:dyDescent="0.25">
      <c r="A26"/>
      <c r="B26"/>
      <c r="C26"/>
      <c r="D26"/>
      <c r="E26"/>
      <c r="F26"/>
      <c r="G26"/>
      <c r="H26" s="123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145" s="75" customFormat="1" x14ac:dyDescent="0.25">
      <c r="A27"/>
      <c r="B27"/>
      <c r="C27"/>
      <c r="D27"/>
      <c r="E27"/>
      <c r="F27"/>
      <c r="G27"/>
      <c r="H27" s="123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 s="5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145" s="75" customFormat="1" ht="20.25" customHeight="1" x14ac:dyDescent="0.25">
      <c r="A28" s="241"/>
      <c r="B28" s="258" t="s">
        <v>346</v>
      </c>
      <c r="C28" s="240"/>
      <c r="D28"/>
      <c r="E28"/>
      <c r="F28"/>
      <c r="G28" s="7"/>
      <c r="H28" s="123"/>
      <c r="K28" s="124"/>
      <c r="L28" s="124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145" s="75" customFormat="1" ht="15.75" thickBot="1" x14ac:dyDescent="0.3">
      <c r="A29"/>
      <c r="B29" s="183"/>
      <c r="C29" s="184"/>
      <c r="D29" s="184"/>
      <c r="E29" s="184"/>
      <c r="F29"/>
      <c r="G29"/>
      <c r="I29" s="123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145" s="75" customFormat="1" ht="15.75" thickBot="1" x14ac:dyDescent="0.3">
      <c r="A30" s="250" t="s">
        <v>345</v>
      </c>
      <c r="B30" s="246" t="s">
        <v>9</v>
      </c>
      <c r="C30" s="245" t="s">
        <v>347</v>
      </c>
      <c r="D30" s="244" t="s">
        <v>344</v>
      </c>
      <c r="E30" s="243" t="s">
        <v>349</v>
      </c>
      <c r="F30"/>
      <c r="G30"/>
      <c r="J30" s="123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 s="7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145" s="75" customFormat="1" ht="21" x14ac:dyDescent="0.25">
      <c r="A31" s="251">
        <v>1</v>
      </c>
      <c r="B31" s="247" t="s">
        <v>348</v>
      </c>
      <c r="C31" s="254">
        <f>+D31*E31</f>
        <v>514.80000000000007</v>
      </c>
      <c r="D31" s="260">
        <v>18</v>
      </c>
      <c r="E31" s="261">
        <v>28.6</v>
      </c>
      <c r="F31"/>
      <c r="G31"/>
      <c r="J31" s="123"/>
      <c r="K31" s="200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 s="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145" s="75" customFormat="1" ht="21" x14ac:dyDescent="0.25">
      <c r="A32" s="252">
        <v>2</v>
      </c>
      <c r="B32" s="248" t="s">
        <v>350</v>
      </c>
      <c r="C32" s="255">
        <f t="shared" ref="C32:C39" si="2">+D32*E32</f>
        <v>477</v>
      </c>
      <c r="D32" s="262">
        <v>18</v>
      </c>
      <c r="E32" s="263">
        <v>26.5</v>
      </c>
      <c r="F32"/>
      <c r="G32" s="197"/>
      <c r="K32" s="200"/>
      <c r="L32" s="200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197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75" customFormat="1" ht="21" x14ac:dyDescent="0.25">
      <c r="A33" s="252">
        <v>3</v>
      </c>
      <c r="B33" s="248" t="s">
        <v>351</v>
      </c>
      <c r="C33" s="255">
        <f t="shared" si="2"/>
        <v>511.2</v>
      </c>
      <c r="D33" s="262">
        <v>18</v>
      </c>
      <c r="E33" s="263">
        <v>28.4</v>
      </c>
      <c r="F33"/>
      <c r="G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 s="197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75" customFormat="1" ht="21" x14ac:dyDescent="0.25">
      <c r="A34" s="252">
        <v>4</v>
      </c>
      <c r="B34" s="248" t="s">
        <v>352</v>
      </c>
      <c r="C34" s="255">
        <f t="shared" si="2"/>
        <v>270</v>
      </c>
      <c r="D34" s="262">
        <v>9</v>
      </c>
      <c r="E34" s="263">
        <v>30</v>
      </c>
      <c r="F34"/>
      <c r="G34"/>
      <c r="L34" s="200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 s="197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s="75" customFormat="1" ht="21" x14ac:dyDescent="0.25">
      <c r="A35" s="252">
        <v>5</v>
      </c>
      <c r="B35" s="248" t="s">
        <v>387</v>
      </c>
      <c r="C35" s="255">
        <f t="shared" si="2"/>
        <v>291.59999999999997</v>
      </c>
      <c r="D35" s="262">
        <v>9</v>
      </c>
      <c r="E35" s="263">
        <v>32.4</v>
      </c>
      <c r="F35"/>
      <c r="G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75" customFormat="1" ht="21" x14ac:dyDescent="0.25">
      <c r="A36" s="252">
        <v>6</v>
      </c>
      <c r="B36" s="248" t="s">
        <v>388</v>
      </c>
      <c r="C36" s="255">
        <f>+D36*E36</f>
        <v>94.199999999999989</v>
      </c>
      <c r="D36" s="262">
        <v>6</v>
      </c>
      <c r="E36" s="263">
        <v>15.7</v>
      </c>
      <c r="F36"/>
      <c r="G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75" customFormat="1" ht="21" x14ac:dyDescent="0.25">
      <c r="A37" s="252">
        <v>7</v>
      </c>
      <c r="B37" s="248" t="s">
        <v>389</v>
      </c>
      <c r="C37" s="255">
        <f>+D37*E37</f>
        <v>151.80000000000001</v>
      </c>
      <c r="D37" s="262">
        <v>6</v>
      </c>
      <c r="E37" s="263">
        <v>25.3</v>
      </c>
      <c r="F37"/>
      <c r="G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75" customFormat="1" ht="21" x14ac:dyDescent="0.25">
      <c r="A38" s="252">
        <v>8</v>
      </c>
      <c r="B38" s="248" t="s">
        <v>385</v>
      </c>
      <c r="C38" s="256">
        <f>+D38*E38</f>
        <v>2445.8399999999997</v>
      </c>
      <c r="D38" s="264">
        <f>18*4.3</f>
        <v>77.399999999999991</v>
      </c>
      <c r="E38" s="265">
        <v>31.6</v>
      </c>
      <c r="F38"/>
      <c r="G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ht="21.75" thickBot="1" x14ac:dyDescent="0.3">
      <c r="A39" s="253">
        <v>9</v>
      </c>
      <c r="B39" s="249" t="s">
        <v>386</v>
      </c>
      <c r="C39" s="257">
        <f t="shared" si="2"/>
        <v>388.79999999999995</v>
      </c>
      <c r="D39" s="266">
        <v>12</v>
      </c>
      <c r="E39" s="267">
        <v>32.4</v>
      </c>
      <c r="I39" s="197"/>
    </row>
    <row r="40" spans="1:84" x14ac:dyDescent="0.25">
      <c r="B40" s="183"/>
      <c r="C40" s="242"/>
    </row>
    <row r="41" spans="1:84" ht="30" x14ac:dyDescent="0.25">
      <c r="B41" s="259" t="s">
        <v>353</v>
      </c>
      <c r="C41" s="242"/>
    </row>
    <row r="42" spans="1:84" x14ac:dyDescent="0.25">
      <c r="C42" s="242"/>
      <c r="D42" s="63"/>
    </row>
    <row r="43" spans="1:84" x14ac:dyDescent="0.25">
      <c r="C43" s="242"/>
    </row>
  </sheetData>
  <mergeCells count="38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D4"/>
    <mergeCell ref="CE4:CF4"/>
    <mergeCell ref="BQ4:BR4"/>
    <mergeCell ref="BS4:BT4"/>
    <mergeCell ref="BU4:BV4"/>
    <mergeCell ref="BW4:BX4"/>
    <mergeCell ref="BY4:BZ4"/>
    <mergeCell ref="CA4:CB4"/>
  </mergeCells>
  <conditionalFormatting sqref="G6:G22 G25">
    <cfRule type="cellIs" dxfId="113" priority="5" operator="lessThanOrEqual">
      <formula>0</formula>
    </cfRule>
    <cfRule type="cellIs" dxfId="112" priority="6" operator="greaterThan">
      <formula>0</formula>
    </cfRule>
  </conditionalFormatting>
  <conditionalFormatting sqref="G23">
    <cfRule type="cellIs" dxfId="111" priority="3" operator="lessThanOrEqual">
      <formula>0</formula>
    </cfRule>
    <cfRule type="cellIs" dxfId="110" priority="4" operator="greaterThan">
      <formula>0</formula>
    </cfRule>
  </conditionalFormatting>
  <conditionalFormatting sqref="G24">
    <cfRule type="cellIs" dxfId="109" priority="1" operator="lessThanOrEqual">
      <formula>0</formula>
    </cfRule>
    <cfRule type="cellIs" dxfId="108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R43"/>
  <sheetViews>
    <sheetView showGridLines="0" zoomScale="70" zoomScaleNormal="70" workbookViewId="0">
      <pane xSplit="6" ySplit="5" topLeftCell="CG6" activePane="bottomRight" state="frozen"/>
      <selection pane="topRight" activeCell="F1" sqref="F1"/>
      <selection pane="bottomLeft" activeCell="A6" sqref="A6"/>
      <selection pane="bottomRight" activeCell="CJ9" sqref="CJ9"/>
    </sheetView>
  </sheetViews>
  <sheetFormatPr baseColWidth="10" defaultRowHeight="15" x14ac:dyDescent="0.25"/>
  <cols>
    <col min="1" max="1" width="4.7109375" customWidth="1"/>
    <col min="2" max="2" width="68.42578125" bestFit="1" customWidth="1"/>
    <col min="3" max="3" width="18.42578125" customWidth="1"/>
    <col min="4" max="6" width="12.7109375" customWidth="1"/>
    <col min="7" max="7" width="20.140625" bestFit="1" customWidth="1"/>
    <col min="38" max="38" width="13.7109375" customWidth="1"/>
    <col min="47" max="47" width="13.42578125" customWidth="1"/>
  </cols>
  <sheetData>
    <row r="1" spans="1:148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118"/>
      <c r="BQ1" s="118"/>
      <c r="BR1" s="118"/>
      <c r="BS1" s="118"/>
      <c r="BT1" s="119"/>
      <c r="BU1" s="119"/>
    </row>
    <row r="2" spans="1:148" ht="26.25" x14ac:dyDescent="0.25">
      <c r="A2" s="9"/>
      <c r="B2" s="9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19"/>
      <c r="BU2" s="119"/>
      <c r="CC2" s="7"/>
    </row>
    <row r="3" spans="1:148" x14ac:dyDescent="0.25">
      <c r="D3" s="7"/>
      <c r="E3" s="7"/>
      <c r="F3" s="7"/>
      <c r="U3" s="195" t="s">
        <v>315</v>
      </c>
      <c r="Y3" s="182"/>
      <c r="AT3" s="7"/>
      <c r="AY3" s="195" t="s">
        <v>343</v>
      </c>
      <c r="BF3" s="92"/>
      <c r="BG3" s="92"/>
      <c r="BH3" s="197"/>
      <c r="BI3" s="195" t="s">
        <v>343</v>
      </c>
      <c r="BO3" s="133"/>
      <c r="BP3" s="119"/>
      <c r="BQ3" s="119"/>
      <c r="BR3" s="119"/>
      <c r="BS3" s="119"/>
      <c r="BT3" s="132"/>
      <c r="BU3" s="195"/>
      <c r="CF3" s="7"/>
      <c r="CJ3" s="408" t="s">
        <v>631</v>
      </c>
    </row>
    <row r="4" spans="1:148" x14ac:dyDescent="0.25">
      <c r="A4" s="58"/>
      <c r="B4" s="58"/>
      <c r="C4" s="58"/>
      <c r="D4" s="58"/>
      <c r="E4" s="58"/>
      <c r="F4" s="58"/>
      <c r="G4" s="210" t="s">
        <v>255</v>
      </c>
      <c r="H4" s="461">
        <v>44567</v>
      </c>
      <c r="I4" s="462"/>
      <c r="J4" s="461">
        <v>44568</v>
      </c>
      <c r="K4" s="462"/>
      <c r="L4" s="459">
        <v>44569</v>
      </c>
      <c r="M4" s="460"/>
      <c r="N4" s="459">
        <v>44571</v>
      </c>
      <c r="O4" s="460"/>
      <c r="P4" s="459">
        <v>44572</v>
      </c>
      <c r="Q4" s="460"/>
      <c r="R4" s="459">
        <v>44573</v>
      </c>
      <c r="S4" s="460"/>
      <c r="T4" s="463">
        <v>44574</v>
      </c>
      <c r="U4" s="464"/>
      <c r="V4" s="461">
        <v>44575</v>
      </c>
      <c r="W4" s="462"/>
      <c r="X4" s="463">
        <v>44578</v>
      </c>
      <c r="Y4" s="464"/>
      <c r="Z4" s="459">
        <v>44579</v>
      </c>
      <c r="AA4" s="460"/>
      <c r="AB4" s="459">
        <v>44580</v>
      </c>
      <c r="AC4" s="460"/>
      <c r="AD4" s="459">
        <v>44582</v>
      </c>
      <c r="AE4" s="460"/>
      <c r="AF4" s="459">
        <v>44583</v>
      </c>
      <c r="AG4" s="460"/>
      <c r="AH4" s="459">
        <v>44585</v>
      </c>
      <c r="AI4" s="460"/>
      <c r="AJ4" s="459">
        <v>44586</v>
      </c>
      <c r="AK4" s="460"/>
      <c r="AL4" s="459">
        <v>44587</v>
      </c>
      <c r="AM4" s="460"/>
      <c r="AN4" s="459">
        <v>44588</v>
      </c>
      <c r="AO4" s="460"/>
      <c r="AP4" s="459">
        <v>44589</v>
      </c>
      <c r="AQ4" s="460"/>
      <c r="AR4" s="459">
        <v>44592</v>
      </c>
      <c r="AS4" s="460"/>
      <c r="AT4" s="463">
        <v>44593</v>
      </c>
      <c r="AU4" s="464"/>
      <c r="AV4" s="462">
        <v>44594</v>
      </c>
      <c r="AW4" s="462"/>
      <c r="AX4" s="461">
        <v>44595</v>
      </c>
      <c r="AY4" s="462"/>
      <c r="AZ4" s="461">
        <v>44596</v>
      </c>
      <c r="BA4" s="462"/>
      <c r="BB4" s="459">
        <v>44597</v>
      </c>
      <c r="BC4" s="460"/>
      <c r="BD4" s="459">
        <v>44599</v>
      </c>
      <c r="BE4" s="460"/>
      <c r="BF4" s="459">
        <v>44600</v>
      </c>
      <c r="BG4" s="460"/>
      <c r="BH4" s="463">
        <v>44601</v>
      </c>
      <c r="BI4" s="464"/>
      <c r="BJ4" s="463">
        <v>44602</v>
      </c>
      <c r="BK4" s="464"/>
      <c r="BL4" s="459">
        <v>44603</v>
      </c>
      <c r="BM4" s="460"/>
      <c r="BN4" s="461">
        <v>44606</v>
      </c>
      <c r="BO4" s="462"/>
      <c r="BP4" s="459">
        <v>44607</v>
      </c>
      <c r="BQ4" s="460"/>
      <c r="BR4" s="459">
        <v>44608</v>
      </c>
      <c r="BS4" s="460"/>
      <c r="BT4" s="459">
        <v>44609</v>
      </c>
      <c r="BU4" s="460"/>
      <c r="BV4" s="459">
        <v>44610</v>
      </c>
      <c r="BW4" s="460"/>
      <c r="BX4" s="459">
        <v>44613</v>
      </c>
      <c r="BY4" s="460"/>
      <c r="BZ4" s="459">
        <v>44614</v>
      </c>
      <c r="CA4" s="460"/>
      <c r="CB4" s="459">
        <v>44615</v>
      </c>
      <c r="CC4" s="460"/>
      <c r="CD4" s="459">
        <v>44616</v>
      </c>
      <c r="CE4" s="460"/>
      <c r="CF4" s="461">
        <v>44617</v>
      </c>
      <c r="CG4" s="462"/>
      <c r="CH4" s="461">
        <v>44623</v>
      </c>
      <c r="CI4" s="462"/>
      <c r="CJ4" s="461">
        <v>44624</v>
      </c>
      <c r="CK4" s="462"/>
      <c r="CL4" s="461">
        <v>44627</v>
      </c>
      <c r="CM4" s="462"/>
    </row>
    <row r="5" spans="1:148" ht="30.75" thickBot="1" x14ac:dyDescent="0.3">
      <c r="A5" s="11" t="s">
        <v>8</v>
      </c>
      <c r="B5" s="11" t="s">
        <v>9</v>
      </c>
      <c r="C5" s="11" t="s">
        <v>49</v>
      </c>
      <c r="D5" s="11" t="s">
        <v>0</v>
      </c>
      <c r="E5" s="11" t="s">
        <v>1</v>
      </c>
      <c r="F5" s="11" t="s">
        <v>2</v>
      </c>
      <c r="G5" s="11" t="s">
        <v>310</v>
      </c>
      <c r="H5" s="11" t="s">
        <v>5</v>
      </c>
      <c r="I5" s="11" t="s">
        <v>6</v>
      </c>
      <c r="J5" s="11" t="s">
        <v>5</v>
      </c>
      <c r="K5" s="11" t="s">
        <v>6</v>
      </c>
      <c r="L5" s="11" t="s">
        <v>5</v>
      </c>
      <c r="M5" s="11" t="s">
        <v>6</v>
      </c>
      <c r="N5" s="11" t="s">
        <v>5</v>
      </c>
      <c r="O5" s="11" t="s">
        <v>6</v>
      </c>
      <c r="P5" s="11" t="s">
        <v>5</v>
      </c>
      <c r="Q5" s="11" t="s">
        <v>6</v>
      </c>
      <c r="R5" s="11" t="s">
        <v>5</v>
      </c>
      <c r="S5" s="11" t="s">
        <v>6</v>
      </c>
      <c r="T5" s="11" t="s">
        <v>5</v>
      </c>
      <c r="U5" s="11" t="s">
        <v>6</v>
      </c>
      <c r="V5" s="11" t="s">
        <v>5</v>
      </c>
      <c r="W5" s="11" t="s">
        <v>6</v>
      </c>
      <c r="X5" s="11" t="s">
        <v>5</v>
      </c>
      <c r="Y5" s="11" t="s">
        <v>6</v>
      </c>
      <c r="Z5" s="11" t="s">
        <v>5</v>
      </c>
      <c r="AA5" s="11" t="s">
        <v>6</v>
      </c>
      <c r="AB5" s="11" t="s">
        <v>5</v>
      </c>
      <c r="AC5" s="11" t="s">
        <v>6</v>
      </c>
      <c r="AD5" s="11" t="s">
        <v>5</v>
      </c>
      <c r="AE5" s="11" t="s">
        <v>6</v>
      </c>
      <c r="AF5" s="11" t="s">
        <v>5</v>
      </c>
      <c r="AG5" s="11" t="s">
        <v>6</v>
      </c>
      <c r="AH5" s="11" t="s">
        <v>5</v>
      </c>
      <c r="AI5" s="11" t="s">
        <v>6</v>
      </c>
      <c r="AJ5" s="11" t="s">
        <v>5</v>
      </c>
      <c r="AK5" s="11" t="s">
        <v>6</v>
      </c>
      <c r="AL5" s="11" t="s">
        <v>5</v>
      </c>
      <c r="AM5" s="11" t="s">
        <v>6</v>
      </c>
      <c r="AN5" s="11" t="s">
        <v>5</v>
      </c>
      <c r="AO5" s="11" t="s">
        <v>6</v>
      </c>
      <c r="AP5" s="11" t="s">
        <v>5</v>
      </c>
      <c r="AQ5" s="11" t="s">
        <v>6</v>
      </c>
      <c r="AR5" s="11" t="s">
        <v>5</v>
      </c>
      <c r="AS5" s="11" t="s">
        <v>6</v>
      </c>
      <c r="AT5" s="11" t="s">
        <v>5</v>
      </c>
      <c r="AU5" s="11" t="s">
        <v>6</v>
      </c>
      <c r="AV5" s="11" t="s">
        <v>5</v>
      </c>
      <c r="AW5" s="11" t="s">
        <v>6</v>
      </c>
      <c r="AX5" s="11" t="s">
        <v>5</v>
      </c>
      <c r="AY5" s="11" t="s">
        <v>6</v>
      </c>
      <c r="AZ5" s="11" t="s">
        <v>5</v>
      </c>
      <c r="BA5" s="11" t="s">
        <v>6</v>
      </c>
      <c r="BB5" s="11" t="s">
        <v>5</v>
      </c>
      <c r="BC5" s="11" t="s">
        <v>6</v>
      </c>
      <c r="BD5" s="11" t="s">
        <v>5</v>
      </c>
      <c r="BE5" s="11" t="s">
        <v>6</v>
      </c>
      <c r="BF5" s="11" t="s">
        <v>5</v>
      </c>
      <c r="BG5" s="11" t="s">
        <v>6</v>
      </c>
      <c r="BH5" s="11" t="s">
        <v>5</v>
      </c>
      <c r="BI5" s="11" t="s">
        <v>6</v>
      </c>
      <c r="BJ5" s="11" t="s">
        <v>5</v>
      </c>
      <c r="BK5" s="11" t="s">
        <v>6</v>
      </c>
      <c r="BL5" s="11" t="s">
        <v>5</v>
      </c>
      <c r="BM5" s="11" t="s">
        <v>6</v>
      </c>
      <c r="BN5" s="11" t="s">
        <v>5</v>
      </c>
      <c r="BO5" s="11" t="s">
        <v>6</v>
      </c>
      <c r="BP5" s="11" t="s">
        <v>5</v>
      </c>
      <c r="BQ5" s="11" t="s">
        <v>6</v>
      </c>
      <c r="BR5" s="11" t="s">
        <v>5</v>
      </c>
      <c r="BS5" s="11" t="s">
        <v>6</v>
      </c>
      <c r="BT5" s="11" t="s">
        <v>5</v>
      </c>
      <c r="BU5" s="11" t="s">
        <v>6</v>
      </c>
      <c r="BV5" s="11" t="s">
        <v>5</v>
      </c>
      <c r="BW5" s="11" t="s">
        <v>6</v>
      </c>
      <c r="BX5" s="11" t="s">
        <v>5</v>
      </c>
      <c r="BY5" s="11" t="s">
        <v>6</v>
      </c>
      <c r="BZ5" s="11" t="s">
        <v>5</v>
      </c>
      <c r="CA5" s="11" t="s">
        <v>6</v>
      </c>
      <c r="CB5" s="11" t="s">
        <v>5</v>
      </c>
      <c r="CC5" s="11" t="s">
        <v>6</v>
      </c>
      <c r="CD5" s="11" t="s">
        <v>5</v>
      </c>
      <c r="CE5" s="11" t="s">
        <v>6</v>
      </c>
      <c r="CF5" s="11" t="s">
        <v>5</v>
      </c>
      <c r="CG5" s="11" t="s">
        <v>6</v>
      </c>
      <c r="CH5" s="11" t="s">
        <v>5</v>
      </c>
      <c r="CI5" s="11" t="s">
        <v>6</v>
      </c>
      <c r="CJ5" s="11" t="s">
        <v>5</v>
      </c>
      <c r="CK5" s="11" t="s">
        <v>6</v>
      </c>
      <c r="CL5" s="11" t="s">
        <v>5</v>
      </c>
      <c r="CM5" s="11" t="s">
        <v>6</v>
      </c>
      <c r="CO5" s="66"/>
      <c r="CR5" s="66" t="s">
        <v>152</v>
      </c>
    </row>
    <row r="6" spans="1:148" s="219" customFormat="1" ht="15.75" x14ac:dyDescent="0.25">
      <c r="A6" s="211">
        <v>1</v>
      </c>
      <c r="B6" s="222" t="s">
        <v>277</v>
      </c>
      <c r="C6" s="212"/>
      <c r="D6" s="213"/>
      <c r="E6" s="214"/>
      <c r="F6" s="214"/>
      <c r="G6" s="215"/>
      <c r="H6" s="216"/>
      <c r="I6" s="216"/>
      <c r="J6" s="216"/>
      <c r="K6" s="216"/>
      <c r="L6" s="215"/>
      <c r="M6" s="216"/>
      <c r="N6" s="216"/>
      <c r="O6" s="216"/>
      <c r="P6" s="215"/>
      <c r="Q6" s="217"/>
      <c r="R6" s="215"/>
      <c r="S6" s="217"/>
      <c r="T6" s="216"/>
      <c r="U6" s="216"/>
      <c r="V6" s="215"/>
      <c r="W6" s="218"/>
      <c r="X6" s="216"/>
      <c r="Y6" s="217"/>
      <c r="Z6" s="217"/>
      <c r="AA6" s="218"/>
      <c r="AB6" s="215"/>
      <c r="AC6" s="216"/>
      <c r="AD6" s="215"/>
      <c r="AE6" s="216"/>
      <c r="AF6" s="215"/>
      <c r="AG6" s="217"/>
      <c r="AH6" s="215"/>
      <c r="AI6" s="217"/>
      <c r="AJ6" s="215"/>
      <c r="AK6" s="216"/>
      <c r="AL6" s="215"/>
      <c r="AM6" s="216"/>
      <c r="AN6" s="215"/>
      <c r="AO6" s="216"/>
      <c r="AP6" s="215"/>
      <c r="AQ6" s="217"/>
      <c r="AR6" s="215"/>
      <c r="AS6" s="216"/>
      <c r="AT6" s="215"/>
      <c r="AU6" s="216"/>
      <c r="AV6" s="215"/>
      <c r="AW6" s="216"/>
      <c r="AX6" s="215"/>
      <c r="AY6" s="217"/>
      <c r="AZ6" s="215"/>
      <c r="BA6" s="216"/>
      <c r="BB6" s="215"/>
      <c r="BC6" s="216"/>
      <c r="BD6" s="215"/>
      <c r="BE6" s="217"/>
      <c r="BF6" s="215"/>
      <c r="BG6" s="216"/>
      <c r="BH6" s="215"/>
      <c r="BI6" s="216"/>
      <c r="BJ6" s="215"/>
      <c r="BK6" s="217"/>
      <c r="BL6" s="215"/>
      <c r="BM6" s="216"/>
      <c r="BN6" s="215"/>
      <c r="BO6" s="216"/>
      <c r="BP6" s="215"/>
      <c r="BQ6" s="217"/>
      <c r="BR6" s="217"/>
      <c r="BS6" s="216"/>
      <c r="BT6" s="215"/>
      <c r="BU6" s="216"/>
      <c r="BV6" s="215"/>
      <c r="BW6" s="215"/>
      <c r="BX6" s="215"/>
      <c r="BY6" s="215"/>
      <c r="BZ6" s="215"/>
      <c r="CA6" s="217"/>
      <c r="CB6" s="216"/>
      <c r="CC6" s="215"/>
      <c r="CD6" s="215"/>
      <c r="CE6" s="217"/>
      <c r="CF6" s="215"/>
      <c r="CG6" s="215"/>
      <c r="CH6" s="215"/>
      <c r="CI6" s="215"/>
      <c r="CJ6" s="215"/>
      <c r="CK6" s="215"/>
      <c r="CL6" s="215"/>
      <c r="CM6" s="215"/>
      <c r="CO6" s="220"/>
      <c r="CR6" s="220"/>
    </row>
    <row r="7" spans="1:148" x14ac:dyDescent="0.25">
      <c r="A7" s="2" t="s">
        <v>284</v>
      </c>
      <c r="B7" s="3" t="s">
        <v>124</v>
      </c>
      <c r="C7" s="3" t="s">
        <v>267</v>
      </c>
      <c r="D7" s="6">
        <f>SUM(G7:CM7)</f>
        <v>0</v>
      </c>
      <c r="E7" s="4">
        <v>500</v>
      </c>
      <c r="F7" s="4">
        <f>D7-E7</f>
        <v>-500</v>
      </c>
      <c r="G7" s="233">
        <v>917</v>
      </c>
      <c r="H7" s="71"/>
      <c r="I7" s="71"/>
      <c r="J7" s="71"/>
      <c r="K7" s="71"/>
      <c r="L7" s="5"/>
      <c r="M7" s="5"/>
      <c r="N7" s="5"/>
      <c r="O7" s="65">
        <f>-50-10</f>
        <v>-60</v>
      </c>
      <c r="P7" s="5"/>
      <c r="Q7" s="5"/>
      <c r="R7" s="5"/>
      <c r="S7" s="5"/>
      <c r="T7" s="71"/>
      <c r="U7" s="121">
        <v>-1</v>
      </c>
      <c r="V7" s="5"/>
      <c r="W7" s="70"/>
      <c r="X7" s="5"/>
      <c r="Y7" s="5"/>
      <c r="Z7" s="5"/>
      <c r="AA7" s="65">
        <v>-200</v>
      </c>
      <c r="AB7" s="5"/>
      <c r="AC7" s="71">
        <v>-20</v>
      </c>
      <c r="AD7" s="5"/>
      <c r="AE7" s="65"/>
      <c r="AF7" s="5"/>
      <c r="AG7" s="71">
        <v>-10</v>
      </c>
      <c r="AH7" s="5"/>
      <c r="AI7" s="71">
        <v>-80</v>
      </c>
      <c r="AJ7" s="5"/>
      <c r="AK7" s="5"/>
      <c r="AL7" s="5"/>
      <c r="AM7" s="5"/>
      <c r="AN7" s="5">
        <v>800</v>
      </c>
      <c r="AO7" s="5"/>
      <c r="AP7" s="5"/>
      <c r="AQ7" s="5"/>
      <c r="AR7" s="5"/>
      <c r="AS7" s="5">
        <v>-6</v>
      </c>
      <c r="AT7" s="5"/>
      <c r="AU7" s="65"/>
      <c r="AV7" s="5"/>
      <c r="AW7" s="65"/>
      <c r="AX7" s="5"/>
      <c r="AY7" s="65"/>
      <c r="AZ7" s="5"/>
      <c r="BA7" s="5">
        <v>-4</v>
      </c>
      <c r="BB7" s="5"/>
      <c r="BC7" s="71">
        <v>-80</v>
      </c>
      <c r="BD7" s="5"/>
      <c r="BE7" s="5"/>
      <c r="BF7" s="5"/>
      <c r="BG7" s="65"/>
      <c r="BH7" s="5"/>
      <c r="BI7" s="71"/>
      <c r="BJ7" s="5"/>
      <c r="BK7" s="5">
        <f>-25-70</f>
        <v>-95</v>
      </c>
      <c r="BL7" s="5"/>
      <c r="BM7" s="65"/>
      <c r="BN7" s="71"/>
      <c r="BO7" s="71"/>
      <c r="BP7" s="5"/>
      <c r="BQ7" s="5">
        <v>-50</v>
      </c>
      <c r="BR7" s="5"/>
      <c r="BS7" s="65"/>
      <c r="BT7" s="5"/>
      <c r="BU7" s="65">
        <v>-400</v>
      </c>
      <c r="BV7" s="5"/>
      <c r="BW7" s="5">
        <f>-202-100-30</f>
        <v>-332</v>
      </c>
      <c r="BX7" s="5"/>
      <c r="BY7" s="5">
        <v>-50</v>
      </c>
      <c r="BZ7" s="5"/>
      <c r="CA7" s="5"/>
      <c r="CB7" s="5"/>
      <c r="CC7" s="5"/>
      <c r="CD7" s="5"/>
      <c r="CE7" s="65">
        <v>-200</v>
      </c>
      <c r="CF7" s="5"/>
      <c r="CG7" s="5"/>
      <c r="CH7" s="5"/>
      <c r="CI7" s="5"/>
      <c r="CJ7" s="5">
        <v>1</v>
      </c>
      <c r="CK7" s="5">
        <f>-20-60-50</f>
        <v>-130</v>
      </c>
      <c r="CL7" s="5"/>
      <c r="CM7" s="5"/>
      <c r="CO7" s="68"/>
      <c r="CR7" s="68"/>
    </row>
    <row r="8" spans="1:148" x14ac:dyDescent="0.25">
      <c r="A8" s="2" t="s">
        <v>282</v>
      </c>
      <c r="B8" s="3" t="s">
        <v>123</v>
      </c>
      <c r="C8" s="3" t="s">
        <v>268</v>
      </c>
      <c r="D8" s="6">
        <f>SUM(G8:CM8)</f>
        <v>180</v>
      </c>
      <c r="E8" s="4">
        <v>100</v>
      </c>
      <c r="F8" s="4">
        <f>D8-E8</f>
        <v>80</v>
      </c>
      <c r="G8" s="233">
        <v>25</v>
      </c>
      <c r="H8" s="71"/>
      <c r="I8" s="71"/>
      <c r="J8" s="71"/>
      <c r="K8" s="71"/>
      <c r="L8" s="5"/>
      <c r="M8" s="71"/>
      <c r="N8" s="5"/>
      <c r="O8" s="71">
        <v>-10</v>
      </c>
      <c r="P8" s="5"/>
      <c r="Q8" s="5"/>
      <c r="R8" s="5"/>
      <c r="S8" s="5"/>
      <c r="T8" s="71"/>
      <c r="U8" s="121">
        <v>-1</v>
      </c>
      <c r="V8" s="5"/>
      <c r="W8" s="70"/>
      <c r="X8" s="5"/>
      <c r="Y8" s="5"/>
      <c r="Z8" s="5"/>
      <c r="AA8" s="71"/>
      <c r="AB8" s="5"/>
      <c r="AC8" s="71"/>
      <c r="AD8" s="5"/>
      <c r="AE8" s="71">
        <v>-14</v>
      </c>
      <c r="AF8" s="5"/>
      <c r="AG8" s="65"/>
      <c r="AH8" s="5"/>
      <c r="AI8" s="7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26"/>
      <c r="AV8" s="5"/>
      <c r="AW8" s="71"/>
      <c r="AX8" s="5"/>
      <c r="AY8" s="65"/>
      <c r="AZ8" s="5"/>
      <c r="BA8" s="5"/>
      <c r="BB8" s="5"/>
      <c r="BC8" s="65"/>
      <c r="BD8" s="5"/>
      <c r="BE8" s="71"/>
      <c r="BF8" s="5"/>
      <c r="BG8" s="71"/>
      <c r="BH8" s="5"/>
      <c r="BI8" s="71"/>
      <c r="BJ8" s="5"/>
      <c r="BK8" s="5"/>
      <c r="BL8" s="5"/>
      <c r="BM8" s="71"/>
      <c r="BN8" s="71"/>
      <c r="BO8" s="71"/>
      <c r="BP8" s="5"/>
      <c r="BQ8" s="5"/>
      <c r="BR8" s="5"/>
      <c r="BS8" s="5"/>
      <c r="BT8" s="5"/>
      <c r="BU8" s="65"/>
      <c r="BV8" s="5">
        <v>203</v>
      </c>
      <c r="BW8" s="5">
        <f>-103-100</f>
        <v>-203</v>
      </c>
      <c r="BX8" s="5"/>
      <c r="BY8" s="5"/>
      <c r="BZ8" s="5"/>
      <c r="CA8" s="5"/>
      <c r="CB8" s="5"/>
      <c r="CC8" s="5"/>
      <c r="CD8" s="5"/>
      <c r="CE8" s="65"/>
      <c r="CF8" s="5"/>
      <c r="CG8" s="5"/>
      <c r="CH8" s="5"/>
      <c r="CI8" s="5"/>
      <c r="CJ8" s="5">
        <v>200</v>
      </c>
      <c r="CK8" s="5">
        <v>-20</v>
      </c>
      <c r="CL8" s="5"/>
      <c r="CM8" s="5"/>
      <c r="CO8" s="68"/>
      <c r="CR8" s="68"/>
    </row>
    <row r="9" spans="1:148" x14ac:dyDescent="0.25">
      <c r="A9" s="2" t="s">
        <v>283</v>
      </c>
      <c r="B9" s="3" t="s">
        <v>117</v>
      </c>
      <c r="C9" s="3" t="s">
        <v>261</v>
      </c>
      <c r="D9" s="6">
        <f>SUM(G9:CM9)</f>
        <v>43</v>
      </c>
      <c r="E9" s="4">
        <v>20</v>
      </c>
      <c r="F9" s="4">
        <f>D9-E9</f>
        <v>23</v>
      </c>
      <c r="G9" s="233">
        <v>27</v>
      </c>
      <c r="H9" s="71"/>
      <c r="I9" s="71"/>
      <c r="J9" s="71"/>
      <c r="K9" s="71"/>
      <c r="L9" s="5"/>
      <c r="M9" s="71"/>
      <c r="N9" s="5"/>
      <c r="O9" s="71"/>
      <c r="P9" s="5"/>
      <c r="Q9" s="5"/>
      <c r="R9" s="5"/>
      <c r="S9" s="5"/>
      <c r="T9" s="71"/>
      <c r="U9" s="121">
        <v>-1</v>
      </c>
      <c r="V9" s="5"/>
      <c r="W9" s="70"/>
      <c r="X9" s="5"/>
      <c r="Y9" s="5"/>
      <c r="Z9" s="5"/>
      <c r="AA9" s="65">
        <v>-20</v>
      </c>
      <c r="AB9" s="5"/>
      <c r="AC9" s="71"/>
      <c r="AD9" s="5"/>
      <c r="AE9" s="71"/>
      <c r="AF9" s="5"/>
      <c r="AG9" s="65"/>
      <c r="AH9" s="5">
        <v>67</v>
      </c>
      <c r="AI9" s="71">
        <v>-10</v>
      </c>
      <c r="AJ9" s="5"/>
      <c r="AK9" s="5"/>
      <c r="AL9" s="5"/>
      <c r="AM9" s="5"/>
      <c r="AN9" s="5"/>
      <c r="AO9" s="5"/>
      <c r="AP9" s="5"/>
      <c r="AQ9" s="5"/>
      <c r="AR9" s="5"/>
      <c r="AS9" s="5">
        <v>-1</v>
      </c>
      <c r="AT9" s="5"/>
      <c r="AU9" s="126"/>
      <c r="AV9" s="5"/>
      <c r="AW9" s="71"/>
      <c r="AX9" s="5"/>
      <c r="AY9" s="65"/>
      <c r="AZ9" s="5"/>
      <c r="BA9" s="5"/>
      <c r="BB9" s="5"/>
      <c r="BC9" s="65"/>
      <c r="BD9" s="5"/>
      <c r="BE9" s="71"/>
      <c r="BF9" s="5"/>
      <c r="BG9" s="65">
        <v>-10</v>
      </c>
      <c r="BH9" s="5">
        <v>1</v>
      </c>
      <c r="BI9" s="71"/>
      <c r="BJ9" s="5"/>
      <c r="BK9" s="5"/>
      <c r="BL9" s="5"/>
      <c r="BM9" s="71"/>
      <c r="BN9" s="71"/>
      <c r="BO9" s="71"/>
      <c r="BP9" s="5"/>
      <c r="BQ9" s="5"/>
      <c r="BR9" s="5"/>
      <c r="BS9" s="5"/>
      <c r="BT9" s="5"/>
      <c r="BU9" s="65"/>
      <c r="BV9" s="5"/>
      <c r="BW9" s="5"/>
      <c r="BX9" s="5"/>
      <c r="BY9" s="5"/>
      <c r="BZ9" s="5"/>
      <c r="CA9" s="5"/>
      <c r="CB9" s="5"/>
      <c r="CC9" s="5"/>
      <c r="CD9" s="5"/>
      <c r="CE9" s="65"/>
      <c r="CF9" s="5"/>
      <c r="CG9" s="5"/>
      <c r="CH9" s="5"/>
      <c r="CI9" s="5"/>
      <c r="CJ9" s="5"/>
      <c r="CK9" s="5">
        <v>-10</v>
      </c>
      <c r="CL9" s="5"/>
      <c r="CM9" s="5"/>
      <c r="CO9" s="68"/>
      <c r="CR9" s="68"/>
    </row>
    <row r="10" spans="1:148" s="75" customFormat="1" ht="15.75" thickBot="1" x14ac:dyDescent="0.3">
      <c r="A10" s="120" t="s">
        <v>285</v>
      </c>
      <c r="B10" s="59" t="s">
        <v>218</v>
      </c>
      <c r="C10" s="59" t="s">
        <v>249</v>
      </c>
      <c r="D10" s="77">
        <f>SUM(G10:CM10)</f>
        <v>38</v>
      </c>
      <c r="E10" s="4">
        <v>20</v>
      </c>
      <c r="F10" s="78">
        <f>D10-E10</f>
        <v>18</v>
      </c>
      <c r="G10" s="233">
        <v>48</v>
      </c>
      <c r="H10" s="101"/>
      <c r="I10" s="134"/>
      <c r="J10" s="101"/>
      <c r="K10" s="134">
        <v>-5</v>
      </c>
      <c r="L10" s="101"/>
      <c r="M10" s="101">
        <v>-7</v>
      </c>
      <c r="N10" s="101"/>
      <c r="O10" s="134"/>
      <c r="P10" s="101"/>
      <c r="Q10" s="101"/>
      <c r="R10" s="101"/>
      <c r="S10" s="101">
        <f>-7-5</f>
        <v>-12</v>
      </c>
      <c r="T10" s="134"/>
      <c r="U10" s="191">
        <v>-15</v>
      </c>
      <c r="V10" s="101">
        <v>93</v>
      </c>
      <c r="W10" s="185"/>
      <c r="X10" s="134"/>
      <c r="Y10" s="134">
        <f>-5-32</f>
        <v>-37</v>
      </c>
      <c r="Z10" s="101"/>
      <c r="AA10" s="185">
        <v>-10</v>
      </c>
      <c r="AB10" s="101"/>
      <c r="AC10" s="101"/>
      <c r="AD10" s="101"/>
      <c r="AE10" s="101"/>
      <c r="AF10" s="101"/>
      <c r="AG10" s="134">
        <v>-5</v>
      </c>
      <c r="AH10" s="101"/>
      <c r="AI10" s="134">
        <v>-10</v>
      </c>
      <c r="AJ10" s="101"/>
      <c r="AK10" s="185"/>
      <c r="AL10" s="101"/>
      <c r="AM10" s="134"/>
      <c r="AN10" s="101"/>
      <c r="AO10" s="134"/>
      <c r="AP10" s="101"/>
      <c r="AQ10" s="134"/>
      <c r="AR10" s="101"/>
      <c r="AS10" s="134">
        <f>-6-17-1</f>
        <v>-24</v>
      </c>
      <c r="AT10" s="101"/>
      <c r="AU10" s="134"/>
      <c r="AV10" s="101"/>
      <c r="AW10" s="134"/>
      <c r="AX10" s="101"/>
      <c r="AY10" s="134"/>
      <c r="AZ10" s="101"/>
      <c r="BA10" s="101"/>
      <c r="BB10" s="101"/>
      <c r="BC10" s="134"/>
      <c r="BD10" s="101"/>
      <c r="BE10" s="134"/>
      <c r="BF10" s="101">
        <v>10</v>
      </c>
      <c r="BG10" s="134">
        <f>-10-22</f>
        <v>-32</v>
      </c>
      <c r="BH10" s="101">
        <v>46</v>
      </c>
      <c r="BI10" s="134"/>
      <c r="BJ10" s="101"/>
      <c r="BK10" s="101">
        <v>-10</v>
      </c>
      <c r="BL10" s="101"/>
      <c r="BM10" s="134"/>
      <c r="BN10" s="101"/>
      <c r="BO10" s="134"/>
      <c r="BP10" s="101"/>
      <c r="BQ10" s="134">
        <v>-4</v>
      </c>
      <c r="BR10" s="134"/>
      <c r="BS10" s="134"/>
      <c r="BT10" s="101"/>
      <c r="BU10" s="134"/>
      <c r="BV10" s="101">
        <v>48</v>
      </c>
      <c r="BW10" s="134">
        <f>-5-30-15-10</f>
        <v>-60</v>
      </c>
      <c r="BX10" s="101"/>
      <c r="BY10" s="209"/>
      <c r="BZ10" s="101"/>
      <c r="CA10" s="101"/>
      <c r="CB10" s="101"/>
      <c r="CC10" s="101">
        <v>-14</v>
      </c>
      <c r="CD10" s="101"/>
      <c r="CE10" s="185"/>
      <c r="CF10" s="101"/>
      <c r="CG10" s="101"/>
      <c r="CH10" s="101">
        <v>38</v>
      </c>
      <c r="CI10" s="134"/>
      <c r="CJ10" s="101"/>
      <c r="CK10" s="134"/>
      <c r="CL10" s="101"/>
      <c r="CM10" s="134"/>
      <c r="CN10" s="125"/>
    </row>
    <row r="11" spans="1:148" s="219" customFormat="1" ht="15.75" x14ac:dyDescent="0.25">
      <c r="A11" s="211">
        <v>2</v>
      </c>
      <c r="B11" s="222" t="s">
        <v>280</v>
      </c>
      <c r="C11" s="212"/>
      <c r="D11" s="213"/>
      <c r="E11" s="214"/>
      <c r="F11" s="214"/>
      <c r="G11" s="215"/>
      <c r="H11" s="216"/>
      <c r="I11" s="216"/>
      <c r="J11" s="216"/>
      <c r="K11" s="216"/>
      <c r="L11" s="215"/>
      <c r="M11" s="216"/>
      <c r="N11" s="216"/>
      <c r="O11" s="216"/>
      <c r="P11" s="215"/>
      <c r="Q11" s="217"/>
      <c r="R11" s="215"/>
      <c r="S11" s="217"/>
      <c r="T11" s="216"/>
      <c r="U11" s="216"/>
      <c r="V11" s="215"/>
      <c r="W11" s="218"/>
      <c r="X11" s="216"/>
      <c r="Y11" s="217"/>
      <c r="Z11" s="217"/>
      <c r="AA11" s="217"/>
      <c r="AB11" s="215"/>
      <c r="AC11" s="216"/>
      <c r="AD11" s="215"/>
      <c r="AE11" s="216"/>
      <c r="AF11" s="215"/>
      <c r="AG11" s="217"/>
      <c r="AH11" s="215"/>
      <c r="AI11" s="217"/>
      <c r="AJ11" s="215"/>
      <c r="AK11" s="216"/>
      <c r="AL11" s="215"/>
      <c r="AM11" s="216"/>
      <c r="AN11" s="215"/>
      <c r="AO11" s="216"/>
      <c r="AP11" s="215"/>
      <c r="AQ11" s="217"/>
      <c r="AR11" s="215"/>
      <c r="AS11" s="216"/>
      <c r="AT11" s="215"/>
      <c r="AU11" s="216"/>
      <c r="AV11" s="215"/>
      <c r="AW11" s="216"/>
      <c r="AX11" s="215"/>
      <c r="AY11" s="217"/>
      <c r="AZ11" s="215"/>
      <c r="BA11" s="216"/>
      <c r="BB11" s="215"/>
      <c r="BC11" s="216"/>
      <c r="BD11" s="215"/>
      <c r="BE11" s="217"/>
      <c r="BF11" s="215"/>
      <c r="BG11" s="216"/>
      <c r="BH11" s="215"/>
      <c r="BI11" s="216"/>
      <c r="BJ11" s="215"/>
      <c r="BK11" s="217"/>
      <c r="BL11" s="215"/>
      <c r="BM11" s="216"/>
      <c r="BN11" s="215"/>
      <c r="BO11" s="216"/>
      <c r="BP11" s="215"/>
      <c r="BQ11" s="217"/>
      <c r="BR11" s="217"/>
      <c r="BS11" s="216"/>
      <c r="BT11" s="215"/>
      <c r="BU11" s="216"/>
      <c r="BV11" s="215"/>
      <c r="BW11" s="215"/>
      <c r="BX11" s="215"/>
      <c r="BY11" s="215"/>
      <c r="BZ11" s="215"/>
      <c r="CA11" s="217"/>
      <c r="CB11" s="216"/>
      <c r="CC11" s="215"/>
      <c r="CD11" s="215"/>
      <c r="CE11" s="217"/>
      <c r="CF11" s="215"/>
      <c r="CG11" s="215"/>
      <c r="CH11" s="215"/>
      <c r="CI11" s="215"/>
      <c r="CJ11" s="215"/>
      <c r="CK11" s="215"/>
      <c r="CL11" s="215"/>
      <c r="CM11" s="215"/>
      <c r="CO11" s="220"/>
      <c r="CR11" s="220"/>
    </row>
    <row r="12" spans="1:148" x14ac:dyDescent="0.25">
      <c r="A12" s="2" t="s">
        <v>287</v>
      </c>
      <c r="B12" s="3" t="s">
        <v>118</v>
      </c>
      <c r="C12" s="3" t="s">
        <v>262</v>
      </c>
      <c r="D12" s="6">
        <f t="shared" ref="D12:D20" si="0">SUM(G12:CM12)</f>
        <v>33</v>
      </c>
      <c r="E12" s="4">
        <v>20</v>
      </c>
      <c r="F12" s="4">
        <f t="shared" ref="F12:F18" si="1">D12-E12</f>
        <v>13</v>
      </c>
      <c r="G12" s="233">
        <v>14</v>
      </c>
      <c r="H12" s="71"/>
      <c r="I12" s="71"/>
      <c r="J12" s="71"/>
      <c r="K12" s="71"/>
      <c r="L12" s="5"/>
      <c r="M12" s="5"/>
      <c r="N12" s="5"/>
      <c r="O12" s="65"/>
      <c r="P12" s="5">
        <v>1</v>
      </c>
      <c r="Q12" s="5"/>
      <c r="R12" s="5"/>
      <c r="S12" s="5"/>
      <c r="T12" s="71"/>
      <c r="U12" s="71"/>
      <c r="V12" s="5"/>
      <c r="W12" s="65"/>
      <c r="X12" s="5"/>
      <c r="Y12" s="79"/>
      <c r="Z12" s="5">
        <v>1</v>
      </c>
      <c r="AA12" s="65"/>
      <c r="AB12" s="5"/>
      <c r="AC12" s="71"/>
      <c r="AD12" s="5"/>
      <c r="AE12" s="71">
        <v>-5</v>
      </c>
      <c r="AF12" s="5"/>
      <c r="AG12" s="71">
        <v>-10</v>
      </c>
      <c r="AH12" s="5"/>
      <c r="AI12" s="65"/>
      <c r="AJ12" s="5">
        <v>50</v>
      </c>
      <c r="AK12" s="5"/>
      <c r="AL12" s="5"/>
      <c r="AM12" s="5"/>
      <c r="AN12" s="5"/>
      <c r="AO12" s="5"/>
      <c r="AP12" s="5"/>
      <c r="AQ12" s="71"/>
      <c r="AR12" s="5"/>
      <c r="AS12" s="5"/>
      <c r="AT12" s="5"/>
      <c r="AU12" s="71"/>
      <c r="AV12" s="5"/>
      <c r="AW12" s="71"/>
      <c r="AX12" s="5"/>
      <c r="AY12" s="71"/>
      <c r="AZ12" s="5"/>
      <c r="BA12" s="5"/>
      <c r="BB12" s="5"/>
      <c r="BC12" s="71"/>
      <c r="BD12" s="5"/>
      <c r="BE12" s="5"/>
      <c r="BF12" s="5"/>
      <c r="BG12" s="71"/>
      <c r="BH12" s="5">
        <v>1</v>
      </c>
      <c r="BI12" s="71"/>
      <c r="BJ12" s="5"/>
      <c r="BK12" s="5">
        <v>-10</v>
      </c>
      <c r="BL12" s="5"/>
      <c r="BM12" s="65"/>
      <c r="BN12" s="71"/>
      <c r="BO12" s="71"/>
      <c r="BP12" s="5"/>
      <c r="BQ12" s="5"/>
      <c r="BR12" s="5">
        <v>1</v>
      </c>
      <c r="BS12" s="5"/>
      <c r="BT12" s="5"/>
      <c r="BU12" s="65">
        <v>-10</v>
      </c>
      <c r="BV12" s="5"/>
      <c r="BW12" s="5"/>
      <c r="BX12" s="5"/>
      <c r="BY12" s="5"/>
      <c r="BZ12" s="5"/>
      <c r="CA12" s="5"/>
      <c r="CB12" s="5"/>
      <c r="CC12" s="5"/>
      <c r="CD12" s="5"/>
      <c r="CE12" s="65"/>
      <c r="CF12" s="5"/>
      <c r="CG12" s="5"/>
      <c r="CH12" s="5"/>
      <c r="CI12" s="5"/>
      <c r="CJ12" s="5"/>
      <c r="CK12" s="5"/>
      <c r="CL12" s="5"/>
      <c r="CM12" s="5"/>
      <c r="CO12" s="68"/>
      <c r="CR12" s="68"/>
    </row>
    <row r="13" spans="1:148" x14ac:dyDescent="0.25">
      <c r="A13" s="2" t="s">
        <v>288</v>
      </c>
      <c r="B13" s="64" t="s">
        <v>125</v>
      </c>
      <c r="C13" s="3" t="s">
        <v>269</v>
      </c>
      <c r="D13" s="6">
        <f t="shared" si="0"/>
        <v>57</v>
      </c>
      <c r="E13" s="4">
        <v>50</v>
      </c>
      <c r="F13" s="4">
        <f t="shared" si="1"/>
        <v>7</v>
      </c>
      <c r="G13" s="233">
        <v>70</v>
      </c>
      <c r="H13" s="71"/>
      <c r="I13" s="71"/>
      <c r="J13" s="71"/>
      <c r="K13" s="71">
        <v>-10</v>
      </c>
      <c r="L13" s="5"/>
      <c r="M13" s="71"/>
      <c r="N13" s="5"/>
      <c r="O13" s="71"/>
      <c r="P13" s="5">
        <v>1</v>
      </c>
      <c r="Q13" s="71">
        <f>-20-10</f>
        <v>-30</v>
      </c>
      <c r="R13" s="5"/>
      <c r="S13" s="65"/>
      <c r="T13" s="71"/>
      <c r="U13" s="121">
        <v>-1</v>
      </c>
      <c r="V13" s="5"/>
      <c r="W13" s="65"/>
      <c r="X13" s="5"/>
      <c r="Y13" s="71">
        <v>-5</v>
      </c>
      <c r="Z13" s="71">
        <v>78</v>
      </c>
      <c r="AA13" s="65">
        <v>-60</v>
      </c>
      <c r="AB13" s="70"/>
      <c r="AC13" s="71">
        <f>-15-10</f>
        <v>-25</v>
      </c>
      <c r="AD13" s="70">
        <v>1</v>
      </c>
      <c r="AE13" s="71">
        <v>-6</v>
      </c>
      <c r="AF13" s="71"/>
      <c r="AG13" s="71">
        <v>-10</v>
      </c>
      <c r="AH13" s="71">
        <v>42</v>
      </c>
      <c r="AI13" s="71">
        <v>-20</v>
      </c>
      <c r="AJ13" s="5">
        <v>8</v>
      </c>
      <c r="AK13" s="71"/>
      <c r="AL13" s="5"/>
      <c r="AM13" s="71"/>
      <c r="AN13" s="5"/>
      <c r="AO13" s="71"/>
      <c r="AP13" s="5"/>
      <c r="AQ13" s="65"/>
      <c r="AR13" s="5"/>
      <c r="AS13" s="71"/>
      <c r="AT13" s="5">
        <v>27</v>
      </c>
      <c r="AU13" s="65"/>
      <c r="AV13" s="5"/>
      <c r="AW13" s="65"/>
      <c r="AX13" s="5"/>
      <c r="AY13" s="71">
        <v>-1</v>
      </c>
      <c r="AZ13" s="5">
        <v>26</v>
      </c>
      <c r="BA13" s="71"/>
      <c r="BB13" s="5"/>
      <c r="BC13" s="71"/>
      <c r="BD13" s="5"/>
      <c r="BE13" s="71">
        <v>-5</v>
      </c>
      <c r="BF13" s="5"/>
      <c r="BG13" s="65">
        <v>-60</v>
      </c>
      <c r="BH13" s="5">
        <v>16</v>
      </c>
      <c r="BI13" s="71"/>
      <c r="BJ13" s="5"/>
      <c r="BK13" s="65"/>
      <c r="BL13" s="5"/>
      <c r="BM13" s="65"/>
      <c r="BN13" s="5"/>
      <c r="BO13" s="71"/>
      <c r="BP13" s="5"/>
      <c r="BQ13" s="65"/>
      <c r="BR13" s="71">
        <f>37+14</f>
        <v>51</v>
      </c>
      <c r="BS13" s="65"/>
      <c r="BT13" s="131"/>
      <c r="BU13" s="65">
        <v>-50</v>
      </c>
      <c r="BV13" s="5"/>
      <c r="BW13" s="71">
        <f>-15</f>
        <v>-15</v>
      </c>
      <c r="BX13" s="5"/>
      <c r="BY13" s="65"/>
      <c r="BZ13" s="5"/>
      <c r="CA13" s="65"/>
      <c r="CB13" s="71"/>
      <c r="CC13" s="71"/>
      <c r="CD13" s="5">
        <v>53</v>
      </c>
      <c r="CE13" s="65">
        <v>-50</v>
      </c>
      <c r="CF13" s="5"/>
      <c r="CG13" s="71">
        <v>-19</v>
      </c>
      <c r="CH13" s="5"/>
      <c r="CI13" s="65"/>
      <c r="CJ13" s="5">
        <v>51</v>
      </c>
      <c r="CK13" s="65"/>
      <c r="CL13" s="5"/>
      <c r="CM13" s="65"/>
      <c r="CN13" s="1"/>
      <c r="CO13" s="68"/>
      <c r="CP13" s="1"/>
      <c r="CQ13" s="1"/>
      <c r="CR13" s="68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s="2" t="s">
        <v>289</v>
      </c>
      <c r="B14" s="3" t="s">
        <v>216</v>
      </c>
      <c r="C14" s="3" t="s">
        <v>247</v>
      </c>
      <c r="D14" s="6">
        <f t="shared" si="0"/>
        <v>29</v>
      </c>
      <c r="E14" s="4">
        <v>50</v>
      </c>
      <c r="F14" s="4">
        <f t="shared" si="1"/>
        <v>-21</v>
      </c>
      <c r="G14" s="233">
        <v>70</v>
      </c>
      <c r="H14" s="71"/>
      <c r="I14" s="71">
        <v>-10</v>
      </c>
      <c r="J14" s="71"/>
      <c r="K14" s="65"/>
      <c r="L14" s="5"/>
      <c r="M14" s="65"/>
      <c r="N14" s="5"/>
      <c r="O14" s="71"/>
      <c r="P14" s="5">
        <v>6</v>
      </c>
      <c r="Q14" s="5"/>
      <c r="R14" s="5"/>
      <c r="S14" s="5"/>
      <c r="T14" s="71"/>
      <c r="U14" s="71"/>
      <c r="V14" s="5"/>
      <c r="W14" s="70"/>
      <c r="X14" s="71"/>
      <c r="Y14" s="71"/>
      <c r="Z14" s="71">
        <v>36</v>
      </c>
      <c r="AA14" s="65">
        <v>-60</v>
      </c>
      <c r="AB14" s="5"/>
      <c r="AC14" s="71">
        <f>-15-10</f>
        <v>-25</v>
      </c>
      <c r="AD14" s="5">
        <v>1</v>
      </c>
      <c r="AE14" s="71">
        <v>-10</v>
      </c>
      <c r="AF14" s="5"/>
      <c r="AG14" s="71">
        <v>-6</v>
      </c>
      <c r="AH14" s="5">
        <v>41</v>
      </c>
      <c r="AI14" s="71"/>
      <c r="AJ14" s="5">
        <v>2</v>
      </c>
      <c r="AK14" s="65"/>
      <c r="AL14" s="5"/>
      <c r="AM14" s="71"/>
      <c r="AN14" s="5"/>
      <c r="AO14" s="71"/>
      <c r="AP14" s="5"/>
      <c r="AQ14" s="65"/>
      <c r="AR14" s="5"/>
      <c r="AS14" s="71"/>
      <c r="AT14" s="5">
        <v>4</v>
      </c>
      <c r="AU14" s="65"/>
      <c r="AV14" s="5"/>
      <c r="AW14" s="71"/>
      <c r="AX14" s="5"/>
      <c r="AY14" s="71"/>
      <c r="AZ14" s="5">
        <v>37</v>
      </c>
      <c r="BA14" s="5">
        <v>-20</v>
      </c>
      <c r="BB14" s="5"/>
      <c r="BC14" s="71"/>
      <c r="BD14" s="5"/>
      <c r="BE14" s="65"/>
      <c r="BF14" s="5"/>
      <c r="BG14" s="65">
        <v>-60</v>
      </c>
      <c r="BH14" s="5">
        <v>60</v>
      </c>
      <c r="BI14" s="71"/>
      <c r="BJ14" s="5"/>
      <c r="BK14" s="71"/>
      <c r="BL14" s="5"/>
      <c r="BM14" s="65"/>
      <c r="BN14" s="5"/>
      <c r="BO14" s="71">
        <v>-10</v>
      </c>
      <c r="BP14" s="5"/>
      <c r="BQ14" s="65"/>
      <c r="BR14" s="71"/>
      <c r="BS14" s="71"/>
      <c r="BT14" s="5"/>
      <c r="BU14" s="71"/>
      <c r="BV14" s="5"/>
      <c r="BW14" s="71">
        <f>-10-1</f>
        <v>-11</v>
      </c>
      <c r="BX14" s="5"/>
      <c r="BY14" s="65"/>
      <c r="BZ14" s="5"/>
      <c r="CA14" s="71"/>
      <c r="CB14" s="5"/>
      <c r="CC14" s="71">
        <v>-1</v>
      </c>
      <c r="CD14" s="5">
        <v>45</v>
      </c>
      <c r="CE14" s="65">
        <v>-60</v>
      </c>
      <c r="CF14" s="5"/>
      <c r="CG14" s="5">
        <v>-20</v>
      </c>
      <c r="CH14" s="5"/>
      <c r="CI14" s="5"/>
      <c r="CJ14" s="5">
        <v>20</v>
      </c>
      <c r="CK14" s="5"/>
      <c r="CL14" s="5"/>
      <c r="CM14" s="5"/>
      <c r="CN14" s="1"/>
      <c r="CO14" s="68"/>
      <c r="CP14" s="1"/>
      <c r="CQ14" s="1"/>
      <c r="CR14" s="68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ht="17.25" customHeight="1" x14ac:dyDescent="0.25">
      <c r="A15" s="2" t="s">
        <v>290</v>
      </c>
      <c r="B15" s="3" t="s">
        <v>238</v>
      </c>
      <c r="C15" s="3" t="s">
        <v>248</v>
      </c>
      <c r="D15" s="6">
        <f t="shared" si="0"/>
        <v>36</v>
      </c>
      <c r="E15" s="4">
        <v>40</v>
      </c>
      <c r="F15" s="4">
        <f t="shared" si="1"/>
        <v>-4</v>
      </c>
      <c r="G15" s="233">
        <v>32</v>
      </c>
      <c r="H15" s="71"/>
      <c r="I15" s="71"/>
      <c r="J15" s="71"/>
      <c r="K15" s="71">
        <v>-5</v>
      </c>
      <c r="L15" s="5"/>
      <c r="M15" s="65"/>
      <c r="N15" s="5"/>
      <c r="O15" s="71"/>
      <c r="P15" s="5"/>
      <c r="Q15" s="5">
        <v>-10</v>
      </c>
      <c r="R15" s="5"/>
      <c r="S15" s="5"/>
      <c r="T15" s="71"/>
      <c r="U15" s="71"/>
      <c r="V15" s="5">
        <v>56</v>
      </c>
      <c r="W15" s="65"/>
      <c r="X15" s="5"/>
      <c r="Y15" s="5">
        <v>-5</v>
      </c>
      <c r="Z15" s="5"/>
      <c r="AA15" s="65">
        <v>-42</v>
      </c>
      <c r="AB15" s="5"/>
      <c r="AC15" s="70"/>
      <c r="AD15" s="5">
        <v>3</v>
      </c>
      <c r="AE15" s="70">
        <f>-20-5</f>
        <v>-25</v>
      </c>
      <c r="AF15" s="5"/>
      <c r="AG15" s="71"/>
      <c r="AH15" s="5">
        <v>7</v>
      </c>
      <c r="AI15" s="71">
        <v>-10</v>
      </c>
      <c r="AJ15" s="5">
        <v>35</v>
      </c>
      <c r="AK15" s="5"/>
      <c r="AL15" s="5"/>
      <c r="AM15" s="5"/>
      <c r="AN15" s="5"/>
      <c r="AO15" s="5"/>
      <c r="AP15" s="5"/>
      <c r="AQ15" s="65"/>
      <c r="AR15" s="5"/>
      <c r="AS15" s="5">
        <v>-1</v>
      </c>
      <c r="AT15" s="5"/>
      <c r="AU15" s="71"/>
      <c r="AV15" s="5"/>
      <c r="AW15" s="71"/>
      <c r="AX15" s="5"/>
      <c r="AY15" s="71">
        <v>-4</v>
      </c>
      <c r="AZ15" s="5"/>
      <c r="BA15" s="5">
        <v>-10</v>
      </c>
      <c r="BB15" s="5"/>
      <c r="BC15" s="71">
        <v>-1</v>
      </c>
      <c r="BD15" s="5"/>
      <c r="BE15" s="71">
        <v>-10</v>
      </c>
      <c r="BF15" s="5">
        <v>35</v>
      </c>
      <c r="BG15" s="65">
        <v>-10</v>
      </c>
      <c r="BH15" s="5">
        <v>14</v>
      </c>
      <c r="BI15" s="71"/>
      <c r="BJ15" s="5"/>
      <c r="BK15" s="5"/>
      <c r="BL15" s="5"/>
      <c r="BM15" s="71"/>
      <c r="BN15" s="5"/>
      <c r="BO15" s="71">
        <v>-10</v>
      </c>
      <c r="BP15" s="5"/>
      <c r="BQ15" s="65"/>
      <c r="BR15" s="71"/>
      <c r="BS15" s="65"/>
      <c r="BT15" s="5"/>
      <c r="BU15" s="65">
        <v>-20</v>
      </c>
      <c r="BV15" s="5"/>
      <c r="BW15" s="5">
        <v>-10</v>
      </c>
      <c r="BX15" s="5"/>
      <c r="BY15" s="65"/>
      <c r="BZ15" s="5"/>
      <c r="CA15" s="65"/>
      <c r="CB15" s="5"/>
      <c r="CC15" s="5"/>
      <c r="CD15" s="5">
        <v>49</v>
      </c>
      <c r="CE15" s="65">
        <v>-40</v>
      </c>
      <c r="CF15" s="5"/>
      <c r="CG15" s="71">
        <v>-10</v>
      </c>
      <c r="CH15" s="5"/>
      <c r="CI15" s="65"/>
      <c r="CJ15" s="5">
        <v>28</v>
      </c>
      <c r="CK15" s="65"/>
      <c r="CL15" s="5"/>
      <c r="CM15" s="5"/>
      <c r="CN15" s="1"/>
      <c r="CO15" s="68"/>
      <c r="CP15" s="1"/>
      <c r="CQ15" s="1"/>
      <c r="CR15" s="68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s="2" t="s">
        <v>291</v>
      </c>
      <c r="B16" s="3" t="s">
        <v>126</v>
      </c>
      <c r="C16" s="3" t="s">
        <v>270</v>
      </c>
      <c r="D16" s="6">
        <f t="shared" si="0"/>
        <v>0</v>
      </c>
      <c r="E16" s="4">
        <v>0</v>
      </c>
      <c r="F16" s="4">
        <f t="shared" si="1"/>
        <v>0</v>
      </c>
      <c r="G16" s="233">
        <v>12</v>
      </c>
      <c r="H16" s="71">
        <v>29</v>
      </c>
      <c r="I16" s="71">
        <v>-30</v>
      </c>
      <c r="J16" s="71"/>
      <c r="K16" s="71"/>
      <c r="L16" s="5"/>
      <c r="M16" s="5"/>
      <c r="N16" s="5"/>
      <c r="O16" s="65"/>
      <c r="P16" s="5"/>
      <c r="Q16" s="5"/>
      <c r="R16" s="5"/>
      <c r="S16" s="5"/>
      <c r="T16" s="71"/>
      <c r="U16" s="121">
        <v>-1</v>
      </c>
      <c r="V16" s="5"/>
      <c r="W16" s="70"/>
      <c r="X16" s="5"/>
      <c r="Y16" s="5"/>
      <c r="Z16" s="5"/>
      <c r="AA16" s="65"/>
      <c r="AB16" s="5"/>
      <c r="AC16" s="71">
        <v>-6</v>
      </c>
      <c r="AD16" s="5">
        <v>21</v>
      </c>
      <c r="AE16" s="71">
        <v>-10</v>
      </c>
      <c r="AF16" s="5"/>
      <c r="AG16" s="71">
        <v>-10</v>
      </c>
      <c r="AH16" s="5"/>
      <c r="AI16" s="65"/>
      <c r="AJ16" s="5"/>
      <c r="AK16" s="5"/>
      <c r="AL16" s="5"/>
      <c r="AM16" s="5"/>
      <c r="AN16" s="5"/>
      <c r="AO16" s="5"/>
      <c r="AP16" s="5"/>
      <c r="AQ16" s="65"/>
      <c r="AR16" s="5"/>
      <c r="AS16" s="5"/>
      <c r="AT16" s="5"/>
      <c r="AU16" s="71"/>
      <c r="AV16" s="5"/>
      <c r="AW16" s="71"/>
      <c r="AX16" s="5"/>
      <c r="AY16" s="71"/>
      <c r="AZ16" s="5"/>
      <c r="BA16" s="5"/>
      <c r="BB16" s="5"/>
      <c r="BC16" s="65"/>
      <c r="BD16" s="5"/>
      <c r="BE16" s="5"/>
      <c r="BF16" s="5"/>
      <c r="BG16" s="65"/>
      <c r="BH16" s="5"/>
      <c r="BI16" s="65"/>
      <c r="BJ16" s="5"/>
      <c r="BK16" s="5"/>
      <c r="BL16" s="5"/>
      <c r="BM16" s="65"/>
      <c r="BN16" s="5">
        <v>1</v>
      </c>
      <c r="BO16" s="71">
        <v>-6</v>
      </c>
      <c r="BP16" s="5"/>
      <c r="BQ16" s="65"/>
      <c r="BR16" s="71"/>
      <c r="BS16" s="65"/>
      <c r="BT16" s="5"/>
      <c r="BU16" s="65"/>
      <c r="BV16" s="5"/>
      <c r="BW16" s="5"/>
      <c r="BX16" s="5"/>
      <c r="BY16" s="65"/>
      <c r="BZ16" s="5"/>
      <c r="CA16" s="5"/>
      <c r="CB16" s="5"/>
      <c r="CC16" s="5"/>
      <c r="CD16" s="5"/>
      <c r="CE16" s="65"/>
      <c r="CF16" s="5"/>
      <c r="CG16" s="65"/>
      <c r="CH16" s="5"/>
      <c r="CI16" s="5"/>
      <c r="CJ16" s="5"/>
      <c r="CK16" s="5"/>
      <c r="CL16" s="5"/>
      <c r="CM16" s="5"/>
      <c r="CN16" s="1"/>
      <c r="CO16" s="68"/>
      <c r="CR16" s="68"/>
    </row>
    <row r="17" spans="1:148" x14ac:dyDescent="0.25">
      <c r="A17" s="2" t="s">
        <v>292</v>
      </c>
      <c r="B17" s="59" t="s">
        <v>213</v>
      </c>
      <c r="C17" s="59" t="s">
        <v>275</v>
      </c>
      <c r="D17" s="6">
        <f t="shared" si="0"/>
        <v>0</v>
      </c>
      <c r="E17" s="4">
        <v>0</v>
      </c>
      <c r="F17" s="4">
        <f t="shared" si="1"/>
        <v>0</v>
      </c>
      <c r="G17" s="233">
        <v>30</v>
      </c>
      <c r="H17" s="134">
        <v>22</v>
      </c>
      <c r="I17" s="134">
        <v>-30</v>
      </c>
      <c r="J17" s="134"/>
      <c r="K17" s="134"/>
      <c r="L17" s="101"/>
      <c r="M17" s="101"/>
      <c r="N17" s="101"/>
      <c r="O17" s="134">
        <v>-10</v>
      </c>
      <c r="P17" s="101"/>
      <c r="Q17" s="185"/>
      <c r="R17" s="101"/>
      <c r="S17" s="185"/>
      <c r="T17" s="134"/>
      <c r="U17" s="134"/>
      <c r="V17" s="101"/>
      <c r="W17" s="188"/>
      <c r="X17" s="101"/>
      <c r="Y17" s="101"/>
      <c r="Z17" s="101"/>
      <c r="AA17" s="185"/>
      <c r="AB17" s="101"/>
      <c r="AC17" s="134">
        <v>-12</v>
      </c>
      <c r="AD17" s="101">
        <v>25</v>
      </c>
      <c r="AE17" s="134">
        <v>-10</v>
      </c>
      <c r="AF17" s="101"/>
      <c r="AG17" s="185"/>
      <c r="AH17" s="101"/>
      <c r="AI17" s="185"/>
      <c r="AJ17" s="101"/>
      <c r="AK17" s="185"/>
      <c r="AL17" s="101"/>
      <c r="AM17" s="101"/>
      <c r="AN17" s="101"/>
      <c r="AO17" s="101"/>
      <c r="AP17" s="101"/>
      <c r="AQ17" s="185"/>
      <c r="AR17" s="101"/>
      <c r="AS17" s="101"/>
      <c r="AT17" s="101"/>
      <c r="AU17" s="134"/>
      <c r="AV17" s="101"/>
      <c r="AW17" s="134">
        <v>-10</v>
      </c>
      <c r="AX17" s="101"/>
      <c r="AY17" s="191">
        <v>-1</v>
      </c>
      <c r="AZ17" s="101">
        <v>39</v>
      </c>
      <c r="BA17" s="185"/>
      <c r="BB17" s="101"/>
      <c r="BC17" s="185"/>
      <c r="BD17" s="101">
        <v>30</v>
      </c>
      <c r="BE17" s="185"/>
      <c r="BF17" s="101"/>
      <c r="BG17" s="185">
        <f>-20-20-20</f>
        <v>-60</v>
      </c>
      <c r="BH17" s="101"/>
      <c r="BI17" s="302">
        <v>-1</v>
      </c>
      <c r="BJ17" s="101"/>
      <c r="BK17" s="101"/>
      <c r="BL17" s="101"/>
      <c r="BM17" s="185"/>
      <c r="BN17" s="191">
        <v>-1</v>
      </c>
      <c r="BO17" s="134"/>
      <c r="BP17" s="101"/>
      <c r="BQ17" s="134">
        <v>-30</v>
      </c>
      <c r="BR17" s="134">
        <v>79</v>
      </c>
      <c r="BS17" s="185"/>
      <c r="BT17" s="101"/>
      <c r="BU17" s="185">
        <v>-30</v>
      </c>
      <c r="BV17" s="101"/>
      <c r="BW17" s="101">
        <v>-15</v>
      </c>
      <c r="BX17" s="101"/>
      <c r="BY17" s="185"/>
      <c r="BZ17" s="101"/>
      <c r="CA17" s="101"/>
      <c r="CB17" s="185"/>
      <c r="CC17" s="134">
        <v>-2</v>
      </c>
      <c r="CD17" s="101"/>
      <c r="CE17" s="185">
        <v>-13</v>
      </c>
      <c r="CF17" s="101"/>
      <c r="CG17" s="185"/>
      <c r="CH17" s="101"/>
      <c r="CI17" s="101"/>
      <c r="CJ17" s="101"/>
      <c r="CK17" s="101"/>
      <c r="CL17" s="101"/>
      <c r="CM17" s="101"/>
      <c r="CN17" s="1"/>
      <c r="CO17" s="68"/>
      <c r="CR17" s="68"/>
    </row>
    <row r="18" spans="1:148" ht="15.75" thickBot="1" x14ac:dyDescent="0.3">
      <c r="A18" s="2" t="s">
        <v>293</v>
      </c>
      <c r="B18" s="3" t="s">
        <v>122</v>
      </c>
      <c r="C18" s="3" t="s">
        <v>266</v>
      </c>
      <c r="D18" s="6">
        <f t="shared" si="0"/>
        <v>27</v>
      </c>
      <c r="E18" s="4">
        <v>30</v>
      </c>
      <c r="F18" s="4">
        <f t="shared" si="1"/>
        <v>-3</v>
      </c>
      <c r="G18" s="233">
        <v>12</v>
      </c>
      <c r="H18" s="71"/>
      <c r="I18" s="71"/>
      <c r="J18" s="71"/>
      <c r="K18" s="71"/>
      <c r="L18" s="5"/>
      <c r="M18" s="5"/>
      <c r="N18" s="65"/>
      <c r="O18" s="65"/>
      <c r="P18" s="5"/>
      <c r="Q18" s="5"/>
      <c r="R18" s="5"/>
      <c r="S18" s="5"/>
      <c r="T18" s="71"/>
      <c r="U18" s="121">
        <v>-1</v>
      </c>
      <c r="V18" s="5"/>
      <c r="W18" s="70"/>
      <c r="X18" s="5"/>
      <c r="Y18" s="131"/>
      <c r="Z18" s="65"/>
      <c r="AA18" s="65"/>
      <c r="AB18" s="5"/>
      <c r="AC18" s="71">
        <v>-6</v>
      </c>
      <c r="AD18" s="5"/>
      <c r="AE18" s="71"/>
      <c r="AF18" s="5"/>
      <c r="AG18" s="71">
        <v>-10</v>
      </c>
      <c r="AH18" s="5">
        <v>46</v>
      </c>
      <c r="AI18" s="71"/>
      <c r="AJ18" s="5"/>
      <c r="AK18" s="5"/>
      <c r="AL18" s="5"/>
      <c r="AM18" s="5"/>
      <c r="AN18" s="5"/>
      <c r="AO18" s="5"/>
      <c r="AP18" s="5"/>
      <c r="AQ18" s="71"/>
      <c r="AR18" s="5"/>
      <c r="AS18" s="5"/>
      <c r="AT18" s="5"/>
      <c r="AU18" s="71"/>
      <c r="AV18" s="5"/>
      <c r="AW18" s="71"/>
      <c r="AX18" s="5"/>
      <c r="AY18" s="71"/>
      <c r="AZ18" s="5"/>
      <c r="BA18" s="5"/>
      <c r="BB18" s="5"/>
      <c r="BC18" s="71"/>
      <c r="BD18" s="5"/>
      <c r="BE18" s="71"/>
      <c r="BF18" s="5"/>
      <c r="BG18" s="122"/>
      <c r="BH18" s="5"/>
      <c r="BI18" s="71"/>
      <c r="BJ18" s="5"/>
      <c r="BK18" s="5">
        <v>-2</v>
      </c>
      <c r="BL18" s="5"/>
      <c r="BM18" s="71"/>
      <c r="BN18" s="5"/>
      <c r="BO18" s="71">
        <v>-12</v>
      </c>
      <c r="BP18" s="5"/>
      <c r="BQ18" s="65"/>
      <c r="BR18" s="65"/>
      <c r="BS18" s="71"/>
      <c r="BT18" s="5"/>
      <c r="BU18" s="121"/>
      <c r="BV18" s="5"/>
      <c r="BW18" s="5"/>
      <c r="BX18" s="5"/>
      <c r="BY18" s="71"/>
      <c r="BZ18" s="5"/>
      <c r="CA18" s="5"/>
      <c r="CB18" s="71"/>
      <c r="CC18" s="65"/>
      <c r="CD18" s="5"/>
      <c r="CE18" s="65"/>
      <c r="CF18" s="5"/>
      <c r="CG18" s="205"/>
      <c r="CH18" s="5"/>
      <c r="CI18" s="5"/>
      <c r="CJ18" s="5"/>
      <c r="CK18" s="5"/>
      <c r="CL18" s="5"/>
      <c r="CM18" s="5"/>
      <c r="CN18" s="1"/>
      <c r="CO18" s="68"/>
      <c r="CR18" s="68"/>
    </row>
    <row r="19" spans="1:148" x14ac:dyDescent="0.25">
      <c r="A19" s="2" t="s">
        <v>294</v>
      </c>
      <c r="B19" s="64" t="s">
        <v>21</v>
      </c>
      <c r="C19" s="3" t="s">
        <v>260</v>
      </c>
      <c r="D19" s="6">
        <f t="shared" si="0"/>
        <v>0</v>
      </c>
      <c r="E19" s="4">
        <v>400</v>
      </c>
      <c r="F19" s="4">
        <f>D19-E19</f>
        <v>-400</v>
      </c>
      <c r="G19" s="233">
        <v>425</v>
      </c>
      <c r="H19" s="71"/>
      <c r="I19" s="71"/>
      <c r="J19" s="71"/>
      <c r="K19" s="71">
        <v>-14</v>
      </c>
      <c r="L19" s="5"/>
      <c r="M19" s="71"/>
      <c r="N19" s="71"/>
      <c r="O19" s="71">
        <v>-50</v>
      </c>
      <c r="P19" s="5"/>
      <c r="Q19" s="65"/>
      <c r="R19" s="5"/>
      <c r="S19" s="71">
        <v>-10</v>
      </c>
      <c r="T19" s="71"/>
      <c r="U19" s="65"/>
      <c r="V19" s="5"/>
      <c r="W19" s="70"/>
      <c r="X19" s="71"/>
      <c r="Y19" s="65"/>
      <c r="Z19" s="65"/>
      <c r="AA19" s="65">
        <v>-300</v>
      </c>
      <c r="AB19" s="5"/>
      <c r="AC19" s="71">
        <f>-15</f>
        <v>-15</v>
      </c>
      <c r="AD19" s="5"/>
      <c r="AE19" s="71">
        <v>-5</v>
      </c>
      <c r="AF19" s="5"/>
      <c r="AG19" s="71">
        <v>-10</v>
      </c>
      <c r="AH19" s="5">
        <v>135</v>
      </c>
      <c r="AI19" s="65"/>
      <c r="AJ19" s="5"/>
      <c r="AK19" s="71"/>
      <c r="AL19" s="5"/>
      <c r="AM19" s="71">
        <v>-30</v>
      </c>
      <c r="AN19" s="5"/>
      <c r="AO19" s="71"/>
      <c r="AP19" s="5">
        <v>8</v>
      </c>
      <c r="AQ19" s="65"/>
      <c r="AR19" s="5"/>
      <c r="AS19" s="71"/>
      <c r="AT19" s="5"/>
      <c r="AU19" s="71"/>
      <c r="AV19" s="5"/>
      <c r="AW19" s="71"/>
      <c r="AX19" s="5"/>
      <c r="AY19" s="65"/>
      <c r="AZ19" s="5"/>
      <c r="BA19" s="71"/>
      <c r="BB19" s="5"/>
      <c r="BC19" s="71"/>
      <c r="BD19" s="5"/>
      <c r="BE19" s="65"/>
      <c r="BF19" s="5"/>
      <c r="BG19" s="65">
        <v>-100</v>
      </c>
      <c r="BH19" s="5"/>
      <c r="BI19" s="71"/>
      <c r="BJ19" s="5"/>
      <c r="BK19" s="65"/>
      <c r="BL19" s="5"/>
      <c r="BM19" s="71"/>
      <c r="BN19" s="5"/>
      <c r="BO19" s="71"/>
      <c r="BP19" s="5"/>
      <c r="BQ19" s="65"/>
      <c r="BR19" s="65"/>
      <c r="BS19" s="71"/>
      <c r="BT19" s="5"/>
      <c r="BU19" s="65">
        <v>-31</v>
      </c>
      <c r="BV19" s="5"/>
      <c r="BW19" s="5"/>
      <c r="BX19" s="5"/>
      <c r="BY19" s="5"/>
      <c r="BZ19" s="5"/>
      <c r="CA19" s="65"/>
      <c r="CB19" s="71"/>
      <c r="CC19" s="5"/>
      <c r="CD19" s="5"/>
      <c r="CE19" s="65"/>
      <c r="CF19" s="5">
        <v>51</v>
      </c>
      <c r="CG19" s="5">
        <v>-54</v>
      </c>
      <c r="CH19" s="5"/>
      <c r="CI19" s="5"/>
      <c r="CJ19" s="5"/>
      <c r="CK19" s="5"/>
      <c r="CL19" s="5"/>
      <c r="CM19" s="5"/>
      <c r="CO19" s="67"/>
      <c r="CR19" s="67"/>
    </row>
    <row r="20" spans="1:148" ht="15.75" thickBot="1" x14ac:dyDescent="0.3">
      <c r="A20" s="62" t="s">
        <v>295</v>
      </c>
      <c r="B20" s="59" t="s">
        <v>212</v>
      </c>
      <c r="C20" s="59" t="s">
        <v>254</v>
      </c>
      <c r="D20" s="6">
        <f t="shared" si="0"/>
        <v>0</v>
      </c>
      <c r="E20" s="4">
        <v>50</v>
      </c>
      <c r="F20" s="4">
        <f>D20-E20</f>
        <v>-50</v>
      </c>
      <c r="G20" s="233">
        <v>61</v>
      </c>
      <c r="H20" s="134"/>
      <c r="I20" s="134"/>
      <c r="J20" s="134"/>
      <c r="K20" s="134"/>
      <c r="L20" s="101"/>
      <c r="M20" s="185"/>
      <c r="N20" s="101"/>
      <c r="O20" s="134"/>
      <c r="P20" s="5"/>
      <c r="Q20" s="5">
        <v>-15</v>
      </c>
      <c r="R20" s="5">
        <v>64</v>
      </c>
      <c r="S20" s="5">
        <f>-30-10</f>
        <v>-40</v>
      </c>
      <c r="T20" s="134"/>
      <c r="U20" s="191">
        <v>-1</v>
      </c>
      <c r="V20" s="101">
        <v>203</v>
      </c>
      <c r="W20" s="185"/>
      <c r="X20" s="190"/>
      <c r="Y20" s="101">
        <f>-5-150</f>
        <v>-155</v>
      </c>
      <c r="Z20" s="101"/>
      <c r="AA20" s="185"/>
      <c r="AB20" s="101"/>
      <c r="AC20" s="134">
        <f>-15-40-10</f>
        <v>-65</v>
      </c>
      <c r="AD20" s="101"/>
      <c r="AE20" s="134">
        <v>-6</v>
      </c>
      <c r="AF20" s="101"/>
      <c r="AG20" s="134">
        <f>-2-10</f>
        <v>-12</v>
      </c>
      <c r="AH20" s="101"/>
      <c r="AI20" s="134"/>
      <c r="AJ20" s="101"/>
      <c r="AK20" s="134"/>
      <c r="AL20" s="101"/>
      <c r="AM20" s="101"/>
      <c r="AN20" s="101"/>
      <c r="AO20" s="101"/>
      <c r="AP20" s="101">
        <v>130</v>
      </c>
      <c r="AQ20" s="134"/>
      <c r="AR20" s="101"/>
      <c r="AS20" s="101"/>
      <c r="AT20" s="101"/>
      <c r="AU20" s="134"/>
      <c r="AV20" s="101">
        <v>174</v>
      </c>
      <c r="AW20" s="134"/>
      <c r="AX20" s="101"/>
      <c r="AY20" s="191"/>
      <c r="AZ20" s="101"/>
      <c r="BA20" s="134"/>
      <c r="BB20" s="101"/>
      <c r="BC20" s="185"/>
      <c r="BD20" s="101"/>
      <c r="BE20" s="134">
        <v>-10</v>
      </c>
      <c r="BF20" s="101"/>
      <c r="BG20" s="185">
        <v>-300</v>
      </c>
      <c r="BH20" s="101"/>
      <c r="BI20" s="134"/>
      <c r="BJ20" s="101"/>
      <c r="BK20" s="101"/>
      <c r="BL20" s="101">
        <v>2</v>
      </c>
      <c r="BM20" s="134">
        <f>-30-3</f>
        <v>-33</v>
      </c>
      <c r="BN20" s="101"/>
      <c r="BO20" s="134"/>
      <c r="BP20" s="101"/>
      <c r="BQ20" s="134"/>
      <c r="BR20" s="134">
        <v>212</v>
      </c>
      <c r="BS20" s="134"/>
      <c r="BT20" s="101"/>
      <c r="BU20" s="185">
        <v>-150</v>
      </c>
      <c r="BV20" s="101"/>
      <c r="BW20" s="134">
        <f>-6-50</f>
        <v>-56</v>
      </c>
      <c r="BX20" s="101">
        <v>8</v>
      </c>
      <c r="BY20" s="134">
        <f>-10-1</f>
        <v>-11</v>
      </c>
      <c r="BZ20" s="101"/>
      <c r="CA20" s="188"/>
      <c r="CB20" s="101"/>
      <c r="CC20" s="101"/>
      <c r="CD20" s="101"/>
      <c r="CE20" s="185"/>
      <c r="CF20" s="101">
        <v>30</v>
      </c>
      <c r="CG20" s="134">
        <v>-7</v>
      </c>
      <c r="CH20" s="101"/>
      <c r="CI20" s="101"/>
      <c r="CJ20" s="101">
        <v>34</v>
      </c>
      <c r="CK20" s="101">
        <f>-25-32</f>
        <v>-57</v>
      </c>
      <c r="CL20" s="101"/>
      <c r="CM20" s="185"/>
      <c r="CN20" s="1"/>
    </row>
    <row r="21" spans="1:148" s="219" customFormat="1" ht="15.75" x14ac:dyDescent="0.25">
      <c r="A21" s="211">
        <v>3</v>
      </c>
      <c r="B21" s="222" t="s">
        <v>302</v>
      </c>
      <c r="C21" s="212"/>
      <c r="D21" s="213"/>
      <c r="E21" s="214"/>
      <c r="F21" s="214"/>
      <c r="G21" s="215"/>
      <c r="H21" s="216"/>
      <c r="I21" s="216"/>
      <c r="J21" s="216"/>
      <c r="K21" s="216"/>
      <c r="L21" s="215"/>
      <c r="M21" s="216"/>
      <c r="N21" s="216"/>
      <c r="O21" s="216"/>
      <c r="P21" s="215"/>
      <c r="Q21" s="217"/>
      <c r="R21" s="215"/>
      <c r="S21" s="217"/>
      <c r="T21" s="216"/>
      <c r="U21" s="216"/>
      <c r="V21" s="215"/>
      <c r="W21" s="218"/>
      <c r="X21" s="216"/>
      <c r="Y21" s="217"/>
      <c r="Z21" s="217"/>
      <c r="AA21" s="217"/>
      <c r="AB21" s="215"/>
      <c r="AC21" s="216"/>
      <c r="AD21" s="215"/>
      <c r="AE21" s="216"/>
      <c r="AF21" s="215"/>
      <c r="AG21" s="217"/>
      <c r="AH21" s="215"/>
      <c r="AI21" s="217"/>
      <c r="AJ21" s="215"/>
      <c r="AK21" s="216"/>
      <c r="AL21" s="215"/>
      <c r="AM21" s="216"/>
      <c r="AN21" s="215"/>
      <c r="AO21" s="216"/>
      <c r="AP21" s="215"/>
      <c r="AQ21" s="217"/>
      <c r="AR21" s="215"/>
      <c r="AS21" s="216"/>
      <c r="AT21" s="215"/>
      <c r="AU21" s="216"/>
      <c r="AV21" s="215"/>
      <c r="AW21" s="216"/>
      <c r="AX21" s="215"/>
      <c r="AY21" s="217"/>
      <c r="AZ21" s="215"/>
      <c r="BA21" s="216"/>
      <c r="BB21" s="215"/>
      <c r="BC21" s="216"/>
      <c r="BD21" s="215"/>
      <c r="BE21" s="217"/>
      <c r="BF21" s="215"/>
      <c r="BG21" s="216"/>
      <c r="BH21" s="215"/>
      <c r="BI21" s="216"/>
      <c r="BJ21" s="215"/>
      <c r="BK21" s="217"/>
      <c r="BL21" s="215"/>
      <c r="BM21" s="216"/>
      <c r="BN21" s="215"/>
      <c r="BO21" s="216"/>
      <c r="BP21" s="215"/>
      <c r="BQ21" s="217"/>
      <c r="BR21" s="217"/>
      <c r="BS21" s="216"/>
      <c r="BT21" s="215"/>
      <c r="BU21" s="216"/>
      <c r="BV21" s="215"/>
      <c r="BW21" s="215"/>
      <c r="BX21" s="215"/>
      <c r="BY21" s="215"/>
      <c r="BZ21" s="215"/>
      <c r="CA21" s="217"/>
      <c r="CB21" s="216"/>
      <c r="CC21" s="215"/>
      <c r="CD21" s="215"/>
      <c r="CE21" s="217"/>
      <c r="CF21" s="215"/>
      <c r="CG21" s="215"/>
      <c r="CH21" s="215"/>
      <c r="CI21" s="215"/>
      <c r="CJ21" s="215"/>
      <c r="CK21" s="215"/>
      <c r="CL21" s="215"/>
      <c r="CM21" s="215"/>
      <c r="CO21" s="220"/>
      <c r="CR21" s="220"/>
    </row>
    <row r="22" spans="1:148" ht="17.25" customHeight="1" x14ac:dyDescent="0.25">
      <c r="A22" s="2" t="s">
        <v>296</v>
      </c>
      <c r="B22" s="3" t="s">
        <v>127</v>
      </c>
      <c r="C22" s="3" t="s">
        <v>271</v>
      </c>
      <c r="D22" s="6">
        <f t="shared" ref="D22:D28" si="2">SUM(G22:CM22)</f>
        <v>0</v>
      </c>
      <c r="E22" s="4">
        <v>0</v>
      </c>
      <c r="F22" s="4">
        <f t="shared" ref="F22:F27" si="3">D22-E22</f>
        <v>0</v>
      </c>
      <c r="G22" s="233">
        <v>0</v>
      </c>
      <c r="H22" s="71"/>
      <c r="I22" s="71"/>
      <c r="J22" s="71"/>
      <c r="K22" s="65"/>
      <c r="L22" s="5"/>
      <c r="M22" s="5"/>
      <c r="N22" s="5"/>
      <c r="O22" s="65"/>
      <c r="P22" s="5"/>
      <c r="Q22" s="65"/>
      <c r="R22" s="5"/>
      <c r="S22" s="65"/>
      <c r="T22" s="71">
        <v>51</v>
      </c>
      <c r="U22" s="121">
        <v>-1</v>
      </c>
      <c r="V22" s="5"/>
      <c r="W22" s="70"/>
      <c r="X22" s="5"/>
      <c r="Y22" s="71"/>
      <c r="Z22" s="65"/>
      <c r="AA22" s="65">
        <v>-50</v>
      </c>
      <c r="AB22" s="5"/>
      <c r="AC22" s="65"/>
      <c r="AD22" s="5"/>
      <c r="AE22" s="65"/>
      <c r="AF22" s="5"/>
      <c r="AG22" s="65"/>
      <c r="AH22" s="5"/>
      <c r="AI22" s="71"/>
      <c r="AJ22" s="5"/>
      <c r="AK22" s="65"/>
      <c r="AL22" s="5">
        <v>63</v>
      </c>
      <c r="AM22" s="5"/>
      <c r="AN22" s="5"/>
      <c r="AO22" s="5"/>
      <c r="AP22" s="5"/>
      <c r="AQ22" s="65"/>
      <c r="AR22" s="5"/>
      <c r="AS22" s="5"/>
      <c r="AT22" s="5"/>
      <c r="AU22" s="65"/>
      <c r="AV22" s="5"/>
      <c r="AW22" s="65"/>
      <c r="AX22" s="5"/>
      <c r="AY22" s="65"/>
      <c r="AZ22" s="5"/>
      <c r="BA22" s="5"/>
      <c r="BB22" s="5"/>
      <c r="BC22" s="65"/>
      <c r="BD22" s="5"/>
      <c r="BE22" s="65"/>
      <c r="BF22" s="5"/>
      <c r="BG22" s="65">
        <v>-63</v>
      </c>
      <c r="BH22" s="5"/>
      <c r="BI22" s="71"/>
      <c r="BJ22" s="5"/>
      <c r="BK22" s="5"/>
      <c r="BL22" s="5"/>
      <c r="BM22" s="65"/>
      <c r="BN22" s="5"/>
      <c r="BO22" s="71"/>
      <c r="BP22" s="5">
        <v>20</v>
      </c>
      <c r="BQ22" s="65"/>
      <c r="BR22" s="71"/>
      <c r="BS22" s="65"/>
      <c r="BT22" s="5"/>
      <c r="BU22" s="65">
        <v>-20</v>
      </c>
      <c r="BV22" s="5"/>
      <c r="BW22" s="5"/>
      <c r="BX22" s="5"/>
      <c r="BY22" s="65"/>
      <c r="BZ22" s="5"/>
      <c r="CA22" s="65"/>
      <c r="CB22" s="5"/>
      <c r="CC22" s="5"/>
      <c r="CD22" s="5"/>
      <c r="CE22" s="65"/>
      <c r="CF22" s="5"/>
      <c r="CG22" s="65"/>
      <c r="CH22" s="5"/>
      <c r="CI22" s="5"/>
      <c r="CJ22" s="5"/>
      <c r="CK22" s="5"/>
      <c r="CL22" s="5"/>
      <c r="CM22" s="65"/>
      <c r="CN22" s="1"/>
      <c r="CO22" s="68"/>
      <c r="CP22" s="1"/>
      <c r="CQ22" s="1"/>
      <c r="CR22" s="68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 ht="17.25" customHeight="1" x14ac:dyDescent="0.25">
      <c r="A23" s="2" t="s">
        <v>297</v>
      </c>
      <c r="B23" s="3" t="s">
        <v>151</v>
      </c>
      <c r="C23" s="59" t="s">
        <v>272</v>
      </c>
      <c r="D23" s="6">
        <f t="shared" si="2"/>
        <v>2</v>
      </c>
      <c r="E23" s="4">
        <v>0</v>
      </c>
      <c r="F23" s="4">
        <f t="shared" si="3"/>
        <v>2</v>
      </c>
      <c r="G23" s="233">
        <v>0</v>
      </c>
      <c r="H23" s="134"/>
      <c r="I23" s="134"/>
      <c r="J23" s="134"/>
      <c r="K23" s="185"/>
      <c r="L23" s="101"/>
      <c r="M23" s="101"/>
      <c r="N23" s="101"/>
      <c r="O23" s="185"/>
      <c r="P23" s="101"/>
      <c r="Q23" s="185"/>
      <c r="R23" s="101"/>
      <c r="S23" s="185"/>
      <c r="T23" s="134">
        <v>41</v>
      </c>
      <c r="U23" s="185"/>
      <c r="V23" s="101"/>
      <c r="W23" s="188"/>
      <c r="X23" s="101"/>
      <c r="Y23" s="134"/>
      <c r="Z23" s="101"/>
      <c r="AA23" s="185">
        <v>-41</v>
      </c>
      <c r="AB23" s="101"/>
      <c r="AC23" s="134"/>
      <c r="AD23" s="101"/>
      <c r="AE23" s="134"/>
      <c r="AF23" s="101"/>
      <c r="AG23" s="185"/>
      <c r="AH23" s="101"/>
      <c r="AI23" s="101"/>
      <c r="AJ23" s="101"/>
      <c r="AK23" s="185"/>
      <c r="AL23" s="101"/>
      <c r="AM23" s="101"/>
      <c r="AN23" s="101"/>
      <c r="AO23" s="101"/>
      <c r="AP23" s="101"/>
      <c r="AQ23" s="185"/>
      <c r="AR23" s="101"/>
      <c r="AS23" s="101"/>
      <c r="AT23" s="101">
        <v>40</v>
      </c>
      <c r="AU23" s="185"/>
      <c r="AV23" s="101"/>
      <c r="AW23" s="185"/>
      <c r="AX23" s="101"/>
      <c r="AY23" s="185"/>
      <c r="AZ23" s="101"/>
      <c r="BA23" s="101"/>
      <c r="BB23" s="101"/>
      <c r="BC23" s="185"/>
      <c r="BD23" s="101"/>
      <c r="BE23" s="185"/>
      <c r="BF23" s="101"/>
      <c r="BG23" s="185">
        <v>-40</v>
      </c>
      <c r="BH23" s="101"/>
      <c r="BI23" s="185"/>
      <c r="BJ23" s="101"/>
      <c r="BK23" s="185"/>
      <c r="BL23" s="101"/>
      <c r="BM23" s="185"/>
      <c r="BN23" s="101"/>
      <c r="BO23" s="134"/>
      <c r="BP23" s="101">
        <v>20</v>
      </c>
      <c r="BQ23" s="185"/>
      <c r="BR23" s="185"/>
      <c r="BS23" s="185"/>
      <c r="BT23" s="101"/>
      <c r="BU23" s="185">
        <v>-20</v>
      </c>
      <c r="BV23" s="101"/>
      <c r="BW23" s="101"/>
      <c r="BX23" s="101"/>
      <c r="BY23" s="185"/>
      <c r="BZ23" s="101"/>
      <c r="CA23" s="185"/>
      <c r="CB23" s="101">
        <v>42</v>
      </c>
      <c r="CC23" s="101"/>
      <c r="CD23" s="101"/>
      <c r="CE23" s="185">
        <v>-40</v>
      </c>
      <c r="CF23" s="101"/>
      <c r="CG23" s="185"/>
      <c r="CH23" s="101"/>
      <c r="CI23" s="101"/>
      <c r="CJ23" s="101"/>
      <c r="CK23" s="101"/>
      <c r="CL23" s="101"/>
      <c r="CM23" s="185"/>
      <c r="CN23" s="1"/>
      <c r="CO23" s="68"/>
      <c r="CP23" s="1"/>
      <c r="CQ23" s="1"/>
      <c r="CR23" s="68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 s="58" customFormat="1" x14ac:dyDescent="0.25">
      <c r="A24" s="2" t="s">
        <v>286</v>
      </c>
      <c r="B24" s="3" t="s">
        <v>210</v>
      </c>
      <c r="C24" s="59" t="s">
        <v>274</v>
      </c>
      <c r="D24" s="77">
        <f t="shared" si="2"/>
        <v>27</v>
      </c>
      <c r="E24" s="4">
        <v>50</v>
      </c>
      <c r="F24" s="78">
        <f t="shared" si="3"/>
        <v>-23</v>
      </c>
      <c r="G24" s="233">
        <v>106</v>
      </c>
      <c r="H24" s="101"/>
      <c r="I24" s="134"/>
      <c r="J24" s="101"/>
      <c r="K24" s="185"/>
      <c r="L24" s="101"/>
      <c r="M24" s="101"/>
      <c r="N24" s="101"/>
      <c r="O24" s="134"/>
      <c r="P24" s="101"/>
      <c r="Q24" s="134">
        <v>-50</v>
      </c>
      <c r="R24" s="101"/>
      <c r="S24" s="185"/>
      <c r="T24" s="134">
        <v>69</v>
      </c>
      <c r="U24" s="134"/>
      <c r="V24" s="101"/>
      <c r="W24" s="185"/>
      <c r="X24" s="134"/>
      <c r="Y24" s="134">
        <v>-5</v>
      </c>
      <c r="Z24" s="185"/>
      <c r="AA24" s="185">
        <v>-50</v>
      </c>
      <c r="AB24" s="101"/>
      <c r="AC24" s="134">
        <v>-10</v>
      </c>
      <c r="AD24" s="101"/>
      <c r="AE24" s="134"/>
      <c r="AF24" s="101"/>
      <c r="AG24" s="185"/>
      <c r="AH24" s="101"/>
      <c r="AI24" s="134"/>
      <c r="AJ24" s="101"/>
      <c r="AK24" s="185"/>
      <c r="AL24" s="101">
        <v>105</v>
      </c>
      <c r="AM24" s="134"/>
      <c r="AN24" s="101"/>
      <c r="AO24" s="134"/>
      <c r="AP24" s="101"/>
      <c r="AQ24" s="185"/>
      <c r="AR24" s="101"/>
      <c r="AS24" s="134">
        <v>-16</v>
      </c>
      <c r="AT24" s="101"/>
      <c r="AU24" s="185"/>
      <c r="AV24" s="101"/>
      <c r="AW24" s="134">
        <v>-10</v>
      </c>
      <c r="AX24" s="101"/>
      <c r="AY24" s="185"/>
      <c r="AZ24" s="101"/>
      <c r="BA24" s="101"/>
      <c r="BB24" s="101"/>
      <c r="BC24" s="134"/>
      <c r="BD24" s="101"/>
      <c r="BE24" s="134"/>
      <c r="BF24" s="101"/>
      <c r="BG24" s="185">
        <v>-100</v>
      </c>
      <c r="BH24" s="101"/>
      <c r="BI24" s="134"/>
      <c r="BJ24" s="101"/>
      <c r="BK24" s="134">
        <v>-39</v>
      </c>
      <c r="BL24" s="101">
        <v>126</v>
      </c>
      <c r="BM24" s="134"/>
      <c r="BN24" s="101"/>
      <c r="BO24" s="134">
        <v>-5</v>
      </c>
      <c r="BP24" s="101">
        <v>39</v>
      </c>
      <c r="BQ24" s="185"/>
      <c r="BR24" s="185"/>
      <c r="BS24" s="185"/>
      <c r="BT24" s="101"/>
      <c r="BU24" s="185">
        <v>-160</v>
      </c>
      <c r="BV24" s="101"/>
      <c r="BW24" s="134">
        <v>-5</v>
      </c>
      <c r="BX24" s="101">
        <v>105</v>
      </c>
      <c r="BY24" s="208"/>
      <c r="BZ24" s="101"/>
      <c r="CA24" s="185"/>
      <c r="CB24" s="101"/>
      <c r="CC24" s="101">
        <v>-12</v>
      </c>
      <c r="CD24" s="101"/>
      <c r="CE24" s="185">
        <v>-60</v>
      </c>
      <c r="CF24" s="101"/>
      <c r="CG24" s="185"/>
      <c r="CH24" s="101"/>
      <c r="CI24" s="185"/>
      <c r="CJ24" s="101"/>
      <c r="CK24" s="407">
        <v>-1</v>
      </c>
      <c r="CL24" s="101"/>
      <c r="CM24" s="185"/>
      <c r="CN24" s="101"/>
    </row>
    <row r="25" spans="1:148" s="58" customFormat="1" x14ac:dyDescent="0.25">
      <c r="A25" s="2" t="s">
        <v>298</v>
      </c>
      <c r="B25" s="3" t="s">
        <v>305</v>
      </c>
      <c r="C25" s="59" t="s">
        <v>276</v>
      </c>
      <c r="D25" s="77">
        <f t="shared" si="2"/>
        <v>0</v>
      </c>
      <c r="E25" s="4">
        <v>50</v>
      </c>
      <c r="F25" s="78">
        <f>D25-E25</f>
        <v>-50</v>
      </c>
      <c r="G25" s="233">
        <v>39</v>
      </c>
      <c r="H25" s="101"/>
      <c r="I25" s="134"/>
      <c r="J25" s="101"/>
      <c r="K25" s="185"/>
      <c r="L25" s="101"/>
      <c r="M25" s="101"/>
      <c r="N25" s="101"/>
      <c r="O25" s="134"/>
      <c r="P25" s="101"/>
      <c r="Q25" s="134"/>
      <c r="R25" s="101"/>
      <c r="S25" s="185"/>
      <c r="T25" s="134"/>
      <c r="U25" s="134"/>
      <c r="V25" s="101">
        <v>30</v>
      </c>
      <c r="W25" s="185"/>
      <c r="X25" s="134"/>
      <c r="Y25" s="134">
        <v>-5</v>
      </c>
      <c r="Z25" s="185"/>
      <c r="AA25" s="185">
        <v>-40</v>
      </c>
      <c r="AB25" s="101"/>
      <c r="AC25" s="134">
        <v>-10</v>
      </c>
      <c r="AD25" s="101"/>
      <c r="AE25" s="134"/>
      <c r="AF25" s="101"/>
      <c r="AG25" s="185"/>
      <c r="AH25" s="101"/>
      <c r="AI25" s="134"/>
      <c r="AJ25" s="101"/>
      <c r="AK25" s="185"/>
      <c r="AL25" s="101"/>
      <c r="AM25" s="134"/>
      <c r="AN25" s="101"/>
      <c r="AO25" s="134"/>
      <c r="AP25" s="101"/>
      <c r="AQ25" s="185"/>
      <c r="AR25" s="101"/>
      <c r="AS25" s="134"/>
      <c r="AT25" s="101"/>
      <c r="AU25" s="185"/>
      <c r="AV25" s="101"/>
      <c r="AW25" s="134">
        <v>-10</v>
      </c>
      <c r="AX25" s="101"/>
      <c r="AY25" s="185"/>
      <c r="AZ25" s="101"/>
      <c r="BA25" s="101"/>
      <c r="BB25" s="101"/>
      <c r="BC25" s="134"/>
      <c r="BD25" s="101"/>
      <c r="BE25" s="134"/>
      <c r="BF25" s="101"/>
      <c r="BG25" s="185"/>
      <c r="BH25" s="101"/>
      <c r="BI25" s="302">
        <v>-1</v>
      </c>
      <c r="BJ25" s="101"/>
      <c r="BK25" s="134"/>
      <c r="BL25" s="101"/>
      <c r="BM25" s="134"/>
      <c r="BN25" s="101"/>
      <c r="BO25" s="134"/>
      <c r="BP25" s="101">
        <v>42</v>
      </c>
      <c r="BQ25" s="185"/>
      <c r="BR25" s="185"/>
      <c r="BS25" s="185"/>
      <c r="BT25" s="101"/>
      <c r="BU25" s="185">
        <v>-20</v>
      </c>
      <c r="BV25" s="101"/>
      <c r="BW25" s="134">
        <f>-1-5</f>
        <v>-6</v>
      </c>
      <c r="BX25" s="101"/>
      <c r="BY25" s="208"/>
      <c r="BZ25" s="101"/>
      <c r="CA25" s="185"/>
      <c r="CB25" s="101"/>
      <c r="CC25" s="101"/>
      <c r="CD25" s="101"/>
      <c r="CE25" s="185">
        <v>-19</v>
      </c>
      <c r="CF25" s="101"/>
      <c r="CG25" s="185"/>
      <c r="CH25" s="101"/>
      <c r="CI25" s="185"/>
      <c r="CJ25" s="101"/>
      <c r="CK25" s="185"/>
      <c r="CL25" s="101"/>
      <c r="CM25" s="185"/>
      <c r="CN25" s="101"/>
    </row>
    <row r="26" spans="1:148" s="75" customFormat="1" x14ac:dyDescent="0.25">
      <c r="A26" s="2" t="s">
        <v>299</v>
      </c>
      <c r="B26" s="3" t="s">
        <v>308</v>
      </c>
      <c r="C26" s="59" t="s">
        <v>309</v>
      </c>
      <c r="D26" s="77">
        <f t="shared" si="2"/>
        <v>0</v>
      </c>
      <c r="E26" s="4">
        <v>50</v>
      </c>
      <c r="F26" s="78">
        <f>D26-E26</f>
        <v>-50</v>
      </c>
      <c r="G26" s="233"/>
      <c r="H26" s="101"/>
      <c r="I26" s="134"/>
      <c r="J26" s="101"/>
      <c r="K26" s="185"/>
      <c r="L26" s="101"/>
      <c r="M26" s="101"/>
      <c r="N26" s="101"/>
      <c r="O26" s="134"/>
      <c r="P26" s="101"/>
      <c r="Q26" s="134"/>
      <c r="R26" s="101"/>
      <c r="S26" s="185"/>
      <c r="T26" s="134"/>
      <c r="U26" s="134"/>
      <c r="V26" s="101"/>
      <c r="W26" s="185"/>
      <c r="X26" s="134"/>
      <c r="Y26" s="134"/>
      <c r="Z26" s="185"/>
      <c r="AA26" s="185"/>
      <c r="AB26" s="101"/>
      <c r="AC26" s="185"/>
      <c r="AD26" s="101"/>
      <c r="AE26" s="134"/>
      <c r="AF26" s="101"/>
      <c r="AG26" s="185"/>
      <c r="AH26" s="101"/>
      <c r="AI26" s="134"/>
      <c r="AJ26" s="101"/>
      <c r="AK26" s="185"/>
      <c r="AL26" s="101"/>
      <c r="AM26" s="134"/>
      <c r="AN26" s="101"/>
      <c r="AO26" s="134"/>
      <c r="AP26" s="101"/>
      <c r="AQ26" s="185"/>
      <c r="AR26" s="101"/>
      <c r="AS26" s="134"/>
      <c r="AT26" s="101"/>
      <c r="AU26" s="185"/>
      <c r="AV26" s="101"/>
      <c r="AW26" s="185"/>
      <c r="AX26" s="101"/>
      <c r="AY26" s="185"/>
      <c r="AZ26" s="101"/>
      <c r="BA26" s="101"/>
      <c r="BB26" s="101"/>
      <c r="BC26" s="134"/>
      <c r="BD26" s="101"/>
      <c r="BE26" s="134"/>
      <c r="BF26" s="101"/>
      <c r="BG26" s="185"/>
      <c r="BH26" s="101"/>
      <c r="BI26" s="134"/>
      <c r="BJ26" s="101"/>
      <c r="BK26" s="134"/>
      <c r="BL26" s="101"/>
      <c r="BM26" s="134"/>
      <c r="BN26" s="101"/>
      <c r="BO26" s="134"/>
      <c r="BP26" s="101"/>
      <c r="BQ26" s="185"/>
      <c r="BR26" s="185"/>
      <c r="BS26" s="185"/>
      <c r="BT26" s="101"/>
      <c r="BU26" s="185"/>
      <c r="BV26" s="101"/>
      <c r="BW26" s="134"/>
      <c r="BX26" s="101"/>
      <c r="BY26" s="208"/>
      <c r="BZ26" s="101"/>
      <c r="CA26" s="185"/>
      <c r="CB26" s="101"/>
      <c r="CC26" s="101"/>
      <c r="CD26" s="101"/>
      <c r="CE26" s="185"/>
      <c r="CF26" s="101"/>
      <c r="CG26" s="185"/>
      <c r="CH26" s="101"/>
      <c r="CI26" s="185"/>
      <c r="CJ26" s="101"/>
      <c r="CK26" s="185"/>
      <c r="CL26" s="101"/>
      <c r="CM26" s="185"/>
      <c r="CN26" s="125"/>
      <c r="CO26" s="236"/>
      <c r="CR26" s="236"/>
    </row>
    <row r="27" spans="1:148" ht="15.75" thickBot="1" x14ac:dyDescent="0.3">
      <c r="A27" s="2" t="s">
        <v>300</v>
      </c>
      <c r="B27" s="59" t="s">
        <v>167</v>
      </c>
      <c r="C27" s="59" t="s">
        <v>171</v>
      </c>
      <c r="D27" s="6">
        <f t="shared" si="2"/>
        <v>0</v>
      </c>
      <c r="E27" s="4">
        <v>0</v>
      </c>
      <c r="F27" s="4">
        <f t="shared" si="3"/>
        <v>0</v>
      </c>
      <c r="G27" s="233">
        <v>0</v>
      </c>
      <c r="H27" s="134"/>
      <c r="I27" s="134"/>
      <c r="J27" s="134"/>
      <c r="K27" s="134"/>
      <c r="L27" s="101"/>
      <c r="M27" s="101"/>
      <c r="N27" s="101"/>
      <c r="O27" s="134"/>
      <c r="P27" s="101"/>
      <c r="Q27" s="185"/>
      <c r="R27" s="101"/>
      <c r="S27" s="185"/>
      <c r="T27" s="134">
        <v>60</v>
      </c>
      <c r="U27" s="185"/>
      <c r="V27" s="101"/>
      <c r="W27" s="185"/>
      <c r="X27" s="101"/>
      <c r="Y27" s="185"/>
      <c r="Z27" s="185"/>
      <c r="AA27" s="185">
        <v>-60</v>
      </c>
      <c r="AB27" s="101"/>
      <c r="AC27" s="134"/>
      <c r="AD27" s="101"/>
      <c r="AE27" s="185"/>
      <c r="AF27" s="101"/>
      <c r="AG27" s="185"/>
      <c r="AH27" s="101"/>
      <c r="AI27" s="185"/>
      <c r="AJ27" s="101"/>
      <c r="AK27" s="185"/>
      <c r="AL27" s="101"/>
      <c r="AM27" s="134"/>
      <c r="AN27" s="101"/>
      <c r="AO27" s="134"/>
      <c r="AP27" s="101"/>
      <c r="AQ27" s="185"/>
      <c r="AR27" s="101"/>
      <c r="AS27" s="134"/>
      <c r="AT27" s="101"/>
      <c r="AU27" s="185"/>
      <c r="AV27" s="101">
        <v>24</v>
      </c>
      <c r="AW27" s="185"/>
      <c r="AX27" s="101"/>
      <c r="AY27" s="185"/>
      <c r="AZ27" s="101"/>
      <c r="BA27" s="101"/>
      <c r="BB27" s="101"/>
      <c r="BC27" s="185"/>
      <c r="BD27" s="101"/>
      <c r="BE27" s="185"/>
      <c r="BF27" s="101"/>
      <c r="BG27" s="185">
        <v>-24</v>
      </c>
      <c r="BH27" s="101"/>
      <c r="BI27" s="189"/>
      <c r="BJ27" s="101"/>
      <c r="BK27" s="185"/>
      <c r="BL27" s="101"/>
      <c r="BM27" s="185"/>
      <c r="BN27" s="101"/>
      <c r="BO27" s="134"/>
      <c r="BP27" s="101"/>
      <c r="BQ27" s="185"/>
      <c r="BR27" s="134">
        <v>19</v>
      </c>
      <c r="BS27" s="185"/>
      <c r="BT27" s="101"/>
      <c r="BU27" s="185">
        <v>-19</v>
      </c>
      <c r="BV27" s="101"/>
      <c r="BW27" s="101"/>
      <c r="BX27" s="101"/>
      <c r="BY27" s="185"/>
      <c r="BZ27" s="101"/>
      <c r="CA27" s="185"/>
      <c r="CB27" s="101"/>
      <c r="CC27" s="101"/>
      <c r="CD27" s="101"/>
      <c r="CE27" s="185"/>
      <c r="CF27" s="101"/>
      <c r="CG27" s="185"/>
      <c r="CH27" s="101"/>
      <c r="CI27" s="101"/>
      <c r="CJ27" s="101"/>
      <c r="CK27" s="101"/>
      <c r="CL27" s="101"/>
      <c r="CM27" s="185"/>
      <c r="CN27" s="1"/>
      <c r="CO27" s="69"/>
      <c r="CR27" s="69"/>
    </row>
    <row r="28" spans="1:148" ht="15.75" thickBot="1" x14ac:dyDescent="0.3">
      <c r="A28" s="2" t="s">
        <v>307</v>
      </c>
      <c r="B28" s="76" t="s">
        <v>182</v>
      </c>
      <c r="C28" s="76" t="s">
        <v>273</v>
      </c>
      <c r="D28" s="77">
        <f t="shared" si="2"/>
        <v>6</v>
      </c>
      <c r="E28" s="78">
        <v>0</v>
      </c>
      <c r="F28" s="78">
        <f>D28-E28</f>
        <v>6</v>
      </c>
      <c r="G28" s="235">
        <v>9</v>
      </c>
      <c r="H28" s="113"/>
      <c r="I28" s="193"/>
      <c r="J28" s="113"/>
      <c r="K28" s="193"/>
      <c r="L28" s="113"/>
      <c r="M28" s="113"/>
      <c r="N28" s="113"/>
      <c r="O28" s="192"/>
      <c r="P28" s="113"/>
      <c r="Q28" s="113"/>
      <c r="R28" s="113"/>
      <c r="S28" s="113"/>
      <c r="T28" s="193"/>
      <c r="U28" s="193"/>
      <c r="V28" s="113"/>
      <c r="W28" s="193"/>
      <c r="X28" s="113"/>
      <c r="Y28" s="192"/>
      <c r="Z28" s="113"/>
      <c r="AA28" s="192"/>
      <c r="AB28" s="113"/>
      <c r="AC28" s="193"/>
      <c r="AD28" s="113"/>
      <c r="AE28" s="192"/>
      <c r="AF28" s="113"/>
      <c r="AG28" s="192"/>
      <c r="AH28" s="113"/>
      <c r="AI28" s="193">
        <v>-3</v>
      </c>
      <c r="AJ28" s="113"/>
      <c r="AK28" s="192"/>
      <c r="AL28" s="113"/>
      <c r="AM28" s="192"/>
      <c r="AN28" s="113"/>
      <c r="AO28" s="192"/>
      <c r="AP28" s="113"/>
      <c r="AQ28" s="192"/>
      <c r="AR28" s="113"/>
      <c r="AS28" s="192"/>
      <c r="AT28" s="113"/>
      <c r="AU28" s="192"/>
      <c r="AV28" s="113"/>
      <c r="AW28" s="192"/>
      <c r="AX28" s="113"/>
      <c r="AY28" s="193"/>
      <c r="AZ28" s="113"/>
      <c r="BA28" s="113"/>
      <c r="BB28" s="113"/>
      <c r="BC28" s="192"/>
      <c r="BD28" s="113"/>
      <c r="BE28" s="192"/>
      <c r="BF28" s="113"/>
      <c r="BG28" s="193"/>
      <c r="BH28" s="113"/>
      <c r="BI28" s="203"/>
      <c r="BJ28" s="113"/>
      <c r="BK28" s="113"/>
      <c r="BL28" s="113"/>
      <c r="BM28" s="192"/>
      <c r="BN28" s="113"/>
      <c r="BO28" s="193"/>
      <c r="BP28" s="113"/>
      <c r="BQ28" s="192"/>
      <c r="BR28" s="192"/>
      <c r="BS28" s="192"/>
      <c r="BT28" s="113"/>
      <c r="BU28" s="193"/>
      <c r="BV28" s="113"/>
      <c r="BW28" s="113"/>
      <c r="BX28" s="113"/>
      <c r="BY28" s="192"/>
      <c r="BZ28" s="113"/>
      <c r="CA28" s="192"/>
      <c r="CB28" s="113"/>
      <c r="CC28" s="113"/>
      <c r="CD28" s="113"/>
      <c r="CE28" s="192"/>
      <c r="CF28" s="113"/>
      <c r="CG28" s="192"/>
      <c r="CH28" s="113"/>
      <c r="CI28" s="113"/>
      <c r="CJ28" s="113"/>
      <c r="CK28" s="113"/>
      <c r="CL28" s="113"/>
      <c r="CM28" s="192"/>
      <c r="CN28" s="1"/>
    </row>
    <row r="29" spans="1:148" s="219" customFormat="1" ht="15.75" x14ac:dyDescent="0.25">
      <c r="A29" s="211">
        <v>4</v>
      </c>
      <c r="B29" s="222" t="s">
        <v>281</v>
      </c>
      <c r="C29" s="212"/>
      <c r="D29" s="213"/>
      <c r="E29" s="214"/>
      <c r="F29" s="214"/>
      <c r="G29" s="215"/>
      <c r="H29" s="216"/>
      <c r="I29" s="216"/>
      <c r="J29" s="216"/>
      <c r="K29" s="216"/>
      <c r="L29" s="215"/>
      <c r="M29" s="216"/>
      <c r="N29" s="216"/>
      <c r="O29" s="216"/>
      <c r="P29" s="215"/>
      <c r="Q29" s="217"/>
      <c r="R29" s="215"/>
      <c r="S29" s="217"/>
      <c r="T29" s="216"/>
      <c r="U29" s="216"/>
      <c r="V29" s="215"/>
      <c r="W29" s="218"/>
      <c r="X29" s="216"/>
      <c r="Y29" s="217"/>
      <c r="Z29" s="217"/>
      <c r="AA29" s="217"/>
      <c r="AB29" s="215"/>
      <c r="AC29" s="216"/>
      <c r="AD29" s="215"/>
      <c r="AE29" s="216"/>
      <c r="AF29" s="215"/>
      <c r="AG29" s="217"/>
      <c r="AH29" s="215"/>
      <c r="AI29" s="217"/>
      <c r="AJ29" s="215"/>
      <c r="AK29" s="216"/>
      <c r="AL29" s="215"/>
      <c r="AM29" s="216"/>
      <c r="AN29" s="215"/>
      <c r="AO29" s="216"/>
      <c r="AP29" s="215"/>
      <c r="AQ29" s="217"/>
      <c r="AR29" s="215"/>
      <c r="AS29" s="216"/>
      <c r="AT29" s="215"/>
      <c r="AU29" s="216"/>
      <c r="AV29" s="215"/>
      <c r="AW29" s="216"/>
      <c r="AX29" s="215"/>
      <c r="AY29" s="217"/>
      <c r="AZ29" s="215"/>
      <c r="BA29" s="216"/>
      <c r="BB29" s="215"/>
      <c r="BC29" s="216"/>
      <c r="BD29" s="215"/>
      <c r="BE29" s="217"/>
      <c r="BF29" s="215"/>
      <c r="BG29" s="216"/>
      <c r="BH29" s="215"/>
      <c r="BI29" s="216"/>
      <c r="BJ29" s="215"/>
      <c r="BK29" s="217"/>
      <c r="BL29" s="215"/>
      <c r="BM29" s="216"/>
      <c r="BN29" s="215"/>
      <c r="BO29" s="216"/>
      <c r="BP29" s="215"/>
      <c r="BQ29" s="217"/>
      <c r="BR29" s="217"/>
      <c r="BS29" s="216"/>
      <c r="BT29" s="215"/>
      <c r="BU29" s="216"/>
      <c r="BV29" s="215"/>
      <c r="BW29" s="215"/>
      <c r="BX29" s="215"/>
      <c r="BY29" s="215"/>
      <c r="BZ29" s="215"/>
      <c r="CA29" s="217"/>
      <c r="CB29" s="216"/>
      <c r="CC29" s="215"/>
      <c r="CD29" s="215"/>
      <c r="CE29" s="217"/>
      <c r="CF29" s="215"/>
      <c r="CG29" s="215"/>
      <c r="CH29" s="215"/>
      <c r="CI29" s="215"/>
      <c r="CJ29" s="215"/>
      <c r="CK29" s="215"/>
      <c r="CL29" s="215"/>
      <c r="CM29" s="215"/>
      <c r="CO29" s="220"/>
      <c r="CR29" s="220"/>
    </row>
    <row r="30" spans="1:148" ht="17.25" customHeight="1" x14ac:dyDescent="0.25">
      <c r="A30" s="2" t="s">
        <v>301</v>
      </c>
      <c r="B30" s="3" t="s">
        <v>128</v>
      </c>
      <c r="C30" s="3" t="s">
        <v>395</v>
      </c>
      <c r="D30" s="6">
        <f>SUM(G30:CM30)</f>
        <v>0</v>
      </c>
      <c r="E30" s="4">
        <v>0</v>
      </c>
      <c r="F30" s="4">
        <f>D30-E30</f>
        <v>0</v>
      </c>
      <c r="G30" s="233">
        <v>0</v>
      </c>
      <c r="H30" s="71"/>
      <c r="I30" s="71"/>
      <c r="J30" s="71"/>
      <c r="K30" s="71"/>
      <c r="L30" s="5"/>
      <c r="M30" s="5"/>
      <c r="N30" s="5"/>
      <c r="O30" s="71"/>
      <c r="P30" s="5">
        <v>10</v>
      </c>
      <c r="Q30" s="5">
        <v>-10</v>
      </c>
      <c r="R30" s="5"/>
      <c r="S30" s="5"/>
      <c r="T30" s="71"/>
      <c r="U30" s="71"/>
      <c r="V30" s="5"/>
      <c r="W30" s="70"/>
      <c r="X30" s="5"/>
      <c r="Y30" s="71"/>
      <c r="Z30" s="5"/>
      <c r="AA30" s="65"/>
      <c r="AB30" s="5"/>
      <c r="AC30" s="65"/>
      <c r="AD30" s="5"/>
      <c r="AE30" s="65"/>
      <c r="AF30" s="5"/>
      <c r="AG30" s="71">
        <v>-10</v>
      </c>
      <c r="AH30" s="5">
        <v>30</v>
      </c>
      <c r="AI30" s="71"/>
      <c r="AJ30" s="5"/>
      <c r="AK30" s="5"/>
      <c r="AL30" s="5"/>
      <c r="AM30" s="5"/>
      <c r="AN30" s="5"/>
      <c r="AO30" s="5"/>
      <c r="AP30" s="5"/>
      <c r="AQ30" s="71"/>
      <c r="AR30" s="5"/>
      <c r="AS30" s="5"/>
      <c r="AT30" s="5"/>
      <c r="AU30" s="71"/>
      <c r="AV30" s="5"/>
      <c r="AW30" s="71"/>
      <c r="AX30" s="5"/>
      <c r="AY30" s="71"/>
      <c r="AZ30" s="5"/>
      <c r="BA30" s="5"/>
      <c r="BB30" s="5"/>
      <c r="BC30" s="65"/>
      <c r="BD30" s="5">
        <v>30</v>
      </c>
      <c r="BE30" s="71"/>
      <c r="BF30" s="5"/>
      <c r="BG30" s="71">
        <v>-50</v>
      </c>
      <c r="BH30" s="5">
        <v>40</v>
      </c>
      <c r="BI30" s="71"/>
      <c r="BJ30" s="5"/>
      <c r="BK30" s="5"/>
      <c r="BL30" s="5"/>
      <c r="BM30" s="71"/>
      <c r="BN30" s="5"/>
      <c r="BO30" s="71"/>
      <c r="BP30" s="5"/>
      <c r="BQ30" s="65"/>
      <c r="BR30" s="71"/>
      <c r="BS30" s="71"/>
      <c r="BT30" s="5"/>
      <c r="BU30" s="65"/>
      <c r="BV30" s="5"/>
      <c r="BW30" s="5">
        <f>-10-1-6</f>
        <v>-17</v>
      </c>
      <c r="BX30" s="5"/>
      <c r="BY30" s="65"/>
      <c r="BZ30" s="5"/>
      <c r="CA30" s="5"/>
      <c r="CB30" s="5"/>
      <c r="CC30" s="71"/>
      <c r="CD30" s="5"/>
      <c r="CE30" s="65"/>
      <c r="CF30" s="5"/>
      <c r="CG30" s="71">
        <v>-23</v>
      </c>
      <c r="CH30" s="5"/>
      <c r="CI30" s="5"/>
      <c r="CJ30" s="5"/>
      <c r="CK30" s="5"/>
      <c r="CL30" s="5"/>
      <c r="CM30" s="65"/>
      <c r="CN30" s="1"/>
      <c r="CO30" s="68"/>
      <c r="CP30" s="1"/>
      <c r="CQ30" s="1"/>
      <c r="CR30" s="68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 x14ac:dyDescent="0.25">
      <c r="A31" s="2" t="s">
        <v>311</v>
      </c>
      <c r="B31" s="3" t="s">
        <v>121</v>
      </c>
      <c r="C31" s="3" t="s">
        <v>265</v>
      </c>
      <c r="D31" s="6">
        <f>SUM(G31:CM31)</f>
        <v>50</v>
      </c>
      <c r="E31" s="4">
        <v>50</v>
      </c>
      <c r="F31" s="4">
        <f>D31-E31</f>
        <v>0</v>
      </c>
      <c r="G31" s="233">
        <v>109</v>
      </c>
      <c r="H31" s="71"/>
      <c r="I31" s="71"/>
      <c r="J31" s="71"/>
      <c r="K31" s="65"/>
      <c r="L31" s="5"/>
      <c r="M31" s="5"/>
      <c r="N31" s="5"/>
      <c r="O31" s="65"/>
      <c r="P31" s="5"/>
      <c r="Q31" s="65"/>
      <c r="R31" s="5">
        <v>102</v>
      </c>
      <c r="S31" s="65"/>
      <c r="T31" s="71"/>
      <c r="U31" s="65"/>
      <c r="V31" s="5"/>
      <c r="W31" s="65"/>
      <c r="X31" s="71"/>
      <c r="Y31" s="131"/>
      <c r="Z31" s="71"/>
      <c r="AA31" s="65">
        <v>-160</v>
      </c>
      <c r="AB31" s="5"/>
      <c r="AC31" s="65"/>
      <c r="AD31" s="5"/>
      <c r="AE31" s="65"/>
      <c r="AF31" s="5"/>
      <c r="AG31" s="65"/>
      <c r="AH31" s="5">
        <v>1</v>
      </c>
      <c r="AI31" s="65"/>
      <c r="AJ31" s="5">
        <v>53</v>
      </c>
      <c r="AK31" s="65"/>
      <c r="AL31" s="5"/>
      <c r="AM31" s="70"/>
      <c r="AN31" s="5"/>
      <c r="AO31" s="70"/>
      <c r="AP31" s="5"/>
      <c r="AQ31" s="65"/>
      <c r="AR31" s="5"/>
      <c r="AS31" s="70"/>
      <c r="AT31" s="5"/>
      <c r="AU31" s="71"/>
      <c r="AV31" s="5"/>
      <c r="AW31" s="65"/>
      <c r="AX31" s="5"/>
      <c r="AY31" s="65"/>
      <c r="AZ31" s="5"/>
      <c r="BA31" s="5"/>
      <c r="BB31" s="5"/>
      <c r="BC31" s="71"/>
      <c r="BD31" s="5"/>
      <c r="BE31" s="65"/>
      <c r="BF31" s="5"/>
      <c r="BG31" s="65">
        <v>-100</v>
      </c>
      <c r="BH31" s="5"/>
      <c r="BI31" s="121"/>
      <c r="BJ31" s="5"/>
      <c r="BK31" s="65"/>
      <c r="BL31" s="5"/>
      <c r="BM31" s="65"/>
      <c r="BN31" s="71"/>
      <c r="BO31" s="71"/>
      <c r="BP31" s="5"/>
      <c r="BQ31" s="65"/>
      <c r="BR31" s="71"/>
      <c r="BS31" s="65"/>
      <c r="BT31" s="5"/>
      <c r="BU31" s="65"/>
      <c r="BV31" s="5"/>
      <c r="BW31" s="71"/>
      <c r="BX31" s="5"/>
      <c r="BY31" s="65"/>
      <c r="BZ31" s="5"/>
      <c r="CA31" s="65"/>
      <c r="CB31" s="5">
        <v>155</v>
      </c>
      <c r="CC31" s="71"/>
      <c r="CD31" s="5"/>
      <c r="CE31" s="65">
        <v>-160</v>
      </c>
      <c r="CF31" s="5"/>
      <c r="CG31" s="5"/>
      <c r="CH31" s="5">
        <v>50</v>
      </c>
      <c r="CI31" s="5"/>
      <c r="CJ31" s="5"/>
      <c r="CK31" s="5"/>
      <c r="CL31" s="5"/>
      <c r="CM31" s="65"/>
      <c r="CO31" s="68"/>
      <c r="CR31" s="68"/>
    </row>
    <row r="32" spans="1:148" x14ac:dyDescent="0.25">
      <c r="A32" s="2" t="s">
        <v>312</v>
      </c>
      <c r="B32" s="3" t="s">
        <v>120</v>
      </c>
      <c r="C32" s="3" t="s">
        <v>263</v>
      </c>
      <c r="D32" s="6">
        <f>SUM(G32:CM32)</f>
        <v>100</v>
      </c>
      <c r="E32" s="4">
        <v>50</v>
      </c>
      <c r="F32" s="4">
        <f>D32-E32</f>
        <v>50</v>
      </c>
      <c r="G32" s="233">
        <v>175</v>
      </c>
      <c r="H32" s="71"/>
      <c r="I32" s="71"/>
      <c r="J32" s="71"/>
      <c r="K32" s="71">
        <v>-15</v>
      </c>
      <c r="L32" s="5"/>
      <c r="M32" s="71"/>
      <c r="N32" s="5"/>
      <c r="O32" s="71"/>
      <c r="P32" s="5"/>
      <c r="Q32" s="71">
        <v>-20</v>
      </c>
      <c r="R32" s="5"/>
      <c r="S32" s="65"/>
      <c r="T32" s="71"/>
      <c r="U32" s="65"/>
      <c r="V32" s="5"/>
      <c r="W32" s="65"/>
      <c r="X32" s="5"/>
      <c r="Y32" s="71"/>
      <c r="Z32" s="71"/>
      <c r="AA32" s="65">
        <v>-106</v>
      </c>
      <c r="AB32" s="5"/>
      <c r="AC32" s="65"/>
      <c r="AD32" s="5"/>
      <c r="AE32" s="71"/>
      <c r="AF32" s="5"/>
      <c r="AG32" s="71"/>
      <c r="AH32" s="5"/>
      <c r="AI32" s="71">
        <f>-4-10</f>
        <v>-14</v>
      </c>
      <c r="AJ32" s="5">
        <v>140</v>
      </c>
      <c r="AK32" s="65"/>
      <c r="AL32" s="5"/>
      <c r="AM32" s="71"/>
      <c r="AN32" s="5"/>
      <c r="AO32" s="71"/>
      <c r="AP32" s="5">
        <v>62</v>
      </c>
      <c r="AQ32" s="65"/>
      <c r="AR32" s="5"/>
      <c r="AS32" s="71">
        <v>-10</v>
      </c>
      <c r="AT32" s="5"/>
      <c r="AU32" s="65"/>
      <c r="AV32" s="5"/>
      <c r="AW32" s="71"/>
      <c r="AX32" s="5"/>
      <c r="AY32" s="65"/>
      <c r="AZ32" s="5"/>
      <c r="BA32" s="5"/>
      <c r="BB32" s="5"/>
      <c r="BC32" s="71"/>
      <c r="BD32" s="5"/>
      <c r="BE32" s="71">
        <v>-10</v>
      </c>
      <c r="BF32" s="5"/>
      <c r="BG32" s="65">
        <v>-100</v>
      </c>
      <c r="BH32" s="5"/>
      <c r="BI32" s="71"/>
      <c r="BJ32" s="5"/>
      <c r="BK32" s="65"/>
      <c r="BL32" s="5"/>
      <c r="BM32" s="71"/>
      <c r="BN32" s="71"/>
      <c r="BO32" s="71">
        <f>-5-11</f>
        <v>-16</v>
      </c>
      <c r="BP32" s="5"/>
      <c r="BQ32" s="65"/>
      <c r="BR32" s="71">
        <v>26</v>
      </c>
      <c r="BS32" s="65"/>
      <c r="BT32" s="5"/>
      <c r="BU32" s="65">
        <v>-60</v>
      </c>
      <c r="BV32" s="5"/>
      <c r="BW32" s="71">
        <f>-10-5</f>
        <v>-15</v>
      </c>
      <c r="BX32" s="5"/>
      <c r="BY32" s="65"/>
      <c r="BZ32" s="5"/>
      <c r="CA32" s="65"/>
      <c r="CB32" s="71">
        <v>120</v>
      </c>
      <c r="CC32" s="5"/>
      <c r="CD32" s="5"/>
      <c r="CE32" s="65">
        <v>-157</v>
      </c>
      <c r="CF32" s="5">
        <v>7</v>
      </c>
      <c r="CG32" s="71">
        <v>-7</v>
      </c>
      <c r="CH32" s="5">
        <v>100</v>
      </c>
      <c r="CI32" s="5"/>
      <c r="CJ32" s="5"/>
      <c r="CK32" s="5"/>
      <c r="CL32" s="5"/>
      <c r="CM32" s="65"/>
      <c r="CO32" s="68"/>
      <c r="CR32" s="68"/>
    </row>
    <row r="33" spans="1:96" x14ac:dyDescent="0.25">
      <c r="A33" s="2" t="s">
        <v>313</v>
      </c>
      <c r="B33" s="3" t="s">
        <v>119</v>
      </c>
      <c r="C33" s="3" t="s">
        <v>264</v>
      </c>
      <c r="D33" s="6">
        <f>SUM(G33:CM33)</f>
        <v>35</v>
      </c>
      <c r="E33" s="4">
        <v>0</v>
      </c>
      <c r="F33" s="4">
        <f>D33-E33</f>
        <v>35</v>
      </c>
      <c r="G33" s="233">
        <v>0</v>
      </c>
      <c r="H33" s="71"/>
      <c r="I33" s="71"/>
      <c r="J33" s="71"/>
      <c r="K33" s="71"/>
      <c r="L33" s="5"/>
      <c r="M33" s="5"/>
      <c r="N33" s="5"/>
      <c r="O33" s="65"/>
      <c r="P33" s="5"/>
      <c r="Q33" s="71"/>
      <c r="R33" s="5"/>
      <c r="S33" s="71"/>
      <c r="T33" s="71"/>
      <c r="U33" s="65"/>
      <c r="V33" s="5"/>
      <c r="W33" s="65"/>
      <c r="X33" s="71"/>
      <c r="Y33" s="65"/>
      <c r="Z33" s="65"/>
      <c r="AA33" s="65"/>
      <c r="AB33" s="5"/>
      <c r="AC33" s="71"/>
      <c r="AD33" s="5"/>
      <c r="AE33" s="71"/>
      <c r="AF33" s="5"/>
      <c r="AG33" s="71"/>
      <c r="AH33" s="5"/>
      <c r="AI33" s="65"/>
      <c r="AJ33" s="5"/>
      <c r="AK33" s="65"/>
      <c r="AL33" s="5"/>
      <c r="AM33" s="5"/>
      <c r="AN33" s="5"/>
      <c r="AO33" s="5"/>
      <c r="AP33" s="5">
        <v>1</v>
      </c>
      <c r="AQ33" s="65"/>
      <c r="AR33" s="5"/>
      <c r="AS33" s="5"/>
      <c r="AT33" s="5"/>
      <c r="AU33" s="65"/>
      <c r="AV33" s="5"/>
      <c r="AW33" s="71"/>
      <c r="AX33" s="5"/>
      <c r="AY33" s="71"/>
      <c r="AZ33" s="5"/>
      <c r="BA33" s="5"/>
      <c r="BB33" s="5"/>
      <c r="BC33" s="71"/>
      <c r="BD33" s="5"/>
      <c r="BE33" s="65"/>
      <c r="BF33" s="5"/>
      <c r="BG33" s="71"/>
      <c r="BH33" s="5"/>
      <c r="BI33" s="65"/>
      <c r="BJ33" s="5"/>
      <c r="BK33" s="5"/>
      <c r="BL33" s="5"/>
      <c r="BM33" s="71"/>
      <c r="BN33" s="71"/>
      <c r="BO33" s="71"/>
      <c r="BP33" s="5"/>
      <c r="BQ33" s="65"/>
      <c r="BR33" s="71"/>
      <c r="BS33" s="71"/>
      <c r="BT33" s="5"/>
      <c r="BU33" s="65"/>
      <c r="BV33" s="5"/>
      <c r="BW33" s="5"/>
      <c r="BX33" s="5"/>
      <c r="BY33" s="65"/>
      <c r="BZ33" s="5"/>
      <c r="CA33" s="65"/>
      <c r="CB33" s="5">
        <v>44</v>
      </c>
      <c r="CC33" s="71"/>
      <c r="CD33" s="5"/>
      <c r="CE33" s="65"/>
      <c r="CF33" s="5"/>
      <c r="CG33" s="71">
        <v>-10</v>
      </c>
      <c r="CH33" s="5"/>
      <c r="CI33" s="5"/>
      <c r="CJ33" s="5"/>
      <c r="CK33" s="5"/>
      <c r="CL33" s="5"/>
      <c r="CM33" s="65"/>
      <c r="CO33" s="68"/>
      <c r="CR33" s="68"/>
    </row>
    <row r="34" spans="1:96" x14ac:dyDescent="0.25">
      <c r="A34" s="2" t="s">
        <v>314</v>
      </c>
      <c r="B34" s="3" t="s">
        <v>303</v>
      </c>
      <c r="C34" s="3" t="s">
        <v>304</v>
      </c>
      <c r="D34" s="6">
        <f>SUM(G34:CM34)</f>
        <v>0</v>
      </c>
      <c r="E34" s="4">
        <v>50</v>
      </c>
      <c r="F34" s="4">
        <f>D34-E34</f>
        <v>-50</v>
      </c>
      <c r="G34" s="233"/>
      <c r="H34" s="71"/>
      <c r="I34" s="71"/>
      <c r="J34" s="71"/>
      <c r="K34" s="71"/>
      <c r="L34" s="5"/>
      <c r="M34" s="71"/>
      <c r="N34" s="5"/>
      <c r="O34" s="71"/>
      <c r="P34" s="5"/>
      <c r="Q34" s="71"/>
      <c r="R34" s="5"/>
      <c r="S34" s="65"/>
      <c r="T34" s="71"/>
      <c r="U34" s="65"/>
      <c r="V34" s="5"/>
      <c r="W34" s="65"/>
      <c r="X34" s="5"/>
      <c r="Y34" s="71"/>
      <c r="Z34" s="71"/>
      <c r="AA34" s="65"/>
      <c r="AB34" s="5"/>
      <c r="AC34" s="65"/>
      <c r="AD34" s="5"/>
      <c r="AE34" s="71"/>
      <c r="AF34" s="5"/>
      <c r="AG34" s="71"/>
      <c r="AH34" s="5"/>
      <c r="AI34" s="71"/>
      <c r="AJ34" s="5"/>
      <c r="AK34" s="65"/>
      <c r="AL34" s="5"/>
      <c r="AM34" s="71"/>
      <c r="AN34" s="5"/>
      <c r="AO34" s="71"/>
      <c r="AP34" s="5"/>
      <c r="AQ34" s="65"/>
      <c r="AR34" s="5"/>
      <c r="AS34" s="71"/>
      <c r="AT34" s="5"/>
      <c r="AU34" s="65"/>
      <c r="AV34" s="5"/>
      <c r="AW34" s="71"/>
      <c r="AX34" s="5"/>
      <c r="AY34" s="65"/>
      <c r="AZ34" s="5">
        <v>20</v>
      </c>
      <c r="BA34" s="5"/>
      <c r="BB34" s="5"/>
      <c r="BC34" s="71"/>
      <c r="BD34" s="5"/>
      <c r="BE34" s="65"/>
      <c r="BF34" s="5"/>
      <c r="BG34" s="65">
        <v>-20</v>
      </c>
      <c r="BH34" s="5"/>
      <c r="BI34" s="71"/>
      <c r="BJ34" s="5"/>
      <c r="BK34" s="65"/>
      <c r="BL34" s="5"/>
      <c r="BM34" s="71"/>
      <c r="BN34" s="71"/>
      <c r="BO34" s="71"/>
      <c r="BP34" s="5"/>
      <c r="BQ34" s="65"/>
      <c r="BR34" s="71"/>
      <c r="BS34" s="71"/>
      <c r="BT34" s="5"/>
      <c r="BU34" s="65"/>
      <c r="BV34" s="5"/>
      <c r="BW34" s="71"/>
      <c r="BX34" s="5"/>
      <c r="BY34" s="65"/>
      <c r="BZ34" s="5"/>
      <c r="CA34" s="65"/>
      <c r="CB34" s="71"/>
      <c r="CC34" s="5"/>
      <c r="CD34" s="5"/>
      <c r="CE34" s="65"/>
      <c r="CF34" s="5"/>
      <c r="CG34" s="65"/>
      <c r="CH34" s="5"/>
      <c r="CI34" s="5"/>
      <c r="CJ34" s="5"/>
      <c r="CK34" s="5"/>
      <c r="CL34" s="5"/>
      <c r="CM34" s="65"/>
      <c r="CO34" s="68"/>
      <c r="CR34" s="68"/>
    </row>
    <row r="35" spans="1:96" s="232" customFormat="1" x14ac:dyDescent="0.25">
      <c r="A35" s="225"/>
      <c r="B35" s="212"/>
      <c r="C35" s="212"/>
      <c r="D35" s="226"/>
      <c r="E35" s="214"/>
      <c r="F35" s="227"/>
      <c r="G35" s="215"/>
      <c r="H35" s="228"/>
      <c r="I35" s="229"/>
      <c r="J35" s="228"/>
      <c r="K35" s="229"/>
      <c r="L35" s="228"/>
      <c r="M35" s="228"/>
      <c r="N35" s="228"/>
      <c r="O35" s="229"/>
      <c r="P35" s="228"/>
      <c r="Q35" s="228"/>
      <c r="R35" s="228"/>
      <c r="S35" s="228"/>
      <c r="T35" s="229"/>
      <c r="U35" s="229"/>
      <c r="V35" s="228"/>
      <c r="W35" s="230"/>
      <c r="X35" s="229"/>
      <c r="Y35" s="229"/>
      <c r="Z35" s="228"/>
      <c r="AA35" s="228"/>
      <c r="AB35" s="228"/>
      <c r="AC35" s="228"/>
      <c r="AD35" s="228"/>
      <c r="AE35" s="228"/>
      <c r="AF35" s="228"/>
      <c r="AG35" s="229"/>
      <c r="AH35" s="228"/>
      <c r="AI35" s="229"/>
      <c r="AJ35" s="228"/>
      <c r="AK35" s="230"/>
      <c r="AL35" s="228"/>
      <c r="AM35" s="229"/>
      <c r="AN35" s="228"/>
      <c r="AO35" s="229"/>
      <c r="AP35" s="228"/>
      <c r="AQ35" s="229"/>
      <c r="AR35" s="228"/>
      <c r="AS35" s="229"/>
      <c r="AT35" s="228"/>
      <c r="AU35" s="229"/>
      <c r="AV35" s="228"/>
      <c r="AW35" s="229"/>
      <c r="AX35" s="228"/>
      <c r="AY35" s="229"/>
      <c r="AZ35" s="228"/>
      <c r="BA35" s="228"/>
      <c r="BB35" s="228"/>
      <c r="BC35" s="229"/>
      <c r="BD35" s="228"/>
      <c r="BE35" s="229"/>
      <c r="BF35" s="228"/>
      <c r="BG35" s="229"/>
      <c r="BH35" s="228"/>
      <c r="BI35" s="229"/>
      <c r="BJ35" s="228"/>
      <c r="BK35" s="228"/>
      <c r="BL35" s="228"/>
      <c r="BM35" s="229"/>
      <c r="BN35" s="228"/>
      <c r="BO35" s="229"/>
      <c r="BP35" s="228"/>
      <c r="BQ35" s="229"/>
      <c r="BR35" s="229"/>
      <c r="BS35" s="229"/>
      <c r="BT35" s="228"/>
      <c r="BU35" s="229"/>
      <c r="BV35" s="228"/>
      <c r="BW35" s="229"/>
      <c r="BX35" s="228"/>
      <c r="BY35" s="229"/>
      <c r="BZ35" s="228"/>
      <c r="CA35" s="228"/>
      <c r="CB35" s="228"/>
      <c r="CC35" s="228"/>
      <c r="CD35" s="228"/>
      <c r="CE35" s="228"/>
      <c r="CF35" s="228"/>
      <c r="CG35" s="228"/>
      <c r="CH35" s="228"/>
      <c r="CI35" s="229"/>
      <c r="CJ35" s="228"/>
      <c r="CK35" s="229"/>
      <c r="CL35" s="228"/>
      <c r="CM35" s="229"/>
      <c r="CN35" s="231"/>
    </row>
    <row r="36" spans="1:96" x14ac:dyDescent="0.25">
      <c r="T36" s="301"/>
      <c r="U36" s="194"/>
      <c r="X36" s="187"/>
      <c r="AL36" s="197"/>
      <c r="BF36" s="7"/>
      <c r="BI36" s="204"/>
      <c r="BO36" s="204"/>
      <c r="BU36" s="181"/>
      <c r="BW36" s="195"/>
      <c r="CM36" s="135"/>
    </row>
    <row r="37" spans="1:96" x14ac:dyDescent="0.25">
      <c r="D37" s="7"/>
      <c r="T37" s="237"/>
      <c r="U37" s="194"/>
      <c r="CG37" s="182"/>
      <c r="CM37" s="135"/>
    </row>
    <row r="38" spans="1:96" x14ac:dyDescent="0.25">
      <c r="T38" s="237"/>
      <c r="U38" s="194"/>
      <c r="AL38" s="197"/>
      <c r="AN38" s="197"/>
      <c r="BF38" s="7"/>
      <c r="BS38" s="134"/>
      <c r="CM38" s="135"/>
    </row>
    <row r="39" spans="1:96" x14ac:dyDescent="0.25">
      <c r="T39" s="194"/>
      <c r="U39" s="194"/>
      <c r="CM39" s="135"/>
    </row>
    <row r="40" spans="1:96" x14ac:dyDescent="0.25">
      <c r="CM40" s="135"/>
    </row>
    <row r="41" spans="1:96" x14ac:dyDescent="0.25">
      <c r="AL41" s="197"/>
      <c r="CE41" s="197"/>
    </row>
    <row r="43" spans="1:96" x14ac:dyDescent="0.25">
      <c r="AL43" s="197"/>
    </row>
  </sheetData>
  <mergeCells count="42">
    <mergeCell ref="CJ4:CK4"/>
    <mergeCell ref="CL4:CM4"/>
    <mergeCell ref="H4:I4"/>
    <mergeCell ref="V4:W4"/>
    <mergeCell ref="T4:U4"/>
    <mergeCell ref="R4:S4"/>
    <mergeCell ref="J4:K4"/>
    <mergeCell ref="L4:M4"/>
    <mergeCell ref="N4:O4"/>
    <mergeCell ref="P4:Q4"/>
    <mergeCell ref="X4:Y4"/>
    <mergeCell ref="Z4:AA4"/>
    <mergeCell ref="AB4:AC4"/>
    <mergeCell ref="AD4:AE4"/>
    <mergeCell ref="AF4:AG4"/>
    <mergeCell ref="AR4:AS4"/>
    <mergeCell ref="AV4:AW4"/>
    <mergeCell ref="AX4:AY4"/>
    <mergeCell ref="AZ4:BA4"/>
    <mergeCell ref="AH4:AI4"/>
    <mergeCell ref="AJ4:AK4"/>
    <mergeCell ref="AL4:AM4"/>
    <mergeCell ref="AN4:AO4"/>
    <mergeCell ref="AP4:AQ4"/>
    <mergeCell ref="AT4:AU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CH4:CI4"/>
    <mergeCell ref="CD4:CE4"/>
    <mergeCell ref="CF4:CG4"/>
    <mergeCell ref="BT4:BU4"/>
    <mergeCell ref="BV4:BW4"/>
    <mergeCell ref="BX4:BY4"/>
    <mergeCell ref="BZ4:CA4"/>
    <mergeCell ref="CB4:CC4"/>
  </mergeCells>
  <conditionalFormatting sqref="F6:F8 F14:F16">
    <cfRule type="cellIs" dxfId="107" priority="117" operator="lessThanOrEqual">
      <formula>0</formula>
    </cfRule>
    <cfRule type="cellIs" dxfId="106" priority="118" operator="greaterThan">
      <formula>0</formula>
    </cfRule>
  </conditionalFormatting>
  <conditionalFormatting sqref="F17">
    <cfRule type="cellIs" dxfId="105" priority="69" operator="lessThanOrEqual">
      <formula>0</formula>
    </cfRule>
    <cfRule type="cellIs" dxfId="104" priority="70" operator="greaterThan">
      <formula>0</formula>
    </cfRule>
  </conditionalFormatting>
  <conditionalFormatting sqref="F19">
    <cfRule type="cellIs" dxfId="103" priority="37" operator="lessThanOrEqual">
      <formula>0</formula>
    </cfRule>
    <cfRule type="cellIs" dxfId="102" priority="38" operator="greaterThan">
      <formula>0</formula>
    </cfRule>
  </conditionalFormatting>
  <conditionalFormatting sqref="F11">
    <cfRule type="cellIs" dxfId="101" priority="45" operator="lessThanOrEqual">
      <formula>0</formula>
    </cfRule>
    <cfRule type="cellIs" dxfId="100" priority="46" operator="greaterThan">
      <formula>0</formula>
    </cfRule>
  </conditionalFormatting>
  <conditionalFormatting sqref="F35">
    <cfRule type="cellIs" dxfId="99" priority="55" operator="lessThanOrEqual">
      <formula>0</formula>
    </cfRule>
    <cfRule type="cellIs" dxfId="98" priority="56" operator="greaterThan">
      <formula>0</formula>
    </cfRule>
  </conditionalFormatting>
  <conditionalFormatting sqref="F9">
    <cfRule type="cellIs" dxfId="97" priority="49" operator="lessThanOrEqual">
      <formula>0</formula>
    </cfRule>
    <cfRule type="cellIs" dxfId="96" priority="50" operator="greaterThan">
      <formula>0</formula>
    </cfRule>
  </conditionalFormatting>
  <conditionalFormatting sqref="F10">
    <cfRule type="cellIs" dxfId="95" priority="47" operator="lessThanOrEqual">
      <formula>0</formula>
    </cfRule>
    <cfRule type="cellIs" dxfId="94" priority="48" operator="greaterThan">
      <formula>0</formula>
    </cfRule>
  </conditionalFormatting>
  <conditionalFormatting sqref="F12">
    <cfRule type="cellIs" dxfId="93" priority="43" operator="lessThanOrEqual">
      <formula>0</formula>
    </cfRule>
    <cfRule type="cellIs" dxfId="92" priority="44" operator="greaterThan">
      <formula>0</formula>
    </cfRule>
  </conditionalFormatting>
  <conditionalFormatting sqref="F33">
    <cfRule type="cellIs" dxfId="91" priority="7" operator="lessThanOrEqual">
      <formula>0</formula>
    </cfRule>
    <cfRule type="cellIs" dxfId="90" priority="8" operator="greaterThan">
      <formula>0</formula>
    </cfRule>
  </conditionalFormatting>
  <conditionalFormatting sqref="F13">
    <cfRule type="cellIs" dxfId="89" priority="41" operator="lessThanOrEqual">
      <formula>0</formula>
    </cfRule>
    <cfRule type="cellIs" dxfId="88" priority="42" operator="greaterThan">
      <formula>0</formula>
    </cfRule>
  </conditionalFormatting>
  <conditionalFormatting sqref="F18">
    <cfRule type="cellIs" dxfId="87" priority="39" operator="lessThanOrEqual">
      <formula>0</formula>
    </cfRule>
    <cfRule type="cellIs" dxfId="86" priority="40" operator="greaterThan">
      <formula>0</formula>
    </cfRule>
  </conditionalFormatting>
  <conditionalFormatting sqref="F32">
    <cfRule type="cellIs" dxfId="85" priority="9" operator="lessThanOrEqual">
      <formula>0</formula>
    </cfRule>
    <cfRule type="cellIs" dxfId="84" priority="10" operator="greaterThan">
      <formula>0</formula>
    </cfRule>
  </conditionalFormatting>
  <conditionalFormatting sqref="F20">
    <cfRule type="cellIs" dxfId="83" priority="31" operator="lessThanOrEqual">
      <formula>0</formula>
    </cfRule>
    <cfRule type="cellIs" dxfId="82" priority="32" operator="greaterThan">
      <formula>0</formula>
    </cfRule>
  </conditionalFormatting>
  <conditionalFormatting sqref="F21">
    <cfRule type="cellIs" dxfId="81" priority="29" operator="lessThanOrEqual">
      <formula>0</formula>
    </cfRule>
    <cfRule type="cellIs" dxfId="80" priority="30" operator="greaterThan">
      <formula>0</formula>
    </cfRule>
  </conditionalFormatting>
  <conditionalFormatting sqref="F22">
    <cfRule type="cellIs" dxfId="79" priority="27" operator="lessThanOrEqual">
      <formula>0</formula>
    </cfRule>
    <cfRule type="cellIs" dxfId="78" priority="28" operator="greaterThan">
      <formula>0</formula>
    </cfRule>
  </conditionalFormatting>
  <conditionalFormatting sqref="F23">
    <cfRule type="cellIs" dxfId="77" priority="25" operator="lessThanOrEqual">
      <formula>0</formula>
    </cfRule>
    <cfRule type="cellIs" dxfId="76" priority="26" operator="greaterThan">
      <formula>0</formula>
    </cfRule>
  </conditionalFormatting>
  <conditionalFormatting sqref="F24">
    <cfRule type="cellIs" dxfId="75" priority="23" operator="lessThanOrEqual">
      <formula>0</formula>
    </cfRule>
    <cfRule type="cellIs" dxfId="74" priority="24" operator="greaterThan">
      <formula>0</formula>
    </cfRule>
  </conditionalFormatting>
  <conditionalFormatting sqref="F27">
    <cfRule type="cellIs" dxfId="73" priority="21" operator="lessThanOrEqual">
      <formula>0</formula>
    </cfRule>
    <cfRule type="cellIs" dxfId="72" priority="22" operator="greaterThan">
      <formula>0</formula>
    </cfRule>
  </conditionalFormatting>
  <conditionalFormatting sqref="F28">
    <cfRule type="cellIs" dxfId="71" priority="17" operator="lessThanOrEqual">
      <formula>0</formula>
    </cfRule>
    <cfRule type="cellIs" dxfId="70" priority="18" operator="greaterThan">
      <formula>0</formula>
    </cfRule>
  </conditionalFormatting>
  <conditionalFormatting sqref="F29">
    <cfRule type="cellIs" dxfId="69" priority="15" operator="lessThanOrEqual">
      <formula>0</formula>
    </cfRule>
    <cfRule type="cellIs" dxfId="68" priority="16" operator="greaterThan">
      <formula>0</formula>
    </cfRule>
  </conditionalFormatting>
  <conditionalFormatting sqref="F30">
    <cfRule type="cellIs" dxfId="67" priority="13" operator="lessThanOrEqual">
      <formula>0</formula>
    </cfRule>
    <cfRule type="cellIs" dxfId="66" priority="14" operator="greaterThan">
      <formula>0</formula>
    </cfRule>
  </conditionalFormatting>
  <conditionalFormatting sqref="F31">
    <cfRule type="cellIs" dxfId="65" priority="11" operator="lessThanOrEqual">
      <formula>0</formula>
    </cfRule>
    <cfRule type="cellIs" dxfId="64" priority="12" operator="greaterThan">
      <formula>0</formula>
    </cfRule>
  </conditionalFormatting>
  <conditionalFormatting sqref="F34">
    <cfRule type="cellIs" dxfId="63" priority="5" operator="lessThanOrEqual">
      <formula>0</formula>
    </cfRule>
    <cfRule type="cellIs" dxfId="62" priority="6" operator="greaterThan">
      <formula>0</formula>
    </cfRule>
  </conditionalFormatting>
  <conditionalFormatting sqref="F25:F26">
    <cfRule type="cellIs" dxfId="61" priority="3" operator="lessThanOrEqual">
      <formula>0</formula>
    </cfRule>
    <cfRule type="cellIs" dxfId="60" priority="4" operator="greaterThan">
      <formula>0</formula>
    </cfRule>
  </conditionalFormatting>
  <pageMargins left="0.7" right="0.7" top="0.75" bottom="0.75" header="0.3" footer="0.3"/>
  <pageSetup orientation="portrait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WA38"/>
  <sheetViews>
    <sheetView showGridLines="0" zoomScale="89" zoomScaleNormal="89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E12" sqref="E12"/>
    </sheetView>
  </sheetViews>
  <sheetFormatPr baseColWidth="10" defaultRowHeight="15" x14ac:dyDescent="0.25"/>
  <cols>
    <col min="1" max="1" width="4.7109375" customWidth="1"/>
    <col min="2" max="2" width="55.7109375" customWidth="1"/>
    <col min="3" max="3" width="18.7109375" customWidth="1"/>
    <col min="4" max="6" width="12.7109375" customWidth="1"/>
    <col min="7" max="7" width="21.42578125" customWidth="1"/>
    <col min="16" max="16" width="11.5703125" bestFit="1" customWidth="1"/>
    <col min="17" max="17" width="11.5703125" customWidth="1"/>
    <col min="43" max="43" width="14.5703125" bestFit="1" customWidth="1"/>
  </cols>
  <sheetData>
    <row r="1" spans="1:93 16147:16147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93 16147:16147" ht="26.25" x14ac:dyDescent="0.25">
      <c r="A2" s="9"/>
      <c r="B2" s="9" t="s">
        <v>28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93 16147:16147" x14ac:dyDescent="0.25">
      <c r="H3" s="135"/>
    </row>
    <row r="4" spans="1:93 16147:16147" x14ac:dyDescent="0.25">
      <c r="A4" s="58"/>
      <c r="B4" s="58"/>
      <c r="C4" s="58"/>
      <c r="D4" s="58"/>
      <c r="E4" s="58"/>
      <c r="F4" s="58"/>
      <c r="G4" s="180" t="s">
        <v>255</v>
      </c>
      <c r="H4" s="463">
        <f>+'INVENTARIO PRODUCTO TERMINADO'!H4:I4</f>
        <v>44567</v>
      </c>
      <c r="I4" s="464"/>
      <c r="J4" s="463">
        <f>+'INVENTARIO PRODUCTO TERMINADO'!J4:K4</f>
        <v>44568</v>
      </c>
      <c r="K4" s="464"/>
      <c r="L4" s="463">
        <f>+'INVENTARIO PRODUCTO TERMINADO'!L4:M4</f>
        <v>44569</v>
      </c>
      <c r="M4" s="464"/>
      <c r="N4" s="463">
        <f>+'INVENTARIO PRODUCTO TERMINADO'!N4:O4</f>
        <v>44571</v>
      </c>
      <c r="O4" s="464"/>
      <c r="P4" s="463">
        <f>+'INVENTARIO PRODUCTO TERMINADO'!P4:Q4</f>
        <v>44572</v>
      </c>
      <c r="Q4" s="464"/>
      <c r="R4" s="463">
        <f>+'INVENTARIO PRODUCTO TERMINADO'!R4:S4</f>
        <v>44573</v>
      </c>
      <c r="S4" s="464"/>
      <c r="T4" s="463">
        <f>+'INVENTARIO PRODUCTO TERMINADO'!T4:U4</f>
        <v>44574</v>
      </c>
      <c r="U4" s="464"/>
      <c r="V4" s="463">
        <f>+'INVENTARIO PRODUCTO TERMINADO'!V4:W4</f>
        <v>44575</v>
      </c>
      <c r="W4" s="464"/>
      <c r="X4" s="463">
        <f>+'INVENTARIO PRODUCTO TERMINADO'!X4:Y4</f>
        <v>44578</v>
      </c>
      <c r="Y4" s="464"/>
      <c r="Z4" s="463">
        <f>+'INVENTARIO PRODUCTO TERMINADO'!Z4:AA4</f>
        <v>44579</v>
      </c>
      <c r="AA4" s="464"/>
      <c r="AB4" s="463">
        <f>+'INVENTARIO PRODUCTO TERMINADO'!AB4:AC4</f>
        <v>44580</v>
      </c>
      <c r="AC4" s="464"/>
      <c r="AD4" s="463">
        <f>+'INVENTARIO PRODUCTO TERMINADO'!AD4:AE4</f>
        <v>44582</v>
      </c>
      <c r="AE4" s="464"/>
      <c r="AF4" s="463">
        <f>+'INVENTARIO PRODUCTO TERMINADO'!AF4:AG4</f>
        <v>44583</v>
      </c>
      <c r="AG4" s="464"/>
      <c r="AH4" s="463">
        <f>+'INVENTARIO PRODUCTO TERMINADO'!AH4:AI4</f>
        <v>44585</v>
      </c>
      <c r="AI4" s="464"/>
      <c r="AJ4" s="463">
        <f>+'INVENTARIO PRODUCTO TERMINADO'!AJ4:AK4</f>
        <v>44586</v>
      </c>
      <c r="AK4" s="464"/>
      <c r="AL4" s="463">
        <f>+'INVENTARIO PRODUCTO TERMINADO'!AL4:AM4</f>
        <v>44587</v>
      </c>
      <c r="AM4" s="464"/>
      <c r="AN4" s="463">
        <f>+'INVENTARIO PRODUCTO TERMINADO'!AN4:AO4</f>
        <v>44588</v>
      </c>
      <c r="AO4" s="464"/>
      <c r="AP4" s="463">
        <f>+'INVENTARIO PRODUCTO TERMINADO'!AP4:AQ4</f>
        <v>44589</v>
      </c>
      <c r="AQ4" s="464"/>
      <c r="AR4" s="463">
        <f>+'INVENTARIO PRODUCTO TERMINADO'!AR4:AS4</f>
        <v>44592</v>
      </c>
      <c r="AS4" s="464"/>
      <c r="AT4" s="463">
        <f>+'INVENTARIO PRODUCTO TERMINADO'!AT4:AU4</f>
        <v>44593</v>
      </c>
      <c r="AU4" s="464"/>
      <c r="AV4" s="463">
        <f>+'INVENTARIO PRODUCTO TERMINADO'!AV4:AW4</f>
        <v>44594</v>
      </c>
      <c r="AW4" s="464"/>
      <c r="AX4" s="463">
        <f>+'INVENTARIO PRODUCTO TERMINADO'!AX4:AY4</f>
        <v>44595</v>
      </c>
      <c r="AY4" s="464"/>
      <c r="AZ4" s="463">
        <f>+'INVENTARIO PRODUCTO TERMINADO'!AZ4:BA4</f>
        <v>44596</v>
      </c>
      <c r="BA4" s="464"/>
      <c r="BB4" s="463">
        <f>+'INVENTARIO PRODUCTO TERMINADO'!BB4:BC4</f>
        <v>44597</v>
      </c>
      <c r="BC4" s="464"/>
      <c r="BD4" s="463">
        <f>+'INVENTARIO PRODUCTO TERMINADO'!BD4:BE4</f>
        <v>44599</v>
      </c>
      <c r="BE4" s="464"/>
      <c r="BF4" s="463">
        <f>+'INVENTARIO PRODUCTO TERMINADO'!BF4:BG4</f>
        <v>44600</v>
      </c>
      <c r="BG4" s="464"/>
      <c r="BH4" s="463">
        <f>+'INVENTARIO PRODUCTO TERMINADO'!BH4:BI4</f>
        <v>44601</v>
      </c>
      <c r="BI4" s="464"/>
      <c r="BJ4" s="463">
        <f>+'INVENTARIO PRODUCTO TERMINADO'!BJ4:BK4</f>
        <v>44602</v>
      </c>
      <c r="BK4" s="464"/>
      <c r="BL4" s="463">
        <f>+'INVENTARIO PRODUCTO TERMINADO'!BL4:BM4</f>
        <v>44603</v>
      </c>
      <c r="BM4" s="464"/>
      <c r="BN4" s="463">
        <f>+'INVENTARIO PRODUCTO TERMINADO'!BN4:BO4</f>
        <v>44606</v>
      </c>
      <c r="BO4" s="464"/>
      <c r="BP4" s="463">
        <f>+'INVENTARIO PRODUCTO TERMINADO'!BP4:BQ4</f>
        <v>44607</v>
      </c>
      <c r="BQ4" s="464"/>
      <c r="BR4" s="463">
        <f>+'INVENTARIO PRODUCTO TERMINADO'!BR4:BS4</f>
        <v>44608</v>
      </c>
      <c r="BS4" s="464"/>
      <c r="BT4" s="463">
        <f>+'INVENTARIO PRODUCTO TERMINADO'!BT4:BU4</f>
        <v>44609</v>
      </c>
      <c r="BU4" s="464"/>
      <c r="BV4" s="463">
        <f>+'INVENTARIO PRODUCTO TERMINADO'!BV4:BW4</f>
        <v>44610</v>
      </c>
      <c r="BW4" s="464"/>
      <c r="BX4" s="463">
        <f>+'INVENTARIO PRODUCTO TERMINADO'!BX4:BY4</f>
        <v>44613</v>
      </c>
      <c r="BY4" s="464"/>
      <c r="BZ4" s="463">
        <f>+'INVENTARIO PRODUCTO TERMINADO'!BZ4:CA4</f>
        <v>44614</v>
      </c>
      <c r="CA4" s="464"/>
      <c r="CB4" s="463">
        <f>+'INVENTARIO PRODUCTO TERMINADO'!CB4:CC4</f>
        <v>44615</v>
      </c>
      <c r="CC4" s="464"/>
      <c r="CD4" s="463">
        <f>+'INVENTARIO PRODUCTO TERMINADO'!CD4:CE4</f>
        <v>44616</v>
      </c>
      <c r="CE4" s="464"/>
      <c r="CF4" s="463">
        <f>+'INVENTARIO PRODUCTO TERMINADO'!CF4:CG4</f>
        <v>44617</v>
      </c>
      <c r="CG4" s="464"/>
      <c r="CH4" s="463">
        <f>+'INVENTARIO PRODUCTO TERMINADO'!CH4:CI4</f>
        <v>44623</v>
      </c>
      <c r="CI4" s="464"/>
      <c r="CJ4" s="463">
        <f>+'INVENTARIO PRODUCTO TERMINADO'!CJ4:CK4</f>
        <v>44624</v>
      </c>
      <c r="CK4" s="464"/>
      <c r="CL4" s="463"/>
      <c r="CM4" s="464"/>
    </row>
    <row r="5" spans="1:93 16147:16147" ht="30" x14ac:dyDescent="0.25">
      <c r="A5" s="11" t="s">
        <v>8</v>
      </c>
      <c r="B5" s="11" t="s">
        <v>9</v>
      </c>
      <c r="C5" s="11" t="s">
        <v>49</v>
      </c>
      <c r="D5" s="11" t="s">
        <v>0</v>
      </c>
      <c r="E5" s="11" t="s">
        <v>1</v>
      </c>
      <c r="F5" s="11" t="s">
        <v>2</v>
      </c>
      <c r="G5" s="178" t="s">
        <v>310</v>
      </c>
      <c r="H5" s="11" t="s">
        <v>5</v>
      </c>
      <c r="I5" s="11" t="s">
        <v>6</v>
      </c>
      <c r="J5" s="11" t="s">
        <v>5</v>
      </c>
      <c r="K5" s="11" t="s">
        <v>6</v>
      </c>
      <c r="L5" s="11" t="s">
        <v>5</v>
      </c>
      <c r="M5" s="11" t="s">
        <v>6</v>
      </c>
      <c r="N5" s="11" t="s">
        <v>5</v>
      </c>
      <c r="O5" s="11" t="s">
        <v>6</v>
      </c>
      <c r="P5" s="11" t="s">
        <v>5</v>
      </c>
      <c r="Q5" s="11" t="s">
        <v>6</v>
      </c>
      <c r="R5" s="11" t="s">
        <v>5</v>
      </c>
      <c r="S5" s="11" t="s">
        <v>6</v>
      </c>
      <c r="T5" s="11" t="s">
        <v>5</v>
      </c>
      <c r="U5" s="11" t="s">
        <v>6</v>
      </c>
      <c r="V5" s="11" t="s">
        <v>5</v>
      </c>
      <c r="W5" s="11" t="s">
        <v>6</v>
      </c>
      <c r="X5" s="11" t="s">
        <v>5</v>
      </c>
      <c r="Y5" s="11" t="s">
        <v>6</v>
      </c>
      <c r="Z5" s="11" t="s">
        <v>5</v>
      </c>
      <c r="AA5" s="11" t="s">
        <v>6</v>
      </c>
      <c r="AB5" s="11" t="s">
        <v>5</v>
      </c>
      <c r="AC5" s="11" t="s">
        <v>6</v>
      </c>
      <c r="AD5" s="11" t="s">
        <v>5</v>
      </c>
      <c r="AE5" s="11" t="s">
        <v>6</v>
      </c>
      <c r="AF5" s="11" t="s">
        <v>5</v>
      </c>
      <c r="AG5" s="11" t="s">
        <v>6</v>
      </c>
      <c r="AH5" s="11" t="s">
        <v>5</v>
      </c>
      <c r="AI5" s="11" t="s">
        <v>6</v>
      </c>
      <c r="AJ5" s="11" t="s">
        <v>5</v>
      </c>
      <c r="AK5" s="11" t="s">
        <v>6</v>
      </c>
      <c r="AL5" s="11" t="s">
        <v>5</v>
      </c>
      <c r="AM5" s="11" t="s">
        <v>6</v>
      </c>
      <c r="AN5" s="11" t="s">
        <v>5</v>
      </c>
      <c r="AO5" s="11" t="s">
        <v>6</v>
      </c>
      <c r="AP5" s="11" t="s">
        <v>5</v>
      </c>
      <c r="AQ5" s="11" t="s">
        <v>6</v>
      </c>
      <c r="AR5" s="11" t="s">
        <v>5</v>
      </c>
      <c r="AS5" s="11" t="s">
        <v>6</v>
      </c>
      <c r="AT5" s="11" t="s">
        <v>5</v>
      </c>
      <c r="AU5" s="11" t="s">
        <v>6</v>
      </c>
      <c r="AV5" s="11" t="s">
        <v>5</v>
      </c>
      <c r="AW5" s="11" t="s">
        <v>6</v>
      </c>
      <c r="AX5" s="11" t="s">
        <v>5</v>
      </c>
      <c r="AY5" s="11" t="s">
        <v>6</v>
      </c>
      <c r="AZ5" s="11" t="s">
        <v>5</v>
      </c>
      <c r="BA5" s="11" t="s">
        <v>6</v>
      </c>
      <c r="BB5" s="11" t="s">
        <v>5</v>
      </c>
      <c r="BC5" s="11" t="s">
        <v>6</v>
      </c>
      <c r="BD5" s="11" t="s">
        <v>5</v>
      </c>
      <c r="BE5" s="11" t="s">
        <v>6</v>
      </c>
      <c r="BF5" s="11" t="s">
        <v>5</v>
      </c>
      <c r="BG5" s="11" t="s">
        <v>6</v>
      </c>
      <c r="BH5" s="11" t="s">
        <v>5</v>
      </c>
      <c r="BI5" s="11" t="s">
        <v>6</v>
      </c>
      <c r="BJ5" s="11" t="s">
        <v>5</v>
      </c>
      <c r="BK5" s="11" t="s">
        <v>6</v>
      </c>
      <c r="BL5" s="11" t="s">
        <v>5</v>
      </c>
      <c r="BM5" s="11" t="s">
        <v>6</v>
      </c>
      <c r="BN5" s="11" t="s">
        <v>5</v>
      </c>
      <c r="BO5" s="11" t="s">
        <v>6</v>
      </c>
      <c r="BP5" s="11" t="s">
        <v>5</v>
      </c>
      <c r="BQ5" s="11" t="s">
        <v>6</v>
      </c>
      <c r="BR5" s="11" t="s">
        <v>5</v>
      </c>
      <c r="BS5" s="11" t="s">
        <v>6</v>
      </c>
      <c r="BT5" s="11" t="s">
        <v>5</v>
      </c>
      <c r="BU5" s="11" t="s">
        <v>6</v>
      </c>
      <c r="BV5" s="11" t="s">
        <v>5</v>
      </c>
      <c r="BW5" s="11" t="s">
        <v>6</v>
      </c>
      <c r="BX5" s="11" t="s">
        <v>5</v>
      </c>
      <c r="BY5" s="11" t="s">
        <v>6</v>
      </c>
      <c r="BZ5" s="11" t="s">
        <v>5</v>
      </c>
      <c r="CA5" s="11" t="s">
        <v>6</v>
      </c>
      <c r="CB5" s="11" t="s">
        <v>5</v>
      </c>
      <c r="CC5" s="11" t="s">
        <v>6</v>
      </c>
      <c r="CD5" s="11" t="s">
        <v>5</v>
      </c>
      <c r="CE5" s="11" t="s">
        <v>6</v>
      </c>
      <c r="CF5" s="11" t="s">
        <v>5</v>
      </c>
      <c r="CG5" s="11" t="s">
        <v>6</v>
      </c>
      <c r="CH5" s="11" t="s">
        <v>5</v>
      </c>
      <c r="CI5" s="11" t="s">
        <v>6</v>
      </c>
      <c r="CJ5" s="11" t="s">
        <v>5</v>
      </c>
      <c r="CK5" s="11" t="s">
        <v>6</v>
      </c>
      <c r="CL5" s="11" t="s">
        <v>5</v>
      </c>
      <c r="CM5" s="11" t="s">
        <v>6</v>
      </c>
    </row>
    <row r="6" spans="1:93 16147:16147" s="219" customFormat="1" ht="18" customHeight="1" x14ac:dyDescent="0.25">
      <c r="A6" s="2">
        <v>1</v>
      </c>
      <c r="B6" s="221" t="s">
        <v>277</v>
      </c>
      <c r="C6" s="223"/>
      <c r="D6" s="213"/>
      <c r="E6" s="214"/>
      <c r="F6" s="214"/>
      <c r="G6" s="213"/>
      <c r="H6" s="215"/>
      <c r="I6" s="215"/>
      <c r="J6" s="224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6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</row>
    <row r="7" spans="1:93 16147:16147" ht="17.25" customHeight="1" x14ac:dyDescent="0.25">
      <c r="A7" s="2" t="s">
        <v>284</v>
      </c>
      <c r="B7" s="3" t="s">
        <v>278</v>
      </c>
      <c r="C7" s="57"/>
      <c r="D7" s="6">
        <f>SUM(G7:CM7)</f>
        <v>1009</v>
      </c>
      <c r="E7" s="4">
        <v>1000</v>
      </c>
      <c r="F7" s="4">
        <f>D7-E7</f>
        <v>9</v>
      </c>
      <c r="G7" s="233">
        <v>2234</v>
      </c>
      <c r="H7" s="70"/>
      <c r="I7" s="5">
        <f>-'INVENTARIO PRODUCTO TERMINADO'!H7-'INVENTARIO PRODUCTO TERMINADO'!H8</f>
        <v>0</v>
      </c>
      <c r="J7" s="5"/>
      <c r="K7" s="5">
        <f>-'INVENTARIO PRODUCTO TERMINADO'!J7-'INVENTARIO PRODUCTO TERMINADO'!J8</f>
        <v>0</v>
      </c>
      <c r="L7" s="5"/>
      <c r="M7" s="5">
        <f>-'INVENTARIO PRODUCTO TERMINADO'!L7-'INVENTARIO PRODUCTO TERMINADO'!L8</f>
        <v>0</v>
      </c>
      <c r="N7" s="5"/>
      <c r="O7" s="5">
        <f>-'INVENTARIO PRODUCTO TERMINADO'!N7-'INVENTARIO PRODUCTO TERMINADO'!N8</f>
        <v>0</v>
      </c>
      <c r="P7" s="5"/>
      <c r="Q7" s="5">
        <f>-'INVENTARIO PRODUCTO TERMINADO'!P7-'INVENTARIO PRODUCTO TERMINADO'!P8</f>
        <v>0</v>
      </c>
      <c r="R7" s="5">
        <v>-6</v>
      </c>
      <c r="S7" s="5">
        <f>-'INVENTARIO PRODUCTO TERMINADO'!R7-'INVENTARIO PRODUCTO TERMINADO'!R8</f>
        <v>0</v>
      </c>
      <c r="T7" s="5"/>
      <c r="U7" s="5">
        <f>-'INVENTARIO PRODUCTO TERMINADO'!T7-'INVENTARIO PRODUCTO TERMINADO'!T8</f>
        <v>0</v>
      </c>
      <c r="V7" s="5"/>
      <c r="W7" s="5">
        <f>-'INVENTARIO PRODUCTO TERMINADO'!V7-'INVENTARIO PRODUCTO TERMINADO'!V8</f>
        <v>0</v>
      </c>
      <c r="X7" s="5"/>
      <c r="Y7" s="5">
        <f>-'INVENTARIO PRODUCTO TERMINADO'!X7-'INVENTARIO PRODUCTO TERMINADO'!X8</f>
        <v>0</v>
      </c>
      <c r="Z7" s="5"/>
      <c r="AA7" s="5">
        <f>-'INVENTARIO PRODUCTO TERMINADO'!Z7-'INVENTARIO PRODUCTO TERMINADO'!Z8</f>
        <v>0</v>
      </c>
      <c r="AB7" s="5"/>
      <c r="AC7" s="5">
        <f>-'INVENTARIO PRODUCTO TERMINADO'!AB7-'INVENTARIO PRODUCTO TERMINADO'!AB8</f>
        <v>0</v>
      </c>
      <c r="AD7" s="5"/>
      <c r="AE7" s="5">
        <f>-'INVENTARIO PRODUCTO TERMINADO'!AD7-'INVENTARIO PRODUCTO TERMINADO'!AD8</f>
        <v>0</v>
      </c>
      <c r="AF7" s="5"/>
      <c r="AG7" s="5">
        <f>-'INVENTARIO PRODUCTO TERMINADO'!AF7-'INVENTARIO PRODUCTO TERMINADO'!AF8</f>
        <v>0</v>
      </c>
      <c r="AH7" s="5"/>
      <c r="AI7" s="5">
        <f>-'INVENTARIO PRODUCTO TERMINADO'!AH7-'INVENTARIO PRODUCTO TERMINADO'!AH8</f>
        <v>0</v>
      </c>
      <c r="AJ7" s="5"/>
      <c r="AK7" s="5">
        <f>-'INVENTARIO PRODUCTO TERMINADO'!AJ7-'INVENTARIO PRODUCTO TERMINADO'!AJ8</f>
        <v>0</v>
      </c>
      <c r="AL7" s="5"/>
      <c r="AM7" s="5">
        <f>-'INVENTARIO PRODUCTO TERMINADO'!AL7-'INVENTARIO PRODUCTO TERMINADO'!AL8</f>
        <v>0</v>
      </c>
      <c r="AN7" s="5">
        <v>-10</v>
      </c>
      <c r="AO7" s="5">
        <f>-'INVENTARIO PRODUCTO TERMINADO'!AN7-'INVENTARIO PRODUCTO TERMINADO'!AN8</f>
        <v>-800</v>
      </c>
      <c r="AP7" s="5"/>
      <c r="AQ7" s="5">
        <f>-'INVENTARIO PRODUCTO TERMINADO'!AP7-'INVENTARIO PRODUCTO TERMINADO'!AP8</f>
        <v>0</v>
      </c>
      <c r="AR7" s="5"/>
      <c r="AS7" s="5">
        <f>-'INVENTARIO PRODUCTO TERMINADO'!AR7-'INVENTARIO PRODUCTO TERMINADO'!AR8</f>
        <v>0</v>
      </c>
      <c r="AT7" s="71"/>
      <c r="AU7" s="5">
        <f>-'INVENTARIO PRODUCTO TERMINADO'!AT7-'INVENTARIO PRODUCTO TERMINADO'!AT8</f>
        <v>0</v>
      </c>
      <c r="AV7" s="5"/>
      <c r="AW7" s="5">
        <f>-'INVENTARIO PRODUCTO TERMINADO'!AV7-'INVENTARIO PRODUCTO TERMINADO'!AV8</f>
        <v>0</v>
      </c>
      <c r="AX7" s="5"/>
      <c r="AY7" s="5">
        <f>-'INVENTARIO PRODUCTO TERMINADO'!AX7-'INVENTARIO PRODUCTO TERMINADO'!AX8</f>
        <v>0</v>
      </c>
      <c r="AZ7" s="5"/>
      <c r="BA7" s="5">
        <f>-'INVENTARIO PRODUCTO TERMINADO'!AZ7-'INVENTARIO PRODUCTO TERMINADO'!AZ8</f>
        <v>0</v>
      </c>
      <c r="BB7" s="5"/>
      <c r="BC7" s="5">
        <f>-'INVENTARIO PRODUCTO TERMINADO'!BB7-'INVENTARIO PRODUCTO TERMINADO'!BB8</f>
        <v>0</v>
      </c>
      <c r="BD7" s="5"/>
      <c r="BE7" s="5">
        <f>-'INVENTARIO PRODUCTO TERMINADO'!BD7-'INVENTARIO PRODUCTO TERMINADO'!BD8</f>
        <v>0</v>
      </c>
      <c r="BF7" s="5"/>
      <c r="BG7" s="5">
        <f>-'INVENTARIO PRODUCTO TERMINADO'!BF7-'INVENTARIO PRODUCTO TERMINADO'!BF8</f>
        <v>0</v>
      </c>
      <c r="BH7" s="5"/>
      <c r="BI7" s="5">
        <f>-'INVENTARIO PRODUCTO TERMINADO'!BH7-'INVENTARIO PRODUCTO TERMINADO'!BH8</f>
        <v>0</v>
      </c>
      <c r="BJ7" s="5"/>
      <c r="BK7" s="5">
        <f>-'INVENTARIO PRODUCTO TERMINADO'!BJ7-'INVENTARIO PRODUCTO TERMINADO'!BJ8</f>
        <v>0</v>
      </c>
      <c r="BL7" s="5"/>
      <c r="BM7" s="5">
        <f>-'INVENTARIO PRODUCTO TERMINADO'!BL7-'INVENTARIO PRODUCTO TERMINADO'!BL8</f>
        <v>0</v>
      </c>
      <c r="BN7" s="5"/>
      <c r="BO7" s="5">
        <f>-'INVENTARIO PRODUCTO TERMINADO'!BN7-'INVENTARIO PRODUCTO TERMINADO'!BN8</f>
        <v>0</v>
      </c>
      <c r="BP7" s="5"/>
      <c r="BQ7" s="5">
        <f>-'INVENTARIO PRODUCTO TERMINADO'!BP7-'INVENTARIO PRODUCTO TERMINADO'!BP8</f>
        <v>0</v>
      </c>
      <c r="BR7" s="5"/>
      <c r="BS7" s="5">
        <f>-'INVENTARIO PRODUCTO TERMINADO'!BR7-'INVENTARIO PRODUCTO TERMINADO'!BR8</f>
        <v>0</v>
      </c>
      <c r="BT7" s="5"/>
      <c r="BU7" s="5">
        <f>-'INVENTARIO PRODUCTO TERMINADO'!BT7-'INVENTARIO PRODUCTO TERMINADO'!BT8</f>
        <v>0</v>
      </c>
      <c r="BV7" s="5">
        <v>-5</v>
      </c>
      <c r="BW7" s="5">
        <f>-'INVENTARIO PRODUCTO TERMINADO'!BV7-'INVENTARIO PRODUCTO TERMINADO'!BV8</f>
        <v>-203</v>
      </c>
      <c r="BX7" s="5"/>
      <c r="BY7" s="5">
        <f>-'INVENTARIO PRODUCTO TERMINADO'!BX7-'INVENTARIO PRODUCTO TERMINADO'!BX8</f>
        <v>0</v>
      </c>
      <c r="BZ7" s="5"/>
      <c r="CA7" s="5">
        <f>-'INVENTARIO PRODUCTO TERMINADO'!BZ7-'INVENTARIO PRODUCTO TERMINADO'!BZ8</f>
        <v>0</v>
      </c>
      <c r="CB7" s="5"/>
      <c r="CC7" s="5">
        <f>-'INVENTARIO PRODUCTO TERMINADO'!CB7-'INVENTARIO PRODUCTO TERMINADO'!CB8</f>
        <v>0</v>
      </c>
      <c r="CD7" s="65"/>
      <c r="CE7" s="5">
        <f>-'INVENTARIO PRODUCTO TERMINADO'!CD7-'INVENTARIO PRODUCTO TERMINADO'!CD8</f>
        <v>0</v>
      </c>
      <c r="CF7" s="5"/>
      <c r="CG7" s="5">
        <f>-'INVENTARIO PRODUCTO TERMINADO'!CF7-'INVENTARIO PRODUCTO TERMINADO'!CF8</f>
        <v>0</v>
      </c>
      <c r="CH7" s="5"/>
      <c r="CI7" s="5">
        <f>-'INVENTARIO PRODUCTO TERMINADO'!CH7-'INVENTARIO PRODUCTO TERMINADO'!CH8</f>
        <v>0</v>
      </c>
      <c r="CJ7" s="5"/>
      <c r="CK7" s="5">
        <f>-'INVENTARIO PRODUCTO TERMINADO'!CJ7-'INVENTARIO PRODUCTO TERMINADO'!CJ8</f>
        <v>-201</v>
      </c>
      <c r="CL7" s="5"/>
      <c r="CM7" s="5">
        <f>-'INVENTARIO PRODUCTO TERMINADO'!CL7-'INVENTARIO PRODUCTO TERMINADO'!CL8</f>
        <v>0</v>
      </c>
      <c r="CO7" s="7"/>
    </row>
    <row r="8" spans="1:93 16147:16147" x14ac:dyDescent="0.25">
      <c r="A8" s="2" t="s">
        <v>282</v>
      </c>
      <c r="B8" s="3" t="s">
        <v>279</v>
      </c>
      <c r="C8" s="57"/>
      <c r="D8" s="6">
        <f t="shared" ref="D8" si="0">SUM(G8:CM8)</f>
        <v>70</v>
      </c>
      <c r="E8" s="4">
        <v>100</v>
      </c>
      <c r="F8" s="4">
        <f>D8-E8</f>
        <v>-30</v>
      </c>
      <c r="G8" s="233">
        <v>61</v>
      </c>
      <c r="H8" s="5"/>
      <c r="I8" s="5">
        <f>-'INVENTARIO PRODUCTO TERMINADO'!H9</f>
        <v>0</v>
      </c>
      <c r="J8" s="5"/>
      <c r="K8" s="5">
        <f>-'INVENTARIO PRODUCTO TERMINADO'!J9</f>
        <v>0</v>
      </c>
      <c r="L8" s="5"/>
      <c r="M8" s="5">
        <f>-'INVENTARIO PRODUCTO TERMINADO'!L9</f>
        <v>0</v>
      </c>
      <c r="N8" s="5"/>
      <c r="O8" s="5">
        <f>-'INVENTARIO PRODUCTO TERMINADO'!N9</f>
        <v>0</v>
      </c>
      <c r="P8" s="5"/>
      <c r="Q8" s="5">
        <f>-'INVENTARIO PRODUCTO TERMINADO'!P9</f>
        <v>0</v>
      </c>
      <c r="R8" s="5"/>
      <c r="S8" s="5">
        <f>-'INVENTARIO PRODUCTO TERMINADO'!R9</f>
        <v>0</v>
      </c>
      <c r="T8" s="5"/>
      <c r="U8" s="5">
        <f>-'INVENTARIO PRODUCTO TERMINADO'!T9</f>
        <v>0</v>
      </c>
      <c r="V8" s="5"/>
      <c r="W8" s="5">
        <f>-'INVENTARIO PRODUCTO TERMINADO'!V9</f>
        <v>0</v>
      </c>
      <c r="X8" s="5"/>
      <c r="Y8" s="5">
        <f>-'INVENTARIO PRODUCTO TERMINADO'!X9</f>
        <v>0</v>
      </c>
      <c r="Z8" s="65"/>
      <c r="AA8" s="5">
        <f>-'INVENTARIO PRODUCTO TERMINADO'!Z9</f>
        <v>0</v>
      </c>
      <c r="AB8" s="5"/>
      <c r="AC8" s="5">
        <f>-'INVENTARIO PRODUCTO TERMINADO'!AB9</f>
        <v>0</v>
      </c>
      <c r="AD8" s="5"/>
      <c r="AE8" s="5">
        <f>-'INVENTARIO PRODUCTO TERMINADO'!AD9</f>
        <v>0</v>
      </c>
      <c r="AF8" s="5"/>
      <c r="AG8" s="5">
        <f>-'INVENTARIO PRODUCTO TERMINADO'!AF9</f>
        <v>0</v>
      </c>
      <c r="AH8" s="5">
        <v>6</v>
      </c>
      <c r="AI8" s="5">
        <f>-'INVENTARIO PRODUCTO TERMINADO'!AH9</f>
        <v>-67</v>
      </c>
      <c r="AJ8" s="70"/>
      <c r="AK8" s="5">
        <f>-'INVENTARIO PRODUCTO TERMINADO'!AJ9</f>
        <v>0</v>
      </c>
      <c r="AL8" s="5"/>
      <c r="AM8" s="5">
        <f>-'INVENTARIO PRODUCTO TERMINADO'!AL9</f>
        <v>0</v>
      </c>
      <c r="AN8" s="5"/>
      <c r="AO8" s="5">
        <f>-'INVENTARIO PRODUCTO TERMINADO'!AN9</f>
        <v>0</v>
      </c>
      <c r="AP8" s="5"/>
      <c r="AQ8" s="5">
        <f>-'INVENTARIO PRODUCTO TERMINADO'!AP9</f>
        <v>0</v>
      </c>
      <c r="AR8" s="5"/>
      <c r="AS8" s="5">
        <f>-'INVENTARIO PRODUCTO TERMINADO'!AR9</f>
        <v>0</v>
      </c>
      <c r="AT8" s="71"/>
      <c r="AU8" s="5">
        <f>-'INVENTARIO PRODUCTO TERMINADO'!AT9</f>
        <v>0</v>
      </c>
      <c r="AV8" s="5"/>
      <c r="AW8" s="5">
        <f>-'INVENTARIO PRODUCTO TERMINADO'!AV9</f>
        <v>0</v>
      </c>
      <c r="AX8" s="5"/>
      <c r="AY8" s="5">
        <f>-'INVENTARIO PRODUCTO TERMINADO'!AX9</f>
        <v>0</v>
      </c>
      <c r="AZ8" s="5">
        <v>50</v>
      </c>
      <c r="BA8" s="5">
        <f>-'INVENTARIO PRODUCTO TERMINADO'!AZ9</f>
        <v>0</v>
      </c>
      <c r="BB8" s="5"/>
      <c r="BC8" s="5">
        <f>-'INVENTARIO PRODUCTO TERMINADO'!BB9</f>
        <v>0</v>
      </c>
      <c r="BD8" s="5"/>
      <c r="BE8" s="5">
        <f>-'[1]INVENTARIO PRODUCTO TERMINADO'!BD8</f>
        <v>0</v>
      </c>
      <c r="BF8" s="5"/>
      <c r="BG8" s="5">
        <f>-'INVENTARIO PRODUCTO TERMINADO'!BF9</f>
        <v>0</v>
      </c>
      <c r="BH8" s="5"/>
      <c r="BI8" s="5">
        <f>-'[1]INVENTARIO PRODUCTO TERMINADO'!BH8</f>
        <v>0</v>
      </c>
      <c r="BJ8" s="5"/>
      <c r="BK8" s="5">
        <f>-'INVENTARIO PRODUCTO TERMINADO'!BJ9</f>
        <v>0</v>
      </c>
      <c r="BL8" s="5"/>
      <c r="BM8" s="5">
        <f>-'[1]INVENTARIO PRODUCTO TERMINADO'!BL8</f>
        <v>0</v>
      </c>
      <c r="BN8" s="5"/>
      <c r="BO8" s="5">
        <f>-'INVENTARIO PRODUCTO TERMINADO'!BN9</f>
        <v>0</v>
      </c>
      <c r="BP8" s="65"/>
      <c r="BQ8" s="5">
        <f>-'[1]INVENTARIO PRODUCTO TERMINADO'!BP8</f>
        <v>0</v>
      </c>
      <c r="BR8" s="5"/>
      <c r="BS8" s="5">
        <f>-'INVENTARIO PRODUCTO TERMINADO'!BR9</f>
        <v>0</v>
      </c>
      <c r="BT8" s="5"/>
      <c r="BU8" s="5">
        <f>-'INVENTARIO PRODUCTO TERMINADO'!BT9</f>
        <v>0</v>
      </c>
      <c r="BV8" s="5">
        <v>20</v>
      </c>
      <c r="BW8" s="5">
        <f>-'INVENTARIO PRODUCTO TERMINADO'!BV9</f>
        <v>0</v>
      </c>
      <c r="BX8" s="5"/>
      <c r="BY8" s="5">
        <f>-'INVENTARIO PRODUCTO TERMINADO'!BX9</f>
        <v>0</v>
      </c>
      <c r="BZ8" s="5"/>
      <c r="CA8" s="5">
        <f>-'INVENTARIO PRODUCTO TERMINADO'!BZ9</f>
        <v>0</v>
      </c>
      <c r="CB8" s="5"/>
      <c r="CC8" s="5">
        <f>-'INVENTARIO PRODUCTO TERMINADO'!CB9</f>
        <v>0</v>
      </c>
      <c r="CD8" s="5"/>
      <c r="CE8" s="5">
        <f>-'INVENTARIO PRODUCTO TERMINADO'!CD9</f>
        <v>0</v>
      </c>
      <c r="CF8" s="5"/>
      <c r="CG8" s="5">
        <f>-'INVENTARIO PRODUCTO TERMINADO'!CF9</f>
        <v>0</v>
      </c>
      <c r="CH8" s="5"/>
      <c r="CI8" s="5">
        <f>-'INVENTARIO PRODUCTO TERMINADO'!CH9</f>
        <v>0</v>
      </c>
      <c r="CJ8" s="5"/>
      <c r="CK8" s="5">
        <f>-'INVENTARIO PRODUCTO TERMINADO'!CJ9</f>
        <v>0</v>
      </c>
      <c r="CM8" s="5">
        <f>-'INVENTARIO PRODUCTO TERMINADO'!CL9</f>
        <v>0</v>
      </c>
      <c r="WWA8" s="5">
        <f>-'INVENTARIO PRODUCTO TERMINADO'!XFC9</f>
        <v>0</v>
      </c>
    </row>
    <row r="9" spans="1:93 16147:16147" x14ac:dyDescent="0.25">
      <c r="A9" s="120" t="s">
        <v>283</v>
      </c>
      <c r="B9" s="3" t="s">
        <v>219</v>
      </c>
      <c r="C9" s="57"/>
      <c r="D9" s="6">
        <f>SUM(G9:CM9)</f>
        <v>536</v>
      </c>
      <c r="E9" s="4">
        <v>100</v>
      </c>
      <c r="F9" s="4">
        <f>+D9-E9</f>
        <v>436</v>
      </c>
      <c r="G9" s="233">
        <v>754</v>
      </c>
      <c r="H9" s="5"/>
      <c r="I9" s="5">
        <f>-'INVENTARIO PRODUCTO TERMINADO'!H10</f>
        <v>0</v>
      </c>
      <c r="J9" s="5"/>
      <c r="K9" s="5">
        <f>-'INVENTARIO PRODUCTO TERMINADO'!J10</f>
        <v>0</v>
      </c>
      <c r="L9" s="5"/>
      <c r="M9" s="5">
        <f>-'INVENTARIO PRODUCTO TERMINADO'!L10</f>
        <v>0</v>
      </c>
      <c r="N9" s="5"/>
      <c r="O9" s="5">
        <f>-'INVENTARIO PRODUCTO TERMINADO'!N10</f>
        <v>0</v>
      </c>
      <c r="P9" s="5"/>
      <c r="Q9" s="5">
        <f>-'INVENTARIO PRODUCTO TERMINADO'!P10</f>
        <v>0</v>
      </c>
      <c r="R9" s="5"/>
      <c r="S9" s="5">
        <f>-'INVENTARIO PRODUCTO TERMINADO'!R10</f>
        <v>0</v>
      </c>
      <c r="T9" s="5"/>
      <c r="U9" s="5">
        <f>-'INVENTARIO PRODUCTO TERMINADO'!T10</f>
        <v>0</v>
      </c>
      <c r="V9" s="5"/>
      <c r="W9" s="5">
        <f>-'INVENTARIO PRODUCTO TERMINADO'!V10</f>
        <v>-93</v>
      </c>
      <c r="X9" s="5"/>
      <c r="Y9" s="5">
        <f>-'INVENTARIO PRODUCTO TERMINADO'!X10</f>
        <v>0</v>
      </c>
      <c r="Z9" s="5"/>
      <c r="AA9" s="5">
        <f>-'INVENTARIO PRODUCTO TERMINADO'!Z10</f>
        <v>0</v>
      </c>
      <c r="AB9" s="5"/>
      <c r="AC9" s="5">
        <f>-'INVENTARIO PRODUCTO TERMINADO'!AB10</f>
        <v>0</v>
      </c>
      <c r="AD9" s="5"/>
      <c r="AE9" s="5">
        <f>-'INVENTARIO PRODUCTO TERMINADO'!AD10</f>
        <v>0</v>
      </c>
      <c r="AF9" s="5"/>
      <c r="AG9" s="5">
        <f>-'INVENTARIO PRODUCTO TERMINADO'!AF10</f>
        <v>0</v>
      </c>
      <c r="AH9" s="5"/>
      <c r="AI9" s="5">
        <f>-'INVENTARIO PRODUCTO TERMINADO'!AH10</f>
        <v>0</v>
      </c>
      <c r="AJ9" s="5"/>
      <c r="AK9" s="5">
        <f>-'INVENTARIO PRODUCTO TERMINADO'!AJ10</f>
        <v>0</v>
      </c>
      <c r="AL9" s="5"/>
      <c r="AM9" s="5">
        <f>-'INVENTARIO PRODUCTO TERMINADO'!AL10</f>
        <v>0</v>
      </c>
      <c r="AN9" s="5"/>
      <c r="AO9" s="5">
        <f>-'INVENTARIO PRODUCTO TERMINADO'!AN10</f>
        <v>0</v>
      </c>
      <c r="AP9" s="5">
        <v>2</v>
      </c>
      <c r="AQ9" s="5">
        <f>-'INVENTARIO PRODUCTO TERMINADO'!AP10</f>
        <v>0</v>
      </c>
      <c r="AR9" s="5"/>
      <c r="AS9" s="5">
        <f>-'INVENTARIO PRODUCTO TERMINADO'!AR10</f>
        <v>0</v>
      </c>
      <c r="AT9" s="71"/>
      <c r="AU9" s="5">
        <f>-'INVENTARIO PRODUCTO TERMINADO'!AT10</f>
        <v>0</v>
      </c>
      <c r="AV9" s="5"/>
      <c r="AW9" s="5">
        <f>-'INVENTARIO PRODUCTO TERMINADO'!AV10</f>
        <v>0</v>
      </c>
      <c r="AX9" s="5"/>
      <c r="AY9" s="5">
        <f>-'INVENTARIO PRODUCTO TERMINADO'!AX10</f>
        <v>0</v>
      </c>
      <c r="AZ9" s="5"/>
      <c r="BA9" s="5">
        <f>-'INVENTARIO PRODUCTO TERMINADO'!AZ10</f>
        <v>0</v>
      </c>
      <c r="BB9" s="5"/>
      <c r="BC9" s="5">
        <f>-'INVENTARIO PRODUCTO TERMINADO'!BB10</f>
        <v>0</v>
      </c>
      <c r="BD9" s="5"/>
      <c r="BE9" s="5">
        <f>-'INVENTARIO PRODUCTO TERMINADO'!BD10</f>
        <v>0</v>
      </c>
      <c r="BF9" s="5"/>
      <c r="BG9" s="5">
        <f>-'INVENTARIO PRODUCTO TERMINADO'!BF10</f>
        <v>-10</v>
      </c>
      <c r="BH9" s="5"/>
      <c r="BI9" s="5">
        <f>-'INVENTARIO PRODUCTO TERMINADO'!BH10</f>
        <v>-46</v>
      </c>
      <c r="BJ9" s="5"/>
      <c r="BK9" s="5">
        <f>-'INVENTARIO PRODUCTO TERMINADO'!BJ10</f>
        <v>0</v>
      </c>
      <c r="BL9" s="5">
        <v>14</v>
      </c>
      <c r="BM9" s="5">
        <f>-'INVENTARIO PRODUCTO TERMINADO'!BL10</f>
        <v>0</v>
      </c>
      <c r="BN9" s="5"/>
      <c r="BO9" s="5">
        <f>-'INVENTARIO PRODUCTO TERMINADO'!BN10</f>
        <v>0</v>
      </c>
      <c r="BP9" s="5"/>
      <c r="BQ9" s="5">
        <f>-'INVENTARIO PRODUCTO TERMINADO'!BP10</f>
        <v>0</v>
      </c>
      <c r="BR9" s="5"/>
      <c r="BS9" s="5">
        <f>-'INVENTARIO PRODUCTO TERMINADO'!BR10</f>
        <v>0</v>
      </c>
      <c r="BT9" s="5"/>
      <c r="BU9" s="5">
        <f>-'INVENTARIO PRODUCTO TERMINADO'!BT10</f>
        <v>0</v>
      </c>
      <c r="BV9" s="5">
        <v>1</v>
      </c>
      <c r="BW9" s="5">
        <f>-'INVENTARIO PRODUCTO TERMINADO'!BV10</f>
        <v>-48</v>
      </c>
      <c r="BX9" s="5"/>
      <c r="BY9" s="5">
        <f>-'INVENTARIO PRODUCTO TERMINADO'!BX10</f>
        <v>0</v>
      </c>
      <c r="BZ9" s="5"/>
      <c r="CA9" s="5">
        <f>-'INVENTARIO PRODUCTO TERMINADO'!BZ10</f>
        <v>0</v>
      </c>
      <c r="CB9" s="5"/>
      <c r="CC9" s="5">
        <f>-'INVENTARIO PRODUCTO TERMINADO'!CB10</f>
        <v>0</v>
      </c>
      <c r="CD9" s="5"/>
      <c r="CE9" s="5">
        <f>-'INVENTARIO PRODUCTO TERMINADO'!CD10</f>
        <v>0</v>
      </c>
      <c r="CF9" s="5"/>
      <c r="CG9" s="5">
        <f>-'INVENTARIO PRODUCTO TERMINADO'!CF10</f>
        <v>0</v>
      </c>
      <c r="CH9" s="5"/>
      <c r="CI9" s="5">
        <f>-'INVENTARIO PRODUCTO TERMINADO'!CH10</f>
        <v>-38</v>
      </c>
      <c r="CJ9" s="5"/>
      <c r="CK9" s="5">
        <f>-'INVENTARIO PRODUCTO TERMINADO'!CJ10</f>
        <v>0</v>
      </c>
      <c r="CL9" s="5"/>
      <c r="CM9" s="5">
        <f>-'INVENTARIO PRODUCTO TERMINADO'!CL10</f>
        <v>0</v>
      </c>
      <c r="WWA9" s="5">
        <f>-'INVENTARIO PRODUCTO TERMINADO'!XFC10</f>
        <v>0</v>
      </c>
    </row>
    <row r="10" spans="1:93 16147:16147" s="219" customFormat="1" ht="15.75" x14ac:dyDescent="0.25">
      <c r="A10" s="211">
        <v>2</v>
      </c>
      <c r="B10" s="222" t="s">
        <v>280</v>
      </c>
      <c r="C10" s="212"/>
      <c r="D10" s="213"/>
      <c r="E10" s="214"/>
      <c r="F10" s="214"/>
      <c r="G10" s="215"/>
      <c r="H10" s="216"/>
      <c r="I10" s="216"/>
      <c r="J10" s="216"/>
      <c r="K10" s="216"/>
      <c r="L10" s="215"/>
      <c r="M10" s="216"/>
      <c r="N10" s="216"/>
      <c r="O10" s="216"/>
      <c r="P10" s="215"/>
      <c r="Q10" s="217"/>
      <c r="R10" s="215"/>
      <c r="S10" s="217"/>
      <c r="T10" s="216"/>
      <c r="U10" s="216"/>
      <c r="V10" s="215"/>
      <c r="W10" s="218"/>
      <c r="X10" s="216"/>
      <c r="Y10" s="217"/>
      <c r="Z10" s="217"/>
      <c r="AA10" s="218"/>
      <c r="AB10" s="215"/>
      <c r="AC10" s="216"/>
      <c r="AD10" s="215"/>
      <c r="AE10" s="216"/>
      <c r="AF10" s="215"/>
      <c r="AG10" s="217"/>
      <c r="AH10" s="215"/>
      <c r="AI10" s="217"/>
      <c r="AJ10" s="215"/>
      <c r="AK10" s="216"/>
      <c r="AL10" s="215"/>
      <c r="AM10" s="216"/>
      <c r="AN10" s="215"/>
      <c r="AO10" s="216"/>
      <c r="AP10" s="215"/>
      <c r="AQ10" s="217"/>
      <c r="AR10" s="215"/>
      <c r="AS10" s="216"/>
      <c r="AT10" s="215"/>
      <c r="AU10" s="216"/>
      <c r="AV10" s="215"/>
      <c r="AW10" s="216"/>
      <c r="AX10" s="215"/>
      <c r="AY10" s="217"/>
      <c r="AZ10" s="215"/>
      <c r="BA10" s="216"/>
      <c r="BB10" s="215"/>
      <c r="BC10" s="216"/>
      <c r="BD10" s="215"/>
      <c r="BE10" s="217"/>
      <c r="BF10" s="215"/>
      <c r="BG10" s="216"/>
      <c r="BH10" s="215"/>
      <c r="BI10" s="216"/>
      <c r="BJ10" s="215"/>
      <c r="BK10" s="217"/>
      <c r="BL10" s="215"/>
      <c r="BM10" s="216"/>
      <c r="BN10" s="215"/>
      <c r="BO10" s="216"/>
      <c r="BP10" s="215"/>
      <c r="BQ10" s="217"/>
      <c r="BR10" s="217"/>
      <c r="BS10" s="216"/>
      <c r="BT10" s="215"/>
      <c r="BU10" s="216"/>
      <c r="BV10" s="215"/>
      <c r="BW10" s="215"/>
      <c r="BX10" s="215"/>
      <c r="BY10" s="215"/>
      <c r="BZ10" s="215"/>
      <c r="CA10" s="217"/>
      <c r="CB10" s="216"/>
      <c r="CC10" s="215"/>
      <c r="CD10" s="215"/>
      <c r="CE10" s="217"/>
      <c r="CF10" s="215"/>
      <c r="CG10" s="215"/>
      <c r="CH10" s="215"/>
      <c r="CI10" s="215"/>
      <c r="CJ10" s="215"/>
      <c r="CK10" s="215"/>
      <c r="CL10" s="215"/>
      <c r="CM10" s="215"/>
    </row>
    <row r="11" spans="1:93 16147:16147" x14ac:dyDescent="0.25">
      <c r="A11" s="2" t="s">
        <v>287</v>
      </c>
      <c r="B11" s="3" t="s">
        <v>33</v>
      </c>
      <c r="C11" s="57"/>
      <c r="D11" s="6">
        <f>SUM(G11:CM11)</f>
        <v>427</v>
      </c>
      <c r="E11" s="4">
        <v>50</v>
      </c>
      <c r="F11" s="4">
        <f>D11-E11</f>
        <v>377</v>
      </c>
      <c r="G11" s="233">
        <v>487</v>
      </c>
      <c r="H11" s="5"/>
      <c r="I11" s="5">
        <f>-'INVENTARIO PRODUCTO TERMINADO'!H12</f>
        <v>0</v>
      </c>
      <c r="J11" s="5"/>
      <c r="K11" s="5">
        <f>-'INVENTARIO PRODUCTO TERMINADO'!J12</f>
        <v>0</v>
      </c>
      <c r="L11" s="5"/>
      <c r="M11" s="5">
        <f>-'INVENTARIO PRODUCTO TERMINADO'!L12</f>
        <v>0</v>
      </c>
      <c r="N11" s="5"/>
      <c r="O11" s="5">
        <f>-'INVENTARIO PRODUCTO TERMINADO'!N12</f>
        <v>0</v>
      </c>
      <c r="P11" s="5"/>
      <c r="Q11" s="5">
        <v>-1</v>
      </c>
      <c r="R11" s="5"/>
      <c r="S11" s="5">
        <f>-'INVENTARIO PRODUCTO TERMINADO'!R12</f>
        <v>0</v>
      </c>
      <c r="T11" s="5"/>
      <c r="U11" s="5">
        <f>-'INVENTARIO PRODUCTO TERMINADO'!T12</f>
        <v>0</v>
      </c>
      <c r="V11" s="5"/>
      <c r="W11" s="5">
        <f>-'INVENTARIO PRODUCTO TERMINADO'!V12</f>
        <v>0</v>
      </c>
      <c r="X11" s="5"/>
      <c r="Y11" s="5">
        <f>-'INVENTARIO PRODUCTO TERMINADO'!X12</f>
        <v>0</v>
      </c>
      <c r="Z11" s="5"/>
      <c r="AA11" s="5">
        <f>-'INVENTARIO PRODUCTO TERMINADO'!Z12</f>
        <v>-1</v>
      </c>
      <c r="AB11" s="5"/>
      <c r="AC11" s="5">
        <f>-'INVENTARIO PRODUCTO TERMINADO'!AB12</f>
        <v>0</v>
      </c>
      <c r="AD11" s="5"/>
      <c r="AE11" s="5">
        <f>-'INVENTARIO PRODUCTO TERMINADO'!AD12</f>
        <v>0</v>
      </c>
      <c r="AF11" s="5"/>
      <c r="AG11" s="5">
        <f>-'INVENTARIO PRODUCTO TERMINADO'!AF12</f>
        <v>0</v>
      </c>
      <c r="AH11" s="5"/>
      <c r="AI11" s="5">
        <f>-'INVENTARIO PRODUCTO TERMINADO'!AH12</f>
        <v>0</v>
      </c>
      <c r="AJ11" s="5">
        <v>-1</v>
      </c>
      <c r="AK11" s="5">
        <f>-'INVENTARIO PRODUCTO TERMINADO'!AJ12</f>
        <v>-50</v>
      </c>
      <c r="AL11" s="5"/>
      <c r="AM11" s="5">
        <f>-'INVENTARIO PRODUCTO TERMINADO'!AL12</f>
        <v>0</v>
      </c>
      <c r="AN11" s="5"/>
      <c r="AO11" s="5">
        <f>-'INVENTARIO PRODUCTO TERMINADO'!AN12</f>
        <v>0</v>
      </c>
      <c r="AP11" s="5"/>
      <c r="AQ11" s="5">
        <f>-'INVENTARIO PRODUCTO TERMINADO'!AP12</f>
        <v>0</v>
      </c>
      <c r="AR11" s="5"/>
      <c r="AS11" s="5">
        <f>-'INVENTARIO PRODUCTO TERMINADO'!AR12</f>
        <v>0</v>
      </c>
      <c r="AT11" s="71"/>
      <c r="AU11" s="5">
        <f>-'INVENTARIO PRODUCTO TERMINADO'!AT12</f>
        <v>0</v>
      </c>
      <c r="AV11" s="5"/>
      <c r="AW11" s="5">
        <f>-'INVENTARIO PRODUCTO TERMINADO'!AV12</f>
        <v>0</v>
      </c>
      <c r="AX11" s="5"/>
      <c r="AY11" s="5">
        <f>-'INVENTARIO PRODUCTO TERMINADO'!AX12</f>
        <v>0</v>
      </c>
      <c r="AZ11" s="5"/>
      <c r="BA11" s="5">
        <f>-'INVENTARIO PRODUCTO TERMINADO'!AZ12</f>
        <v>0</v>
      </c>
      <c r="BB11" s="5"/>
      <c r="BC11" s="5">
        <f>-'INVENTARIO PRODUCTO TERMINADO'!BB12</f>
        <v>0</v>
      </c>
      <c r="BD11" s="5"/>
      <c r="BE11" s="5">
        <f>-'INVENTARIO PRODUCTO TERMINADO'!BD12</f>
        <v>0</v>
      </c>
      <c r="BF11" s="5"/>
      <c r="BG11" s="5">
        <f>-'INVENTARIO PRODUCTO TERMINADO'!BF12</f>
        <v>0</v>
      </c>
      <c r="BH11" s="5"/>
      <c r="BI11" s="5">
        <v>-6</v>
      </c>
      <c r="BJ11" s="5"/>
      <c r="BK11" s="5">
        <f>-'INVENTARIO PRODUCTO TERMINADO'!BJ12</f>
        <v>0</v>
      </c>
      <c r="BL11" s="5"/>
      <c r="BM11" s="5">
        <f>-'INVENTARIO PRODUCTO TERMINADO'!BL12</f>
        <v>0</v>
      </c>
      <c r="BN11" s="5"/>
      <c r="BO11" s="5">
        <f>-'INVENTARIO PRODUCTO TERMINADO'!BN12</f>
        <v>0</v>
      </c>
      <c r="BP11" s="5"/>
      <c r="BQ11" s="5">
        <f>-'INVENTARIO PRODUCTO TERMINADO'!BP12</f>
        <v>0</v>
      </c>
      <c r="BR11" s="5"/>
      <c r="BS11" s="5">
        <f>-'INVENTARIO PRODUCTO TERMINADO'!BR12</f>
        <v>-1</v>
      </c>
      <c r="BT11" s="5"/>
      <c r="BU11" s="5">
        <f>-'INVENTARIO PRODUCTO TERMINADO'!BT12</f>
        <v>0</v>
      </c>
      <c r="BV11" s="5"/>
      <c r="BW11" s="5">
        <f>-'INVENTARIO PRODUCTO TERMINADO'!BV12</f>
        <v>0</v>
      </c>
      <c r="BX11" s="5"/>
      <c r="BY11" s="5">
        <f>-'INVENTARIO PRODUCTO TERMINADO'!BX12</f>
        <v>0</v>
      </c>
      <c r="BZ11" s="5"/>
      <c r="CA11" s="5">
        <f>-'INVENTARIO PRODUCTO TERMINADO'!BZ12</f>
        <v>0</v>
      </c>
      <c r="CB11" s="5"/>
      <c r="CC11" s="5">
        <f>-'INVENTARIO PRODUCTO TERMINADO'!CB12</f>
        <v>0</v>
      </c>
      <c r="CD11" s="5"/>
      <c r="CE11" s="5">
        <f>-'INVENTARIO PRODUCTO TERMINADO'!CD12</f>
        <v>0</v>
      </c>
      <c r="CF11" s="5"/>
      <c r="CG11" s="5">
        <f>-'INVENTARIO PRODUCTO TERMINADO'!CF12</f>
        <v>0</v>
      </c>
      <c r="CH11" s="5"/>
      <c r="CI11" s="5">
        <f>-'INVENTARIO PRODUCTO TERMINADO'!CH12</f>
        <v>0</v>
      </c>
      <c r="CJ11" s="5"/>
      <c r="CK11" s="5">
        <f>-'INVENTARIO PRODUCTO TERMINADO'!CJ12</f>
        <v>0</v>
      </c>
      <c r="CL11" s="1"/>
      <c r="CM11" s="5">
        <f>-'INVENTARIO PRODUCTO TERMINADO'!CL12</f>
        <v>0</v>
      </c>
      <c r="WWA11" s="5">
        <f>-'INVENTARIO PRODUCTO TERMINADO'!XCI12</f>
        <v>0</v>
      </c>
    </row>
    <row r="12" spans="1:93 16147:16147" x14ac:dyDescent="0.25">
      <c r="A12" s="2" t="s">
        <v>288</v>
      </c>
      <c r="B12" s="3" t="s">
        <v>3</v>
      </c>
      <c r="C12" s="57"/>
      <c r="D12" s="6">
        <f t="shared" ref="D12:D18" si="1">SUM(G12:CM12)</f>
        <v>318</v>
      </c>
      <c r="E12" s="4">
        <v>100</v>
      </c>
      <c r="F12" s="4">
        <f>D12-E12</f>
        <v>218</v>
      </c>
      <c r="G12" s="233">
        <v>191</v>
      </c>
      <c r="H12" s="5"/>
      <c r="I12" s="5">
        <f>-'INVENTARIO PRODUCTO TERMINADO'!H13</f>
        <v>0</v>
      </c>
      <c r="J12" s="5"/>
      <c r="K12" s="5">
        <f>-'INVENTARIO PRODUCTO TERMINADO'!J13</f>
        <v>0</v>
      </c>
      <c r="L12" s="5"/>
      <c r="M12" s="5">
        <f>-'INVENTARIO PRODUCTO TERMINADO'!L13</f>
        <v>0</v>
      </c>
      <c r="N12" s="5"/>
      <c r="O12" s="5">
        <f>-'INVENTARIO PRODUCTO TERMINADO'!N13</f>
        <v>0</v>
      </c>
      <c r="P12" s="5"/>
      <c r="Q12" s="5">
        <f>-'INVENTARIO PRODUCTO TERMINADO'!P13</f>
        <v>-1</v>
      </c>
      <c r="R12" s="5">
        <f>370-190</f>
        <v>180</v>
      </c>
      <c r="S12" s="5">
        <f>-'INVENTARIO PRODUCTO TERMINADO'!R13</f>
        <v>0</v>
      </c>
      <c r="T12" s="5"/>
      <c r="U12" s="5">
        <f>-'INVENTARIO PRODUCTO TERMINADO'!T13</f>
        <v>0</v>
      </c>
      <c r="V12" s="5"/>
      <c r="W12" s="5">
        <f>-'INVENTARIO PRODUCTO TERMINADO'!V13</f>
        <v>0</v>
      </c>
      <c r="X12" s="5"/>
      <c r="Y12" s="5">
        <f>-'INVENTARIO PRODUCTO TERMINADO'!X13</f>
        <v>0</v>
      </c>
      <c r="Z12" s="5"/>
      <c r="AA12" s="5">
        <f>-'INVENTARIO PRODUCTO TERMINADO'!Z13</f>
        <v>-78</v>
      </c>
      <c r="AB12" s="5"/>
      <c r="AC12" s="5">
        <f>-'INVENTARIO PRODUCTO TERMINADO'!AB13</f>
        <v>0</v>
      </c>
      <c r="AD12" s="5"/>
      <c r="AE12" s="5">
        <f>-'INVENTARIO PRODUCTO TERMINADO'!AD13</f>
        <v>-1</v>
      </c>
      <c r="AF12" s="5"/>
      <c r="AG12" s="5">
        <f>-'INVENTARIO PRODUCTO TERMINADO'!AF13</f>
        <v>0</v>
      </c>
      <c r="AH12" s="5"/>
      <c r="AI12" s="5">
        <f>-'INVENTARIO PRODUCTO TERMINADO'!AH13</f>
        <v>-42</v>
      </c>
      <c r="AJ12" s="5">
        <v>25</v>
      </c>
      <c r="AK12" s="5">
        <f>-'INVENTARIO PRODUCTO TERMINADO'!AJ13</f>
        <v>-8</v>
      </c>
      <c r="AL12" s="5"/>
      <c r="AM12" s="5">
        <f>-'INVENTARIO PRODUCTO TERMINADO'!AL13</f>
        <v>0</v>
      </c>
      <c r="AN12" s="5"/>
      <c r="AO12" s="5">
        <f>-'INVENTARIO PRODUCTO TERMINADO'!AN13</f>
        <v>0</v>
      </c>
      <c r="AP12" s="5"/>
      <c r="AQ12" s="5">
        <f>-'INVENTARIO PRODUCTO TERMINADO'!AP13</f>
        <v>0</v>
      </c>
      <c r="AR12" s="5"/>
      <c r="AS12" s="5">
        <f>-'INVENTARIO PRODUCTO TERMINADO'!AR13</f>
        <v>0</v>
      </c>
      <c r="AT12" s="71"/>
      <c r="AU12" s="5">
        <f>-'INVENTARIO PRODUCTO TERMINADO'!AT13</f>
        <v>-27</v>
      </c>
      <c r="AV12" s="5"/>
      <c r="AW12" s="5">
        <f>-'INVENTARIO PRODUCTO TERMINADO'!AV13</f>
        <v>0</v>
      </c>
      <c r="AX12" s="5"/>
      <c r="AY12" s="5">
        <f>-'INVENTARIO PRODUCTO TERMINADO'!AX13</f>
        <v>0</v>
      </c>
      <c r="AZ12" s="5"/>
      <c r="BA12" s="5">
        <f>-'INVENTARIO PRODUCTO TERMINADO'!AZ13</f>
        <v>-26</v>
      </c>
      <c r="BB12" s="5"/>
      <c r="BC12" s="5">
        <f>-'INVENTARIO PRODUCTO TERMINADO'!BB13</f>
        <v>0</v>
      </c>
      <c r="BD12" s="5"/>
      <c r="BE12" s="5">
        <f>-'INVENTARIO PRODUCTO TERMINADO'!BD13</f>
        <v>0</v>
      </c>
      <c r="BF12" s="5"/>
      <c r="BG12" s="5">
        <f>-'INVENTARIO PRODUCTO TERMINADO'!BF13</f>
        <v>0</v>
      </c>
      <c r="BH12" s="5"/>
      <c r="BI12" s="5">
        <f>-'INVENTARIO PRODUCTO TERMINADO'!BH13</f>
        <v>-16</v>
      </c>
      <c r="BJ12" s="5"/>
      <c r="BK12" s="5">
        <f>-'INVENTARIO PRODUCTO TERMINADO'!BJ13</f>
        <v>0</v>
      </c>
      <c r="BL12" s="5">
        <f>428-197</f>
        <v>231</v>
      </c>
      <c r="BM12" s="5">
        <f>-'INVENTARIO PRODUCTO TERMINADO'!BL13</f>
        <v>0</v>
      </c>
      <c r="BN12" s="5"/>
      <c r="BO12" s="5">
        <f>-'INVENTARIO PRODUCTO TERMINADO'!BN13</f>
        <v>0</v>
      </c>
      <c r="BP12" s="5"/>
      <c r="BQ12" s="5">
        <f>-'INVENTARIO PRODUCTO TERMINADO'!BP13</f>
        <v>0</v>
      </c>
      <c r="BR12" s="5"/>
      <c r="BS12" s="5">
        <f>-'INVENTARIO PRODUCTO TERMINADO'!BR13</f>
        <v>-51</v>
      </c>
      <c r="BT12" s="5">
        <v>45</v>
      </c>
      <c r="BU12" s="5">
        <f>-'INVENTARIO PRODUCTO TERMINADO'!BT13</f>
        <v>0</v>
      </c>
      <c r="BV12" s="5"/>
      <c r="BW12" s="5">
        <f>-'INVENTARIO PRODUCTO TERMINADO'!BV13</f>
        <v>0</v>
      </c>
      <c r="BX12" s="5"/>
      <c r="BY12" s="5">
        <f>-'INVENTARIO PRODUCTO TERMINADO'!BX13</f>
        <v>0</v>
      </c>
      <c r="BZ12" s="5"/>
      <c r="CA12" s="5">
        <f>-'INVENTARIO PRODUCTO TERMINADO'!BZ13</f>
        <v>0</v>
      </c>
      <c r="CB12" s="5"/>
      <c r="CC12" s="5">
        <f>-'INVENTARIO PRODUCTO TERMINADO'!CB13</f>
        <v>0</v>
      </c>
      <c r="CD12" s="5"/>
      <c r="CE12" s="5">
        <f>-'INVENTARIO PRODUCTO TERMINADO'!CD13</f>
        <v>-53</v>
      </c>
      <c r="CF12" s="5"/>
      <c r="CG12" s="5">
        <f>-'INVENTARIO PRODUCTO TERMINADO'!CF13</f>
        <v>0</v>
      </c>
      <c r="CH12" s="5"/>
      <c r="CI12" s="5">
        <f>-'INVENTARIO PRODUCTO TERMINADO'!CH13</f>
        <v>0</v>
      </c>
      <c r="CJ12" s="5"/>
      <c r="CK12" s="5">
        <f>-'INVENTARIO PRODUCTO TERMINADO'!CJ13</f>
        <v>-51</v>
      </c>
      <c r="CL12" s="5"/>
      <c r="CM12" s="5">
        <f>-'INVENTARIO PRODUCTO TERMINADO'!CL13</f>
        <v>0</v>
      </c>
    </row>
    <row r="13" spans="1:93 16147:16147" x14ac:dyDescent="0.25">
      <c r="A13" s="2" t="s">
        <v>289</v>
      </c>
      <c r="B13" s="3" t="s">
        <v>215</v>
      </c>
      <c r="C13" s="57"/>
      <c r="D13" s="6">
        <f t="shared" si="1"/>
        <v>206</v>
      </c>
      <c r="E13" s="4">
        <v>100</v>
      </c>
      <c r="F13" s="4">
        <f>+D13-E13</f>
        <v>106</v>
      </c>
      <c r="G13" s="233">
        <v>15</v>
      </c>
      <c r="H13" s="5"/>
      <c r="I13" s="5">
        <f>-'INVENTARIO PRODUCTO TERMINADO'!H14</f>
        <v>0</v>
      </c>
      <c r="J13" s="5"/>
      <c r="K13" s="5">
        <f>-'INVENTARIO PRODUCTO TERMINADO'!J14</f>
        <v>0</v>
      </c>
      <c r="L13" s="5"/>
      <c r="M13" s="5">
        <f>-'INVENTARIO PRODUCTO TERMINADO'!L14</f>
        <v>0</v>
      </c>
      <c r="N13" s="5"/>
      <c r="O13" s="5">
        <f>-'INVENTARIO PRODUCTO TERMINADO'!N14</f>
        <v>0</v>
      </c>
      <c r="P13" s="5"/>
      <c r="Q13" s="5">
        <f>-'INVENTARIO PRODUCTO TERMINADO'!P14</f>
        <v>-6</v>
      </c>
      <c r="R13" s="5">
        <f>134-9</f>
        <v>125</v>
      </c>
      <c r="S13" s="5">
        <f>-'INVENTARIO PRODUCTO TERMINADO'!R14</f>
        <v>0</v>
      </c>
      <c r="T13" s="5"/>
      <c r="U13" s="5">
        <f>-'INVENTARIO PRODUCTO TERMINADO'!T14</f>
        <v>0</v>
      </c>
      <c r="V13" s="5"/>
      <c r="W13" s="5">
        <f>-'INVENTARIO PRODUCTO TERMINADO'!V14</f>
        <v>0</v>
      </c>
      <c r="X13" s="5"/>
      <c r="Y13" s="5">
        <f>-'INVENTARIO PRODUCTO TERMINADO'!X14</f>
        <v>0</v>
      </c>
      <c r="Z13" s="5"/>
      <c r="AA13" s="5">
        <f>-'INVENTARIO PRODUCTO TERMINADO'!Z14</f>
        <v>-36</v>
      </c>
      <c r="AB13" s="5"/>
      <c r="AC13" s="5">
        <f>-'INVENTARIO PRODUCTO TERMINADO'!AB14</f>
        <v>0</v>
      </c>
      <c r="AD13" s="5"/>
      <c r="AE13" s="5">
        <f>-'INVENTARIO PRODUCTO TERMINADO'!AD14</f>
        <v>-1</v>
      </c>
      <c r="AF13" s="5"/>
      <c r="AG13" s="5">
        <f>-'INVENTARIO PRODUCTO TERMINADO'!AF14</f>
        <v>0</v>
      </c>
      <c r="AH13" s="5"/>
      <c r="AI13" s="5">
        <f>-'INVENTARIO PRODUCTO TERMINADO'!AH14</f>
        <v>-41</v>
      </c>
      <c r="AJ13" s="5">
        <v>-1</v>
      </c>
      <c r="AK13" s="5">
        <f>-'INVENTARIO PRODUCTO TERMINADO'!AJ14</f>
        <v>-2</v>
      </c>
      <c r="AL13" s="5"/>
      <c r="AM13" s="5">
        <f>-'INVENTARIO PRODUCTO TERMINADO'!AL14</f>
        <v>0</v>
      </c>
      <c r="AN13" s="5"/>
      <c r="AO13" s="5">
        <f>-'INVENTARIO PRODUCTO TERMINADO'!AN14</f>
        <v>0</v>
      </c>
      <c r="AP13" s="5"/>
      <c r="AQ13" s="5">
        <f>-'INVENTARIO PRODUCTO TERMINADO'!AP14</f>
        <v>0</v>
      </c>
      <c r="AR13" s="5"/>
      <c r="AS13" s="5">
        <f>-'INVENTARIO PRODUCTO TERMINADO'!AR14</f>
        <v>0</v>
      </c>
      <c r="AT13" s="71"/>
      <c r="AU13" s="5">
        <f>-'INVENTARIO PRODUCTO TERMINADO'!AT14</f>
        <v>-4</v>
      </c>
      <c r="AV13" s="5"/>
      <c r="AW13" s="5">
        <f>-'INVENTARIO PRODUCTO TERMINADO'!AV14</f>
        <v>0</v>
      </c>
      <c r="AX13" s="5"/>
      <c r="AY13" s="5">
        <f>-'INVENTARIO PRODUCTO TERMINADO'!AX14</f>
        <v>0</v>
      </c>
      <c r="AZ13" s="5">
        <f>339-49</f>
        <v>290</v>
      </c>
      <c r="BA13" s="5">
        <v>-37</v>
      </c>
      <c r="BB13" s="5"/>
      <c r="BC13" s="5">
        <f>-'INVENTARIO PRODUCTO TERMINADO'!BB14</f>
        <v>0</v>
      </c>
      <c r="BD13" s="5"/>
      <c r="BE13" s="5">
        <f>-'INVENTARIO PRODUCTO TERMINADO'!BD14</f>
        <v>0</v>
      </c>
      <c r="BF13" s="5"/>
      <c r="BG13" s="5">
        <f>-'INVENTARIO PRODUCTO TERMINADO'!BF14</f>
        <v>0</v>
      </c>
      <c r="BH13" s="5"/>
      <c r="BI13" s="5">
        <f>-'INVENTARIO PRODUCTO TERMINADO'!BH14</f>
        <v>-60</v>
      </c>
      <c r="BJ13" s="5"/>
      <c r="BK13" s="5">
        <f>-'INVENTARIO PRODUCTO TERMINADO'!BJ14</f>
        <v>0</v>
      </c>
      <c r="BL13" s="5">
        <v>29</v>
      </c>
      <c r="BM13" s="5">
        <f>-'INVENTARIO PRODUCTO TERMINADO'!BL14</f>
        <v>0</v>
      </c>
      <c r="BN13" s="5"/>
      <c r="BO13" s="5">
        <f>-'INVENTARIO PRODUCTO TERMINADO'!BN14</f>
        <v>0</v>
      </c>
      <c r="BP13" s="5"/>
      <c r="BQ13" s="5">
        <f>-'INVENTARIO PRODUCTO TERMINADO'!BP14</f>
        <v>0</v>
      </c>
      <c r="BR13" s="5"/>
      <c r="BS13" s="5">
        <f>-'INVENTARIO PRODUCTO TERMINADO'!BR14</f>
        <v>0</v>
      </c>
      <c r="BT13" s="5"/>
      <c r="BU13" s="5">
        <f>-'INVENTARIO PRODUCTO TERMINADO'!BT14</f>
        <v>0</v>
      </c>
      <c r="BV13" s="5"/>
      <c r="BW13" s="5">
        <f>-'INVENTARIO PRODUCTO TERMINADO'!BV14</f>
        <v>0</v>
      </c>
      <c r="BX13" s="5"/>
      <c r="BY13" s="5">
        <f>-'INVENTARIO PRODUCTO TERMINADO'!BX14</f>
        <v>0</v>
      </c>
      <c r="BZ13" s="5"/>
      <c r="CA13" s="5">
        <f>-'INVENTARIO PRODUCTO TERMINADO'!BZ14</f>
        <v>0</v>
      </c>
      <c r="CB13" s="5"/>
      <c r="CC13" s="5">
        <f>-'INVENTARIO PRODUCTO TERMINADO'!CB14</f>
        <v>0</v>
      </c>
      <c r="CD13" s="5"/>
      <c r="CE13" s="5">
        <f>-'INVENTARIO PRODUCTO TERMINADO'!CD14</f>
        <v>-45</v>
      </c>
      <c r="CF13" s="5"/>
      <c r="CG13" s="5">
        <f>-'INVENTARIO PRODUCTO TERMINADO'!CF14</f>
        <v>0</v>
      </c>
      <c r="CH13" s="5"/>
      <c r="CI13" s="5">
        <f>-'INVENTARIO PRODUCTO TERMINADO'!CH14</f>
        <v>0</v>
      </c>
      <c r="CJ13" s="5"/>
      <c r="CK13" s="5">
        <f>-'INVENTARIO PRODUCTO TERMINADO'!CJ14</f>
        <v>-20</v>
      </c>
      <c r="CL13" s="5"/>
      <c r="CM13" s="5">
        <f>-'INVENTARIO PRODUCTO TERMINADO'!CL14</f>
        <v>0</v>
      </c>
    </row>
    <row r="14" spans="1:93 16147:16147" x14ac:dyDescent="0.25">
      <c r="A14" s="2" t="s">
        <v>290</v>
      </c>
      <c r="B14" s="3" t="s">
        <v>239</v>
      </c>
      <c r="C14" s="57"/>
      <c r="D14" s="6">
        <f t="shared" si="1"/>
        <v>13</v>
      </c>
      <c r="E14" s="4">
        <v>100</v>
      </c>
      <c r="F14" s="4">
        <f>D14-E14</f>
        <v>-87</v>
      </c>
      <c r="G14" s="233">
        <v>0</v>
      </c>
      <c r="H14" s="5"/>
      <c r="I14" s="5">
        <f>-'INVENTARIO PRODUCTO TERMINADO'!H15</f>
        <v>0</v>
      </c>
      <c r="J14" s="5"/>
      <c r="K14" s="5">
        <f>-'INVENTARIO PRODUCTO TERMINADO'!J15</f>
        <v>0</v>
      </c>
      <c r="L14" s="5"/>
      <c r="M14" s="5">
        <f>-'INVENTARIO PRODUCTO TERMINADO'!L15</f>
        <v>0</v>
      </c>
      <c r="N14" s="5"/>
      <c r="O14" s="5">
        <f>-'INVENTARIO PRODUCTO TERMINADO'!N15</f>
        <v>0</v>
      </c>
      <c r="P14" s="5"/>
      <c r="Q14" s="5">
        <f>-'INVENTARIO PRODUCTO TERMINADO'!P15</f>
        <v>0</v>
      </c>
      <c r="R14" s="5">
        <v>238</v>
      </c>
      <c r="S14" s="5">
        <f>-'INVENTARIO PRODUCTO TERMINADO'!R15</f>
        <v>0</v>
      </c>
      <c r="T14" s="5"/>
      <c r="U14" s="5">
        <f>-'INVENTARIO PRODUCTO TERMINADO'!T15</f>
        <v>0</v>
      </c>
      <c r="V14" s="5"/>
      <c r="W14" s="5">
        <f>-'INVENTARIO PRODUCTO TERMINADO'!V15</f>
        <v>-56</v>
      </c>
      <c r="X14" s="5"/>
      <c r="Y14" s="5">
        <f>-'INVENTARIO PRODUCTO TERMINADO'!X15</f>
        <v>0</v>
      </c>
      <c r="Z14" s="5"/>
      <c r="AA14" s="5">
        <f>-'INVENTARIO PRODUCTO TERMINADO'!Z15</f>
        <v>0</v>
      </c>
      <c r="AB14" s="5"/>
      <c r="AC14" s="5">
        <f>-'INVENTARIO PRODUCTO TERMINADO'!AB15</f>
        <v>0</v>
      </c>
      <c r="AD14" s="5"/>
      <c r="AE14" s="5">
        <f>-'INVENTARIO PRODUCTO TERMINADO'!AD15</f>
        <v>-3</v>
      </c>
      <c r="AF14" s="5"/>
      <c r="AG14" s="5">
        <f>-'INVENTARIO PRODUCTO TERMINADO'!AF15</f>
        <v>0</v>
      </c>
      <c r="AH14" s="5"/>
      <c r="AI14" s="5">
        <f>-'INVENTARIO PRODUCTO TERMINADO'!AH15</f>
        <v>-7</v>
      </c>
      <c r="AJ14" s="5">
        <v>2</v>
      </c>
      <c r="AK14" s="5">
        <f>-'INVENTARIO PRODUCTO TERMINADO'!AJ15</f>
        <v>-35</v>
      </c>
      <c r="AL14" s="5"/>
      <c r="AM14" s="5">
        <f>-'INVENTARIO PRODUCTO TERMINADO'!AL15</f>
        <v>0</v>
      </c>
      <c r="AN14" s="5"/>
      <c r="AO14" s="5">
        <f>-'INVENTARIO PRODUCTO TERMINADO'!AN15</f>
        <v>0</v>
      </c>
      <c r="AP14" s="5"/>
      <c r="AQ14" s="5">
        <f>-'INVENTARIO PRODUCTO TERMINADO'!AP15</f>
        <v>0</v>
      </c>
      <c r="AR14" s="5"/>
      <c r="AS14" s="5">
        <f>-'INVENTARIO PRODUCTO TERMINADO'!AR15</f>
        <v>0</v>
      </c>
      <c r="AT14" s="71"/>
      <c r="AU14" s="5">
        <f>-'INVENTARIO PRODUCTO TERMINADO'!AT15</f>
        <v>0</v>
      </c>
      <c r="AV14" s="5"/>
      <c r="AW14" s="5">
        <f>-'INVENTARIO PRODUCTO TERMINADO'!AV15</f>
        <v>0</v>
      </c>
      <c r="AX14" s="5"/>
      <c r="AY14" s="5">
        <f>-'INVENTARIO PRODUCTO TERMINADO'!AX15</f>
        <v>0</v>
      </c>
      <c r="AZ14" s="5"/>
      <c r="BA14" s="5">
        <f>-'INVENTARIO PRODUCTO TERMINADO'!AZ15</f>
        <v>0</v>
      </c>
      <c r="BB14" s="5"/>
      <c r="BC14" s="5">
        <f>-'INVENTARIO PRODUCTO TERMINADO'!BB15</f>
        <v>0</v>
      </c>
      <c r="BD14" s="5"/>
      <c r="BE14" s="5">
        <f>-'INVENTARIO PRODUCTO TERMINADO'!BD15</f>
        <v>0</v>
      </c>
      <c r="BF14" s="5"/>
      <c r="BG14" s="5">
        <f>-'INVENTARIO PRODUCTO TERMINADO'!BF15</f>
        <v>-35</v>
      </c>
      <c r="BH14" s="5"/>
      <c r="BI14" s="5">
        <f>-'INVENTARIO PRODUCTO TERMINADO'!BH15</f>
        <v>-14</v>
      </c>
      <c r="BJ14" s="5"/>
      <c r="BK14" s="5">
        <f>-'INVENTARIO PRODUCTO TERMINADO'!BJ15</f>
        <v>0</v>
      </c>
      <c r="BL14" s="5"/>
      <c r="BM14" s="5">
        <f>-'INVENTARIO PRODUCTO TERMINADO'!BL15</f>
        <v>0</v>
      </c>
      <c r="BN14" s="5"/>
      <c r="BO14" s="5">
        <f>-'INVENTARIO PRODUCTO TERMINADO'!BN15</f>
        <v>0</v>
      </c>
      <c r="BP14" s="5"/>
      <c r="BQ14" s="5">
        <f>-'INVENTARIO PRODUCTO TERMINADO'!BP15</f>
        <v>0</v>
      </c>
      <c r="BR14" s="5"/>
      <c r="BS14" s="5">
        <f>-'INVENTARIO PRODUCTO TERMINADO'!BR15</f>
        <v>0</v>
      </c>
      <c r="BT14" s="5"/>
      <c r="BU14" s="5">
        <f>-'INVENTARIO PRODUCTO TERMINADO'!BT15</f>
        <v>0</v>
      </c>
      <c r="BV14" s="5"/>
      <c r="BW14" s="5">
        <f>-'INVENTARIO PRODUCTO TERMINADO'!BV15</f>
        <v>0</v>
      </c>
      <c r="BX14" s="5"/>
      <c r="BY14" s="5">
        <f>-'INVENTARIO PRODUCTO TERMINADO'!BX15</f>
        <v>0</v>
      </c>
      <c r="BZ14" s="5"/>
      <c r="CA14" s="5">
        <f>-'INVENTARIO PRODUCTO TERMINADO'!BZ15</f>
        <v>0</v>
      </c>
      <c r="CB14" s="5"/>
      <c r="CC14" s="5">
        <f>-'INVENTARIO PRODUCTO TERMINADO'!CB15</f>
        <v>0</v>
      </c>
      <c r="CD14" s="5"/>
      <c r="CE14" s="5">
        <f>-'INVENTARIO PRODUCTO TERMINADO'!CD15</f>
        <v>-49</v>
      </c>
      <c r="CF14" s="5"/>
      <c r="CG14" s="5">
        <f>-'INVENTARIO PRODUCTO TERMINADO'!CF15</f>
        <v>0</v>
      </c>
      <c r="CH14" s="5"/>
      <c r="CI14" s="5">
        <f>-'INVENTARIO PRODUCTO TERMINADO'!CH15</f>
        <v>0</v>
      </c>
      <c r="CJ14" s="5"/>
      <c r="CK14" s="5">
        <f>-'INVENTARIO PRODUCTO TERMINADO'!CJ15</f>
        <v>-28</v>
      </c>
      <c r="CL14" s="5"/>
      <c r="CM14" s="5">
        <f>-'INVENTARIO PRODUCTO TERMINADO'!CL15</f>
        <v>0</v>
      </c>
    </row>
    <row r="15" spans="1:93 16147:16147" x14ac:dyDescent="0.25">
      <c r="A15" s="2" t="s">
        <v>291</v>
      </c>
      <c r="B15" s="3" t="s">
        <v>35</v>
      </c>
      <c r="C15" s="57"/>
      <c r="D15" s="6">
        <f t="shared" si="1"/>
        <v>263</v>
      </c>
      <c r="E15" s="4">
        <v>50</v>
      </c>
      <c r="F15" s="4">
        <f>D15-E15</f>
        <v>213</v>
      </c>
      <c r="G15" s="233">
        <v>313</v>
      </c>
      <c r="H15" s="58"/>
      <c r="I15" s="5">
        <f>-'INVENTARIO PRODUCTO TERMINADO'!H16</f>
        <v>-29</v>
      </c>
      <c r="J15" s="58"/>
      <c r="K15" s="5">
        <f>-'INVENTARIO PRODUCTO TERMINADO'!J16</f>
        <v>0</v>
      </c>
      <c r="L15" s="130"/>
      <c r="M15" s="5">
        <f>-'INVENTARIO PRODUCTO TERMINADO'!L16</f>
        <v>0</v>
      </c>
      <c r="N15" s="58"/>
      <c r="O15" s="5">
        <f>-'INVENTARIO PRODUCTO TERMINADO'!N16</f>
        <v>0</v>
      </c>
      <c r="P15" s="58"/>
      <c r="Q15" s="5">
        <f>-'INVENTARIO PRODUCTO TERMINADO'!P16</f>
        <v>0</v>
      </c>
      <c r="R15" s="58"/>
      <c r="S15" s="5">
        <f>-'INVENTARIO PRODUCTO TERMINADO'!R16</f>
        <v>0</v>
      </c>
      <c r="T15" s="58"/>
      <c r="U15" s="5">
        <f>-'INVENTARIO PRODUCTO TERMINADO'!T16</f>
        <v>0</v>
      </c>
      <c r="V15" s="58"/>
      <c r="W15" s="5">
        <f>-'INVENTARIO PRODUCTO TERMINADO'!V16</f>
        <v>0</v>
      </c>
      <c r="X15" s="58"/>
      <c r="Y15" s="5">
        <f>-'INVENTARIO PRODUCTO TERMINADO'!X16</f>
        <v>0</v>
      </c>
      <c r="Z15" s="58"/>
      <c r="AA15" s="5">
        <f>-'INVENTARIO PRODUCTO TERMINADO'!Z16</f>
        <v>0</v>
      </c>
      <c r="AB15" s="58"/>
      <c r="AC15" s="5">
        <f>-'INVENTARIO PRODUCTO TERMINADO'!AB16</f>
        <v>0</v>
      </c>
      <c r="AD15" s="58"/>
      <c r="AE15" s="5">
        <f>-'INVENTARIO PRODUCTO TERMINADO'!AD16</f>
        <v>-21</v>
      </c>
      <c r="AF15" s="58"/>
      <c r="AG15" s="5">
        <f>-'INVENTARIO PRODUCTO TERMINADO'!AF16</f>
        <v>0</v>
      </c>
      <c r="AH15" s="58"/>
      <c r="AI15" s="5">
        <f>-'INVENTARIO PRODUCTO TERMINADO'!AH16</f>
        <v>0</v>
      </c>
      <c r="AJ15" s="58"/>
      <c r="AK15" s="5">
        <f>-'INVENTARIO PRODUCTO TERMINADO'!AJ16</f>
        <v>0</v>
      </c>
      <c r="AL15" s="58"/>
      <c r="AM15" s="5">
        <f>-'INVENTARIO PRODUCTO TERMINADO'!AL16</f>
        <v>0</v>
      </c>
      <c r="AN15" s="58"/>
      <c r="AO15" s="5">
        <f>-'INVENTARIO PRODUCTO TERMINADO'!AN16</f>
        <v>0</v>
      </c>
      <c r="AP15" s="58"/>
      <c r="AQ15" s="5">
        <f>-'INVENTARIO PRODUCTO TERMINADO'!AP16</f>
        <v>0</v>
      </c>
      <c r="AR15" s="58"/>
      <c r="AS15" s="5">
        <f>-'INVENTARIO PRODUCTO TERMINADO'!AR16</f>
        <v>0</v>
      </c>
      <c r="AT15" s="207"/>
      <c r="AU15" s="5">
        <f>-'INVENTARIO PRODUCTO TERMINADO'!AT16</f>
        <v>0</v>
      </c>
      <c r="AV15" s="58"/>
      <c r="AW15" s="5">
        <f>-'INVENTARIO PRODUCTO TERMINADO'!AV16</f>
        <v>0</v>
      </c>
      <c r="AX15" s="58"/>
      <c r="AY15" s="5">
        <f>-'INVENTARIO PRODUCTO TERMINADO'!AX16</f>
        <v>0</v>
      </c>
      <c r="AZ15" s="58"/>
      <c r="BA15" s="5">
        <f>-'INVENTARIO PRODUCTO TERMINADO'!AZ16</f>
        <v>0</v>
      </c>
      <c r="BB15" s="58"/>
      <c r="BC15" s="5">
        <f>-'INVENTARIO PRODUCTO TERMINADO'!BB16</f>
        <v>0</v>
      </c>
      <c r="BD15" s="58"/>
      <c r="BE15" s="5">
        <f>-'INVENTARIO PRODUCTO TERMINADO'!BD16</f>
        <v>0</v>
      </c>
      <c r="BF15" s="58"/>
      <c r="BG15" s="5">
        <f>-'INVENTARIO PRODUCTO TERMINADO'!BF16</f>
        <v>0</v>
      </c>
      <c r="BH15" s="58"/>
      <c r="BI15" s="5">
        <f>-'INVENTARIO PRODUCTO TERMINADO'!BH16</f>
        <v>0</v>
      </c>
      <c r="BJ15" s="58"/>
      <c r="BK15" s="5">
        <f>-'INVENTARIO PRODUCTO TERMINADO'!BJ16</f>
        <v>0</v>
      </c>
      <c r="BL15" s="5"/>
      <c r="BM15" s="5">
        <f>-'INVENTARIO PRODUCTO TERMINADO'!BL16</f>
        <v>0</v>
      </c>
      <c r="BN15" s="5"/>
      <c r="BO15" s="5">
        <f>-'INVENTARIO PRODUCTO TERMINADO'!BN16</f>
        <v>-1</v>
      </c>
      <c r="BP15" s="5"/>
      <c r="BQ15" s="5">
        <f>-'INVENTARIO PRODUCTO TERMINADO'!BP16</f>
        <v>0</v>
      </c>
      <c r="BR15" s="58"/>
      <c r="BS15" s="5">
        <f>-'INVENTARIO PRODUCTO TERMINADO'!BR16</f>
        <v>0</v>
      </c>
      <c r="BT15" s="58">
        <v>1</v>
      </c>
      <c r="BU15" s="5">
        <f>-'INVENTARIO PRODUCTO TERMINADO'!BT16</f>
        <v>0</v>
      </c>
      <c r="BV15" s="58"/>
      <c r="BW15" s="5">
        <f>-'INVENTARIO PRODUCTO TERMINADO'!BV16</f>
        <v>0</v>
      </c>
      <c r="BX15" s="58"/>
      <c r="BY15" s="5">
        <f>-'INVENTARIO PRODUCTO TERMINADO'!BX16</f>
        <v>0</v>
      </c>
      <c r="BZ15" s="58"/>
      <c r="CA15" s="5">
        <f>-'INVENTARIO PRODUCTO TERMINADO'!BZ16</f>
        <v>0</v>
      </c>
      <c r="CB15" s="58"/>
      <c r="CC15" s="5">
        <f>-'INVENTARIO PRODUCTO TERMINADO'!CB16</f>
        <v>0</v>
      </c>
      <c r="CD15" s="5"/>
      <c r="CE15" s="5">
        <f>-'INVENTARIO PRODUCTO TERMINADO'!CD16</f>
        <v>0</v>
      </c>
      <c r="CF15" s="5"/>
      <c r="CG15" s="5">
        <f>-'INVENTARIO PRODUCTO TERMINADO'!CF16</f>
        <v>0</v>
      </c>
      <c r="CH15" s="5"/>
      <c r="CI15" s="5">
        <f>-'INVENTARIO PRODUCTO TERMINADO'!CH16</f>
        <v>0</v>
      </c>
      <c r="CJ15" s="5"/>
      <c r="CK15" s="5">
        <f>-'INVENTARIO PRODUCTO TERMINADO'!CJ16</f>
        <v>0</v>
      </c>
      <c r="CL15" s="5"/>
      <c r="CM15" s="5">
        <f>-'INVENTARIO PRODUCTO TERMINADO'!CL16</f>
        <v>0</v>
      </c>
    </row>
    <row r="16" spans="1:93 16147:16147" x14ac:dyDescent="0.25">
      <c r="A16" s="2" t="s">
        <v>292</v>
      </c>
      <c r="B16" s="3" t="s">
        <v>214</v>
      </c>
      <c r="C16" s="57"/>
      <c r="D16" s="6">
        <f t="shared" si="1"/>
        <v>183</v>
      </c>
      <c r="E16" s="4">
        <v>50</v>
      </c>
      <c r="F16" s="4">
        <f>+D16-E16</f>
        <v>133</v>
      </c>
      <c r="G16" s="233">
        <v>397</v>
      </c>
      <c r="H16" s="5"/>
      <c r="I16" s="5">
        <f>-'INVENTARIO PRODUCTO TERMINADO'!H17</f>
        <v>-22</v>
      </c>
      <c r="J16" s="5"/>
      <c r="K16" s="5">
        <f>-'INVENTARIO PRODUCTO TERMINADO'!J17</f>
        <v>0</v>
      </c>
      <c r="L16" s="5"/>
      <c r="M16" s="5">
        <f>-'INVENTARIO PRODUCTO TERMINADO'!L17</f>
        <v>0</v>
      </c>
      <c r="N16" s="5"/>
      <c r="O16" s="5">
        <f>-'INVENTARIO PRODUCTO TERMINADO'!N17</f>
        <v>0</v>
      </c>
      <c r="P16" s="5"/>
      <c r="Q16" s="5">
        <f>-'INVENTARIO PRODUCTO TERMINADO'!P17</f>
        <v>0</v>
      </c>
      <c r="R16" s="5"/>
      <c r="S16" s="5">
        <f>-'INVENTARIO PRODUCTO TERMINADO'!R17</f>
        <v>0</v>
      </c>
      <c r="T16" s="5"/>
      <c r="U16" s="5">
        <f>-'INVENTARIO PRODUCTO TERMINADO'!T17</f>
        <v>0</v>
      </c>
      <c r="V16" s="5"/>
      <c r="W16" s="5">
        <f>-'INVENTARIO PRODUCTO TERMINADO'!V17</f>
        <v>0</v>
      </c>
      <c r="X16" s="5"/>
      <c r="Y16" s="5">
        <f>-'INVENTARIO PRODUCTO TERMINADO'!X17</f>
        <v>0</v>
      </c>
      <c r="Z16" s="5"/>
      <c r="AA16" s="5">
        <f>-'INVENTARIO PRODUCTO TERMINADO'!Z17</f>
        <v>0</v>
      </c>
      <c r="AB16" s="5"/>
      <c r="AC16" s="5">
        <f>-'INVENTARIO PRODUCTO TERMINADO'!AB17</f>
        <v>0</v>
      </c>
      <c r="AD16" s="5"/>
      <c r="AE16" s="5">
        <f>-'INVENTARIO PRODUCTO TERMINADO'!AD17</f>
        <v>-25</v>
      </c>
      <c r="AF16" s="5"/>
      <c r="AG16" s="5">
        <f>-'INVENTARIO PRODUCTO TERMINADO'!AF17</f>
        <v>0</v>
      </c>
      <c r="AH16" s="5"/>
      <c r="AI16" s="5">
        <f>-'INVENTARIO PRODUCTO TERMINADO'!AH17</f>
        <v>0</v>
      </c>
      <c r="AJ16" s="5"/>
      <c r="AK16" s="5">
        <f>-'INVENTARIO PRODUCTO TERMINADO'!AJ17</f>
        <v>0</v>
      </c>
      <c r="AL16" s="5"/>
      <c r="AM16" s="5">
        <f>-'INVENTARIO PRODUCTO TERMINADO'!AL17</f>
        <v>0</v>
      </c>
      <c r="AN16" s="5"/>
      <c r="AO16" s="5">
        <f>-'INVENTARIO PRODUCTO TERMINADO'!AN17</f>
        <v>0</v>
      </c>
      <c r="AP16" s="5"/>
      <c r="AQ16" s="5">
        <f>-'INVENTARIO PRODUCTO TERMINADO'!AP17</f>
        <v>0</v>
      </c>
      <c r="AR16" s="5"/>
      <c r="AS16" s="5">
        <f>-'INVENTARIO PRODUCTO TERMINADO'!AR17</f>
        <v>0</v>
      </c>
      <c r="AT16" s="71"/>
      <c r="AU16" s="5">
        <f>-'INVENTARIO PRODUCTO TERMINADO'!AT17</f>
        <v>0</v>
      </c>
      <c r="AV16" s="5"/>
      <c r="AW16" s="5">
        <f>-'INVENTARIO PRODUCTO TERMINADO'!AV17</f>
        <v>0</v>
      </c>
      <c r="AX16" s="5"/>
      <c r="AY16" s="5">
        <f>-'INVENTARIO PRODUCTO TERMINADO'!AX17</f>
        <v>0</v>
      </c>
      <c r="AZ16" s="5"/>
      <c r="BA16" s="5">
        <f>-'INVENTARIO PRODUCTO TERMINADO'!AZ17</f>
        <v>-39</v>
      </c>
      <c r="BB16" s="5"/>
      <c r="BC16" s="5">
        <f>-'INVENTARIO PRODUCTO TERMINADO'!BB17</f>
        <v>0</v>
      </c>
      <c r="BD16" s="5"/>
      <c r="BE16" s="5">
        <f>-'INVENTARIO PRODUCTO TERMINADO'!BD17</f>
        <v>-30</v>
      </c>
      <c r="BF16" s="5"/>
      <c r="BG16" s="5">
        <f>-'INVENTARIO PRODUCTO TERMINADO'!BF17</f>
        <v>0</v>
      </c>
      <c r="BH16" s="5"/>
      <c r="BI16" s="5">
        <f>-'INVENTARIO PRODUCTO TERMINADO'!BH17</f>
        <v>0</v>
      </c>
      <c r="BJ16" s="5"/>
      <c r="BK16" s="5">
        <f>-'INVENTARIO PRODUCTO TERMINADO'!BJ17</f>
        <v>0</v>
      </c>
      <c r="BL16" s="5"/>
      <c r="BM16" s="5">
        <f>-'INVENTARIO PRODUCTO TERMINADO'!BL17</f>
        <v>0</v>
      </c>
      <c r="BN16" s="5"/>
      <c r="BO16" s="5">
        <f>-'INVENTARIO PRODUCTO TERMINADO'!BN17</f>
        <v>1</v>
      </c>
      <c r="BP16" s="5"/>
      <c r="BQ16" s="5">
        <f>-'INVENTARIO PRODUCTO TERMINADO'!BP17</f>
        <v>0</v>
      </c>
      <c r="BR16" s="5"/>
      <c r="BS16" s="5">
        <f>-'INVENTARIO PRODUCTO TERMINADO'!BR17</f>
        <v>-79</v>
      </c>
      <c r="BT16" s="5">
        <v>-20</v>
      </c>
      <c r="BU16" s="5">
        <f>-'INVENTARIO PRODUCTO TERMINADO'!BT17</f>
        <v>0</v>
      </c>
      <c r="BV16" s="5"/>
      <c r="BW16" s="5">
        <f>-'INVENTARIO PRODUCTO TERMINADO'!BV17</f>
        <v>0</v>
      </c>
      <c r="BX16" s="5"/>
      <c r="BY16" s="5">
        <f>-'INVENTARIO PRODUCTO TERMINADO'!BX17</f>
        <v>0</v>
      </c>
      <c r="BZ16" s="5"/>
      <c r="CA16" s="5">
        <f>-'INVENTARIO PRODUCTO TERMINADO'!BZ17</f>
        <v>0</v>
      </c>
      <c r="CB16" s="5"/>
      <c r="CC16" s="5">
        <f>-'INVENTARIO PRODUCTO TERMINADO'!CB17</f>
        <v>0</v>
      </c>
      <c r="CD16" s="5"/>
      <c r="CE16" s="5">
        <f>-'INVENTARIO PRODUCTO TERMINADO'!CD17</f>
        <v>0</v>
      </c>
      <c r="CF16" s="5"/>
      <c r="CG16" s="5">
        <f>-'INVENTARIO PRODUCTO TERMINADO'!CF17</f>
        <v>0</v>
      </c>
      <c r="CH16" s="5"/>
      <c r="CI16" s="5">
        <f>-'INVENTARIO PRODUCTO TERMINADO'!CH17</f>
        <v>0</v>
      </c>
      <c r="CJ16" s="5"/>
      <c r="CK16" s="5">
        <f>-'INVENTARIO PRODUCTO TERMINADO'!CJ17</f>
        <v>0</v>
      </c>
      <c r="CL16" s="5"/>
      <c r="CM16" s="5">
        <f>-'INVENTARIO PRODUCTO TERMINADO'!CL17</f>
        <v>0</v>
      </c>
    </row>
    <row r="17" spans="1:91" x14ac:dyDescent="0.25">
      <c r="A17" s="2" t="s">
        <v>293</v>
      </c>
      <c r="B17" s="3" t="s">
        <v>34</v>
      </c>
      <c r="C17" s="57"/>
      <c r="D17" s="6">
        <f t="shared" si="1"/>
        <v>122</v>
      </c>
      <c r="E17" s="4">
        <v>50</v>
      </c>
      <c r="F17" s="4">
        <f>D17-E17</f>
        <v>72</v>
      </c>
      <c r="G17" s="233">
        <v>61</v>
      </c>
      <c r="H17" s="5"/>
      <c r="I17" s="5">
        <f>-'INVENTARIO PRODUCTO TERMINADO'!H18</f>
        <v>0</v>
      </c>
      <c r="J17" s="5"/>
      <c r="K17" s="5">
        <f>-'INVENTARIO PRODUCTO TERMINADO'!J18</f>
        <v>0</v>
      </c>
      <c r="L17" s="5"/>
      <c r="M17" s="5">
        <f>-'INVENTARIO PRODUCTO TERMINADO'!L18</f>
        <v>0</v>
      </c>
      <c r="N17" s="5"/>
      <c r="O17" s="5">
        <f>-'INVENTARIO PRODUCTO TERMINADO'!N18</f>
        <v>0</v>
      </c>
      <c r="P17" s="5"/>
      <c r="Q17" s="5">
        <f>-'INVENTARIO PRODUCTO TERMINADO'!P18</f>
        <v>0</v>
      </c>
      <c r="R17" s="5">
        <v>1</v>
      </c>
      <c r="S17" s="5">
        <f>-'INVENTARIO PRODUCTO TERMINADO'!R18</f>
        <v>0</v>
      </c>
      <c r="T17" s="5"/>
      <c r="U17" s="5">
        <f>-'INVENTARIO PRODUCTO TERMINADO'!T18</f>
        <v>0</v>
      </c>
      <c r="V17" s="5"/>
      <c r="W17" s="5">
        <f>-'INVENTARIO PRODUCTO TERMINADO'!V18</f>
        <v>0</v>
      </c>
      <c r="X17" s="5"/>
      <c r="Y17" s="5">
        <f>-'INVENTARIO PRODUCTO TERMINADO'!X18</f>
        <v>0</v>
      </c>
      <c r="Z17" s="5"/>
      <c r="AA17" s="5">
        <f>-'INVENTARIO PRODUCTO TERMINADO'!Z18</f>
        <v>0</v>
      </c>
      <c r="AB17" s="5"/>
      <c r="AC17" s="5">
        <f>-'INVENTARIO PRODUCTO TERMINADO'!AB18</f>
        <v>0</v>
      </c>
      <c r="AD17" s="5"/>
      <c r="AE17" s="5">
        <f>-'INVENTARIO PRODUCTO TERMINADO'!AD18</f>
        <v>0</v>
      </c>
      <c r="AF17" s="5"/>
      <c r="AG17" s="5">
        <f>-'INVENTARIO PRODUCTO TERMINADO'!AF18</f>
        <v>0</v>
      </c>
      <c r="AH17" s="5"/>
      <c r="AI17" s="5">
        <f>-'INVENTARIO PRODUCTO TERMINADO'!AH18</f>
        <v>-46</v>
      </c>
      <c r="AJ17" s="5">
        <v>1</v>
      </c>
      <c r="AK17" s="5">
        <f>-'INVENTARIO PRODUCTO TERMINADO'!AJ18</f>
        <v>0</v>
      </c>
      <c r="AL17" s="5"/>
      <c r="AM17" s="5">
        <f>-'INVENTARIO PRODUCTO TERMINADO'!AL18</f>
        <v>0</v>
      </c>
      <c r="AN17" s="5"/>
      <c r="AO17" s="5">
        <f>-'INVENTARIO PRODUCTO TERMINADO'!AN18</f>
        <v>0</v>
      </c>
      <c r="AP17" s="5"/>
      <c r="AQ17" s="5">
        <f>-'INVENTARIO PRODUCTO TERMINADO'!AP18</f>
        <v>0</v>
      </c>
      <c r="AR17" s="5"/>
      <c r="AS17" s="5">
        <f>-'INVENTARIO PRODUCTO TERMINADO'!AR18</f>
        <v>0</v>
      </c>
      <c r="AT17" s="71"/>
      <c r="AU17" s="5">
        <f>-'INVENTARIO PRODUCTO TERMINADO'!AT18</f>
        <v>0</v>
      </c>
      <c r="AV17" s="5"/>
      <c r="AW17" s="5">
        <f>-'INVENTARIO PRODUCTO TERMINADO'!AV18</f>
        <v>0</v>
      </c>
      <c r="AX17" s="5"/>
      <c r="AY17" s="5">
        <f>-'INVENTARIO PRODUCTO TERMINADO'!AX18</f>
        <v>0</v>
      </c>
      <c r="AZ17" s="5"/>
      <c r="BA17" s="5">
        <f>-'INVENTARIO PRODUCTO TERMINADO'!AZ18</f>
        <v>0</v>
      </c>
      <c r="BB17" s="5"/>
      <c r="BC17" s="5">
        <f>-'INVENTARIO PRODUCTO TERMINADO'!BB18</f>
        <v>0</v>
      </c>
      <c r="BD17" s="5"/>
      <c r="BE17" s="5">
        <f>-'INVENTARIO PRODUCTO TERMINADO'!BD18</f>
        <v>0</v>
      </c>
      <c r="BF17" s="5"/>
      <c r="BG17" s="5">
        <f>-'INVENTARIO PRODUCTO TERMINADO'!BF18</f>
        <v>0</v>
      </c>
      <c r="BH17" s="5"/>
      <c r="BI17" s="5">
        <f>-'INVENTARIO PRODUCTO TERMINADO'!BH18</f>
        <v>0</v>
      </c>
      <c r="BJ17" s="5"/>
      <c r="BK17" s="5">
        <f>-'INVENTARIO PRODUCTO TERMINADO'!BJ18</f>
        <v>0</v>
      </c>
      <c r="BL17" s="5"/>
      <c r="BM17" s="5">
        <f>-'INVENTARIO PRODUCTO TERMINADO'!BL18</f>
        <v>0</v>
      </c>
      <c r="BN17" s="5"/>
      <c r="BO17" s="5">
        <f>-'INVENTARIO PRODUCTO TERMINADO'!BN18</f>
        <v>0</v>
      </c>
      <c r="BP17" s="5"/>
      <c r="BQ17" s="5">
        <f>-'INVENTARIO PRODUCTO TERMINADO'!BP18</f>
        <v>0</v>
      </c>
      <c r="BR17" s="5"/>
      <c r="BS17" s="5">
        <f>-'INVENTARIO PRODUCTO TERMINADO'!BR18</f>
        <v>0</v>
      </c>
      <c r="BT17" s="5"/>
      <c r="BU17" s="5">
        <f>-'INVENTARIO PRODUCTO TERMINADO'!BT18</f>
        <v>0</v>
      </c>
      <c r="BV17" s="5"/>
      <c r="BW17" s="5">
        <f>-'INVENTARIO PRODUCTO TERMINADO'!BV18</f>
        <v>0</v>
      </c>
      <c r="BX17" s="5"/>
      <c r="BY17" s="5">
        <f>-'INVENTARIO PRODUCTO TERMINADO'!BX18</f>
        <v>0</v>
      </c>
      <c r="BZ17" s="5"/>
      <c r="CA17" s="5">
        <f>-'INVENTARIO PRODUCTO TERMINADO'!BZ18</f>
        <v>0</v>
      </c>
      <c r="CB17" s="5"/>
      <c r="CC17" s="5">
        <f>-'INVENTARIO PRODUCTO TERMINADO'!CB18</f>
        <v>0</v>
      </c>
      <c r="CD17" s="5"/>
      <c r="CE17" s="5">
        <f>-'INVENTARIO PRODUCTO TERMINADO'!CD18</f>
        <v>0</v>
      </c>
      <c r="CF17" s="5"/>
      <c r="CG17" s="5">
        <f>-'INVENTARIO PRODUCTO TERMINADO'!CF18</f>
        <v>0</v>
      </c>
      <c r="CH17" s="5"/>
      <c r="CI17" s="5">
        <f>-'INVENTARIO PRODUCTO TERMINADO'!CH18</f>
        <v>0</v>
      </c>
      <c r="CJ17" s="5">
        <v>105</v>
      </c>
      <c r="CK17" s="5">
        <f>-'INVENTARIO PRODUCTO TERMINADO'!CJ18</f>
        <v>0</v>
      </c>
      <c r="CL17" s="5"/>
      <c r="CM17" s="5">
        <f>-'INVENTARIO PRODUCTO TERMINADO'!CL18</f>
        <v>0</v>
      </c>
    </row>
    <row r="18" spans="1:91" x14ac:dyDescent="0.25">
      <c r="A18" s="2" t="s">
        <v>294</v>
      </c>
      <c r="B18" s="3" t="s">
        <v>29</v>
      </c>
      <c r="C18" s="57"/>
      <c r="D18" s="6">
        <f t="shared" si="1"/>
        <v>410</v>
      </c>
      <c r="E18" s="4">
        <v>300</v>
      </c>
      <c r="F18" s="4">
        <f>D18-E18</f>
        <v>110</v>
      </c>
      <c r="G18" s="233">
        <v>0</v>
      </c>
      <c r="H18" s="5"/>
      <c r="I18" s="5">
        <f>-'INVENTARIO PRODUCTO TERMINADO'!H19</f>
        <v>0</v>
      </c>
      <c r="J18" s="74"/>
      <c r="K18" s="5">
        <f>-'INVENTARIO PRODUCTO TERMINADO'!J19</f>
        <v>0</v>
      </c>
      <c r="L18" s="5"/>
      <c r="M18" s="5">
        <f>-'INVENTARIO PRODUCTO TERMINADO'!L19</f>
        <v>0</v>
      </c>
      <c r="N18" s="5"/>
      <c r="O18" s="5">
        <f>-'INVENTARIO PRODUCTO TERMINADO'!N19</f>
        <v>0</v>
      </c>
      <c r="P18" s="5"/>
      <c r="Q18" s="5">
        <f>-'INVENTARIO PRODUCTO TERMINADO'!P19</f>
        <v>0</v>
      </c>
      <c r="R18" s="5"/>
      <c r="S18" s="5">
        <f>-'INVENTARIO PRODUCTO TERMINADO'!R19</f>
        <v>0</v>
      </c>
      <c r="T18" s="5"/>
      <c r="U18" s="5">
        <f>-'INVENTARIO PRODUCTO TERMINADO'!T19</f>
        <v>0</v>
      </c>
      <c r="V18" s="5"/>
      <c r="W18" s="5">
        <f>-'INVENTARIO PRODUCTO TERMINADO'!V19</f>
        <v>0</v>
      </c>
      <c r="X18" s="5"/>
      <c r="Y18" s="5">
        <f>-'INVENTARIO PRODUCTO TERMINADO'!X19</f>
        <v>0</v>
      </c>
      <c r="Z18" s="5"/>
      <c r="AA18" s="5">
        <f>-'INVENTARIO PRODUCTO TERMINADO'!Z19</f>
        <v>0</v>
      </c>
      <c r="AB18" s="5"/>
      <c r="AC18" s="5">
        <f>-'INVENTARIO PRODUCTO TERMINADO'!AB19</f>
        <v>0</v>
      </c>
      <c r="AD18" s="5">
        <v>599</v>
      </c>
      <c r="AE18" s="5">
        <f>-'INVENTARIO PRODUCTO TERMINADO'!AD19</f>
        <v>0</v>
      </c>
      <c r="AF18" s="5"/>
      <c r="AG18" s="5">
        <f>-'INVENTARIO PRODUCTO TERMINADO'!AF19</f>
        <v>0</v>
      </c>
      <c r="AH18" s="5"/>
      <c r="AI18" s="5">
        <f>-'INVENTARIO PRODUCTO TERMINADO'!AH19</f>
        <v>-135</v>
      </c>
      <c r="AJ18" s="5">
        <v>2</v>
      </c>
      <c r="AK18" s="5">
        <f>-'INVENTARIO PRODUCTO TERMINADO'!AJ19</f>
        <v>0</v>
      </c>
      <c r="AL18" s="5"/>
      <c r="AM18" s="5">
        <f>-'INVENTARIO PRODUCTO TERMINADO'!AL19</f>
        <v>0</v>
      </c>
      <c r="AN18" s="5"/>
      <c r="AO18" s="5">
        <f>-'INVENTARIO PRODUCTO TERMINADO'!AN19</f>
        <v>0</v>
      </c>
      <c r="AP18" s="5"/>
      <c r="AQ18" s="5">
        <f>-'INVENTARIO PRODUCTO TERMINADO'!AP19</f>
        <v>-8</v>
      </c>
      <c r="AR18" s="5"/>
      <c r="AS18" s="5">
        <f>-'INVENTARIO PRODUCTO TERMINADO'!AR19</f>
        <v>0</v>
      </c>
      <c r="AT18" s="206"/>
      <c r="AU18" s="5">
        <f>-'INVENTARIO PRODUCTO TERMINADO'!AT19</f>
        <v>0</v>
      </c>
      <c r="AV18" s="5"/>
      <c r="AW18" s="5">
        <f>-'INVENTARIO PRODUCTO TERMINADO'!AV19</f>
        <v>0</v>
      </c>
      <c r="AX18" s="5"/>
      <c r="AY18" s="5">
        <f>-'INVENTARIO PRODUCTO TERMINADO'!AX19</f>
        <v>0</v>
      </c>
      <c r="AZ18" s="5"/>
      <c r="BA18" s="5">
        <f>-'INVENTARIO PRODUCTO TERMINADO'!AZ19</f>
        <v>0</v>
      </c>
      <c r="BB18" s="5"/>
      <c r="BC18" s="5">
        <f>-'INVENTARIO PRODUCTO TERMINADO'!BB19</f>
        <v>0</v>
      </c>
      <c r="BD18" s="5"/>
      <c r="BE18" s="5">
        <f>-'INVENTARIO PRODUCTO TERMINADO'!BD19</f>
        <v>0</v>
      </c>
      <c r="BF18" s="5"/>
      <c r="BG18" s="5">
        <f>-'INVENTARIO PRODUCTO TERMINADO'!BF19</f>
        <v>0</v>
      </c>
      <c r="BH18" s="5"/>
      <c r="BI18" s="5">
        <f>-'INVENTARIO PRODUCTO TERMINADO'!BH19</f>
        <v>0</v>
      </c>
      <c r="BJ18" s="5"/>
      <c r="BK18" s="5">
        <f>-'INVENTARIO PRODUCTO TERMINADO'!BJ19</f>
        <v>0</v>
      </c>
      <c r="BL18" s="5"/>
      <c r="BM18" s="5">
        <f>-'INVENTARIO PRODUCTO TERMINADO'!BL19</f>
        <v>0</v>
      </c>
      <c r="BN18" s="5"/>
      <c r="BO18" s="5">
        <f>-'INVENTARIO PRODUCTO TERMINADO'!BN19</f>
        <v>0</v>
      </c>
      <c r="BP18" s="5"/>
      <c r="BQ18" s="5">
        <f>-'INVENTARIO PRODUCTO TERMINADO'!BP19</f>
        <v>0</v>
      </c>
      <c r="BR18" s="5"/>
      <c r="BS18" s="5">
        <f>-'INVENTARIO PRODUCTO TERMINADO'!BR19</f>
        <v>0</v>
      </c>
      <c r="BT18" s="5">
        <v>3</v>
      </c>
      <c r="BU18" s="5">
        <f>-'INVENTARIO PRODUCTO TERMINADO'!BT19</f>
        <v>0</v>
      </c>
      <c r="BV18" s="5"/>
      <c r="BW18" s="5">
        <f>-'INVENTARIO PRODUCTO TERMINADO'!BV19</f>
        <v>0</v>
      </c>
      <c r="BX18" s="5"/>
      <c r="BY18" s="5">
        <f>-'INVENTARIO PRODUCTO TERMINADO'!BX19</f>
        <v>0</v>
      </c>
      <c r="BZ18" s="5"/>
      <c r="CA18" s="5">
        <f>-'INVENTARIO PRODUCTO TERMINADO'!BZ19</f>
        <v>0</v>
      </c>
      <c r="CB18" s="5"/>
      <c r="CC18" s="5">
        <f>-'INVENTARIO PRODUCTO TERMINADO'!CB19</f>
        <v>0</v>
      </c>
      <c r="CD18" s="5"/>
      <c r="CE18" s="5">
        <f>-'INVENTARIO PRODUCTO TERMINADO'!CD19</f>
        <v>0</v>
      </c>
      <c r="CF18" s="5"/>
      <c r="CG18" s="5">
        <f>-'INVENTARIO PRODUCTO TERMINADO'!CF19</f>
        <v>-51</v>
      </c>
      <c r="CH18" s="5"/>
      <c r="CI18" s="5">
        <f>-'INVENTARIO PRODUCTO TERMINADO'!CH19</f>
        <v>0</v>
      </c>
      <c r="CJ18" s="5"/>
      <c r="CK18" s="5">
        <f>-'INVENTARIO PRODUCTO TERMINADO'!CJ19</f>
        <v>0</v>
      </c>
      <c r="CL18" s="5"/>
      <c r="CM18" s="5">
        <f>-'INVENTARIO PRODUCTO TERMINADO'!CL19</f>
        <v>0</v>
      </c>
    </row>
    <row r="19" spans="1:91" s="75" customFormat="1" x14ac:dyDescent="0.25">
      <c r="A19" s="2" t="s">
        <v>295</v>
      </c>
      <c r="B19" s="59" t="s">
        <v>212</v>
      </c>
      <c r="C19" s="60"/>
      <c r="D19" s="6">
        <f>SUM(G19:CM19)</f>
        <v>300</v>
      </c>
      <c r="E19" s="61">
        <v>300</v>
      </c>
      <c r="F19" s="4">
        <f>+D19-E19</f>
        <v>0</v>
      </c>
      <c r="G19" s="233">
        <v>13</v>
      </c>
      <c r="H19" s="58"/>
      <c r="I19" s="5">
        <f>-'INVENTARIO PRODUCTO TERMINADO'!H20</f>
        <v>0</v>
      </c>
      <c r="J19" s="58"/>
      <c r="K19" s="5">
        <f>-'INVENTARIO PRODUCTO TERMINADO'!J20</f>
        <v>0</v>
      </c>
      <c r="L19" s="58"/>
      <c r="M19" s="5">
        <f>-'INVENTARIO PRODUCTO TERMINADO'!L20</f>
        <v>0</v>
      </c>
      <c r="N19" s="58">
        <v>310</v>
      </c>
      <c r="O19" s="5">
        <f>-'INVENTARIO PRODUCTO TERMINADO'!N20</f>
        <v>0</v>
      </c>
      <c r="P19" s="58"/>
      <c r="Q19" s="5">
        <f>-'INVENTARIO PRODUCTO TERMINADO'!P20</f>
        <v>0</v>
      </c>
      <c r="R19" s="58"/>
      <c r="S19" s="5">
        <f>-'INVENTARIO PRODUCTO TERMINADO'!R20</f>
        <v>-64</v>
      </c>
      <c r="T19" s="58"/>
      <c r="U19" s="5">
        <f>-'INVENTARIO PRODUCTO TERMINADO'!T20</f>
        <v>0</v>
      </c>
      <c r="V19" s="58"/>
      <c r="W19" s="5">
        <f>-'INVENTARIO PRODUCTO TERMINADO'!V20</f>
        <v>-203</v>
      </c>
      <c r="X19" s="58"/>
      <c r="Y19" s="5">
        <f>-'INVENTARIO PRODUCTO TERMINADO'!X20</f>
        <v>0</v>
      </c>
      <c r="Z19" s="58"/>
      <c r="AA19" s="5">
        <f>-'INVENTARIO PRODUCTO TERMINADO'!Z20</f>
        <v>0</v>
      </c>
      <c r="AB19" s="58"/>
      <c r="AC19" s="5">
        <f>-'INVENTARIO PRODUCTO TERMINADO'!AB20</f>
        <v>0</v>
      </c>
      <c r="AD19" s="75">
        <v>500</v>
      </c>
      <c r="AE19" s="5">
        <f>-'INVENTARIO PRODUCTO TERMINADO'!AD20</f>
        <v>0</v>
      </c>
      <c r="AF19" s="58"/>
      <c r="AG19" s="5">
        <f>-'INVENTARIO PRODUCTO TERMINADO'!AF20</f>
        <v>0</v>
      </c>
      <c r="AH19" s="58"/>
      <c r="AI19" s="5">
        <f>-'INVENTARIO PRODUCTO TERMINADO'!AH20</f>
        <v>0</v>
      </c>
      <c r="AJ19" s="58"/>
      <c r="AK19" s="5">
        <f>-'INVENTARIO PRODUCTO TERMINADO'!AJ20</f>
        <v>0</v>
      </c>
      <c r="AL19" s="58"/>
      <c r="AM19" s="5">
        <f>-'INVENTARIO PRODUCTO TERMINADO'!AL20</f>
        <v>0</v>
      </c>
      <c r="AN19" s="58"/>
      <c r="AO19" s="5">
        <f>-'INVENTARIO PRODUCTO TERMINADO'!AN20</f>
        <v>0</v>
      </c>
      <c r="AP19" s="58"/>
      <c r="AQ19" s="5">
        <f>-'INVENTARIO PRODUCTO TERMINADO'!AP20</f>
        <v>-130</v>
      </c>
      <c r="AR19" s="58"/>
      <c r="AS19" s="5">
        <f>-'INVENTARIO PRODUCTO TERMINADO'!AR20</f>
        <v>0</v>
      </c>
      <c r="AT19" s="207"/>
      <c r="AU19" s="5">
        <f>-'INVENTARIO PRODUCTO TERMINADO'!AT20</f>
        <v>0</v>
      </c>
      <c r="AV19" s="58"/>
      <c r="AW19" s="5">
        <f>-'INVENTARIO PRODUCTO TERMINADO'!AV20</f>
        <v>-174</v>
      </c>
      <c r="AX19" s="58"/>
      <c r="AY19" s="5">
        <f>-'INVENTARIO PRODUCTO TERMINADO'!AX20</f>
        <v>0</v>
      </c>
      <c r="AZ19" s="58"/>
      <c r="BA19" s="5">
        <f>-'INVENTARIO PRODUCTO TERMINADO'!AZ20</f>
        <v>0</v>
      </c>
      <c r="BB19" s="58"/>
      <c r="BC19" s="5">
        <f>-'INVENTARIO PRODUCTO TERMINADO'!BB20</f>
        <v>0</v>
      </c>
      <c r="BD19" s="58"/>
      <c r="BE19" s="5">
        <f>-'INVENTARIO PRODUCTO TERMINADO'!BD20</f>
        <v>0</v>
      </c>
      <c r="BF19" s="73"/>
      <c r="BG19" s="5">
        <f>-'INVENTARIO PRODUCTO TERMINADO'!BF20</f>
        <v>0</v>
      </c>
      <c r="BH19" s="58"/>
      <c r="BI19" s="5">
        <f>-'INVENTARIO PRODUCTO TERMINADO'!BH20</f>
        <v>0</v>
      </c>
      <c r="BJ19" s="73"/>
      <c r="BK19" s="5">
        <f>-'INVENTARIO PRODUCTO TERMINADO'!BJ20</f>
        <v>0</v>
      </c>
      <c r="BL19" s="58"/>
      <c r="BM19" s="5">
        <f>-'INVENTARIO PRODUCTO TERMINADO'!BL20</f>
        <v>-2</v>
      </c>
      <c r="BN19" s="58"/>
      <c r="BO19" s="5">
        <f>-'INVENTARIO PRODUCTO TERMINADO'!BN20</f>
        <v>0</v>
      </c>
      <c r="BP19" s="58"/>
      <c r="BQ19" s="5">
        <f>-'INVENTARIO PRODUCTO TERMINADO'!BP20</f>
        <v>0</v>
      </c>
      <c r="BR19" s="58"/>
      <c r="BS19" s="5">
        <f>-'INVENTARIO PRODUCTO TERMINADO'!BR20</f>
        <v>-212</v>
      </c>
      <c r="BT19" s="58"/>
      <c r="BU19" s="5">
        <f>-'INVENTARIO PRODUCTO TERMINADO'!BT20</f>
        <v>0</v>
      </c>
      <c r="BV19" s="58"/>
      <c r="BW19" s="5">
        <f>-'INVENTARIO PRODUCTO TERMINADO'!BV20</f>
        <v>0</v>
      </c>
      <c r="BX19" s="58"/>
      <c r="BY19" s="5">
        <f>-'INVENTARIO PRODUCTO TERMINADO'!BX20</f>
        <v>-8</v>
      </c>
      <c r="BZ19" s="58"/>
      <c r="CA19" s="5">
        <f>-'INVENTARIO PRODUCTO TERMINADO'!BZ20</f>
        <v>0</v>
      </c>
      <c r="CB19" s="58"/>
      <c r="CC19" s="5">
        <f>-'INVENTARIO PRODUCTO TERMINADO'!CB20</f>
        <v>0</v>
      </c>
      <c r="CD19" s="5"/>
      <c r="CE19" s="5">
        <f>-'INVENTARIO PRODUCTO TERMINADO'!CD20</f>
        <v>0</v>
      </c>
      <c r="CF19" s="5"/>
      <c r="CG19" s="5">
        <f>-'INVENTARIO PRODUCTO TERMINADO'!CF20</f>
        <v>-30</v>
      </c>
      <c r="CH19" s="5"/>
      <c r="CI19" s="5">
        <f>-'INVENTARIO PRODUCTO TERMINADO'!CH20</f>
        <v>0</v>
      </c>
      <c r="CJ19" s="5">
        <f>300+34</f>
        <v>334</v>
      </c>
      <c r="CK19" s="5">
        <f>-'INVENTARIO PRODUCTO TERMINADO'!CJ20</f>
        <v>-34</v>
      </c>
      <c r="CL19" s="5"/>
      <c r="CM19" s="5">
        <f>-'INVENTARIO PRODUCTO TERMINADO'!CL20</f>
        <v>0</v>
      </c>
    </row>
    <row r="20" spans="1:91" s="219" customFormat="1" ht="15.75" x14ac:dyDescent="0.25">
      <c r="A20" s="211">
        <v>3</v>
      </c>
      <c r="B20" s="222" t="s">
        <v>302</v>
      </c>
      <c r="C20" s="212"/>
      <c r="D20" s="213"/>
      <c r="E20" s="214"/>
      <c r="F20" s="214"/>
      <c r="G20" s="215"/>
      <c r="H20" s="216"/>
      <c r="I20" s="216"/>
      <c r="J20" s="216"/>
      <c r="K20" s="216"/>
      <c r="L20" s="215"/>
      <c r="M20" s="216"/>
      <c r="N20" s="216"/>
      <c r="O20" s="216"/>
      <c r="P20" s="215"/>
      <c r="Q20" s="217"/>
      <c r="R20" s="215"/>
      <c r="S20" s="217"/>
      <c r="T20" s="216"/>
      <c r="U20" s="216"/>
      <c r="V20" s="215"/>
      <c r="W20" s="218"/>
      <c r="X20" s="216"/>
      <c r="Y20" s="217"/>
      <c r="Z20" s="217"/>
      <c r="AA20" s="218"/>
      <c r="AB20" s="215"/>
      <c r="AC20" s="216"/>
      <c r="AD20" s="215"/>
      <c r="AE20" s="216"/>
      <c r="AF20" s="215"/>
      <c r="AG20" s="217"/>
      <c r="AH20" s="215"/>
      <c r="AI20" s="217"/>
      <c r="AJ20" s="215"/>
      <c r="AK20" s="216"/>
      <c r="AL20" s="215"/>
      <c r="AM20" s="216"/>
      <c r="AN20" s="215"/>
      <c r="AO20" s="216"/>
      <c r="AP20" s="215"/>
      <c r="AQ20" s="217"/>
      <c r="AR20" s="215"/>
      <c r="AS20" s="216"/>
      <c r="AT20" s="215"/>
      <c r="AU20" s="216"/>
      <c r="AV20" s="215"/>
      <c r="AW20" s="216"/>
      <c r="AX20" s="215"/>
      <c r="AY20" s="217"/>
      <c r="AZ20" s="215"/>
      <c r="BA20" s="216"/>
      <c r="BB20" s="215"/>
      <c r="BC20" s="216"/>
      <c r="BD20" s="215"/>
      <c r="BE20" s="217"/>
      <c r="BF20" s="215"/>
      <c r="BG20" s="216"/>
      <c r="BH20" s="215"/>
      <c r="BI20" s="216"/>
      <c r="BJ20" s="215"/>
      <c r="BK20" s="217"/>
      <c r="BL20" s="215"/>
      <c r="BM20" s="216"/>
      <c r="BN20" s="215"/>
      <c r="BO20" s="216"/>
      <c r="BP20" s="215"/>
      <c r="BQ20" s="217"/>
      <c r="BR20" s="217"/>
      <c r="BS20" s="216"/>
      <c r="BT20" s="215"/>
      <c r="BU20" s="216"/>
      <c r="BV20" s="215"/>
      <c r="BW20" s="215"/>
      <c r="BX20" s="215"/>
      <c r="BY20" s="215"/>
      <c r="BZ20" s="215"/>
      <c r="CA20" s="217"/>
      <c r="CB20" s="216"/>
      <c r="CC20" s="215"/>
      <c r="CD20" s="215"/>
      <c r="CE20" s="217"/>
      <c r="CF20" s="215"/>
      <c r="CG20" s="215"/>
      <c r="CH20" s="215"/>
      <c r="CI20" s="215"/>
      <c r="CJ20" s="215"/>
      <c r="CK20" s="215"/>
      <c r="CL20" s="215"/>
      <c r="CM20" s="215"/>
    </row>
    <row r="21" spans="1:91" x14ac:dyDescent="0.25">
      <c r="A21" s="2" t="s">
        <v>296</v>
      </c>
      <c r="B21" s="3" t="s">
        <v>251</v>
      </c>
      <c r="C21" s="57"/>
      <c r="D21" s="6">
        <f>SUM(G21:CM21)</f>
        <v>526</v>
      </c>
      <c r="E21" s="4">
        <v>100</v>
      </c>
      <c r="F21" s="4">
        <f>D21-E21</f>
        <v>426</v>
      </c>
      <c r="G21" s="233">
        <v>660</v>
      </c>
      <c r="H21" s="5"/>
      <c r="I21" s="5">
        <f>-'INVENTARIO PRODUCTO TERMINADO'!H22</f>
        <v>0</v>
      </c>
      <c r="J21" s="5"/>
      <c r="K21" s="5">
        <f>-'INVENTARIO PRODUCTO TERMINADO'!J22</f>
        <v>0</v>
      </c>
      <c r="L21" s="5"/>
      <c r="M21" s="5">
        <f>-'INVENTARIO PRODUCTO TERMINADO'!L22</f>
        <v>0</v>
      </c>
      <c r="N21" s="5"/>
      <c r="O21" s="5">
        <f>-'INVENTARIO PRODUCTO TERMINADO'!N22</f>
        <v>0</v>
      </c>
      <c r="P21" s="5"/>
      <c r="Q21" s="5">
        <f>-'INVENTARIO PRODUCTO TERMINADO'!P22</f>
        <v>0</v>
      </c>
      <c r="R21" s="5"/>
      <c r="S21" s="5">
        <f>-'INVENTARIO PRODUCTO TERMINADO'!R22</f>
        <v>0</v>
      </c>
      <c r="T21" s="5"/>
      <c r="U21" s="5">
        <f>-'INVENTARIO PRODUCTO TERMINADO'!T22</f>
        <v>-51</v>
      </c>
      <c r="V21" s="5"/>
      <c r="W21" s="5">
        <f>-'INVENTARIO PRODUCTO TERMINADO'!V22</f>
        <v>0</v>
      </c>
      <c r="X21" s="5"/>
      <c r="Y21" s="5">
        <f>-'INVENTARIO PRODUCTO TERMINADO'!X22</f>
        <v>0</v>
      </c>
      <c r="Z21" s="5"/>
      <c r="AA21" s="5">
        <f>-'INVENTARIO PRODUCTO TERMINADO'!Z22</f>
        <v>0</v>
      </c>
      <c r="AB21" s="5"/>
      <c r="AC21" s="5">
        <f>-'INVENTARIO PRODUCTO TERMINADO'!AB22</f>
        <v>0</v>
      </c>
      <c r="AD21" s="5"/>
      <c r="AE21" s="5">
        <f>-'INVENTARIO PRODUCTO TERMINADO'!AD22</f>
        <v>0</v>
      </c>
      <c r="AF21" s="5"/>
      <c r="AG21" s="5">
        <f>-'INVENTARIO PRODUCTO TERMINADO'!AF22</f>
        <v>0</v>
      </c>
      <c r="AH21" s="5"/>
      <c r="AI21" s="5">
        <f>-'INVENTARIO PRODUCTO TERMINADO'!AH22</f>
        <v>0</v>
      </c>
      <c r="AJ21" s="5"/>
      <c r="AK21" s="5">
        <f>-'INVENTARIO PRODUCTO TERMINADO'!AJ22</f>
        <v>0</v>
      </c>
      <c r="AL21" s="5"/>
      <c r="AM21" s="5">
        <f>-'INVENTARIO PRODUCTO TERMINADO'!AL22</f>
        <v>-63</v>
      </c>
      <c r="AN21" s="5"/>
      <c r="AO21" s="5">
        <f>-'INVENTARIO PRODUCTO TERMINADO'!AN22</f>
        <v>0</v>
      </c>
      <c r="AP21" s="5"/>
      <c r="AQ21" s="5">
        <f>-'INVENTARIO PRODUCTO TERMINADO'!AP22</f>
        <v>0</v>
      </c>
      <c r="AR21" s="5"/>
      <c r="AS21" s="5">
        <f>-'INVENTARIO PRODUCTO TERMINADO'!AR22</f>
        <v>0</v>
      </c>
      <c r="AT21" s="71"/>
      <c r="AU21" s="5">
        <f>-'INVENTARIO PRODUCTO TERMINADO'!AT22</f>
        <v>0</v>
      </c>
      <c r="AV21" s="5"/>
      <c r="AW21" s="5">
        <f>-'INVENTARIO PRODUCTO TERMINADO'!AV22</f>
        <v>0</v>
      </c>
      <c r="AX21" s="5"/>
      <c r="AY21" s="5">
        <f>-'INVENTARIO PRODUCTO TERMINADO'!AX22</f>
        <v>0</v>
      </c>
      <c r="AZ21" s="5"/>
      <c r="BA21" s="5">
        <f>-'INVENTARIO PRODUCTO TERMINADO'!AZ22</f>
        <v>0</v>
      </c>
      <c r="BB21" s="5"/>
      <c r="BC21" s="5">
        <f>-'INVENTARIO PRODUCTO TERMINADO'!BB22</f>
        <v>0</v>
      </c>
      <c r="BD21" s="5"/>
      <c r="BE21" s="5">
        <f>-'INVENTARIO PRODUCTO TERMINADO'!BD22</f>
        <v>0</v>
      </c>
      <c r="BF21" s="5"/>
      <c r="BG21" s="5">
        <f>-'INVENTARIO PRODUCTO TERMINADO'!BF22</f>
        <v>0</v>
      </c>
      <c r="BH21" s="5"/>
      <c r="BI21" s="5">
        <f>-'INVENTARIO PRODUCTO TERMINADO'!BH22</f>
        <v>0</v>
      </c>
      <c r="BJ21" s="5"/>
      <c r="BK21" s="5">
        <f>-'INVENTARIO PRODUCTO TERMINADO'!BJ22</f>
        <v>0</v>
      </c>
      <c r="BL21" s="5"/>
      <c r="BM21" s="5">
        <f>-'INVENTARIO PRODUCTO TERMINADO'!BL22</f>
        <v>0</v>
      </c>
      <c r="BN21" s="5"/>
      <c r="BO21" s="5">
        <f>-'INVENTARIO PRODUCTO TERMINADO'!BN22</f>
        <v>0</v>
      </c>
      <c r="BP21" s="5"/>
      <c r="BQ21" s="5">
        <f>-'INVENTARIO PRODUCTO TERMINADO'!BP22</f>
        <v>-20</v>
      </c>
      <c r="BR21" s="5"/>
      <c r="BS21" s="5">
        <f>-'INVENTARIO PRODUCTO TERMINADO'!BR22</f>
        <v>0</v>
      </c>
      <c r="BT21" s="5"/>
      <c r="BU21" s="5">
        <f>-'INVENTARIO PRODUCTO TERMINADO'!BT22</f>
        <v>0</v>
      </c>
      <c r="BV21" s="5"/>
      <c r="BW21" s="5">
        <f>-'INVENTARIO PRODUCTO TERMINADO'!BV22</f>
        <v>0</v>
      </c>
      <c r="BX21" s="5"/>
      <c r="BY21" s="5">
        <f>-'INVENTARIO PRODUCTO TERMINADO'!BX22</f>
        <v>0</v>
      </c>
      <c r="BZ21" s="5"/>
      <c r="CA21" s="5">
        <f>-'INVENTARIO PRODUCTO TERMINADO'!BZ22</f>
        <v>0</v>
      </c>
      <c r="CB21" s="5"/>
      <c r="CC21" s="5">
        <f>-'INVENTARIO PRODUCTO TERMINADO'!CB22</f>
        <v>0</v>
      </c>
      <c r="CD21" s="5"/>
      <c r="CE21" s="5">
        <f>-'INVENTARIO PRODUCTO TERMINADO'!CD22</f>
        <v>0</v>
      </c>
      <c r="CF21" s="5"/>
      <c r="CG21" s="5">
        <f>-'INVENTARIO PRODUCTO TERMINADO'!CF22</f>
        <v>0</v>
      </c>
      <c r="CH21" s="5"/>
      <c r="CI21" s="5">
        <f>-'INVENTARIO PRODUCTO TERMINADO'!CH22</f>
        <v>0</v>
      </c>
      <c r="CJ21" s="5"/>
      <c r="CK21" s="5">
        <f>-'INVENTARIO PRODUCTO TERMINADO'!CJ22</f>
        <v>0</v>
      </c>
      <c r="CL21" s="5"/>
      <c r="CM21" s="5">
        <f>-'INVENTARIO PRODUCTO TERMINADO'!CL22</f>
        <v>0</v>
      </c>
    </row>
    <row r="22" spans="1:91" x14ac:dyDescent="0.25">
      <c r="A22" s="2" t="s">
        <v>297</v>
      </c>
      <c r="B22" s="3" t="s">
        <v>252</v>
      </c>
      <c r="C22" s="57"/>
      <c r="D22" s="6">
        <f t="shared" ref="D22:D26" si="2">SUM(G22:CM22)</f>
        <v>383</v>
      </c>
      <c r="E22" s="4">
        <v>100</v>
      </c>
      <c r="F22" s="4">
        <f t="shared" ref="F22:F27" si="3">+D22-E22</f>
        <v>283</v>
      </c>
      <c r="G22" s="233">
        <v>506</v>
      </c>
      <c r="H22" s="5"/>
      <c r="I22" s="5">
        <f>-'INVENTARIO PRODUCTO TERMINADO'!H23</f>
        <v>0</v>
      </c>
      <c r="J22" s="5"/>
      <c r="K22" s="5">
        <f>-'INVENTARIO PRODUCTO TERMINADO'!J23</f>
        <v>0</v>
      </c>
      <c r="L22" s="5"/>
      <c r="M22" s="5">
        <f>-'INVENTARIO PRODUCTO TERMINADO'!L23</f>
        <v>0</v>
      </c>
      <c r="N22" s="5"/>
      <c r="O22" s="5">
        <f>-'INVENTARIO PRODUCTO TERMINADO'!N23</f>
        <v>0</v>
      </c>
      <c r="P22" s="5"/>
      <c r="Q22" s="5">
        <f>-'INVENTARIO PRODUCTO TERMINADO'!P23</f>
        <v>0</v>
      </c>
      <c r="R22" s="5">
        <f>481-466</f>
        <v>15</v>
      </c>
      <c r="S22" s="5">
        <f>-'INVENTARIO PRODUCTO TERMINADO'!R23</f>
        <v>0</v>
      </c>
      <c r="T22" s="5"/>
      <c r="U22" s="5">
        <f>-'INVENTARIO PRODUCTO TERMINADO'!T23</f>
        <v>-41</v>
      </c>
      <c r="V22" s="5"/>
      <c r="W22" s="5">
        <f>-'INVENTARIO PRODUCTO TERMINADO'!V23</f>
        <v>0</v>
      </c>
      <c r="X22" s="5"/>
      <c r="Y22" s="5">
        <f>-'INVENTARIO PRODUCTO TERMINADO'!X23</f>
        <v>0</v>
      </c>
      <c r="Z22" s="5"/>
      <c r="AA22" s="5">
        <f>-'INVENTARIO PRODUCTO TERMINADO'!Z23</f>
        <v>0</v>
      </c>
      <c r="AB22" s="5"/>
      <c r="AC22" s="5">
        <f>-'INVENTARIO PRODUCTO TERMINADO'!AB23</f>
        <v>0</v>
      </c>
      <c r="AD22" s="5"/>
      <c r="AE22" s="5">
        <f>-'INVENTARIO PRODUCTO TERMINADO'!AD23</f>
        <v>0</v>
      </c>
      <c r="AF22" s="5"/>
      <c r="AG22" s="5">
        <f>-'INVENTARIO PRODUCTO TERMINADO'!AF23</f>
        <v>0</v>
      </c>
      <c r="AH22" s="5"/>
      <c r="AI22" s="5">
        <f>-'INVENTARIO PRODUCTO TERMINADO'!AH23</f>
        <v>0</v>
      </c>
      <c r="AJ22" s="5"/>
      <c r="AK22" s="5">
        <f>-'INVENTARIO PRODUCTO TERMINADO'!AJ23</f>
        <v>0</v>
      </c>
      <c r="AL22" s="5"/>
      <c r="AM22" s="5">
        <f>-'INVENTARIO PRODUCTO TERMINADO'!AL23</f>
        <v>0</v>
      </c>
      <c r="AN22" s="5"/>
      <c r="AO22" s="5">
        <f>-'INVENTARIO PRODUCTO TERMINADO'!AN23</f>
        <v>0</v>
      </c>
      <c r="AP22" s="5"/>
      <c r="AQ22" s="5">
        <f>-'INVENTARIO PRODUCTO TERMINADO'!AP23</f>
        <v>0</v>
      </c>
      <c r="AR22" s="5"/>
      <c r="AS22" s="5">
        <f>-'INVENTARIO PRODUCTO TERMINADO'!AR23</f>
        <v>0</v>
      </c>
      <c r="AT22" s="71"/>
      <c r="AU22" s="5">
        <f>-'INVENTARIO PRODUCTO TERMINADO'!AT23</f>
        <v>-40</v>
      </c>
      <c r="AV22" s="5"/>
      <c r="AW22" s="5">
        <f>-'INVENTARIO PRODUCTO TERMINADO'!AV23</f>
        <v>0</v>
      </c>
      <c r="AX22" s="5"/>
      <c r="AY22" s="5">
        <f>-'INVENTARIO PRODUCTO TERMINADO'!AX23</f>
        <v>0</v>
      </c>
      <c r="AZ22" s="5">
        <v>5</v>
      </c>
      <c r="BA22" s="5">
        <f>-'INVENTARIO PRODUCTO TERMINADO'!AZ23</f>
        <v>0</v>
      </c>
      <c r="BB22" s="5"/>
      <c r="BC22" s="5">
        <f>-'INVENTARIO PRODUCTO TERMINADO'!BB23</f>
        <v>0</v>
      </c>
      <c r="BD22" s="5"/>
      <c r="BE22" s="5">
        <f>-'INVENTARIO PRODUCTO TERMINADO'!BD23</f>
        <v>0</v>
      </c>
      <c r="BF22" s="5"/>
      <c r="BG22" s="5">
        <f>-'INVENTARIO PRODUCTO TERMINADO'!BF23</f>
        <v>0</v>
      </c>
      <c r="BH22" s="5"/>
      <c r="BI22" s="5">
        <f>-'INVENTARIO PRODUCTO TERMINADO'!BH23</f>
        <v>0</v>
      </c>
      <c r="BJ22" s="5"/>
      <c r="BK22" s="5">
        <f>-'INVENTARIO PRODUCTO TERMINADO'!BJ23</f>
        <v>0</v>
      </c>
      <c r="BL22" s="5"/>
      <c r="BM22" s="5">
        <f>-'INVENTARIO PRODUCTO TERMINADO'!BL23</f>
        <v>0</v>
      </c>
      <c r="BN22" s="5"/>
      <c r="BO22" s="5">
        <f>-'INVENTARIO PRODUCTO TERMINADO'!BN23</f>
        <v>0</v>
      </c>
      <c r="BP22" s="5"/>
      <c r="BQ22" s="5">
        <f>-'INVENTARIO PRODUCTO TERMINADO'!BP23</f>
        <v>-20</v>
      </c>
      <c r="BR22" s="5"/>
      <c r="BS22" s="5">
        <f>-'INVENTARIO PRODUCTO TERMINADO'!BR23</f>
        <v>0</v>
      </c>
      <c r="BT22" s="5"/>
      <c r="BU22" s="5">
        <f>-'INVENTARIO PRODUCTO TERMINADO'!BT23</f>
        <v>0</v>
      </c>
      <c r="BV22" s="5"/>
      <c r="BW22" s="5">
        <f>-'INVENTARIO PRODUCTO TERMINADO'!BV23</f>
        <v>0</v>
      </c>
      <c r="BX22" s="5"/>
      <c r="BY22" s="5">
        <f>-'INVENTARIO PRODUCTO TERMINADO'!BX23</f>
        <v>0</v>
      </c>
      <c r="BZ22" s="5"/>
      <c r="CA22" s="5">
        <f>-'INVENTARIO PRODUCTO TERMINADO'!BZ23</f>
        <v>0</v>
      </c>
      <c r="CB22" s="5"/>
      <c r="CC22" s="5">
        <f>-'INVENTARIO PRODUCTO TERMINADO'!CB23</f>
        <v>-42</v>
      </c>
      <c r="CD22" s="5"/>
      <c r="CE22" s="5">
        <f>-'INVENTARIO PRODUCTO TERMINADO'!CD23</f>
        <v>0</v>
      </c>
      <c r="CF22" s="5"/>
      <c r="CG22" s="5">
        <f>-'INVENTARIO PRODUCTO TERMINADO'!CF23</f>
        <v>0</v>
      </c>
      <c r="CH22" s="5"/>
      <c r="CI22" s="5">
        <f>-'INVENTARIO PRODUCTO TERMINADO'!CH23</f>
        <v>0</v>
      </c>
      <c r="CJ22" s="5"/>
      <c r="CK22" s="5">
        <f>-'INVENTARIO PRODUCTO TERMINADO'!CJ23</f>
        <v>0</v>
      </c>
      <c r="CL22" s="5"/>
      <c r="CM22" s="5">
        <f>-'INVENTARIO PRODUCTO TERMINADO'!CL23</f>
        <v>0</v>
      </c>
    </row>
    <row r="23" spans="1:91" x14ac:dyDescent="0.25">
      <c r="A23" s="2" t="s">
        <v>286</v>
      </c>
      <c r="B23" s="3" t="s">
        <v>250</v>
      </c>
      <c r="C23" s="57"/>
      <c r="D23" s="6">
        <v>1000</v>
      </c>
      <c r="E23" s="61">
        <v>300</v>
      </c>
      <c r="F23" s="4">
        <f t="shared" si="3"/>
        <v>700</v>
      </c>
      <c r="G23" s="233">
        <v>987</v>
      </c>
      <c r="H23" s="58"/>
      <c r="I23" s="5">
        <f>-'INVENTARIO PRODUCTO TERMINADO'!H24</f>
        <v>0</v>
      </c>
      <c r="J23" s="58"/>
      <c r="K23" s="5">
        <f>-'INVENTARIO PRODUCTO TERMINADO'!J24</f>
        <v>0</v>
      </c>
      <c r="L23" s="130"/>
      <c r="M23" s="5">
        <f>-'INVENTARIO PRODUCTO TERMINADO'!L24</f>
        <v>0</v>
      </c>
      <c r="N23" s="58"/>
      <c r="O23" s="5">
        <f>-'INVENTARIO PRODUCTO TERMINADO'!N24</f>
        <v>0</v>
      </c>
      <c r="P23" s="58"/>
      <c r="Q23" s="5">
        <f>-'INVENTARIO PRODUCTO TERMINADO'!P24</f>
        <v>0</v>
      </c>
      <c r="R23" s="58">
        <f>1006-987</f>
        <v>19</v>
      </c>
      <c r="S23" s="5">
        <f>-'INVENTARIO PRODUCTO TERMINADO'!R24</f>
        <v>0</v>
      </c>
      <c r="T23" s="58"/>
      <c r="U23" s="5">
        <f>-'INVENTARIO PRODUCTO TERMINADO'!T24</f>
        <v>-69</v>
      </c>
      <c r="V23" s="58"/>
      <c r="W23" s="5">
        <f>-'INVENTARIO PRODUCTO TERMINADO'!V24</f>
        <v>0</v>
      </c>
      <c r="X23" s="58"/>
      <c r="Y23" s="5">
        <f>-'INVENTARIO PRODUCTO TERMINADO'!X24</f>
        <v>0</v>
      </c>
      <c r="Z23" s="58"/>
      <c r="AA23" s="5">
        <f>-'INVENTARIO PRODUCTO TERMINADO'!Z24</f>
        <v>0</v>
      </c>
      <c r="AB23" s="58"/>
      <c r="AC23" s="5">
        <f>-'INVENTARIO PRODUCTO TERMINADO'!AB24</f>
        <v>0</v>
      </c>
      <c r="AD23" s="58">
        <v>50</v>
      </c>
      <c r="AE23" s="5">
        <f>-'INVENTARIO PRODUCTO TERMINADO'!AD24</f>
        <v>0</v>
      </c>
      <c r="AF23" s="58"/>
      <c r="AG23" s="5">
        <f>-'INVENTARIO PRODUCTO TERMINADO'!AF24</f>
        <v>0</v>
      </c>
      <c r="AH23" s="58">
        <v>450</v>
      </c>
      <c r="AI23" s="5">
        <f>-'INVENTARIO PRODUCTO TERMINADO'!AH24</f>
        <v>0</v>
      </c>
      <c r="AJ23" s="58"/>
      <c r="AK23" s="5">
        <f>-'INVENTARIO PRODUCTO TERMINADO'!AJ24</f>
        <v>0</v>
      </c>
      <c r="AL23" s="58"/>
      <c r="AM23" s="5">
        <f>-'INVENTARIO PRODUCTO TERMINADO'!AL24</f>
        <v>-105</v>
      </c>
      <c r="AN23" s="58"/>
      <c r="AO23" s="5">
        <f>-'INVENTARIO PRODUCTO TERMINADO'!AN24</f>
        <v>0</v>
      </c>
      <c r="AP23" s="58">
        <v>-1</v>
      </c>
      <c r="AQ23" s="5">
        <f>-'INVENTARIO PRODUCTO TERMINADO'!AP24</f>
        <v>0</v>
      </c>
      <c r="AR23" s="58"/>
      <c r="AS23" s="5">
        <f>-'INVENTARIO PRODUCTO TERMINADO'!AR24</f>
        <v>0</v>
      </c>
      <c r="AT23" s="207"/>
      <c r="AU23" s="5">
        <f>-'INVENTARIO PRODUCTO TERMINADO'!AT24</f>
        <v>0</v>
      </c>
      <c r="AV23" s="58"/>
      <c r="AW23" s="5">
        <f>-'INVENTARIO PRODUCTO TERMINADO'!AV24</f>
        <v>0</v>
      </c>
      <c r="AX23" s="58"/>
      <c r="AY23" s="5">
        <f>-'INVENTARIO PRODUCTO TERMINADO'!AX24</f>
        <v>0</v>
      </c>
      <c r="AZ23" s="58"/>
      <c r="BA23" s="5">
        <f>-'INVENTARIO PRODUCTO TERMINADO'!AZ24</f>
        <v>0</v>
      </c>
      <c r="BB23" s="58"/>
      <c r="BC23" s="5">
        <f>-'INVENTARIO PRODUCTO TERMINADO'!BB24</f>
        <v>0</v>
      </c>
      <c r="BD23" s="58"/>
      <c r="BE23" s="5">
        <f>-'INVENTARIO PRODUCTO TERMINADO'!BD24</f>
        <v>0</v>
      </c>
      <c r="BF23" s="58"/>
      <c r="BG23" s="5">
        <f>-'INVENTARIO PRODUCTO TERMINADO'!BF24</f>
        <v>0</v>
      </c>
      <c r="BH23" s="58"/>
      <c r="BI23" s="5">
        <f>-'INVENTARIO PRODUCTO TERMINADO'!BH24</f>
        <v>0</v>
      </c>
      <c r="BJ23" s="58"/>
      <c r="BK23" s="5">
        <f>-'INVENTARIO PRODUCTO TERMINADO'!BJ24</f>
        <v>0</v>
      </c>
      <c r="BL23" s="58"/>
      <c r="BM23" s="5">
        <f>-'INVENTARIO PRODUCTO TERMINADO'!BL24</f>
        <v>-126</v>
      </c>
      <c r="BN23" s="58"/>
      <c r="BO23" s="5">
        <f>-'INVENTARIO PRODUCTO TERMINADO'!BN24</f>
        <v>0</v>
      </c>
      <c r="BP23" s="58"/>
      <c r="BQ23" s="5">
        <v>-45</v>
      </c>
      <c r="BR23" s="58"/>
      <c r="BS23" s="5">
        <f>-'INVENTARIO PRODUCTO TERMINADO'!BR24</f>
        <v>0</v>
      </c>
      <c r="BT23" s="58"/>
      <c r="BU23" s="5">
        <f>-'INVENTARIO PRODUCTO TERMINADO'!BT24</f>
        <v>0</v>
      </c>
      <c r="BV23" s="58"/>
      <c r="BW23" s="5">
        <f>-'INVENTARIO PRODUCTO TERMINADO'!BV24</f>
        <v>0</v>
      </c>
      <c r="BX23" s="58"/>
      <c r="BY23" s="5">
        <f>-'INVENTARIO PRODUCTO TERMINADO'!BX24</f>
        <v>-105</v>
      </c>
      <c r="BZ23" s="58"/>
      <c r="CA23" s="5">
        <f>-'INVENTARIO PRODUCTO TERMINADO'!BZ24</f>
        <v>0</v>
      </c>
      <c r="CB23" s="58"/>
      <c r="CC23" s="5">
        <f>-'INVENTARIO PRODUCTO TERMINADO'!CB24</f>
        <v>0</v>
      </c>
      <c r="CD23" s="5"/>
      <c r="CE23" s="5">
        <f>-'INVENTARIO PRODUCTO TERMINADO'!CD24</f>
        <v>0</v>
      </c>
      <c r="CF23" s="5"/>
      <c r="CG23" s="5">
        <f>-'INVENTARIO PRODUCTO TERMINADO'!CF24</f>
        <v>0</v>
      </c>
      <c r="CH23" s="5"/>
      <c r="CI23" s="5">
        <f>-'INVENTARIO PRODUCTO TERMINADO'!CH24</f>
        <v>0</v>
      </c>
      <c r="CJ23" s="5"/>
      <c r="CK23" s="5">
        <f>-'INVENTARIO PRODUCTO TERMINADO'!CJ24</f>
        <v>0</v>
      </c>
      <c r="CL23" s="5"/>
      <c r="CM23" s="5">
        <f>-'INVENTARIO PRODUCTO TERMINADO'!CL24</f>
        <v>0</v>
      </c>
    </row>
    <row r="24" spans="1:91" x14ac:dyDescent="0.25">
      <c r="A24" s="2" t="s">
        <v>298</v>
      </c>
      <c r="B24" s="3" t="s">
        <v>306</v>
      </c>
      <c r="C24" s="57"/>
      <c r="D24" s="6">
        <f t="shared" si="2"/>
        <v>1245</v>
      </c>
      <c r="E24" s="61">
        <v>300</v>
      </c>
      <c r="F24" s="4">
        <f t="shared" si="3"/>
        <v>945</v>
      </c>
      <c r="G24" s="233">
        <v>987</v>
      </c>
      <c r="H24" s="58"/>
      <c r="I24" s="5">
        <f>-'INVENTARIO PRODUCTO TERMINADO'!H25</f>
        <v>0</v>
      </c>
      <c r="J24" s="58"/>
      <c r="K24" s="5">
        <f>-'INVENTARIO PRODUCTO TERMINADO'!J25</f>
        <v>0</v>
      </c>
      <c r="L24" s="130"/>
      <c r="M24" s="5">
        <f>-'INVENTARIO PRODUCTO TERMINADO'!L25</f>
        <v>0</v>
      </c>
      <c r="N24" s="58"/>
      <c r="O24" s="5">
        <f>-'INVENTARIO PRODUCTO TERMINADO'!N25</f>
        <v>0</v>
      </c>
      <c r="P24" s="58"/>
      <c r="Q24" s="5">
        <f>-'INVENTARIO PRODUCTO TERMINADO'!P25</f>
        <v>0</v>
      </c>
      <c r="R24" s="58">
        <f>1006-987</f>
        <v>19</v>
      </c>
      <c r="S24" s="5">
        <f>-'INVENTARIO PRODUCTO TERMINADO'!R25</f>
        <v>0</v>
      </c>
      <c r="T24" s="58"/>
      <c r="U24" s="5">
        <f>-'INVENTARIO PRODUCTO TERMINADO'!T25</f>
        <v>0</v>
      </c>
      <c r="V24" s="58"/>
      <c r="W24" s="5">
        <f>-'INVENTARIO PRODUCTO TERMINADO'!V25</f>
        <v>-30</v>
      </c>
      <c r="X24" s="58"/>
      <c r="Y24" s="5">
        <f>-'INVENTARIO PRODUCTO TERMINADO'!X25</f>
        <v>0</v>
      </c>
      <c r="Z24" s="58"/>
      <c r="AA24" s="5">
        <f>-'INVENTARIO PRODUCTO TERMINADO'!Z25</f>
        <v>0</v>
      </c>
      <c r="AB24" s="58"/>
      <c r="AC24" s="5">
        <f>-'INVENTARIO PRODUCTO TERMINADO'!AB25</f>
        <v>0</v>
      </c>
      <c r="AD24" s="58"/>
      <c r="AE24" s="5">
        <f>-'INVENTARIO PRODUCTO TERMINADO'!AD25</f>
        <v>0</v>
      </c>
      <c r="AF24" s="58"/>
      <c r="AG24" s="5">
        <f>-'INVENTARIO PRODUCTO TERMINADO'!AF25</f>
        <v>0</v>
      </c>
      <c r="AH24" s="58">
        <v>311</v>
      </c>
      <c r="AI24" s="5">
        <f>-'INVENTARIO PRODUCTO TERMINADO'!AH25</f>
        <v>0</v>
      </c>
      <c r="AJ24" s="58"/>
      <c r="AK24" s="5">
        <f>-'INVENTARIO PRODUCTO TERMINADO'!AJ25</f>
        <v>0</v>
      </c>
      <c r="AL24" s="58"/>
      <c r="AM24" s="5">
        <f>-'INVENTARIO PRODUCTO TERMINADO'!AL25</f>
        <v>0</v>
      </c>
      <c r="AN24" s="58"/>
      <c r="AO24" s="5">
        <f>-'INVENTARIO PRODUCTO TERMINADO'!AN25</f>
        <v>0</v>
      </c>
      <c r="AP24" s="58"/>
      <c r="AQ24" s="5">
        <f>-'INVENTARIO PRODUCTO TERMINADO'!AP25</f>
        <v>0</v>
      </c>
      <c r="AR24" s="58"/>
      <c r="AS24" s="5">
        <f>-'INVENTARIO PRODUCTO TERMINADO'!AR25</f>
        <v>0</v>
      </c>
      <c r="AT24" s="207"/>
      <c r="AU24" s="5">
        <f>-'INVENTARIO PRODUCTO TERMINADO'!AT25</f>
        <v>0</v>
      </c>
      <c r="AV24" s="58"/>
      <c r="AW24" s="5">
        <f>-'INVENTARIO PRODUCTO TERMINADO'!AV25</f>
        <v>0</v>
      </c>
      <c r="AX24" s="58"/>
      <c r="AY24" s="5">
        <f>-'INVENTARIO PRODUCTO TERMINADO'!AX25</f>
        <v>0</v>
      </c>
      <c r="AZ24" s="58"/>
      <c r="BA24" s="5">
        <f>-'INVENTARIO PRODUCTO TERMINADO'!AZ25</f>
        <v>0</v>
      </c>
      <c r="BB24" s="58"/>
      <c r="BC24" s="5">
        <f>-'INVENTARIO PRODUCTO TERMINADO'!BB25</f>
        <v>0</v>
      </c>
      <c r="BD24" s="58"/>
      <c r="BE24" s="5">
        <f>-'INVENTARIO PRODUCTO TERMINADO'!BD25</f>
        <v>0</v>
      </c>
      <c r="BF24" s="58"/>
      <c r="BG24" s="5">
        <f>-'INVENTARIO PRODUCTO TERMINADO'!BF25</f>
        <v>0</v>
      </c>
      <c r="BH24" s="58"/>
      <c r="BI24" s="5">
        <f>-'INVENTARIO PRODUCTO TERMINADO'!BH25</f>
        <v>0</v>
      </c>
      <c r="BJ24" s="58"/>
      <c r="BK24" s="5">
        <f>-'INVENTARIO PRODUCTO TERMINADO'!BJ25</f>
        <v>0</v>
      </c>
      <c r="BL24" s="58"/>
      <c r="BM24" s="5">
        <f>-'INVENTARIO PRODUCTO TERMINADO'!BL25</f>
        <v>0</v>
      </c>
      <c r="BN24" s="58"/>
      <c r="BO24" s="5">
        <f>-'INVENTARIO PRODUCTO TERMINADO'!BN25</f>
        <v>0</v>
      </c>
      <c r="BP24" s="58"/>
      <c r="BQ24" s="5">
        <f>-'INVENTARIO PRODUCTO TERMINADO'!BP25</f>
        <v>-42</v>
      </c>
      <c r="BR24" s="58"/>
      <c r="BS24" s="5">
        <f>-'INVENTARIO PRODUCTO TERMINADO'!BR25</f>
        <v>0</v>
      </c>
      <c r="BT24" s="58"/>
      <c r="BU24" s="5">
        <f>-'INVENTARIO PRODUCTO TERMINADO'!BT25</f>
        <v>0</v>
      </c>
      <c r="BV24" s="58"/>
      <c r="BW24" s="5">
        <f>-'INVENTARIO PRODUCTO TERMINADO'!BV25</f>
        <v>0</v>
      </c>
      <c r="BX24" s="58"/>
      <c r="BY24" s="5">
        <f>-'INVENTARIO PRODUCTO TERMINADO'!BX25</f>
        <v>0</v>
      </c>
      <c r="BZ24" s="58"/>
      <c r="CA24" s="5">
        <f>-'INVENTARIO PRODUCTO TERMINADO'!BZ25</f>
        <v>0</v>
      </c>
      <c r="CB24" s="58"/>
      <c r="CC24" s="5">
        <f>-'INVENTARIO PRODUCTO TERMINADO'!CB25</f>
        <v>0</v>
      </c>
      <c r="CD24" s="5"/>
      <c r="CE24" s="5">
        <f>-'INVENTARIO PRODUCTO TERMINADO'!CD25</f>
        <v>0</v>
      </c>
      <c r="CF24" s="5"/>
      <c r="CG24" s="5">
        <f>-'INVENTARIO PRODUCTO TERMINADO'!CF25</f>
        <v>0</v>
      </c>
      <c r="CH24" s="5"/>
      <c r="CI24" s="5">
        <f>-'INVENTARIO PRODUCTO TERMINADO'!CH25</f>
        <v>0</v>
      </c>
      <c r="CJ24" s="5"/>
      <c r="CK24" s="5">
        <f>-'INVENTARIO PRODUCTO TERMINADO'!CJ25</f>
        <v>0</v>
      </c>
      <c r="CL24" s="5"/>
      <c r="CM24" s="5">
        <f>-'INVENTARIO PRODUCTO TERMINADO'!CL25</f>
        <v>0</v>
      </c>
    </row>
    <row r="25" spans="1:91" x14ac:dyDescent="0.25">
      <c r="A25" s="2" t="s">
        <v>299</v>
      </c>
      <c r="B25" s="3" t="s">
        <v>165</v>
      </c>
      <c r="C25" s="57"/>
      <c r="D25" s="6">
        <f t="shared" si="2"/>
        <v>28</v>
      </c>
      <c r="E25" s="61">
        <v>20</v>
      </c>
      <c r="F25" s="4">
        <f t="shared" si="3"/>
        <v>8</v>
      </c>
      <c r="G25" s="233">
        <v>40</v>
      </c>
      <c r="H25" s="58"/>
      <c r="I25" s="5">
        <f>-'INVENTARIO PRODUCTO TERMINADO'!H26</f>
        <v>0</v>
      </c>
      <c r="J25" s="58"/>
      <c r="K25" s="5">
        <f>-'INVENTARIO PRODUCTO TERMINADO'!J26</f>
        <v>0</v>
      </c>
      <c r="L25" s="130"/>
      <c r="M25" s="5">
        <f>-'INVENTARIO PRODUCTO TERMINADO'!L26</f>
        <v>0</v>
      </c>
      <c r="N25" s="58"/>
      <c r="O25" s="5">
        <f>-'INVENTARIO PRODUCTO TERMINADO'!N26</f>
        <v>0</v>
      </c>
      <c r="P25" s="58"/>
      <c r="Q25" s="5">
        <f>-'INVENTARIO PRODUCTO TERMINADO'!P26</f>
        <v>0</v>
      </c>
      <c r="R25" s="58"/>
      <c r="S25" s="5">
        <f>-'INVENTARIO PRODUCTO TERMINADO'!R26</f>
        <v>0</v>
      </c>
      <c r="T25" s="58"/>
      <c r="U25" s="5">
        <f>-'INVENTARIO PRODUCTO TERMINADO'!T26</f>
        <v>0</v>
      </c>
      <c r="V25" s="58"/>
      <c r="W25" s="5">
        <f>-'INVENTARIO PRODUCTO TERMINADO'!V26</f>
        <v>0</v>
      </c>
      <c r="X25" s="58"/>
      <c r="Y25" s="5">
        <f>-'INVENTARIO PRODUCTO TERMINADO'!X26</f>
        <v>0</v>
      </c>
      <c r="Z25" s="58"/>
      <c r="AA25" s="5">
        <f>-'INVENTARIO PRODUCTO TERMINADO'!Z26</f>
        <v>0</v>
      </c>
      <c r="AB25" s="58"/>
      <c r="AC25" s="5">
        <f>-'INVENTARIO PRODUCTO TERMINADO'!AB26</f>
        <v>0</v>
      </c>
      <c r="AD25" s="58"/>
      <c r="AE25" s="5">
        <f>-'INVENTARIO PRODUCTO TERMINADO'!AD26</f>
        <v>0</v>
      </c>
      <c r="AF25" s="58"/>
      <c r="AG25" s="5">
        <f>-'INVENTARIO PRODUCTO TERMINADO'!AF26</f>
        <v>0</v>
      </c>
      <c r="AH25" s="58">
        <v>-12</v>
      </c>
      <c r="AI25" s="5">
        <f>-'INVENTARIO PRODUCTO TERMINADO'!AH26</f>
        <v>0</v>
      </c>
      <c r="AJ25" s="58"/>
      <c r="AK25" s="5">
        <f>-'INVENTARIO PRODUCTO TERMINADO'!AJ26</f>
        <v>0</v>
      </c>
      <c r="AL25" s="58"/>
      <c r="AM25" s="5">
        <f>-'INVENTARIO PRODUCTO TERMINADO'!AL26</f>
        <v>0</v>
      </c>
      <c r="AN25" s="58"/>
      <c r="AO25" s="5">
        <f>-'INVENTARIO PRODUCTO TERMINADO'!AN26</f>
        <v>0</v>
      </c>
      <c r="AP25" s="58"/>
      <c r="AQ25" s="5">
        <f>-'INVENTARIO PRODUCTO TERMINADO'!AP26</f>
        <v>0</v>
      </c>
      <c r="AR25" s="58"/>
      <c r="AS25" s="5">
        <f>-'INVENTARIO PRODUCTO TERMINADO'!AR26</f>
        <v>0</v>
      </c>
      <c r="AT25" s="207"/>
      <c r="AU25" s="5">
        <f>-'INVENTARIO PRODUCTO TERMINADO'!AT26</f>
        <v>0</v>
      </c>
      <c r="AV25" s="58"/>
      <c r="AW25" s="5">
        <f>-'INVENTARIO PRODUCTO TERMINADO'!AV26</f>
        <v>0</v>
      </c>
      <c r="AX25" s="58"/>
      <c r="AY25" s="5">
        <f>-'INVENTARIO PRODUCTO TERMINADO'!AX26</f>
        <v>0</v>
      </c>
      <c r="AZ25" s="58"/>
      <c r="BA25" s="5">
        <f>-'INVENTARIO PRODUCTO TERMINADO'!AZ26</f>
        <v>0</v>
      </c>
      <c r="BB25" s="58"/>
      <c r="BC25" s="5">
        <f>-'INVENTARIO PRODUCTO TERMINADO'!BB26</f>
        <v>0</v>
      </c>
      <c r="BD25" s="58"/>
      <c r="BE25" s="5">
        <f>-'INVENTARIO PRODUCTO TERMINADO'!BD26</f>
        <v>0</v>
      </c>
      <c r="BF25" s="58"/>
      <c r="BG25" s="5">
        <f>-'INVENTARIO PRODUCTO TERMINADO'!BF26</f>
        <v>0</v>
      </c>
      <c r="BH25" s="58"/>
      <c r="BI25" s="5">
        <f>-'INVENTARIO PRODUCTO TERMINADO'!BH26</f>
        <v>0</v>
      </c>
      <c r="BJ25" s="58"/>
      <c r="BK25" s="5">
        <f>-'INVENTARIO PRODUCTO TERMINADO'!BJ26</f>
        <v>0</v>
      </c>
      <c r="BL25" s="58"/>
      <c r="BM25" s="5">
        <f>-'INVENTARIO PRODUCTO TERMINADO'!BL26</f>
        <v>0</v>
      </c>
      <c r="BN25" s="58"/>
      <c r="BO25" s="5">
        <f>-'INVENTARIO PRODUCTO TERMINADO'!BN26</f>
        <v>0</v>
      </c>
      <c r="BP25" s="58"/>
      <c r="BQ25" s="5">
        <f>-'INVENTARIO PRODUCTO TERMINADO'!BP26</f>
        <v>0</v>
      </c>
      <c r="BR25" s="58"/>
      <c r="BS25" s="5">
        <f>-'INVENTARIO PRODUCTO TERMINADO'!BR26</f>
        <v>0</v>
      </c>
      <c r="BT25" s="58"/>
      <c r="BU25" s="5">
        <f>-'INVENTARIO PRODUCTO TERMINADO'!BT26</f>
        <v>0</v>
      </c>
      <c r="BV25" s="58"/>
      <c r="BW25" s="5">
        <f>-'INVENTARIO PRODUCTO TERMINADO'!BV26</f>
        <v>0</v>
      </c>
      <c r="BX25" s="58"/>
      <c r="BY25" s="5">
        <f>-'INVENTARIO PRODUCTO TERMINADO'!BX26</f>
        <v>0</v>
      </c>
      <c r="BZ25" s="58"/>
      <c r="CA25" s="5">
        <f>-'INVENTARIO PRODUCTO TERMINADO'!BZ26</f>
        <v>0</v>
      </c>
      <c r="CB25" s="58"/>
      <c r="CC25" s="5">
        <f>-'INVENTARIO PRODUCTO TERMINADO'!CB26</f>
        <v>0</v>
      </c>
      <c r="CD25" s="5"/>
      <c r="CE25" s="5">
        <f>-'INVENTARIO PRODUCTO TERMINADO'!CD26</f>
        <v>0</v>
      </c>
      <c r="CF25" s="5"/>
      <c r="CG25" s="5">
        <f>-'INVENTARIO PRODUCTO TERMINADO'!CF26</f>
        <v>0</v>
      </c>
      <c r="CH25" s="5"/>
      <c r="CI25" s="5">
        <f>-'INVENTARIO PRODUCTO TERMINADO'!CH26</f>
        <v>0</v>
      </c>
      <c r="CJ25" s="5"/>
      <c r="CK25" s="5">
        <f>-'INVENTARIO PRODUCTO TERMINADO'!CJ26</f>
        <v>0</v>
      </c>
      <c r="CL25" s="5"/>
      <c r="CM25" s="5">
        <f>-'INVENTARIO PRODUCTO TERMINADO'!CL26</f>
        <v>0</v>
      </c>
    </row>
    <row r="26" spans="1:91" s="75" customFormat="1" x14ac:dyDescent="0.25">
      <c r="A26" s="2" t="s">
        <v>300</v>
      </c>
      <c r="B26" s="59" t="s">
        <v>167</v>
      </c>
      <c r="C26" s="60"/>
      <c r="D26" s="6">
        <f t="shared" si="2"/>
        <v>450</v>
      </c>
      <c r="E26" s="61">
        <v>100</v>
      </c>
      <c r="F26" s="4">
        <f t="shared" si="3"/>
        <v>350</v>
      </c>
      <c r="G26" s="233">
        <v>522</v>
      </c>
      <c r="H26" s="117"/>
      <c r="I26" s="5">
        <f>-'INVENTARIO PRODUCTO TERMINADO'!H27</f>
        <v>0</v>
      </c>
      <c r="J26" s="58"/>
      <c r="K26" s="5">
        <f>-'INVENTARIO PRODUCTO TERMINADO'!J27</f>
        <v>0</v>
      </c>
      <c r="L26" s="58"/>
      <c r="M26" s="5">
        <f>-'INVENTARIO PRODUCTO TERMINADO'!L27</f>
        <v>0</v>
      </c>
      <c r="N26" s="58"/>
      <c r="O26" s="5">
        <f>-'INVENTARIO PRODUCTO TERMINADO'!N27</f>
        <v>0</v>
      </c>
      <c r="P26" s="58"/>
      <c r="Q26" s="5">
        <f>-'INVENTARIO PRODUCTO TERMINADO'!P27</f>
        <v>0</v>
      </c>
      <c r="R26" s="58"/>
      <c r="S26" s="5">
        <f>-'INVENTARIO PRODUCTO TERMINADO'!R27</f>
        <v>0</v>
      </c>
      <c r="T26" s="58"/>
      <c r="U26" s="5">
        <f>-'INVENTARIO PRODUCTO TERMINADO'!T27</f>
        <v>-60</v>
      </c>
      <c r="V26" s="58"/>
      <c r="W26" s="5">
        <f>-'INVENTARIO PRODUCTO TERMINADO'!V27</f>
        <v>0</v>
      </c>
      <c r="X26" s="58"/>
      <c r="Y26" s="5">
        <f>-'INVENTARIO PRODUCTO TERMINADO'!X27</f>
        <v>0</v>
      </c>
      <c r="Z26" s="58"/>
      <c r="AA26" s="5">
        <f>-'INVENTARIO PRODUCTO TERMINADO'!Z27</f>
        <v>0</v>
      </c>
      <c r="AB26" s="58"/>
      <c r="AC26" s="5">
        <f>-'INVENTARIO PRODUCTO TERMINADO'!AB27</f>
        <v>0</v>
      </c>
      <c r="AD26" s="58"/>
      <c r="AE26" s="5">
        <f>-'INVENTARIO PRODUCTO TERMINADO'!AD27</f>
        <v>0</v>
      </c>
      <c r="AF26" s="58"/>
      <c r="AG26" s="5">
        <f>-'INVENTARIO PRODUCTO TERMINADO'!AF27</f>
        <v>0</v>
      </c>
      <c r="AH26" s="58"/>
      <c r="AI26" s="5">
        <f>-'INVENTARIO PRODUCTO TERMINADO'!AH27</f>
        <v>0</v>
      </c>
      <c r="AJ26" s="58"/>
      <c r="AK26" s="5">
        <f>-'INVENTARIO PRODUCTO TERMINADO'!AJ27</f>
        <v>0</v>
      </c>
      <c r="AL26" s="58"/>
      <c r="AM26" s="5">
        <f>-'INVENTARIO PRODUCTO TERMINADO'!AL27</f>
        <v>0</v>
      </c>
      <c r="AN26" s="58"/>
      <c r="AO26" s="5">
        <f>-'INVENTARIO PRODUCTO TERMINADO'!AN27</f>
        <v>0</v>
      </c>
      <c r="AP26" s="58"/>
      <c r="AQ26" s="5">
        <f>-'INVENTARIO PRODUCTO TERMINADO'!AP27</f>
        <v>0</v>
      </c>
      <c r="AR26" s="58"/>
      <c r="AS26" s="5">
        <f>-'INVENTARIO PRODUCTO TERMINADO'!AR27</f>
        <v>0</v>
      </c>
      <c r="AT26" s="207"/>
      <c r="AU26" s="5">
        <f>-'INVENTARIO PRODUCTO TERMINADO'!AT27</f>
        <v>0</v>
      </c>
      <c r="AV26" s="58"/>
      <c r="AW26" s="5">
        <f>-'INVENTARIO PRODUCTO TERMINADO'!AV27</f>
        <v>-24</v>
      </c>
      <c r="AX26" s="58"/>
      <c r="AY26" s="5">
        <f>-'INVENTARIO PRODUCTO TERMINADO'!AX27</f>
        <v>0</v>
      </c>
      <c r="AZ26" s="58">
        <v>30</v>
      </c>
      <c r="BA26" s="5">
        <f>-'INVENTARIO PRODUCTO TERMINADO'!AZ27</f>
        <v>0</v>
      </c>
      <c r="BB26" s="58"/>
      <c r="BC26" s="5">
        <f>-'INVENTARIO PRODUCTO TERMINADO'!BB27</f>
        <v>0</v>
      </c>
      <c r="BD26" s="58"/>
      <c r="BE26" s="5">
        <f>-'INVENTARIO PRODUCTO TERMINADO'!BD27</f>
        <v>0</v>
      </c>
      <c r="BF26" s="58"/>
      <c r="BG26" s="5">
        <f>-'INVENTARIO PRODUCTO TERMINADO'!BF27</f>
        <v>0</v>
      </c>
      <c r="BH26" s="58"/>
      <c r="BI26" s="5">
        <f>-'INVENTARIO PRODUCTO TERMINADO'!BH27</f>
        <v>0</v>
      </c>
      <c r="BJ26" s="58"/>
      <c r="BK26" s="5">
        <f>-'INVENTARIO PRODUCTO TERMINADO'!BJ27</f>
        <v>0</v>
      </c>
      <c r="BL26" s="58"/>
      <c r="BM26" s="5">
        <f>-'INVENTARIO PRODUCTO TERMINADO'!BL27</f>
        <v>0</v>
      </c>
      <c r="BN26" s="58"/>
      <c r="BO26" s="5">
        <f>-'INVENTARIO PRODUCTO TERMINADO'!BN27</f>
        <v>0</v>
      </c>
      <c r="BP26" s="58"/>
      <c r="BQ26" s="5">
        <f>-'INVENTARIO PRODUCTO TERMINADO'!BP27</f>
        <v>0</v>
      </c>
      <c r="BR26" s="58"/>
      <c r="BS26" s="5">
        <f>-'INVENTARIO PRODUCTO TERMINADO'!BR27</f>
        <v>-19</v>
      </c>
      <c r="BT26" s="58">
        <v>1</v>
      </c>
      <c r="BU26" s="5">
        <f>-'INVENTARIO PRODUCTO TERMINADO'!BT27</f>
        <v>0</v>
      </c>
      <c r="BV26" s="58"/>
      <c r="BW26" s="5">
        <f>-'INVENTARIO PRODUCTO TERMINADO'!BV27</f>
        <v>0</v>
      </c>
      <c r="BX26" s="58"/>
      <c r="BY26" s="5">
        <f>-'INVENTARIO PRODUCTO TERMINADO'!BX27</f>
        <v>0</v>
      </c>
      <c r="BZ26" s="58"/>
      <c r="CA26" s="5">
        <f>-'INVENTARIO PRODUCTO TERMINADO'!BZ27</f>
        <v>0</v>
      </c>
      <c r="CB26" s="58"/>
      <c r="CC26" s="5">
        <f>-'INVENTARIO PRODUCTO TERMINADO'!CB27</f>
        <v>0</v>
      </c>
      <c r="CD26" s="5"/>
      <c r="CE26" s="5">
        <f>-'INVENTARIO PRODUCTO TERMINADO'!CD27</f>
        <v>0</v>
      </c>
      <c r="CF26" s="5"/>
      <c r="CG26" s="5">
        <f>-'INVENTARIO PRODUCTO TERMINADO'!CF27</f>
        <v>0</v>
      </c>
      <c r="CH26" s="5"/>
      <c r="CI26" s="5">
        <f>-'INVENTARIO PRODUCTO TERMINADO'!CH27</f>
        <v>0</v>
      </c>
      <c r="CJ26" s="5"/>
      <c r="CK26" s="5">
        <f>-'INVENTARIO PRODUCTO TERMINADO'!CJ27</f>
        <v>0</v>
      </c>
      <c r="CL26" s="5"/>
      <c r="CM26" s="5">
        <f>-'INVENTARIO PRODUCTO TERMINADO'!CL27</f>
        <v>0</v>
      </c>
    </row>
    <row r="27" spans="1:91" x14ac:dyDescent="0.25">
      <c r="A27" s="2" t="s">
        <v>307</v>
      </c>
      <c r="B27" s="59" t="s">
        <v>209</v>
      </c>
      <c r="C27" s="60"/>
      <c r="D27" s="6">
        <f>SUM(G27:CM27)</f>
        <v>157</v>
      </c>
      <c r="E27" s="61">
        <v>50</v>
      </c>
      <c r="F27" s="4">
        <f t="shared" si="3"/>
        <v>107</v>
      </c>
      <c r="G27" s="233">
        <v>170</v>
      </c>
      <c r="H27" s="58"/>
      <c r="I27" s="5">
        <f>-'INVENTARIO PRODUCTO TERMINADO'!H28</f>
        <v>0</v>
      </c>
      <c r="J27" s="58"/>
      <c r="K27" s="5">
        <f>-'INVENTARIO PRODUCTO TERMINADO'!J28</f>
        <v>0</v>
      </c>
      <c r="L27" s="130"/>
      <c r="M27" s="5">
        <f>-'INVENTARIO PRODUCTO TERMINADO'!L28</f>
        <v>0</v>
      </c>
      <c r="N27" s="58"/>
      <c r="O27" s="5">
        <f>-'INVENTARIO PRODUCTO TERMINADO'!N28</f>
        <v>0</v>
      </c>
      <c r="P27" s="58"/>
      <c r="Q27" s="5">
        <f>-'INVENTARIO PRODUCTO TERMINADO'!P28</f>
        <v>0</v>
      </c>
      <c r="R27" s="58">
        <f>157-130</f>
        <v>27</v>
      </c>
      <c r="S27" s="5">
        <f>-'INVENTARIO PRODUCTO TERMINADO'!R28</f>
        <v>0</v>
      </c>
      <c r="T27" s="58"/>
      <c r="U27" s="5">
        <f>-'INVENTARIO PRODUCTO TERMINADO'!T28</f>
        <v>0</v>
      </c>
      <c r="V27" s="58"/>
      <c r="W27" s="5">
        <f>-'INVENTARIO PRODUCTO TERMINADO'!V28</f>
        <v>0</v>
      </c>
      <c r="X27" s="58"/>
      <c r="Y27" s="5">
        <f>-'INVENTARIO PRODUCTO TERMINADO'!X28</f>
        <v>0</v>
      </c>
      <c r="Z27" s="58"/>
      <c r="AA27" s="5">
        <f>-'INVENTARIO PRODUCTO TERMINADO'!Z28</f>
        <v>0</v>
      </c>
      <c r="AB27" s="58"/>
      <c r="AC27" s="5">
        <f>-'INVENTARIO PRODUCTO TERMINADO'!AB28</f>
        <v>0</v>
      </c>
      <c r="AD27" s="58"/>
      <c r="AE27" s="5">
        <f>-'INVENTARIO PRODUCTO TERMINADO'!AD28</f>
        <v>0</v>
      </c>
      <c r="AF27" s="58"/>
      <c r="AG27" s="5">
        <f>-'INVENTARIO PRODUCTO TERMINADO'!AF28</f>
        <v>0</v>
      </c>
      <c r="AH27" s="58"/>
      <c r="AI27" s="5">
        <f>-'INVENTARIO PRODUCTO TERMINADO'!AH28</f>
        <v>0</v>
      </c>
      <c r="AJ27" s="58"/>
      <c r="AK27" s="5">
        <f>-'INVENTARIO PRODUCTO TERMINADO'!AJ28</f>
        <v>0</v>
      </c>
      <c r="AL27" s="58"/>
      <c r="AM27" s="5">
        <f>-'INVENTARIO PRODUCTO TERMINADO'!AL28</f>
        <v>0</v>
      </c>
      <c r="AN27" s="58"/>
      <c r="AO27" s="5">
        <f>-'INVENTARIO PRODUCTO TERMINADO'!AN28</f>
        <v>0</v>
      </c>
      <c r="AP27" s="58"/>
      <c r="AQ27" s="5">
        <f>-'INVENTARIO PRODUCTO TERMINADO'!AP28</f>
        <v>0</v>
      </c>
      <c r="AR27" s="58">
        <v>-30</v>
      </c>
      <c r="AS27" s="5">
        <f>-'INVENTARIO PRODUCTO TERMINADO'!AR28</f>
        <v>0</v>
      </c>
      <c r="AT27" s="207"/>
      <c r="AU27" s="5">
        <f>-'INVENTARIO PRODUCTO TERMINADO'!AT28</f>
        <v>0</v>
      </c>
      <c r="AV27" s="58"/>
      <c r="AW27" s="5">
        <f>-'INVENTARIO PRODUCTO TERMINADO'!AV28</f>
        <v>0</v>
      </c>
      <c r="AX27" s="58"/>
      <c r="AY27" s="5">
        <f>-'INVENTARIO PRODUCTO TERMINADO'!AX28</f>
        <v>0</v>
      </c>
      <c r="AZ27" s="58"/>
      <c r="BA27" s="5">
        <f>-'INVENTARIO PRODUCTO TERMINADO'!AZ28</f>
        <v>0</v>
      </c>
      <c r="BB27" s="58"/>
      <c r="BC27" s="5">
        <f>-'INVENTARIO PRODUCTO TERMINADO'!BB28</f>
        <v>0</v>
      </c>
      <c r="BD27" s="58"/>
      <c r="BE27" s="5">
        <f>-'INVENTARIO PRODUCTO TERMINADO'!BD28</f>
        <v>0</v>
      </c>
      <c r="BF27" s="58"/>
      <c r="BG27" s="5">
        <f>-'INVENTARIO PRODUCTO TERMINADO'!BF28</f>
        <v>0</v>
      </c>
      <c r="BH27" s="58">
        <v>-10</v>
      </c>
      <c r="BI27" s="5">
        <f>-'INVENTARIO PRODUCTO TERMINADO'!BH28</f>
        <v>0</v>
      </c>
      <c r="BJ27" s="58"/>
      <c r="BK27" s="5">
        <f>-'INVENTARIO PRODUCTO TERMINADO'!BJ28</f>
        <v>0</v>
      </c>
      <c r="BL27" s="58"/>
      <c r="BM27" s="5">
        <f>-'INVENTARIO PRODUCTO TERMINADO'!BL28</f>
        <v>0</v>
      </c>
      <c r="BN27" s="58"/>
      <c r="BO27" s="5">
        <f>-'INVENTARIO PRODUCTO TERMINADO'!BN28</f>
        <v>0</v>
      </c>
      <c r="BP27" s="58"/>
      <c r="BQ27" s="5">
        <f>-'INVENTARIO PRODUCTO TERMINADO'!BP28</f>
        <v>0</v>
      </c>
      <c r="BR27" s="58"/>
      <c r="BS27" s="5">
        <f>-'INVENTARIO PRODUCTO TERMINADO'!BR28</f>
        <v>0</v>
      </c>
      <c r="BT27" s="58"/>
      <c r="BU27" s="5">
        <f>-'INVENTARIO PRODUCTO TERMINADO'!BT28</f>
        <v>0</v>
      </c>
      <c r="BV27" s="58"/>
      <c r="BW27" s="5">
        <f>-'INVENTARIO PRODUCTO TERMINADO'!BV28</f>
        <v>0</v>
      </c>
      <c r="BX27" s="58"/>
      <c r="BY27" s="5">
        <f>-'INVENTARIO PRODUCTO TERMINADO'!BX28</f>
        <v>0</v>
      </c>
      <c r="BZ27" s="58"/>
      <c r="CA27" s="5">
        <f>-'INVENTARIO PRODUCTO TERMINADO'!BZ28</f>
        <v>0</v>
      </c>
      <c r="CB27" s="58"/>
      <c r="CC27" s="5">
        <f>-'INVENTARIO PRODUCTO TERMINADO'!CB28</f>
        <v>0</v>
      </c>
      <c r="CD27" s="5"/>
      <c r="CE27" s="5">
        <f>-'INVENTARIO PRODUCTO TERMINADO'!CD28</f>
        <v>0</v>
      </c>
      <c r="CF27" s="5"/>
      <c r="CG27" s="5">
        <f>-'INVENTARIO PRODUCTO TERMINADO'!CF28</f>
        <v>0</v>
      </c>
      <c r="CH27" s="5"/>
      <c r="CI27" s="5">
        <f>-'INVENTARIO PRODUCTO TERMINADO'!CH28</f>
        <v>0</v>
      </c>
      <c r="CJ27" s="5"/>
      <c r="CK27" s="5">
        <f>-'INVENTARIO PRODUCTO TERMINADO'!CJ28</f>
        <v>0</v>
      </c>
      <c r="CL27" s="5"/>
      <c r="CM27" s="5">
        <f>-'INVENTARIO PRODUCTO TERMINADO'!CL28</f>
        <v>0</v>
      </c>
    </row>
    <row r="28" spans="1:91" s="219" customFormat="1" ht="15.75" x14ac:dyDescent="0.25">
      <c r="A28" s="211">
        <v>4</v>
      </c>
      <c r="B28" s="222" t="s">
        <v>281</v>
      </c>
      <c r="C28" s="212"/>
      <c r="D28" s="213"/>
      <c r="E28" s="214"/>
      <c r="F28" s="214"/>
      <c r="G28" s="215"/>
      <c r="H28" s="216"/>
      <c r="I28" s="216"/>
      <c r="J28" s="216"/>
      <c r="K28" s="216"/>
      <c r="L28" s="215"/>
      <c r="M28" s="216"/>
      <c r="N28" s="216"/>
      <c r="O28" s="216"/>
      <c r="P28" s="215"/>
      <c r="Q28" s="217"/>
      <c r="R28" s="215"/>
      <c r="S28" s="217"/>
      <c r="T28" s="216"/>
      <c r="U28" s="216"/>
      <c r="V28" s="215"/>
      <c r="W28" s="218"/>
      <c r="X28" s="216"/>
      <c r="Y28" s="217"/>
      <c r="Z28" s="217"/>
      <c r="AA28" s="218"/>
      <c r="AB28" s="215"/>
      <c r="AC28" s="216"/>
      <c r="AD28" s="215"/>
      <c r="AE28" s="216"/>
      <c r="AF28" s="215"/>
      <c r="AG28" s="217"/>
      <c r="AH28" s="215"/>
      <c r="AI28" s="217"/>
      <c r="AJ28" s="215"/>
      <c r="AK28" s="216"/>
      <c r="AL28" s="215"/>
      <c r="AM28" s="216"/>
      <c r="AN28" s="215"/>
      <c r="AO28" s="216"/>
      <c r="AP28" s="215"/>
      <c r="AQ28" s="217"/>
      <c r="AR28" s="215"/>
      <c r="AS28" s="216"/>
      <c r="AT28" s="215"/>
      <c r="AU28" s="216"/>
      <c r="AV28" s="215"/>
      <c r="AW28" s="216"/>
      <c r="AX28" s="215"/>
      <c r="AY28" s="217"/>
      <c r="AZ28" s="215"/>
      <c r="BA28" s="216"/>
      <c r="BB28" s="215"/>
      <c r="BC28" s="216"/>
      <c r="BD28" s="215"/>
      <c r="BE28" s="217"/>
      <c r="BF28" s="215"/>
      <c r="BG28" s="216"/>
      <c r="BH28" s="215"/>
      <c r="BI28" s="216"/>
      <c r="BJ28" s="215"/>
      <c r="BK28" s="217"/>
      <c r="BL28" s="215"/>
      <c r="BM28" s="216"/>
      <c r="BN28" s="215"/>
      <c r="BO28" s="216"/>
      <c r="BP28" s="215"/>
      <c r="BQ28" s="217"/>
      <c r="BR28" s="217"/>
      <c r="BS28" s="216"/>
      <c r="BT28" s="215"/>
      <c r="BU28" s="216"/>
      <c r="BV28" s="215"/>
      <c r="BW28" s="215"/>
      <c r="BX28" s="215"/>
      <c r="BY28" s="215"/>
      <c r="BZ28" s="215"/>
      <c r="CA28" s="217"/>
      <c r="CB28" s="216"/>
      <c r="CC28" s="215"/>
      <c r="CD28" s="215"/>
      <c r="CE28" s="217"/>
      <c r="CF28" s="215"/>
      <c r="CG28" s="215"/>
      <c r="CH28" s="215"/>
      <c r="CI28" s="215"/>
      <c r="CJ28" s="215"/>
      <c r="CK28" s="215"/>
      <c r="CL28" s="215"/>
      <c r="CM28" s="215"/>
    </row>
    <row r="29" spans="1:91" x14ac:dyDescent="0.25">
      <c r="A29" s="2" t="s">
        <v>301</v>
      </c>
      <c r="B29" s="3" t="s">
        <v>36</v>
      </c>
      <c r="C29" s="57"/>
      <c r="D29" s="6">
        <f>SUM(G29:CM29)</f>
        <v>147</v>
      </c>
      <c r="E29" s="4">
        <v>100</v>
      </c>
      <c r="F29" s="4">
        <f>D29-E29</f>
        <v>47</v>
      </c>
      <c r="G29" s="233">
        <v>141</v>
      </c>
      <c r="H29" s="5"/>
      <c r="I29" s="5">
        <f>-'INVENTARIO PRODUCTO TERMINADO'!H30</f>
        <v>0</v>
      </c>
      <c r="J29" s="5"/>
      <c r="K29" s="5">
        <f>-'INVENTARIO PRODUCTO TERMINADO'!J30</f>
        <v>0</v>
      </c>
      <c r="L29" s="5"/>
      <c r="M29" s="5">
        <f>-'INVENTARIO PRODUCTO TERMINADO'!L30</f>
        <v>0</v>
      </c>
      <c r="N29" s="5"/>
      <c r="O29" s="5">
        <f>-'INVENTARIO PRODUCTO TERMINADO'!N30</f>
        <v>0</v>
      </c>
      <c r="P29" s="5"/>
      <c r="Q29" s="5">
        <f>-'INVENTARIO PRODUCTO TERMINADO'!P30</f>
        <v>-10</v>
      </c>
      <c r="R29" s="5"/>
      <c r="S29" s="5">
        <f>-'INVENTARIO PRODUCTO TERMINADO'!R30</f>
        <v>0</v>
      </c>
      <c r="T29" s="5"/>
      <c r="U29" s="5">
        <f>-'INVENTARIO PRODUCTO TERMINADO'!T30</f>
        <v>0</v>
      </c>
      <c r="V29" s="5"/>
      <c r="W29" s="5">
        <f>-'INVENTARIO PRODUCTO TERMINADO'!V30</f>
        <v>0</v>
      </c>
      <c r="X29" s="5"/>
      <c r="Y29" s="5">
        <f>-'INVENTARIO PRODUCTO TERMINADO'!X30</f>
        <v>0</v>
      </c>
      <c r="Z29" s="5"/>
      <c r="AA29" s="5">
        <f>-'INVENTARIO PRODUCTO TERMINADO'!Z30</f>
        <v>0</v>
      </c>
      <c r="AB29" s="5"/>
      <c r="AC29" s="5">
        <f>-'INVENTARIO PRODUCTO TERMINADO'!AB30</f>
        <v>0</v>
      </c>
      <c r="AD29" s="5"/>
      <c r="AE29" s="5">
        <f>-'INVENTARIO PRODUCTO TERMINADO'!AD30</f>
        <v>0</v>
      </c>
      <c r="AF29" s="5"/>
      <c r="AG29" s="5">
        <f>-'INVENTARIO PRODUCTO TERMINADO'!AF30</f>
        <v>0</v>
      </c>
      <c r="AH29" s="5"/>
      <c r="AI29" s="5">
        <f>-'INVENTARIO PRODUCTO TERMINADO'!AH30</f>
        <v>-30</v>
      </c>
      <c r="AJ29" s="5"/>
      <c r="AK29" s="5">
        <f>-'INVENTARIO PRODUCTO TERMINADO'!AJ30</f>
        <v>0</v>
      </c>
      <c r="AL29" s="5"/>
      <c r="AM29" s="5">
        <f>-'INVENTARIO PRODUCTO TERMINADO'!AL30</f>
        <v>0</v>
      </c>
      <c r="AN29" s="5"/>
      <c r="AO29" s="5">
        <f>-'INVENTARIO PRODUCTO TERMINADO'!AN30</f>
        <v>0</v>
      </c>
      <c r="AP29" s="5">
        <v>3</v>
      </c>
      <c r="AQ29" s="5">
        <f>-'INVENTARIO PRODUCTO TERMINADO'!AP30</f>
        <v>0</v>
      </c>
      <c r="AR29" s="5"/>
      <c r="AS29" s="5">
        <f>-'INVENTARIO PRODUCTO TERMINADO'!AR30</f>
        <v>0</v>
      </c>
      <c r="AT29" s="71"/>
      <c r="AU29" s="5">
        <f>-'INVENTARIO PRODUCTO TERMINADO'!AT30</f>
        <v>0</v>
      </c>
      <c r="AV29" s="5"/>
      <c r="AW29" s="5">
        <f>-'INVENTARIO PRODUCTO TERMINADO'!AV30</f>
        <v>0</v>
      </c>
      <c r="AX29" s="5"/>
      <c r="AY29" s="5">
        <f>-'INVENTARIO PRODUCTO TERMINADO'!AX30</f>
        <v>0</v>
      </c>
      <c r="AZ29" s="5"/>
      <c r="BA29" s="5">
        <f>-'INVENTARIO PRODUCTO TERMINADO'!AZ30</f>
        <v>0</v>
      </c>
      <c r="BB29" s="5"/>
      <c r="BC29" s="5">
        <f>-'INVENTARIO PRODUCTO TERMINADO'!BB30</f>
        <v>0</v>
      </c>
      <c r="BD29" s="5"/>
      <c r="BE29" s="5">
        <f>-'INVENTARIO PRODUCTO TERMINADO'!BD30</f>
        <v>-30</v>
      </c>
      <c r="BF29" s="5"/>
      <c r="BG29" s="5">
        <f>-'INVENTARIO PRODUCTO TERMINADO'!BF30</f>
        <v>0</v>
      </c>
      <c r="BH29" s="5">
        <v>-3</v>
      </c>
      <c r="BI29" s="5">
        <f>-'INVENTARIO PRODUCTO TERMINADO'!BH30</f>
        <v>-40</v>
      </c>
      <c r="BJ29" s="5"/>
      <c r="BK29" s="5">
        <f>-'INVENTARIO PRODUCTO TERMINADO'!BJ30</f>
        <v>0</v>
      </c>
      <c r="BL29" s="5"/>
      <c r="BM29" s="5">
        <f>-'INVENTARIO PRODUCTO TERMINADO'!BL30</f>
        <v>0</v>
      </c>
      <c r="BN29" s="5"/>
      <c r="BO29" s="5">
        <f>-'INVENTARIO PRODUCTO TERMINADO'!BN30</f>
        <v>0</v>
      </c>
      <c r="BP29" s="5"/>
      <c r="BQ29" s="5">
        <f>-'INVENTARIO PRODUCTO TERMINADO'!BP30</f>
        <v>0</v>
      </c>
      <c r="BR29" s="5"/>
      <c r="BS29" s="5">
        <f>-'INVENTARIO PRODUCTO TERMINADO'!BR30</f>
        <v>0</v>
      </c>
      <c r="BT29" s="5"/>
      <c r="BU29" s="5">
        <f>-'INVENTARIO PRODUCTO TERMINADO'!BT30</f>
        <v>0</v>
      </c>
      <c r="BV29" s="5">
        <f>147-31</f>
        <v>116</v>
      </c>
      <c r="BW29" s="5">
        <f>-'INVENTARIO PRODUCTO TERMINADO'!BV30</f>
        <v>0</v>
      </c>
      <c r="BX29" s="5"/>
      <c r="BY29" s="5">
        <f>-'INVENTARIO PRODUCTO TERMINADO'!BX30</f>
        <v>0</v>
      </c>
      <c r="BZ29" s="5"/>
      <c r="CA29" s="5">
        <f>-'INVENTARIO PRODUCTO TERMINADO'!BZ30</f>
        <v>0</v>
      </c>
      <c r="CB29" s="5"/>
      <c r="CC29" s="5">
        <f>-'INVENTARIO PRODUCTO TERMINADO'!CB30</f>
        <v>0</v>
      </c>
      <c r="CD29" s="5"/>
      <c r="CE29" s="5">
        <f>-'INVENTARIO PRODUCTO TERMINADO'!CD30</f>
        <v>0</v>
      </c>
      <c r="CF29" s="5"/>
      <c r="CG29" s="5">
        <f>-'INVENTARIO PRODUCTO TERMINADO'!CF30</f>
        <v>0</v>
      </c>
      <c r="CH29" s="5"/>
      <c r="CI29" s="5">
        <f>-'INVENTARIO PRODUCTO TERMINADO'!CH30</f>
        <v>0</v>
      </c>
      <c r="CJ29" s="5"/>
      <c r="CK29" s="5">
        <f>-'INVENTARIO PRODUCTO TERMINADO'!CJ30</f>
        <v>0</v>
      </c>
      <c r="CL29" s="5"/>
      <c r="CM29" s="5">
        <f>-'INVENTARIO PRODUCTO TERMINADO'!CL30</f>
        <v>0</v>
      </c>
    </row>
    <row r="30" spans="1:91" x14ac:dyDescent="0.25">
      <c r="A30" s="2" t="s">
        <v>311</v>
      </c>
      <c r="B30" s="3" t="s">
        <v>31</v>
      </c>
      <c r="C30" s="57"/>
      <c r="D30" s="6">
        <f t="shared" ref="D30:D33" si="4">SUM(G30:CM30)</f>
        <v>1191</v>
      </c>
      <c r="E30" s="4">
        <v>200</v>
      </c>
      <c r="F30" s="4">
        <f>D30-E30</f>
        <v>991</v>
      </c>
      <c r="G30" s="233">
        <v>1520</v>
      </c>
      <c r="H30" s="5"/>
      <c r="I30" s="5">
        <f>-'INVENTARIO PRODUCTO TERMINADO'!H31</f>
        <v>0</v>
      </c>
      <c r="J30" s="5"/>
      <c r="K30" s="5">
        <f>-'INVENTARIO PRODUCTO TERMINADO'!J31</f>
        <v>0</v>
      </c>
      <c r="L30" s="5"/>
      <c r="M30" s="5">
        <f>-'INVENTARIO PRODUCTO TERMINADO'!L31</f>
        <v>0</v>
      </c>
      <c r="N30" s="5"/>
      <c r="O30" s="5">
        <f>-'INVENTARIO PRODUCTO TERMINADO'!N31</f>
        <v>0</v>
      </c>
      <c r="P30" s="5"/>
      <c r="Q30" s="5">
        <f>-'INVENTARIO PRODUCTO TERMINADO'!P31</f>
        <v>0</v>
      </c>
      <c r="R30" s="5">
        <f>1441-1418</f>
        <v>23</v>
      </c>
      <c r="S30" s="5">
        <f>-'INVENTARIO PRODUCTO TERMINADO'!R31</f>
        <v>-102</v>
      </c>
      <c r="T30" s="5"/>
      <c r="U30" s="5">
        <f>-'INVENTARIO PRODUCTO TERMINADO'!T31</f>
        <v>0</v>
      </c>
      <c r="V30" s="5"/>
      <c r="W30" s="5">
        <f>-'INVENTARIO PRODUCTO TERMINADO'!V31</f>
        <v>0</v>
      </c>
      <c r="X30" s="5"/>
      <c r="Y30" s="5">
        <f>-'INVENTARIO PRODUCTO TERMINADO'!X31</f>
        <v>0</v>
      </c>
      <c r="Z30" s="5"/>
      <c r="AA30" s="5">
        <f>-'INVENTARIO PRODUCTO TERMINADO'!Z31</f>
        <v>0</v>
      </c>
      <c r="AB30" s="5"/>
      <c r="AC30" s="5">
        <f>-'INVENTARIO PRODUCTO TERMINADO'!AB31</f>
        <v>0</v>
      </c>
      <c r="AD30" s="5"/>
      <c r="AE30" s="5">
        <f>-'INVENTARIO PRODUCTO TERMINADO'!AD31</f>
        <v>0</v>
      </c>
      <c r="AF30" s="5"/>
      <c r="AG30" s="5">
        <f>-'INVENTARIO PRODUCTO TERMINADO'!AF31</f>
        <v>0</v>
      </c>
      <c r="AH30" s="5"/>
      <c r="AI30" s="5">
        <f>-'INVENTARIO PRODUCTO TERMINADO'!AH31</f>
        <v>-1</v>
      </c>
      <c r="AJ30" s="5"/>
      <c r="AK30" s="5">
        <f>-'INVENTARIO PRODUCTO TERMINADO'!AJ31</f>
        <v>-53</v>
      </c>
      <c r="AL30" s="5"/>
      <c r="AM30" s="5">
        <f>-'INVENTARIO PRODUCTO TERMINADO'!AL31</f>
        <v>0</v>
      </c>
      <c r="AN30" s="5"/>
      <c r="AO30" s="5">
        <f>-'INVENTARIO PRODUCTO TERMINADO'!AN31</f>
        <v>0</v>
      </c>
      <c r="AP30" s="5">
        <v>5</v>
      </c>
      <c r="AQ30" s="5">
        <f>-'INVENTARIO PRODUCTO TERMINADO'!AP31</f>
        <v>0</v>
      </c>
      <c r="AR30" s="5"/>
      <c r="AS30" s="5">
        <f>-'INVENTARIO PRODUCTO TERMINADO'!AR31</f>
        <v>0</v>
      </c>
      <c r="AT30" s="71"/>
      <c r="AU30" s="5">
        <f>-'INVENTARIO PRODUCTO TERMINADO'!AT31</f>
        <v>0</v>
      </c>
      <c r="AV30" s="5"/>
      <c r="AW30" s="5">
        <f>-'INVENTARIO PRODUCTO TERMINADO'!AV31</f>
        <v>0</v>
      </c>
      <c r="AX30" s="5"/>
      <c r="AY30" s="5">
        <f>-'INVENTARIO PRODUCTO TERMINADO'!AX31</f>
        <v>0</v>
      </c>
      <c r="AZ30" s="5"/>
      <c r="BA30" s="5">
        <f>-'INVENTARIO PRODUCTO TERMINADO'!AZ31</f>
        <v>0</v>
      </c>
      <c r="BB30" s="5"/>
      <c r="BC30" s="5">
        <f>-'INVENTARIO PRODUCTO TERMINADO'!BB31</f>
        <v>0</v>
      </c>
      <c r="BD30" s="5"/>
      <c r="BE30" s="5">
        <f>-'INVENTARIO PRODUCTO TERMINADO'!BD31</f>
        <v>0</v>
      </c>
      <c r="BF30" s="5"/>
      <c r="BG30" s="5">
        <f>-'INVENTARIO PRODUCTO TERMINADO'!BF31</f>
        <v>0</v>
      </c>
      <c r="BH30" s="5">
        <v>-1</v>
      </c>
      <c r="BI30" s="5">
        <f>-'INVENTARIO PRODUCTO TERMINADO'!BH31</f>
        <v>0</v>
      </c>
      <c r="BJ30" s="5"/>
      <c r="BK30" s="5">
        <f>-'INVENTARIO PRODUCTO TERMINADO'!BJ31</f>
        <v>0</v>
      </c>
      <c r="BL30" s="5"/>
      <c r="BM30" s="5">
        <f>-'INVENTARIO PRODUCTO TERMINADO'!BL31</f>
        <v>0</v>
      </c>
      <c r="BN30" s="5"/>
      <c r="BO30" s="5">
        <f>-'INVENTARIO PRODUCTO TERMINADO'!BN31</f>
        <v>0</v>
      </c>
      <c r="BP30" s="5"/>
      <c r="BQ30" s="5">
        <f>-'INVENTARIO PRODUCTO TERMINADO'!BP31</f>
        <v>0</v>
      </c>
      <c r="BR30" s="5"/>
      <c r="BS30" s="5">
        <f>-'INVENTARIO PRODUCTO TERMINADO'!BR31</f>
        <v>0</v>
      </c>
      <c r="BT30" s="5"/>
      <c r="BU30" s="5">
        <f>-'INVENTARIO PRODUCTO TERMINADO'!BT31</f>
        <v>0</v>
      </c>
      <c r="BV30" s="5">
        <v>5</v>
      </c>
      <c r="BW30" s="5">
        <f>-'INVENTARIO PRODUCTO TERMINADO'!BV31</f>
        <v>0</v>
      </c>
      <c r="BX30" s="5"/>
      <c r="BY30" s="5">
        <f>-'INVENTARIO PRODUCTO TERMINADO'!BX31</f>
        <v>0</v>
      </c>
      <c r="BZ30" s="5"/>
      <c r="CA30" s="5">
        <f>-'INVENTARIO PRODUCTO TERMINADO'!BZ31</f>
        <v>0</v>
      </c>
      <c r="CB30" s="5"/>
      <c r="CC30" s="5">
        <f>-'INVENTARIO PRODUCTO TERMINADO'!CB31</f>
        <v>-155</v>
      </c>
      <c r="CD30" s="5"/>
      <c r="CE30" s="5">
        <f>-'INVENTARIO PRODUCTO TERMINADO'!CD31</f>
        <v>0</v>
      </c>
      <c r="CF30" s="5"/>
      <c r="CG30" s="5">
        <f>-'INVENTARIO PRODUCTO TERMINADO'!CF31</f>
        <v>0</v>
      </c>
      <c r="CH30" s="5"/>
      <c r="CI30" s="5">
        <f>-'INVENTARIO PRODUCTO TERMINADO'!CH31</f>
        <v>-50</v>
      </c>
      <c r="CJ30" s="5"/>
      <c r="CK30" s="5">
        <f>-'INVENTARIO PRODUCTO TERMINADO'!CJ31</f>
        <v>0</v>
      </c>
      <c r="CL30" s="5"/>
      <c r="CM30" s="5">
        <f>-'INVENTARIO PRODUCTO TERMINADO'!CL31</f>
        <v>0</v>
      </c>
    </row>
    <row r="31" spans="1:91" x14ac:dyDescent="0.25">
      <c r="A31" s="2" t="s">
        <v>312</v>
      </c>
      <c r="B31" s="3" t="s">
        <v>32</v>
      </c>
      <c r="C31" s="57"/>
      <c r="D31" s="6">
        <f t="shared" si="4"/>
        <v>484</v>
      </c>
      <c r="E31" s="4">
        <v>200</v>
      </c>
      <c r="F31" s="4">
        <f>D31-E31</f>
        <v>284</v>
      </c>
      <c r="G31" s="233">
        <v>933</v>
      </c>
      <c r="H31" s="5"/>
      <c r="I31" s="5">
        <f>-'INVENTARIO PRODUCTO TERMINADO'!H32</f>
        <v>0</v>
      </c>
      <c r="J31" s="5"/>
      <c r="K31" s="5">
        <f>-'INVENTARIO PRODUCTO TERMINADO'!J32</f>
        <v>0</v>
      </c>
      <c r="L31" s="5"/>
      <c r="M31" s="5">
        <f>-'INVENTARIO PRODUCTO TERMINADO'!L32</f>
        <v>0</v>
      </c>
      <c r="N31" s="5"/>
      <c r="O31" s="5">
        <f>-'INVENTARIO PRODUCTO TERMINADO'!N32</f>
        <v>0</v>
      </c>
      <c r="P31" s="5"/>
      <c r="Q31" s="5">
        <f>-'INVENTARIO PRODUCTO TERMINADO'!P32</f>
        <v>0</v>
      </c>
      <c r="R31" s="5">
        <v>4</v>
      </c>
      <c r="S31" s="5">
        <f>-'INVENTARIO PRODUCTO TERMINADO'!R32</f>
        <v>0</v>
      </c>
      <c r="T31" s="5"/>
      <c r="U31" s="5">
        <f>-'INVENTARIO PRODUCTO TERMINADO'!T32</f>
        <v>0</v>
      </c>
      <c r="V31" s="5"/>
      <c r="W31" s="5">
        <f>-'INVENTARIO PRODUCTO TERMINADO'!V32</f>
        <v>0</v>
      </c>
      <c r="X31" s="5"/>
      <c r="Y31" s="5">
        <f>-'INVENTARIO PRODUCTO TERMINADO'!X32</f>
        <v>0</v>
      </c>
      <c r="Z31" s="5"/>
      <c r="AA31" s="5">
        <f>-'INVENTARIO PRODUCTO TERMINADO'!Z32</f>
        <v>0</v>
      </c>
      <c r="AB31" s="5"/>
      <c r="AC31" s="5">
        <f>-'INVENTARIO PRODUCTO TERMINADO'!AB32</f>
        <v>0</v>
      </c>
      <c r="AD31" s="5"/>
      <c r="AE31" s="5">
        <f>-'INVENTARIO PRODUCTO TERMINADO'!AD32</f>
        <v>0</v>
      </c>
      <c r="AF31" s="5"/>
      <c r="AG31" s="5">
        <f>-'INVENTARIO PRODUCTO TERMINADO'!AF32</f>
        <v>0</v>
      </c>
      <c r="AH31" s="5"/>
      <c r="AI31" s="5">
        <f>-'INVENTARIO PRODUCTO TERMINADO'!AH32</f>
        <v>0</v>
      </c>
      <c r="AJ31" s="5"/>
      <c r="AK31" s="5">
        <f>-'INVENTARIO PRODUCTO TERMINADO'!AJ32</f>
        <v>-140</v>
      </c>
      <c r="AL31" s="5"/>
      <c r="AM31" s="5">
        <f>-'INVENTARIO PRODUCTO TERMINADO'!AL32</f>
        <v>0</v>
      </c>
      <c r="AN31" s="5"/>
      <c r="AO31" s="5">
        <f>-'INVENTARIO PRODUCTO TERMINADO'!AN32</f>
        <v>0</v>
      </c>
      <c r="AP31" s="5"/>
      <c r="AQ31" s="5">
        <f>-'INVENTARIO PRODUCTO TERMINADO'!AP32</f>
        <v>-62</v>
      </c>
      <c r="AR31" s="5"/>
      <c r="AS31" s="5">
        <f>-'INVENTARIO PRODUCTO TERMINADO'!AR32</f>
        <v>0</v>
      </c>
      <c r="AT31" s="71"/>
      <c r="AU31" s="5">
        <f>-'INVENTARIO PRODUCTO TERMINADO'!AT32</f>
        <v>0</v>
      </c>
      <c r="AV31" s="5"/>
      <c r="AW31" s="5">
        <f>-'INVENTARIO PRODUCTO TERMINADO'!AV32</f>
        <v>0</v>
      </c>
      <c r="AX31" s="5"/>
      <c r="AY31" s="5">
        <f>-'INVENTARIO PRODUCTO TERMINADO'!AX32</f>
        <v>0</v>
      </c>
      <c r="AZ31" s="5">
        <v>1</v>
      </c>
      <c r="BA31" s="5">
        <f>-'INVENTARIO PRODUCTO TERMINADO'!AZ32</f>
        <v>0</v>
      </c>
      <c r="BB31" s="5"/>
      <c r="BC31" s="5">
        <f>-'INVENTARIO PRODUCTO TERMINADO'!BB32</f>
        <v>0</v>
      </c>
      <c r="BD31" s="5"/>
      <c r="BE31" s="5">
        <f>-'INVENTARIO PRODUCTO TERMINADO'!BD32</f>
        <v>0</v>
      </c>
      <c r="BF31" s="5"/>
      <c r="BG31" s="5">
        <f>-'INVENTARIO PRODUCTO TERMINADO'!BF32</f>
        <v>0</v>
      </c>
      <c r="BH31" s="5">
        <v>1</v>
      </c>
      <c r="BI31" s="5">
        <f>-'INVENTARIO PRODUCTO TERMINADO'!BH32</f>
        <v>0</v>
      </c>
      <c r="BJ31" s="5"/>
      <c r="BK31" s="5">
        <f>-'INVENTARIO PRODUCTO TERMINADO'!BJ32</f>
        <v>0</v>
      </c>
      <c r="BL31" s="5"/>
      <c r="BM31" s="5">
        <f>-'INVENTARIO PRODUCTO TERMINADO'!BL32</f>
        <v>0</v>
      </c>
      <c r="BN31" s="5"/>
      <c r="BO31" s="5">
        <f>-'INVENTARIO PRODUCTO TERMINADO'!BN32</f>
        <v>0</v>
      </c>
      <c r="BP31" s="5"/>
      <c r="BQ31" s="5">
        <f>-'INVENTARIO PRODUCTO TERMINADO'!BP32</f>
        <v>0</v>
      </c>
      <c r="BR31" s="5"/>
      <c r="BS31" s="5">
        <f>-'INVENTARIO PRODUCTO TERMINADO'!BR32</f>
        <v>-26</v>
      </c>
      <c r="BT31" s="5"/>
      <c r="BU31" s="5">
        <f>-'INVENTARIO PRODUCTO TERMINADO'!BT32</f>
        <v>0</v>
      </c>
      <c r="BV31" s="5"/>
      <c r="BW31" s="5">
        <f>-'INVENTARIO PRODUCTO TERMINADO'!BV32</f>
        <v>0</v>
      </c>
      <c r="BX31" s="5"/>
      <c r="BY31" s="5">
        <f>-'INVENTARIO PRODUCTO TERMINADO'!BX32</f>
        <v>0</v>
      </c>
      <c r="BZ31" s="5"/>
      <c r="CA31" s="5">
        <f>-'INVENTARIO PRODUCTO TERMINADO'!BZ32</f>
        <v>0</v>
      </c>
      <c r="CB31" s="5"/>
      <c r="CC31" s="5">
        <f>-'INVENTARIO PRODUCTO TERMINADO'!CB32</f>
        <v>-120</v>
      </c>
      <c r="CD31" s="5"/>
      <c r="CE31" s="5">
        <f>-'INVENTARIO PRODUCTO TERMINADO'!CD32</f>
        <v>0</v>
      </c>
      <c r="CF31" s="5"/>
      <c r="CG31" s="5">
        <f>-'INVENTARIO PRODUCTO TERMINADO'!CF32</f>
        <v>-7</v>
      </c>
      <c r="CH31" s="5"/>
      <c r="CI31" s="5">
        <f>-'INVENTARIO PRODUCTO TERMINADO'!CH32</f>
        <v>-100</v>
      </c>
      <c r="CJ31" s="5"/>
      <c r="CK31" s="5">
        <f>-'INVENTARIO PRODUCTO TERMINADO'!CJ32</f>
        <v>0</v>
      </c>
      <c r="CL31" s="5"/>
      <c r="CM31" s="5">
        <f>-'INVENTARIO PRODUCTO TERMINADO'!CL32</f>
        <v>0</v>
      </c>
    </row>
    <row r="32" spans="1:91" x14ac:dyDescent="0.25">
      <c r="A32" s="2" t="s">
        <v>313</v>
      </c>
      <c r="B32" s="3" t="s">
        <v>30</v>
      </c>
      <c r="C32" s="57"/>
      <c r="D32" s="6">
        <f t="shared" si="4"/>
        <v>711</v>
      </c>
      <c r="E32" s="4">
        <v>100</v>
      </c>
      <c r="F32" s="4">
        <f>D32-E32</f>
        <v>611</v>
      </c>
      <c r="G32" s="233">
        <v>734</v>
      </c>
      <c r="H32" s="5"/>
      <c r="I32" s="5">
        <f>-'INVENTARIO PRODUCTO TERMINADO'!H33</f>
        <v>0</v>
      </c>
      <c r="J32" s="71"/>
      <c r="K32" s="5">
        <f>-'INVENTARIO PRODUCTO TERMINADO'!J33</f>
        <v>0</v>
      </c>
      <c r="L32" s="5"/>
      <c r="M32" s="5">
        <f>-'INVENTARIO PRODUCTO TERMINADO'!L33</f>
        <v>0</v>
      </c>
      <c r="N32" s="5"/>
      <c r="O32" s="5">
        <f>-'INVENTARIO PRODUCTO TERMINADO'!N33</f>
        <v>0</v>
      </c>
      <c r="P32" s="5"/>
      <c r="Q32" s="5">
        <f>-'INVENTARIO PRODUCTO TERMINADO'!P33</f>
        <v>0</v>
      </c>
      <c r="R32" s="5"/>
      <c r="S32" s="5">
        <f>-'INVENTARIO PRODUCTO TERMINADO'!R33</f>
        <v>0</v>
      </c>
      <c r="T32" s="5"/>
      <c r="U32" s="5">
        <f>-'INVENTARIO PRODUCTO TERMINADO'!T33</f>
        <v>0</v>
      </c>
      <c r="V32" s="5"/>
      <c r="W32" s="5">
        <f>-'INVENTARIO PRODUCTO TERMINADO'!V33</f>
        <v>0</v>
      </c>
      <c r="X32" s="5"/>
      <c r="Y32" s="5">
        <f>-'INVENTARIO PRODUCTO TERMINADO'!X33</f>
        <v>0</v>
      </c>
      <c r="Z32" s="5"/>
      <c r="AA32" s="5">
        <f>-'INVENTARIO PRODUCTO TERMINADO'!Z33</f>
        <v>0</v>
      </c>
      <c r="AB32" s="5"/>
      <c r="AC32" s="5">
        <f>-'INVENTARIO PRODUCTO TERMINADO'!AB33</f>
        <v>0</v>
      </c>
      <c r="AD32" s="5"/>
      <c r="AE32" s="5">
        <f>-'INVENTARIO PRODUCTO TERMINADO'!AD33</f>
        <v>0</v>
      </c>
      <c r="AF32" s="5"/>
      <c r="AG32" s="5">
        <f>-'INVENTARIO PRODUCTO TERMINADO'!AF33</f>
        <v>0</v>
      </c>
      <c r="AH32" s="5"/>
      <c r="AI32" s="5">
        <f>-'INVENTARIO PRODUCTO TERMINADO'!AH33</f>
        <v>0</v>
      </c>
      <c r="AJ32" s="5"/>
      <c r="AK32" s="5">
        <f>-'INVENTARIO PRODUCTO TERMINADO'!AJ33</f>
        <v>0</v>
      </c>
      <c r="AL32" s="5"/>
      <c r="AM32" s="5">
        <f>-'INVENTARIO PRODUCTO TERMINADO'!AL33</f>
        <v>0</v>
      </c>
      <c r="AN32" s="5"/>
      <c r="AO32" s="5">
        <f>-'INVENTARIO PRODUCTO TERMINADO'!AN33</f>
        <v>0</v>
      </c>
      <c r="AP32" s="5">
        <v>22</v>
      </c>
      <c r="AQ32" s="5">
        <f>-'INVENTARIO PRODUCTO TERMINADO'!AP33</f>
        <v>-1</v>
      </c>
      <c r="AR32" s="5"/>
      <c r="AS32" s="5">
        <f>-'INVENTARIO PRODUCTO TERMINADO'!AR33</f>
        <v>0</v>
      </c>
      <c r="AT32" s="71"/>
      <c r="AU32" s="5">
        <f>-'INVENTARIO PRODUCTO TERMINADO'!AT33</f>
        <v>0</v>
      </c>
      <c r="AV32" s="5"/>
      <c r="AW32" s="5">
        <f>-'INVENTARIO PRODUCTO TERMINADO'!AV33</f>
        <v>0</v>
      </c>
      <c r="AX32" s="5"/>
      <c r="AY32" s="5">
        <f>-'INVENTARIO PRODUCTO TERMINADO'!AX33</f>
        <v>0</v>
      </c>
      <c r="AZ32" s="5"/>
      <c r="BA32" s="5">
        <f>-'INVENTARIO PRODUCTO TERMINADO'!AZ33</f>
        <v>0</v>
      </c>
      <c r="BB32" s="58"/>
      <c r="BC32" s="5">
        <f>-'INVENTARIO PRODUCTO TERMINADO'!BB33</f>
        <v>0</v>
      </c>
      <c r="BD32" s="5"/>
      <c r="BE32" s="5">
        <f>-'INVENTARIO PRODUCTO TERMINADO'!BD33</f>
        <v>0</v>
      </c>
      <c r="BF32" s="5"/>
      <c r="BG32" s="5">
        <f>-'INVENTARIO PRODUCTO TERMINADO'!BF33</f>
        <v>0</v>
      </c>
      <c r="BH32" s="5"/>
      <c r="BI32" s="5">
        <f>-'INVENTARIO PRODUCTO TERMINADO'!BH33</f>
        <v>0</v>
      </c>
      <c r="BJ32" s="5"/>
      <c r="BK32" s="5">
        <f>-'INVENTARIO PRODUCTO TERMINADO'!BJ33</f>
        <v>0</v>
      </c>
      <c r="BL32" s="5"/>
      <c r="BM32" s="5">
        <f>-'INVENTARIO PRODUCTO TERMINADO'!BL33</f>
        <v>0</v>
      </c>
      <c r="BN32" s="5"/>
      <c r="BO32" s="5">
        <f>-'INVENTARIO PRODUCTO TERMINADO'!BN33</f>
        <v>0</v>
      </c>
      <c r="BP32" s="5"/>
      <c r="BQ32" s="5">
        <f>-'INVENTARIO PRODUCTO TERMINADO'!BP33</f>
        <v>0</v>
      </c>
      <c r="BR32" s="5"/>
      <c r="BS32" s="5">
        <f>-'INVENTARIO PRODUCTO TERMINADO'!BR33</f>
        <v>0</v>
      </c>
      <c r="BT32" s="5"/>
      <c r="BU32" s="5">
        <f>-'INVENTARIO PRODUCTO TERMINADO'!BT33</f>
        <v>0</v>
      </c>
      <c r="BV32" s="5"/>
      <c r="BW32" s="5">
        <f>-'INVENTARIO PRODUCTO TERMINADO'!BV33</f>
        <v>0</v>
      </c>
      <c r="BX32" s="5"/>
      <c r="BY32" s="5">
        <f>-'INVENTARIO PRODUCTO TERMINADO'!BX33</f>
        <v>0</v>
      </c>
      <c r="BZ32" s="5"/>
      <c r="CA32" s="5">
        <f>-'INVENTARIO PRODUCTO TERMINADO'!BZ33</f>
        <v>0</v>
      </c>
      <c r="CB32" s="5"/>
      <c r="CC32" s="5">
        <f>-'INVENTARIO PRODUCTO TERMINADO'!CB33</f>
        <v>-44</v>
      </c>
      <c r="CD32" s="5"/>
      <c r="CE32" s="5">
        <f>-'INVENTARIO PRODUCTO TERMINADO'!CD33</f>
        <v>0</v>
      </c>
      <c r="CF32" s="5"/>
      <c r="CG32" s="5">
        <f>-'INVENTARIO PRODUCTO TERMINADO'!CF33</f>
        <v>0</v>
      </c>
      <c r="CH32" s="5"/>
      <c r="CI32" s="5">
        <f>-'INVENTARIO PRODUCTO TERMINADO'!CH33</f>
        <v>0</v>
      </c>
      <c r="CJ32" s="5"/>
      <c r="CK32" s="5">
        <f>-'INVENTARIO PRODUCTO TERMINADO'!CJ33</f>
        <v>0</v>
      </c>
      <c r="CL32" s="5"/>
      <c r="CM32" s="5">
        <f>-'INVENTARIO PRODUCTO TERMINADO'!CL33</f>
        <v>0</v>
      </c>
    </row>
    <row r="33" spans="1:94" x14ac:dyDescent="0.25">
      <c r="A33" s="2" t="s">
        <v>314</v>
      </c>
      <c r="B33" s="3" t="s">
        <v>303</v>
      </c>
      <c r="C33" s="3"/>
      <c r="D33" s="6">
        <f t="shared" si="4"/>
        <v>19</v>
      </c>
      <c r="E33" s="4">
        <v>50</v>
      </c>
      <c r="F33" s="4">
        <f>D33-E33</f>
        <v>-31</v>
      </c>
      <c r="G33" s="233">
        <v>39</v>
      </c>
      <c r="H33" s="71"/>
      <c r="I33" s="71">
        <f>-'INVENTARIO PRODUCTO TERMINADO'!H34</f>
        <v>0</v>
      </c>
      <c r="J33" s="71"/>
      <c r="K33" s="71">
        <f>-'INVENTARIO PRODUCTO TERMINADO'!J34</f>
        <v>0</v>
      </c>
      <c r="L33" s="5"/>
      <c r="M33" s="71">
        <f>-'INVENTARIO PRODUCTO TERMINADO'!L34</f>
        <v>0</v>
      </c>
      <c r="N33" s="5"/>
      <c r="O33" s="71">
        <f>-'INVENTARIO PRODUCTO TERMINADO'!N34</f>
        <v>0</v>
      </c>
      <c r="P33" s="5"/>
      <c r="Q33" s="71">
        <v>0</v>
      </c>
      <c r="R33" s="5"/>
      <c r="S33" s="71">
        <f>-'INVENTARIO PRODUCTO TERMINADO'!R34</f>
        <v>0</v>
      </c>
      <c r="T33" s="71"/>
      <c r="U33" s="71">
        <f>-'INVENTARIO PRODUCTO TERMINADO'!T34</f>
        <v>0</v>
      </c>
      <c r="V33" s="5"/>
      <c r="W33" s="71">
        <f>-'INVENTARIO PRODUCTO TERMINADO'!V34</f>
        <v>0</v>
      </c>
      <c r="X33" s="5"/>
      <c r="Y33" s="71">
        <f>-'INVENTARIO PRODUCTO TERMINADO'!X34</f>
        <v>0</v>
      </c>
      <c r="Z33" s="71"/>
      <c r="AA33" s="71">
        <f>-'INVENTARIO PRODUCTO TERMINADO'!Z34</f>
        <v>0</v>
      </c>
      <c r="AB33" s="5"/>
      <c r="AC33" s="71">
        <f>-'INVENTARIO PRODUCTO TERMINADO'!AB34</f>
        <v>0</v>
      </c>
      <c r="AD33" s="5"/>
      <c r="AE33" s="71">
        <f>-'INVENTARIO PRODUCTO TERMINADO'!AD34</f>
        <v>0</v>
      </c>
      <c r="AF33" s="5"/>
      <c r="AG33" s="71">
        <f>-'INVENTARIO PRODUCTO TERMINADO'!AF34</f>
        <v>0</v>
      </c>
      <c r="AH33" s="5"/>
      <c r="AI33" s="71">
        <f>-'INVENTARIO PRODUCTO TERMINADO'!AH34</f>
        <v>0</v>
      </c>
      <c r="AJ33" s="5"/>
      <c r="AK33" s="71">
        <f>-'INVENTARIO PRODUCTO TERMINADO'!AJ34</f>
        <v>0</v>
      </c>
      <c r="AL33" s="5"/>
      <c r="AM33" s="71">
        <f>-'INVENTARIO PRODUCTO TERMINADO'!AL34</f>
        <v>0</v>
      </c>
      <c r="AN33" s="5"/>
      <c r="AO33" s="71">
        <f>-'INVENTARIO PRODUCTO TERMINADO'!AN34</f>
        <v>0</v>
      </c>
      <c r="AP33" s="5"/>
      <c r="AQ33" s="71">
        <f>-'INVENTARIO PRODUCTO TERMINADO'!AP34</f>
        <v>0</v>
      </c>
      <c r="AR33" s="5"/>
      <c r="AS33" s="71">
        <f>-'INVENTARIO PRODUCTO TERMINADO'!AR34</f>
        <v>0</v>
      </c>
      <c r="AT33" s="5"/>
      <c r="AU33" s="71">
        <f>-'INVENTARIO PRODUCTO TERMINADO'!AT34</f>
        <v>0</v>
      </c>
      <c r="AV33" s="5"/>
      <c r="AW33" s="71">
        <f>-'INVENTARIO PRODUCTO TERMINADO'!AV34</f>
        <v>0</v>
      </c>
      <c r="AX33" s="5"/>
      <c r="AY33" s="71">
        <f>-'INVENTARIO PRODUCTO TERMINADO'!AX34</f>
        <v>0</v>
      </c>
      <c r="AZ33" s="5"/>
      <c r="BA33" s="71">
        <f>-'INVENTARIO PRODUCTO TERMINADO'!AZ34</f>
        <v>-20</v>
      </c>
      <c r="BB33" s="5"/>
      <c r="BC33" s="71">
        <f>-'INVENTARIO PRODUCTO TERMINADO'!BB34</f>
        <v>0</v>
      </c>
      <c r="BD33" s="5"/>
      <c r="BE33" s="71">
        <f>-'INVENTARIO PRODUCTO TERMINADO'!BD34</f>
        <v>0</v>
      </c>
      <c r="BF33" s="5"/>
      <c r="BG33" s="71">
        <f>-'INVENTARIO PRODUCTO TERMINADO'!BF34</f>
        <v>0</v>
      </c>
      <c r="BH33" s="5"/>
      <c r="BI33" s="71">
        <f>-'INVENTARIO PRODUCTO TERMINADO'!BH34</f>
        <v>0</v>
      </c>
      <c r="BJ33" s="5"/>
      <c r="BK33" s="71">
        <f>-'INVENTARIO PRODUCTO TERMINADO'!BJ34</f>
        <v>0</v>
      </c>
      <c r="BL33" s="5"/>
      <c r="BM33" s="71">
        <f>-'INVENTARIO PRODUCTO TERMINADO'!BL34</f>
        <v>0</v>
      </c>
      <c r="BN33" s="71"/>
      <c r="BO33" s="71">
        <f>-'INVENTARIO PRODUCTO TERMINADO'!BN34</f>
        <v>0</v>
      </c>
      <c r="BP33" s="5"/>
      <c r="BQ33" s="71">
        <f>-'INVENTARIO PRODUCTO TERMINADO'!BP34</f>
        <v>0</v>
      </c>
      <c r="BR33" s="71"/>
      <c r="BS33" s="71">
        <f>-'INVENTARIO PRODUCTO TERMINADO'!BR34</f>
        <v>0</v>
      </c>
      <c r="BT33" s="5"/>
      <c r="BU33" s="71">
        <f>-'INVENTARIO PRODUCTO TERMINADO'!BT34</f>
        <v>0</v>
      </c>
      <c r="BV33" s="5"/>
      <c r="BW33" s="71">
        <f>-'INVENTARIO PRODUCTO TERMINADO'!BV34</f>
        <v>0</v>
      </c>
      <c r="BX33" s="5"/>
      <c r="BY33" s="71">
        <f>-'INVENTARIO PRODUCTO TERMINADO'!BX34</f>
        <v>0</v>
      </c>
      <c r="BZ33" s="5"/>
      <c r="CA33" s="71">
        <f>-'INVENTARIO PRODUCTO TERMINADO'!BZ34</f>
        <v>0</v>
      </c>
      <c r="CB33" s="71"/>
      <c r="CC33" s="71">
        <f>-'INVENTARIO PRODUCTO TERMINADO'!CB34</f>
        <v>0</v>
      </c>
      <c r="CD33" s="5"/>
      <c r="CE33" s="71">
        <f>-'INVENTARIO PRODUCTO TERMINADO'!CD34</f>
        <v>0</v>
      </c>
      <c r="CF33" s="5"/>
      <c r="CG33" s="71">
        <f>-'INVENTARIO PRODUCTO TERMINADO'!CF34</f>
        <v>0</v>
      </c>
      <c r="CH33" s="5"/>
      <c r="CI33" s="71">
        <f>-'INVENTARIO PRODUCTO TERMINADO'!CH34</f>
        <v>0</v>
      </c>
      <c r="CJ33" s="5"/>
      <c r="CK33" s="71">
        <f>-'INVENTARIO PRODUCTO TERMINADO'!CJ34</f>
        <v>0</v>
      </c>
      <c r="CL33" s="5"/>
      <c r="CM33" s="71">
        <f>-'INVENTARIO PRODUCTO TERMINADO'!CL34</f>
        <v>0</v>
      </c>
      <c r="CP33" s="68"/>
    </row>
    <row r="34" spans="1:94" x14ac:dyDescent="0.25">
      <c r="A34" s="211"/>
      <c r="B34" s="212"/>
      <c r="C34" s="223"/>
      <c r="D34" s="213"/>
      <c r="E34" s="214"/>
      <c r="F34" s="214"/>
      <c r="G34" s="213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6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</row>
    <row r="35" spans="1:94" x14ac:dyDescent="0.25">
      <c r="G35">
        <f>192-167</f>
        <v>25</v>
      </c>
      <c r="BN35" s="7"/>
    </row>
    <row r="38" spans="1:94" x14ac:dyDescent="0.25">
      <c r="AQ38" s="1"/>
    </row>
  </sheetData>
  <mergeCells count="42">
    <mergeCell ref="CF4:CG4"/>
    <mergeCell ref="CH4:CI4"/>
    <mergeCell ref="CJ4:CK4"/>
    <mergeCell ref="CL4:CM4"/>
    <mergeCell ref="BV4:BW4"/>
    <mergeCell ref="CB4:CC4"/>
    <mergeCell ref="CD4:CE4"/>
    <mergeCell ref="AT4:AU4"/>
    <mergeCell ref="AV4:AW4"/>
    <mergeCell ref="AX4:AY4"/>
    <mergeCell ref="BZ4:CA4"/>
    <mergeCell ref="BX4:BY4"/>
    <mergeCell ref="AZ4:BA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BT4:BU4"/>
    <mergeCell ref="AJ4:AK4"/>
    <mergeCell ref="AL4:AM4"/>
    <mergeCell ref="AN4:AO4"/>
    <mergeCell ref="AP4:AQ4"/>
    <mergeCell ref="AR4:AS4"/>
    <mergeCell ref="AH4:AI4"/>
    <mergeCell ref="H4:I4"/>
    <mergeCell ref="Z4:AA4"/>
    <mergeCell ref="AB4:AC4"/>
    <mergeCell ref="AD4:AE4"/>
    <mergeCell ref="AF4:AG4"/>
    <mergeCell ref="R4:S4"/>
    <mergeCell ref="T4:U4"/>
    <mergeCell ref="V4:W4"/>
    <mergeCell ref="X4:Y4"/>
    <mergeCell ref="J4:K4"/>
    <mergeCell ref="L4:M4"/>
    <mergeCell ref="N4:O4"/>
    <mergeCell ref="P4:Q4"/>
  </mergeCells>
  <conditionalFormatting sqref="F34 F6:F7 F9 F12:F14">
    <cfRule type="cellIs" dxfId="59" priority="179" operator="lessThanOrEqual">
      <formula>0</formula>
    </cfRule>
    <cfRule type="cellIs" dxfId="58" priority="180" operator="greaterThan">
      <formula>0</formula>
    </cfRule>
  </conditionalFormatting>
  <conditionalFormatting sqref="F15:F16">
    <cfRule type="cellIs" dxfId="57" priority="149" operator="lessThanOrEqual">
      <formula>0</formula>
    </cfRule>
    <cfRule type="cellIs" dxfId="56" priority="150" operator="greaterThan">
      <formula>0</formula>
    </cfRule>
  </conditionalFormatting>
  <conditionalFormatting sqref="F21">
    <cfRule type="cellIs" dxfId="55" priority="47" operator="lessThanOrEqual">
      <formula>0</formula>
    </cfRule>
    <cfRule type="cellIs" dxfId="54" priority="48" operator="greaterThan">
      <formula>0</formula>
    </cfRule>
  </conditionalFormatting>
  <conditionalFormatting sqref="F22">
    <cfRule type="cellIs" dxfId="53" priority="45" operator="lessThanOrEqual">
      <formula>0</formula>
    </cfRule>
    <cfRule type="cellIs" dxfId="52" priority="46" operator="greaterThan">
      <formula>0</formula>
    </cfRule>
  </conditionalFormatting>
  <conditionalFormatting sqref="F19">
    <cfRule type="cellIs" dxfId="51" priority="51" operator="lessThanOrEqual">
      <formula>0</formula>
    </cfRule>
    <cfRule type="cellIs" dxfId="50" priority="52" operator="greaterThan">
      <formula>0</formula>
    </cfRule>
  </conditionalFormatting>
  <conditionalFormatting sqref="F32">
    <cfRule type="cellIs" dxfId="49" priority="13" operator="lessThanOrEqual">
      <formula>0</formula>
    </cfRule>
    <cfRule type="cellIs" dxfId="48" priority="14" operator="greaterThan">
      <formula>0</formula>
    </cfRule>
  </conditionalFormatting>
  <conditionalFormatting sqref="F8">
    <cfRule type="cellIs" dxfId="47" priority="61" operator="lessThanOrEqual">
      <formula>0</formula>
    </cfRule>
    <cfRule type="cellIs" dxfId="46" priority="62" operator="greaterThan">
      <formula>0</formula>
    </cfRule>
  </conditionalFormatting>
  <conditionalFormatting sqref="F10">
    <cfRule type="cellIs" dxfId="45" priority="59" operator="lessThanOrEqual">
      <formula>0</formula>
    </cfRule>
    <cfRule type="cellIs" dxfId="44" priority="60" operator="greaterThan">
      <formula>0</formula>
    </cfRule>
  </conditionalFormatting>
  <conditionalFormatting sqref="F11">
    <cfRule type="cellIs" dxfId="43" priority="57" operator="lessThanOrEqual">
      <formula>0</formula>
    </cfRule>
    <cfRule type="cellIs" dxfId="42" priority="58" operator="greaterThan">
      <formula>0</formula>
    </cfRule>
  </conditionalFormatting>
  <conditionalFormatting sqref="F20">
    <cfRule type="cellIs" dxfId="41" priority="11" operator="lessThanOrEqual">
      <formula>0</formula>
    </cfRule>
    <cfRule type="cellIs" dxfId="40" priority="12" operator="greaterThan">
      <formula>0</formula>
    </cfRule>
  </conditionalFormatting>
  <conditionalFormatting sqref="F17">
    <cfRule type="cellIs" dxfId="39" priority="55" operator="lessThanOrEqual">
      <formula>0</formula>
    </cfRule>
    <cfRule type="cellIs" dxfId="38" priority="56" operator="greaterThan">
      <formula>0</formula>
    </cfRule>
  </conditionalFormatting>
  <conditionalFormatting sqref="F18">
    <cfRule type="cellIs" dxfId="37" priority="53" operator="lessThanOrEqual">
      <formula>0</formula>
    </cfRule>
    <cfRule type="cellIs" dxfId="36" priority="54" operator="greaterThan">
      <formula>0</formula>
    </cfRule>
  </conditionalFormatting>
  <conditionalFormatting sqref="F19">
    <cfRule type="cellIs" dxfId="35" priority="49" operator="lessThanOrEqual">
      <formula>0</formula>
    </cfRule>
    <cfRule type="cellIs" dxfId="34" priority="50" operator="greaterThan">
      <formula>0</formula>
    </cfRule>
  </conditionalFormatting>
  <conditionalFormatting sqref="F22">
    <cfRule type="cellIs" dxfId="33" priority="41" operator="lessThanOrEqual">
      <formula>0</formula>
    </cfRule>
    <cfRule type="cellIs" dxfId="32" priority="42" operator="greaterThan">
      <formula>0</formula>
    </cfRule>
  </conditionalFormatting>
  <conditionalFormatting sqref="F22">
    <cfRule type="cellIs" dxfId="31" priority="43" operator="lessThanOrEqual">
      <formula>0</formula>
    </cfRule>
    <cfRule type="cellIs" dxfId="30" priority="44" operator="greaterThan">
      <formula>0</formula>
    </cfRule>
  </conditionalFormatting>
  <conditionalFormatting sqref="F23">
    <cfRule type="cellIs" dxfId="29" priority="39" operator="lessThanOrEqual">
      <formula>0</formula>
    </cfRule>
    <cfRule type="cellIs" dxfId="28" priority="40" operator="greaterThan">
      <formula>0</formula>
    </cfRule>
  </conditionalFormatting>
  <conditionalFormatting sqref="F23">
    <cfRule type="cellIs" dxfId="27" priority="37" operator="lessThanOrEqual">
      <formula>0</formula>
    </cfRule>
    <cfRule type="cellIs" dxfId="26" priority="38" operator="greaterThan">
      <formula>0</formula>
    </cfRule>
  </conditionalFormatting>
  <conditionalFormatting sqref="F26">
    <cfRule type="cellIs" dxfId="25" priority="35" operator="lessThanOrEqual">
      <formula>0</formula>
    </cfRule>
    <cfRule type="cellIs" dxfId="24" priority="36" operator="greaterThan">
      <formula>0</formula>
    </cfRule>
  </conditionalFormatting>
  <conditionalFormatting sqref="F26">
    <cfRule type="cellIs" dxfId="23" priority="33" operator="lessThanOrEqual">
      <formula>0</formula>
    </cfRule>
    <cfRule type="cellIs" dxfId="22" priority="34" operator="greaterThan">
      <formula>0</formula>
    </cfRule>
  </conditionalFormatting>
  <conditionalFormatting sqref="F27">
    <cfRule type="cellIs" dxfId="21" priority="29" operator="lessThanOrEqual">
      <formula>0</formula>
    </cfRule>
    <cfRule type="cellIs" dxfId="20" priority="30" operator="greaterThan">
      <formula>0</formula>
    </cfRule>
  </conditionalFormatting>
  <conditionalFormatting sqref="F27">
    <cfRule type="cellIs" dxfId="19" priority="27" operator="lessThanOrEqual">
      <formula>0</formula>
    </cfRule>
    <cfRule type="cellIs" dxfId="18" priority="28" operator="greaterThan">
      <formula>0</formula>
    </cfRule>
  </conditionalFormatting>
  <conditionalFormatting sqref="F28">
    <cfRule type="cellIs" dxfId="17" priority="23" operator="lessThanOrEqual">
      <formula>0</formula>
    </cfRule>
    <cfRule type="cellIs" dxfId="16" priority="24" operator="greaterThan">
      <formula>0</formula>
    </cfRule>
  </conditionalFormatting>
  <conditionalFormatting sqref="F29">
    <cfRule type="cellIs" dxfId="15" priority="19" operator="lessThanOrEqual">
      <formula>0</formula>
    </cfRule>
    <cfRule type="cellIs" dxfId="14" priority="20" operator="greaterThan">
      <formula>0</formula>
    </cfRule>
  </conditionalFormatting>
  <conditionalFormatting sqref="F30">
    <cfRule type="cellIs" dxfId="13" priority="17" operator="lessThanOrEqual">
      <formula>0</formula>
    </cfRule>
    <cfRule type="cellIs" dxfId="12" priority="18" operator="greaterThan">
      <formula>0</formula>
    </cfRule>
  </conditionalFormatting>
  <conditionalFormatting sqref="F31">
    <cfRule type="cellIs" dxfId="11" priority="15" operator="lessThanOrEqual">
      <formula>0</formula>
    </cfRule>
    <cfRule type="cellIs" dxfId="10" priority="16" operator="greaterThan">
      <formula>0</formula>
    </cfRule>
  </conditionalFormatting>
  <conditionalFormatting sqref="F33">
    <cfRule type="cellIs" dxfId="9" priority="9" operator="lessThanOrEqual">
      <formula>0</formula>
    </cfRule>
    <cfRule type="cellIs" dxfId="8" priority="10" operator="greaterThan">
      <formula>0</formula>
    </cfRule>
  </conditionalFormatting>
  <conditionalFormatting sqref="F24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F24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F25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F2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H52"/>
  <sheetViews>
    <sheetView showGridLines="0" zoomScale="82" zoomScaleNormal="82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45" sqref="E45"/>
    </sheetView>
  </sheetViews>
  <sheetFormatPr baseColWidth="10" defaultRowHeight="15" x14ac:dyDescent="0.25"/>
  <cols>
    <col min="1" max="1" width="4.7109375" customWidth="1"/>
    <col min="2" max="2" width="14" customWidth="1"/>
    <col min="3" max="3" width="61.42578125" customWidth="1"/>
    <col min="4" max="4" width="22.140625" customWidth="1"/>
    <col min="5" max="7" width="20.42578125" customWidth="1"/>
    <col min="8" max="8" width="4.85546875" customWidth="1"/>
    <col min="9" max="9" width="5" customWidth="1"/>
    <col min="10" max="10" width="6.28515625" customWidth="1"/>
    <col min="11" max="11" width="17.5703125" customWidth="1"/>
    <col min="12" max="12" width="38" customWidth="1"/>
    <col min="13" max="13" width="26.5703125" customWidth="1"/>
    <col min="14" max="14" width="24" customWidth="1"/>
    <col min="15" max="15" width="18.7109375" customWidth="1"/>
    <col min="16" max="16" width="16.28515625" customWidth="1"/>
  </cols>
  <sheetData>
    <row r="1" spans="1:86" ht="80.099999999999994" customHeight="1" x14ac:dyDescent="0.25">
      <c r="A1" s="8"/>
      <c r="B1" s="8"/>
      <c r="C1" s="8"/>
      <c r="D1" s="8"/>
      <c r="E1" s="8"/>
      <c r="F1" s="8"/>
      <c r="G1" s="8"/>
      <c r="J1" s="8"/>
      <c r="K1" s="8"/>
      <c r="L1" s="8"/>
      <c r="M1" s="8"/>
      <c r="N1" s="8"/>
      <c r="O1" s="8"/>
      <c r="P1" s="8"/>
      <c r="Q1" s="8"/>
    </row>
    <row r="2" spans="1:86" ht="26.25" x14ac:dyDescent="0.25">
      <c r="A2" s="9" t="s">
        <v>433</v>
      </c>
      <c r="B2" s="9"/>
      <c r="C2" s="9"/>
      <c r="D2" s="9"/>
      <c r="E2" s="9"/>
      <c r="F2" s="9"/>
      <c r="G2" s="9"/>
      <c r="J2" s="9" t="s">
        <v>490</v>
      </c>
      <c r="K2" s="9"/>
      <c r="L2" s="9"/>
      <c r="M2" s="9"/>
      <c r="N2" s="9"/>
      <c r="O2" s="9"/>
      <c r="P2" s="9"/>
      <c r="Q2" s="9"/>
    </row>
    <row r="4" spans="1:86" x14ac:dyDescent="0.25">
      <c r="A4" s="135"/>
      <c r="J4" s="135"/>
    </row>
    <row r="5" spans="1:86" ht="30.75" thickBot="1" x14ac:dyDescent="0.3">
      <c r="A5" s="55" t="s">
        <v>8</v>
      </c>
      <c r="B5" s="55" t="s">
        <v>49</v>
      </c>
      <c r="C5" s="55" t="s">
        <v>9</v>
      </c>
      <c r="D5" s="55" t="s">
        <v>47</v>
      </c>
      <c r="E5" s="55" t="s">
        <v>48</v>
      </c>
      <c r="F5" s="55" t="s">
        <v>416</v>
      </c>
      <c r="G5" s="55" t="s">
        <v>0</v>
      </c>
      <c r="J5" s="55" t="s">
        <v>8</v>
      </c>
      <c r="K5" s="55" t="s">
        <v>49</v>
      </c>
      <c r="L5" s="55" t="s">
        <v>9</v>
      </c>
      <c r="M5" s="55" t="s">
        <v>47</v>
      </c>
      <c r="N5" s="55" t="s">
        <v>48</v>
      </c>
      <c r="O5" s="55" t="s">
        <v>416</v>
      </c>
      <c r="P5" s="55" t="s">
        <v>0</v>
      </c>
    </row>
    <row r="6" spans="1:86" x14ac:dyDescent="0.25">
      <c r="A6" s="357">
        <v>1</v>
      </c>
      <c r="B6" s="362" t="s">
        <v>473</v>
      </c>
      <c r="C6" s="360" t="s">
        <v>474</v>
      </c>
      <c r="D6" s="355" t="s">
        <v>391</v>
      </c>
      <c r="E6" s="355" t="s">
        <v>475</v>
      </c>
      <c r="F6" s="365" t="s">
        <v>482</v>
      </c>
      <c r="G6" s="367">
        <v>2</v>
      </c>
      <c r="H6" s="1"/>
      <c r="I6" s="1"/>
      <c r="J6" s="357">
        <v>1</v>
      </c>
      <c r="K6" s="362" t="s">
        <v>491</v>
      </c>
      <c r="L6" s="360" t="s">
        <v>541</v>
      </c>
      <c r="M6" s="355" t="s">
        <v>449</v>
      </c>
      <c r="N6" s="355" t="s">
        <v>428</v>
      </c>
      <c r="O6" s="365" t="s">
        <v>482</v>
      </c>
      <c r="P6" s="367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358">
        <v>2</v>
      </c>
      <c r="B7" s="363" t="s">
        <v>505</v>
      </c>
      <c r="C7" s="347" t="s">
        <v>476</v>
      </c>
      <c r="D7" s="4" t="s">
        <v>392</v>
      </c>
      <c r="E7" s="4" t="s">
        <v>51</v>
      </c>
      <c r="F7" s="10" t="s">
        <v>482</v>
      </c>
      <c r="G7" s="368">
        <v>3</v>
      </c>
      <c r="H7" s="1"/>
      <c r="I7" s="1"/>
      <c r="J7" s="358">
        <v>2</v>
      </c>
      <c r="K7" s="363" t="s">
        <v>491</v>
      </c>
      <c r="L7" s="347" t="s">
        <v>540</v>
      </c>
      <c r="M7" s="4" t="s">
        <v>546</v>
      </c>
      <c r="N7" s="4" t="s">
        <v>52</v>
      </c>
      <c r="O7" s="10" t="s">
        <v>542</v>
      </c>
      <c r="P7" s="368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15.75" customHeight="1" x14ac:dyDescent="0.25">
      <c r="A8" s="358">
        <v>3</v>
      </c>
      <c r="B8" s="363" t="s">
        <v>436</v>
      </c>
      <c r="C8" s="347" t="s">
        <v>421</v>
      </c>
      <c r="D8" s="4" t="s">
        <v>393</v>
      </c>
      <c r="E8" s="4" t="s">
        <v>427</v>
      </c>
      <c r="F8" s="10" t="s">
        <v>477</v>
      </c>
      <c r="G8" s="368">
        <v>1</v>
      </c>
      <c r="H8" s="1"/>
      <c r="I8" s="1"/>
      <c r="J8" s="358">
        <v>3</v>
      </c>
      <c r="K8" s="363" t="s">
        <v>491</v>
      </c>
      <c r="L8" s="347" t="s">
        <v>540</v>
      </c>
      <c r="M8" s="4"/>
      <c r="N8" s="4" t="s">
        <v>51</v>
      </c>
      <c r="O8" s="10" t="s">
        <v>543</v>
      </c>
      <c r="P8" s="368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ht="16.5" customHeight="1" x14ac:dyDescent="0.25">
      <c r="A9" s="358">
        <v>4</v>
      </c>
      <c r="B9" s="363" t="s">
        <v>479</v>
      </c>
      <c r="C9" s="347" t="s">
        <v>480</v>
      </c>
      <c r="D9" s="4" t="s">
        <v>393</v>
      </c>
      <c r="E9" s="4" t="s">
        <v>52</v>
      </c>
      <c r="F9" s="10" t="s">
        <v>477</v>
      </c>
      <c r="G9" s="368">
        <v>1</v>
      </c>
      <c r="H9" s="1"/>
      <c r="I9" s="1"/>
      <c r="J9" s="358">
        <v>4</v>
      </c>
      <c r="K9" s="363" t="s">
        <v>442</v>
      </c>
      <c r="L9" s="347" t="s">
        <v>434</v>
      </c>
      <c r="M9" s="4" t="s">
        <v>393</v>
      </c>
      <c r="N9" s="4" t="s">
        <v>52</v>
      </c>
      <c r="O9" s="10" t="s">
        <v>482</v>
      </c>
      <c r="P9" s="368">
        <v>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ht="18" customHeight="1" x14ac:dyDescent="0.25">
      <c r="A10" s="358">
        <v>5</v>
      </c>
      <c r="B10" s="363" t="s">
        <v>481</v>
      </c>
      <c r="C10" s="347" t="s">
        <v>506</v>
      </c>
      <c r="D10" s="334" t="s">
        <v>507</v>
      </c>
      <c r="E10" s="334" t="s">
        <v>50</v>
      </c>
      <c r="F10" s="10" t="s">
        <v>508</v>
      </c>
      <c r="G10" s="368">
        <v>1</v>
      </c>
      <c r="H10" s="1"/>
      <c r="I10" s="1"/>
      <c r="J10" s="358">
        <v>5</v>
      </c>
      <c r="K10" s="363" t="s">
        <v>443</v>
      </c>
      <c r="L10" s="347" t="s">
        <v>517</v>
      </c>
      <c r="M10" s="334" t="s">
        <v>488</v>
      </c>
      <c r="N10" s="4" t="s">
        <v>52</v>
      </c>
      <c r="O10" s="10" t="s">
        <v>482</v>
      </c>
      <c r="P10" s="368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ht="17.25" customHeight="1" x14ac:dyDescent="0.25">
      <c r="A11" s="358">
        <v>6</v>
      </c>
      <c r="B11" s="363" t="s">
        <v>481</v>
      </c>
      <c r="C11" s="347" t="s">
        <v>506</v>
      </c>
      <c r="D11" s="4" t="s">
        <v>485</v>
      </c>
      <c r="E11" s="334" t="s">
        <v>430</v>
      </c>
      <c r="F11" s="10" t="s">
        <v>508</v>
      </c>
      <c r="G11" s="368">
        <v>1</v>
      </c>
      <c r="J11" s="358">
        <v>6</v>
      </c>
      <c r="K11" s="363" t="s">
        <v>443</v>
      </c>
      <c r="L11" s="347" t="s">
        <v>517</v>
      </c>
      <c r="M11" s="334" t="s">
        <v>129</v>
      </c>
      <c r="N11" s="4" t="s">
        <v>52</v>
      </c>
      <c r="O11" s="10" t="s">
        <v>498</v>
      </c>
      <c r="P11" s="368">
        <v>1</v>
      </c>
    </row>
    <row r="12" spans="1:86" x14ac:dyDescent="0.25">
      <c r="A12" s="358">
        <v>7</v>
      </c>
      <c r="B12" s="363" t="s">
        <v>437</v>
      </c>
      <c r="C12" s="347" t="s">
        <v>509</v>
      </c>
      <c r="D12" s="4" t="s">
        <v>507</v>
      </c>
      <c r="E12" s="4" t="s">
        <v>429</v>
      </c>
      <c r="F12" s="10" t="s">
        <v>508</v>
      </c>
      <c r="G12" s="368">
        <v>5</v>
      </c>
      <c r="J12" s="358">
        <v>7</v>
      </c>
      <c r="K12" s="363" t="s">
        <v>444</v>
      </c>
      <c r="L12" s="347" t="s">
        <v>500</v>
      </c>
      <c r="M12" s="4" t="s">
        <v>504</v>
      </c>
      <c r="N12" s="4" t="s">
        <v>502</v>
      </c>
      <c r="O12" s="10" t="s">
        <v>503</v>
      </c>
      <c r="P12" s="368">
        <v>2</v>
      </c>
    </row>
    <row r="13" spans="1:86" x14ac:dyDescent="0.25">
      <c r="A13" s="358">
        <v>8</v>
      </c>
      <c r="B13" s="363" t="s">
        <v>438</v>
      </c>
      <c r="C13" s="347" t="s">
        <v>422</v>
      </c>
      <c r="D13" s="4" t="s">
        <v>425</v>
      </c>
      <c r="E13" s="4" t="s">
        <v>50</v>
      </c>
      <c r="F13" s="10" t="s">
        <v>477</v>
      </c>
      <c r="G13" s="368">
        <v>2</v>
      </c>
      <c r="J13" s="358">
        <v>8</v>
      </c>
      <c r="K13" s="363" t="s">
        <v>544</v>
      </c>
      <c r="L13" s="347" t="s">
        <v>518</v>
      </c>
      <c r="M13" s="4" t="s">
        <v>393</v>
      </c>
      <c r="N13" s="4" t="s">
        <v>430</v>
      </c>
      <c r="O13" s="10" t="s">
        <v>482</v>
      </c>
      <c r="P13" s="368">
        <v>6</v>
      </c>
    </row>
    <row r="14" spans="1:86" x14ac:dyDescent="0.25">
      <c r="A14" s="358">
        <v>9</v>
      </c>
      <c r="B14" s="363" t="s">
        <v>483</v>
      </c>
      <c r="C14" s="347" t="s">
        <v>486</v>
      </c>
      <c r="D14" s="342" t="s">
        <v>485</v>
      </c>
      <c r="E14" s="342" t="s">
        <v>430</v>
      </c>
      <c r="F14" s="372" t="s">
        <v>477</v>
      </c>
      <c r="G14" s="368">
        <v>1</v>
      </c>
      <c r="J14" s="358">
        <v>9</v>
      </c>
      <c r="K14" s="363" t="s">
        <v>445</v>
      </c>
      <c r="L14" s="347" t="s">
        <v>519</v>
      </c>
      <c r="M14" s="4" t="s">
        <v>390</v>
      </c>
      <c r="N14" s="4" t="s">
        <v>499</v>
      </c>
      <c r="O14" s="10" t="s">
        <v>482</v>
      </c>
      <c r="P14" s="368">
        <v>1</v>
      </c>
    </row>
    <row r="15" spans="1:86" x14ac:dyDescent="0.25">
      <c r="A15" s="358">
        <v>10</v>
      </c>
      <c r="B15" s="363" t="s">
        <v>489</v>
      </c>
      <c r="C15" s="347" t="s">
        <v>510</v>
      </c>
      <c r="D15" s="4" t="s">
        <v>487</v>
      </c>
      <c r="E15" s="4" t="s">
        <v>432</v>
      </c>
      <c r="F15" s="10" t="s">
        <v>477</v>
      </c>
      <c r="G15" s="368">
        <v>1</v>
      </c>
      <c r="J15" s="358">
        <v>10</v>
      </c>
      <c r="K15" s="363" t="s">
        <v>493</v>
      </c>
      <c r="L15" s="347" t="s">
        <v>494</v>
      </c>
      <c r="M15" s="4" t="s">
        <v>393</v>
      </c>
      <c r="N15" s="4" t="s">
        <v>52</v>
      </c>
      <c r="O15" s="10" t="s">
        <v>498</v>
      </c>
      <c r="P15" s="368">
        <v>2</v>
      </c>
    </row>
    <row r="16" spans="1:86" x14ac:dyDescent="0.25">
      <c r="A16" s="358">
        <v>11</v>
      </c>
      <c r="B16" s="363" t="s">
        <v>440</v>
      </c>
      <c r="C16" s="347" t="s">
        <v>423</v>
      </c>
      <c r="D16" s="4" t="s">
        <v>393</v>
      </c>
      <c r="E16" s="4" t="s">
        <v>52</v>
      </c>
      <c r="F16" s="10" t="s">
        <v>477</v>
      </c>
      <c r="G16" s="368">
        <v>1</v>
      </c>
      <c r="H16" s="1"/>
      <c r="I16" s="1"/>
      <c r="J16" s="358">
        <v>11</v>
      </c>
      <c r="K16" s="363" t="s">
        <v>446</v>
      </c>
      <c r="L16" s="347" t="s">
        <v>545</v>
      </c>
      <c r="M16" s="4" t="s">
        <v>487</v>
      </c>
      <c r="N16" s="4" t="s">
        <v>432</v>
      </c>
      <c r="O16" s="10" t="s">
        <v>482</v>
      </c>
      <c r="P16" s="368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358">
        <v>12</v>
      </c>
      <c r="B17" s="363" t="s">
        <v>513</v>
      </c>
      <c r="C17" s="347" t="s">
        <v>511</v>
      </c>
      <c r="D17" s="4" t="s">
        <v>426</v>
      </c>
      <c r="E17" s="4" t="s">
        <v>52</v>
      </c>
      <c r="F17" s="10" t="s">
        <v>477</v>
      </c>
      <c r="G17" s="368">
        <v>2</v>
      </c>
      <c r="H17" s="1"/>
      <c r="I17" s="1"/>
      <c r="J17" s="358">
        <v>12</v>
      </c>
      <c r="K17" s="363" t="s">
        <v>447</v>
      </c>
      <c r="L17" s="347" t="s">
        <v>509</v>
      </c>
      <c r="M17" s="4" t="s">
        <v>520</v>
      </c>
      <c r="N17" s="4" t="s">
        <v>429</v>
      </c>
      <c r="O17" s="10" t="s">
        <v>497</v>
      </c>
      <c r="P17" s="368">
        <v>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6.5" customHeight="1" x14ac:dyDescent="0.25">
      <c r="A18" s="358">
        <v>13</v>
      </c>
      <c r="B18" s="363" t="s">
        <v>514</v>
      </c>
      <c r="C18" s="347" t="s">
        <v>512</v>
      </c>
      <c r="D18" s="4" t="s">
        <v>426</v>
      </c>
      <c r="E18" s="4" t="s">
        <v>51</v>
      </c>
      <c r="F18" s="10" t="s">
        <v>477</v>
      </c>
      <c r="G18" s="368">
        <v>36</v>
      </c>
      <c r="H18" s="1"/>
      <c r="I18" s="1"/>
      <c r="J18" s="358">
        <v>13</v>
      </c>
      <c r="K18" s="363" t="s">
        <v>448</v>
      </c>
      <c r="L18" s="347" t="s">
        <v>422</v>
      </c>
      <c r="M18" s="4" t="s">
        <v>425</v>
      </c>
      <c r="N18" s="4" t="s">
        <v>50</v>
      </c>
      <c r="O18" s="10" t="s">
        <v>482</v>
      </c>
      <c r="P18" s="368">
        <v>12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15.75" customHeight="1" x14ac:dyDescent="0.25">
      <c r="A19" s="358">
        <v>14</v>
      </c>
      <c r="B19" s="363" t="s">
        <v>441</v>
      </c>
      <c r="C19" s="347" t="s">
        <v>515</v>
      </c>
      <c r="D19" s="4" t="s">
        <v>390</v>
      </c>
      <c r="E19" s="4" t="s">
        <v>431</v>
      </c>
      <c r="F19" s="10" t="s">
        <v>477</v>
      </c>
      <c r="G19" s="368">
        <v>2</v>
      </c>
      <c r="H19" s="1"/>
      <c r="I19" s="1"/>
      <c r="J19" s="358">
        <v>14</v>
      </c>
      <c r="K19" s="363" t="s">
        <v>495</v>
      </c>
      <c r="L19" s="347" t="s">
        <v>435</v>
      </c>
      <c r="M19" s="4" t="s">
        <v>393</v>
      </c>
      <c r="N19" s="4" t="s">
        <v>484</v>
      </c>
      <c r="O19" s="10" t="s">
        <v>482</v>
      </c>
      <c r="P19" s="368">
        <v>12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358">
        <v>15</v>
      </c>
      <c r="B20" s="363" t="s">
        <v>492</v>
      </c>
      <c r="C20" s="347" t="s">
        <v>516</v>
      </c>
      <c r="D20" s="4" t="s">
        <v>393</v>
      </c>
      <c r="E20" s="4" t="s">
        <v>430</v>
      </c>
      <c r="F20" s="10" t="s">
        <v>477</v>
      </c>
      <c r="G20" s="368">
        <v>1</v>
      </c>
      <c r="J20" s="358">
        <v>15</v>
      </c>
      <c r="K20" s="363" t="s">
        <v>501</v>
      </c>
      <c r="L20" s="347" t="s">
        <v>424</v>
      </c>
      <c r="M20" s="4" t="s">
        <v>393</v>
      </c>
      <c r="N20" s="4" t="s">
        <v>430</v>
      </c>
      <c r="O20" s="10" t="s">
        <v>482</v>
      </c>
      <c r="P20" s="368">
        <v>5</v>
      </c>
    </row>
    <row r="21" spans="1:86" x14ac:dyDescent="0.25">
      <c r="A21" s="358">
        <v>16</v>
      </c>
      <c r="B21" s="363" t="s">
        <v>496</v>
      </c>
      <c r="C21" s="347" t="s">
        <v>435</v>
      </c>
      <c r="D21" s="4" t="s">
        <v>393</v>
      </c>
      <c r="E21" s="4" t="s">
        <v>484</v>
      </c>
      <c r="F21" s="10" t="s">
        <v>477</v>
      </c>
      <c r="G21" s="368">
        <v>1</v>
      </c>
      <c r="J21" s="358">
        <v>16</v>
      </c>
      <c r="K21" s="363"/>
      <c r="L21" s="347"/>
      <c r="M21" s="4"/>
      <c r="N21" s="4"/>
      <c r="O21" s="10"/>
      <c r="P21" s="368"/>
    </row>
    <row r="22" spans="1:86" x14ac:dyDescent="0.25">
      <c r="A22" s="358">
        <v>17</v>
      </c>
      <c r="B22" s="363" t="s">
        <v>439</v>
      </c>
      <c r="C22" s="347" t="s">
        <v>424</v>
      </c>
      <c r="D22" s="4" t="s">
        <v>393</v>
      </c>
      <c r="E22" s="4" t="s">
        <v>430</v>
      </c>
      <c r="F22" s="10" t="s">
        <v>477</v>
      </c>
      <c r="G22" s="368">
        <v>0</v>
      </c>
      <c r="J22" s="358">
        <v>17</v>
      </c>
      <c r="K22" s="363"/>
      <c r="L22" s="347"/>
      <c r="M22" s="4"/>
      <c r="N22" s="4"/>
      <c r="O22" s="10"/>
      <c r="P22" s="368"/>
    </row>
    <row r="23" spans="1:86" x14ac:dyDescent="0.25">
      <c r="A23" s="358">
        <v>18</v>
      </c>
      <c r="B23" s="363"/>
      <c r="C23" s="347"/>
      <c r="D23" s="342"/>
      <c r="E23" s="342"/>
      <c r="F23" s="372"/>
      <c r="G23" s="368"/>
      <c r="J23" s="358">
        <v>18</v>
      </c>
      <c r="K23" s="363"/>
      <c r="L23" s="311"/>
      <c r="M23" s="58"/>
      <c r="N23" s="58"/>
      <c r="O23" s="321"/>
      <c r="P23" s="369"/>
    </row>
    <row r="24" spans="1:86" ht="15.75" thickBot="1" x14ac:dyDescent="0.3">
      <c r="A24" s="359">
        <v>19</v>
      </c>
      <c r="B24" s="364"/>
      <c r="C24" s="375"/>
      <c r="D24" s="371"/>
      <c r="E24" s="371"/>
      <c r="F24" s="373"/>
      <c r="G24" s="374"/>
      <c r="J24" s="359">
        <v>19</v>
      </c>
      <c r="K24" s="364"/>
      <c r="L24" s="361"/>
      <c r="M24" s="356"/>
      <c r="N24" s="356"/>
      <c r="O24" s="366"/>
      <c r="P24" s="370"/>
    </row>
    <row r="26" spans="1:86" x14ac:dyDescent="0.25">
      <c r="A26" s="319" t="s">
        <v>478</v>
      </c>
      <c r="J26" s="182" t="s">
        <v>450</v>
      </c>
    </row>
    <row r="27" spans="1:86" x14ac:dyDescent="0.25">
      <c r="A27" s="319"/>
    </row>
    <row r="29" spans="1:86" x14ac:dyDescent="0.25">
      <c r="E29" s="319"/>
    </row>
    <row r="33" spans="2:4" x14ac:dyDescent="0.25">
      <c r="B33" s="332"/>
      <c r="C33" s="75"/>
    </row>
    <row r="34" spans="2:4" x14ac:dyDescent="0.25">
      <c r="B34" s="332"/>
      <c r="C34" s="75"/>
    </row>
    <row r="35" spans="2:4" x14ac:dyDescent="0.25">
      <c r="B35" s="332"/>
      <c r="C35" s="75"/>
    </row>
    <row r="36" spans="2:4" x14ac:dyDescent="0.25">
      <c r="B36" s="332"/>
      <c r="C36" s="75"/>
    </row>
    <row r="37" spans="2:4" x14ac:dyDescent="0.25">
      <c r="B37" s="332"/>
      <c r="C37" s="75"/>
    </row>
    <row r="38" spans="2:4" x14ac:dyDescent="0.25">
      <c r="B38" s="332"/>
      <c r="C38" s="75"/>
      <c r="D38" s="75"/>
    </row>
    <row r="39" spans="2:4" x14ac:dyDescent="0.25">
      <c r="B39" s="332"/>
      <c r="C39" s="75"/>
    </row>
    <row r="40" spans="2:4" x14ac:dyDescent="0.25">
      <c r="B40" s="332"/>
      <c r="C40" s="75"/>
    </row>
    <row r="41" spans="2:4" x14ac:dyDescent="0.25">
      <c r="B41" s="332"/>
      <c r="C41" s="75"/>
    </row>
    <row r="42" spans="2:4" x14ac:dyDescent="0.25">
      <c r="B42" s="332"/>
      <c r="C42" s="75"/>
    </row>
    <row r="43" spans="2:4" x14ac:dyDescent="0.25">
      <c r="B43" s="332"/>
      <c r="C43" s="75"/>
    </row>
    <row r="44" spans="2:4" x14ac:dyDescent="0.25">
      <c r="B44" s="332"/>
      <c r="C44" s="75"/>
    </row>
    <row r="45" spans="2:4" x14ac:dyDescent="0.25">
      <c r="B45" s="332"/>
      <c r="C45" s="75"/>
    </row>
    <row r="46" spans="2:4" x14ac:dyDescent="0.25">
      <c r="B46" s="333"/>
      <c r="C46" s="75"/>
    </row>
    <row r="47" spans="2:4" x14ac:dyDescent="0.25">
      <c r="B47" s="333"/>
      <c r="C47" s="75"/>
    </row>
    <row r="48" spans="2:4" x14ac:dyDescent="0.25">
      <c r="B48" s="75"/>
      <c r="C48" s="75"/>
    </row>
    <row r="49" spans="3:3" x14ac:dyDescent="0.25">
      <c r="C49" s="75"/>
    </row>
    <row r="50" spans="3:3" x14ac:dyDescent="0.25">
      <c r="C50" s="75"/>
    </row>
    <row r="51" spans="3:3" x14ac:dyDescent="0.25">
      <c r="C51" s="75"/>
    </row>
    <row r="52" spans="3:3" x14ac:dyDescent="0.25">
      <c r="C52" s="7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22" sqref="E22"/>
    </sheetView>
  </sheetViews>
  <sheetFormatPr baseColWidth="10" defaultRowHeight="15" x14ac:dyDescent="0.25"/>
  <cols>
    <col min="1" max="1" width="4.7109375" customWidth="1"/>
    <col min="2" max="2" width="14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415</v>
      </c>
      <c r="D2" s="9"/>
      <c r="E2" s="9"/>
      <c r="F2" s="9"/>
    </row>
    <row r="5" spans="1:6" ht="30" x14ac:dyDescent="0.25">
      <c r="A5" s="11" t="s">
        <v>8</v>
      </c>
      <c r="B5" s="11" t="s">
        <v>49</v>
      </c>
      <c r="C5" s="11" t="s">
        <v>9</v>
      </c>
      <c r="D5" s="11" t="s">
        <v>47</v>
      </c>
      <c r="E5" s="11" t="s">
        <v>48</v>
      </c>
      <c r="F5" s="11" t="s">
        <v>0</v>
      </c>
    </row>
    <row r="6" spans="1:6" x14ac:dyDescent="0.25">
      <c r="A6" s="2">
        <v>1</v>
      </c>
      <c r="B6" s="343" t="s">
        <v>54</v>
      </c>
      <c r="C6" s="343" t="s">
        <v>53</v>
      </c>
      <c r="D6" s="10"/>
      <c r="E6" s="10"/>
      <c r="F6" s="6">
        <v>0</v>
      </c>
    </row>
    <row r="7" spans="1:6" x14ac:dyDescent="0.25">
      <c r="A7" s="2">
        <v>2</v>
      </c>
      <c r="B7" s="343" t="s">
        <v>56</v>
      </c>
      <c r="C7" s="343" t="s">
        <v>55</v>
      </c>
      <c r="D7" s="10"/>
      <c r="E7" s="10"/>
      <c r="F7" s="6">
        <v>0</v>
      </c>
    </row>
    <row r="8" spans="1:6" x14ac:dyDescent="0.25">
      <c r="A8" s="2">
        <v>3</v>
      </c>
      <c r="B8" s="343" t="s">
        <v>58</v>
      </c>
      <c r="C8" s="343" t="s">
        <v>57</v>
      </c>
      <c r="D8" s="10"/>
      <c r="E8" s="10"/>
      <c r="F8" s="6">
        <v>0</v>
      </c>
    </row>
    <row r="9" spans="1:6" x14ac:dyDescent="0.25">
      <c r="A9" s="2">
        <v>4</v>
      </c>
      <c r="B9" s="343" t="s">
        <v>60</v>
      </c>
      <c r="C9" s="343" t="s">
        <v>59</v>
      </c>
      <c r="D9" s="10"/>
      <c r="E9" s="10"/>
      <c r="F9" s="6">
        <v>0</v>
      </c>
    </row>
    <row r="10" spans="1:6" x14ac:dyDescent="0.25">
      <c r="A10" s="2">
        <v>5</v>
      </c>
      <c r="B10" s="343" t="s">
        <v>62</v>
      </c>
      <c r="C10" s="343" t="s">
        <v>61</v>
      </c>
      <c r="D10" s="10"/>
      <c r="E10" s="10"/>
      <c r="F10" s="6">
        <v>0</v>
      </c>
    </row>
    <row r="11" spans="1:6" x14ac:dyDescent="0.25">
      <c r="A11" s="2">
        <v>6</v>
      </c>
      <c r="B11" s="343" t="s">
        <v>63</v>
      </c>
      <c r="C11" s="343" t="s">
        <v>64</v>
      </c>
      <c r="D11" s="4"/>
      <c r="E11" s="313"/>
      <c r="F11" s="6">
        <v>0</v>
      </c>
    </row>
    <row r="12" spans="1:6" x14ac:dyDescent="0.25">
      <c r="A12" s="2">
        <v>7</v>
      </c>
      <c r="B12" s="343" t="s">
        <v>66</v>
      </c>
      <c r="C12" s="344" t="s">
        <v>65</v>
      </c>
      <c r="D12" s="314"/>
      <c r="E12" s="313"/>
      <c r="F12" s="56"/>
    </row>
    <row r="13" spans="1:6" x14ac:dyDescent="0.25">
      <c r="A13" s="2">
        <v>8</v>
      </c>
      <c r="B13" s="343" t="s">
        <v>68</v>
      </c>
      <c r="C13" s="344" t="s">
        <v>67</v>
      </c>
      <c r="D13" s="314"/>
      <c r="E13" s="313"/>
      <c r="F13" s="6">
        <v>0</v>
      </c>
    </row>
    <row r="14" spans="1:6" x14ac:dyDescent="0.25">
      <c r="A14" s="2">
        <v>9</v>
      </c>
      <c r="B14" s="345" t="s">
        <v>69</v>
      </c>
      <c r="C14" s="346" t="s">
        <v>70</v>
      </c>
      <c r="D14" s="316"/>
      <c r="E14" s="54"/>
      <c r="F14" s="53"/>
    </row>
    <row r="15" spans="1:6" x14ac:dyDescent="0.25">
      <c r="A15" s="2">
        <v>10</v>
      </c>
      <c r="B15" s="343" t="s">
        <v>72</v>
      </c>
      <c r="C15" s="344" t="s">
        <v>71</v>
      </c>
      <c r="D15" s="313"/>
      <c r="E15" s="10"/>
      <c r="F15" s="6">
        <v>0</v>
      </c>
    </row>
    <row r="16" spans="1:6" x14ac:dyDescent="0.25">
      <c r="A16" s="2">
        <v>11</v>
      </c>
      <c r="B16" s="343" t="s">
        <v>74</v>
      </c>
      <c r="C16" s="344" t="s">
        <v>73</v>
      </c>
      <c r="D16" s="10"/>
      <c r="E16" s="10"/>
      <c r="F16" s="6">
        <v>0</v>
      </c>
    </row>
    <row r="17" spans="1:6" x14ac:dyDescent="0.25">
      <c r="A17" s="2">
        <v>12</v>
      </c>
      <c r="B17" s="343" t="s">
        <v>76</v>
      </c>
      <c r="C17" s="344" t="s">
        <v>75</v>
      </c>
      <c r="D17" s="10"/>
      <c r="E17" s="10"/>
      <c r="F17" s="6">
        <v>0</v>
      </c>
    </row>
    <row r="18" spans="1:6" x14ac:dyDescent="0.25">
      <c r="A18" s="2">
        <v>13</v>
      </c>
      <c r="B18" s="343" t="s">
        <v>77</v>
      </c>
      <c r="C18" s="344" t="s">
        <v>78</v>
      </c>
      <c r="D18" s="4"/>
      <c r="E18" s="10"/>
      <c r="F18" s="6">
        <v>0</v>
      </c>
    </row>
    <row r="19" spans="1:6" x14ac:dyDescent="0.25">
      <c r="A19" s="2">
        <v>14</v>
      </c>
      <c r="B19" s="343" t="s">
        <v>80</v>
      </c>
      <c r="C19" s="344" t="s">
        <v>79</v>
      </c>
      <c r="D19" s="10"/>
      <c r="E19" s="10"/>
      <c r="F19" s="6">
        <v>0</v>
      </c>
    </row>
    <row r="20" spans="1:6" x14ac:dyDescent="0.25">
      <c r="A20" s="2">
        <v>15</v>
      </c>
      <c r="B20" s="343" t="s">
        <v>82</v>
      </c>
      <c r="C20" s="344" t="s">
        <v>81</v>
      </c>
      <c r="D20" s="4"/>
      <c r="E20" s="313"/>
      <c r="F20" s="56"/>
    </row>
    <row r="21" spans="1:6" x14ac:dyDescent="0.25">
      <c r="A21" s="2">
        <v>16</v>
      </c>
      <c r="B21" s="343" t="s">
        <v>84</v>
      </c>
      <c r="C21" s="344" t="s">
        <v>83</v>
      </c>
      <c r="D21" s="4"/>
      <c r="E21" s="313"/>
      <c r="F21" s="6">
        <v>0</v>
      </c>
    </row>
    <row r="22" spans="1:6" x14ac:dyDescent="0.25">
      <c r="A22" s="2">
        <v>17</v>
      </c>
      <c r="B22" s="345" t="s">
        <v>69</v>
      </c>
      <c r="C22" s="346" t="s">
        <v>85</v>
      </c>
      <c r="D22" s="315"/>
      <c r="E22" s="54"/>
      <c r="F22" s="53"/>
    </row>
    <row r="23" spans="1:6" x14ac:dyDescent="0.25">
      <c r="A23" s="2">
        <v>18</v>
      </c>
      <c r="B23" s="343" t="s">
        <v>87</v>
      </c>
      <c r="C23" s="344" t="s">
        <v>86</v>
      </c>
      <c r="D23" s="4"/>
      <c r="E23" s="313"/>
      <c r="F23" s="6">
        <v>0</v>
      </c>
    </row>
    <row r="24" spans="1:6" x14ac:dyDescent="0.25">
      <c r="A24" s="2">
        <v>19</v>
      </c>
      <c r="B24" s="343" t="s">
        <v>89</v>
      </c>
      <c r="C24" s="343" t="s">
        <v>88</v>
      </c>
      <c r="D24" s="4"/>
      <c r="E24" s="313"/>
      <c r="F24" s="56"/>
    </row>
    <row r="25" spans="1:6" x14ac:dyDescent="0.25">
      <c r="A25" s="2">
        <v>20</v>
      </c>
      <c r="B25" s="343" t="s">
        <v>91</v>
      </c>
      <c r="C25" s="343" t="s">
        <v>90</v>
      </c>
      <c r="D25" s="4"/>
      <c r="E25" s="313"/>
      <c r="F25" s="6">
        <v>0</v>
      </c>
    </row>
    <row r="26" spans="1:6" x14ac:dyDescent="0.25">
      <c r="A26" s="2">
        <v>21</v>
      </c>
      <c r="B26" s="303" t="s">
        <v>92</v>
      </c>
      <c r="C26" s="347" t="s">
        <v>93</v>
      </c>
      <c r="D26" s="4"/>
      <c r="E26" s="4" t="s">
        <v>394</v>
      </c>
      <c r="F26" s="320">
        <v>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4"/>
  <sheetViews>
    <sheetView showGridLines="0"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C73" sqref="C73"/>
    </sheetView>
  </sheetViews>
  <sheetFormatPr baseColWidth="10" defaultRowHeight="15" x14ac:dyDescent="0.25"/>
  <cols>
    <col min="1" max="1" width="4.7109375" customWidth="1"/>
    <col min="2" max="2" width="19.140625" customWidth="1"/>
    <col min="3" max="3" width="55.7109375" customWidth="1"/>
    <col min="4" max="4" width="22.140625" customWidth="1"/>
    <col min="5" max="5" width="20.42578125" customWidth="1"/>
    <col min="7" max="7" width="3.28515625" customWidth="1"/>
    <col min="8" max="8" width="16.85546875" customWidth="1"/>
    <col min="9" max="11" width="11.42578125" customWidth="1"/>
  </cols>
  <sheetData>
    <row r="1" spans="1:5" ht="80.099999999999994" customHeight="1" x14ac:dyDescent="0.25">
      <c r="A1" s="8"/>
      <c r="B1" s="8"/>
      <c r="C1" s="8"/>
      <c r="D1" s="8"/>
      <c r="E1" s="8"/>
    </row>
    <row r="2" spans="1:5" ht="26.25" x14ac:dyDescent="0.25">
      <c r="A2" s="9"/>
      <c r="B2" s="9"/>
      <c r="C2" s="9" t="s">
        <v>417</v>
      </c>
      <c r="D2" s="9"/>
      <c r="E2" s="9"/>
    </row>
    <row r="4" spans="1:5" x14ac:dyDescent="0.25">
      <c r="A4" s="182" t="s">
        <v>548</v>
      </c>
    </row>
    <row r="5" spans="1:5" ht="30" x14ac:dyDescent="0.25">
      <c r="A5" s="11" t="s">
        <v>8</v>
      </c>
      <c r="B5" s="11" t="s">
        <v>49</v>
      </c>
      <c r="C5" s="11" t="s">
        <v>9</v>
      </c>
      <c r="D5" s="11" t="s">
        <v>108</v>
      </c>
      <c r="E5" s="11" t="s">
        <v>0</v>
      </c>
    </row>
    <row r="6" spans="1:5" x14ac:dyDescent="0.25">
      <c r="A6" s="306">
        <v>1</v>
      </c>
      <c r="B6" s="390" t="s">
        <v>549</v>
      </c>
      <c r="C6" s="391" t="s">
        <v>547</v>
      </c>
      <c r="D6" s="390"/>
      <c r="E6" s="323"/>
    </row>
    <row r="7" spans="1:5" x14ac:dyDescent="0.25">
      <c r="A7" s="306">
        <v>2</v>
      </c>
      <c r="B7" s="328" t="s">
        <v>549</v>
      </c>
      <c r="C7" s="329" t="s">
        <v>550</v>
      </c>
      <c r="D7" s="328"/>
      <c r="E7" s="323"/>
    </row>
    <row r="8" spans="1:5" x14ac:dyDescent="0.25">
      <c r="A8" s="306">
        <v>3</v>
      </c>
      <c r="B8" s="341" t="s">
        <v>553</v>
      </c>
      <c r="C8" s="304" t="s">
        <v>551</v>
      </c>
      <c r="D8" s="353" t="s">
        <v>552</v>
      </c>
      <c r="E8" s="323">
        <v>12</v>
      </c>
    </row>
    <row r="9" spans="1:5" x14ac:dyDescent="0.25">
      <c r="A9" s="306">
        <v>4</v>
      </c>
      <c r="B9" s="341" t="s">
        <v>554</v>
      </c>
      <c r="C9" s="3" t="s">
        <v>555</v>
      </c>
      <c r="D9" s="353" t="s">
        <v>109</v>
      </c>
      <c r="E9" s="323">
        <v>1</v>
      </c>
    </row>
    <row r="10" spans="1:5" x14ac:dyDescent="0.25">
      <c r="A10" s="306">
        <v>5</v>
      </c>
      <c r="B10" s="341" t="s">
        <v>557</v>
      </c>
      <c r="C10" s="392" t="s">
        <v>556</v>
      </c>
      <c r="D10" s="354" t="s">
        <v>109</v>
      </c>
      <c r="E10" s="323">
        <v>5</v>
      </c>
    </row>
    <row r="11" spans="1:5" x14ac:dyDescent="0.25">
      <c r="A11" s="306">
        <v>6</v>
      </c>
      <c r="B11" s="341" t="s">
        <v>559</v>
      </c>
      <c r="C11" s="3" t="s">
        <v>399</v>
      </c>
      <c r="D11" s="354" t="s">
        <v>109</v>
      </c>
      <c r="E11" s="323">
        <v>2</v>
      </c>
    </row>
    <row r="12" spans="1:5" x14ac:dyDescent="0.25">
      <c r="A12" s="306">
        <v>7</v>
      </c>
      <c r="B12" s="341" t="s">
        <v>560</v>
      </c>
      <c r="C12" s="3" t="s">
        <v>419</v>
      </c>
      <c r="D12" s="354" t="s">
        <v>109</v>
      </c>
      <c r="E12" s="323">
        <v>2</v>
      </c>
    </row>
    <row r="13" spans="1:5" x14ac:dyDescent="0.25">
      <c r="A13" s="306">
        <v>8</v>
      </c>
      <c r="B13" s="115" t="s">
        <v>561</v>
      </c>
      <c r="C13" s="376" t="s">
        <v>420</v>
      </c>
      <c r="D13" s="354" t="s">
        <v>109</v>
      </c>
      <c r="E13" s="323"/>
    </row>
    <row r="14" spans="1:5" x14ac:dyDescent="0.25">
      <c r="A14" s="306">
        <v>9</v>
      </c>
      <c r="B14" s="115" t="s">
        <v>568</v>
      </c>
      <c r="C14" s="376" t="s">
        <v>569</v>
      </c>
      <c r="D14" s="354" t="s">
        <v>109</v>
      </c>
      <c r="E14" s="324">
        <v>15</v>
      </c>
    </row>
    <row r="15" spans="1:5" ht="14.25" customHeight="1" x14ac:dyDescent="0.25">
      <c r="A15" s="306">
        <v>10</v>
      </c>
      <c r="B15" s="115" t="s">
        <v>562</v>
      </c>
      <c r="C15" s="64" t="s">
        <v>558</v>
      </c>
      <c r="D15" s="354" t="s">
        <v>109</v>
      </c>
      <c r="E15" s="324">
        <v>1</v>
      </c>
    </row>
    <row r="16" spans="1:5" ht="14.25" customHeight="1" x14ac:dyDescent="0.25">
      <c r="A16" s="306">
        <v>11</v>
      </c>
      <c r="B16" s="328" t="s">
        <v>577</v>
      </c>
      <c r="C16" s="305" t="s">
        <v>626</v>
      </c>
      <c r="D16" s="349"/>
      <c r="E16" s="324"/>
    </row>
    <row r="17" spans="1:12" x14ac:dyDescent="0.25">
      <c r="A17" s="306">
        <v>12</v>
      </c>
      <c r="B17" s="115" t="s">
        <v>570</v>
      </c>
      <c r="C17" s="64" t="s">
        <v>400</v>
      </c>
      <c r="D17" s="354" t="s">
        <v>109</v>
      </c>
      <c r="E17" s="323">
        <v>1</v>
      </c>
    </row>
    <row r="18" spans="1:12" x14ac:dyDescent="0.25">
      <c r="A18" s="306">
        <v>13</v>
      </c>
      <c r="B18" s="115" t="s">
        <v>571</v>
      </c>
      <c r="C18" s="64" t="s">
        <v>401</v>
      </c>
      <c r="D18" s="354" t="s">
        <v>109</v>
      </c>
      <c r="E18" s="323">
        <v>1</v>
      </c>
    </row>
    <row r="19" spans="1:12" x14ac:dyDescent="0.25">
      <c r="A19" s="306">
        <v>14</v>
      </c>
      <c r="B19" s="115" t="s">
        <v>572</v>
      </c>
      <c r="C19" s="64" t="s">
        <v>402</v>
      </c>
      <c r="D19" s="354" t="s">
        <v>109</v>
      </c>
      <c r="E19" s="323">
        <v>1</v>
      </c>
    </row>
    <row r="20" spans="1:12" x14ac:dyDescent="0.25">
      <c r="A20" s="306">
        <v>15</v>
      </c>
      <c r="B20" s="115" t="s">
        <v>573</v>
      </c>
      <c r="C20" s="64" t="s">
        <v>403</v>
      </c>
      <c r="D20" s="354" t="s">
        <v>109</v>
      </c>
      <c r="E20" s="323">
        <v>1</v>
      </c>
      <c r="H20" s="307"/>
      <c r="I20" s="310"/>
      <c r="J20" s="380"/>
      <c r="K20" s="310"/>
      <c r="L20" s="309"/>
    </row>
    <row r="21" spans="1:12" x14ac:dyDescent="0.25">
      <c r="A21" s="306">
        <v>16</v>
      </c>
      <c r="B21" s="115" t="s">
        <v>574</v>
      </c>
      <c r="C21" s="64" t="s">
        <v>404</v>
      </c>
      <c r="D21" s="354" t="s">
        <v>109</v>
      </c>
      <c r="E21" s="323">
        <v>1</v>
      </c>
      <c r="H21" s="307"/>
      <c r="I21" s="381"/>
      <c r="J21" s="308"/>
      <c r="K21" s="382"/>
      <c r="L21" s="309"/>
    </row>
    <row r="22" spans="1:12" x14ac:dyDescent="0.25">
      <c r="A22" s="306">
        <v>17</v>
      </c>
      <c r="B22" s="341" t="s">
        <v>563</v>
      </c>
      <c r="C22" s="3" t="s">
        <v>396</v>
      </c>
      <c r="D22" s="354" t="s">
        <v>109</v>
      </c>
      <c r="E22" s="323">
        <v>1</v>
      </c>
      <c r="H22" s="307"/>
      <c r="I22" s="381"/>
      <c r="J22" s="383"/>
      <c r="K22" s="382"/>
      <c r="L22" s="309"/>
    </row>
    <row r="23" spans="1:12" x14ac:dyDescent="0.25">
      <c r="A23" s="306">
        <v>18</v>
      </c>
      <c r="B23" s="341" t="s">
        <v>564</v>
      </c>
      <c r="C23" s="3" t="s">
        <v>532</v>
      </c>
      <c r="D23" s="354" t="s">
        <v>109</v>
      </c>
      <c r="E23" s="323">
        <v>1</v>
      </c>
      <c r="H23" s="307"/>
      <c r="I23" s="381"/>
      <c r="J23" s="308"/>
      <c r="K23" s="382"/>
      <c r="L23" s="309"/>
    </row>
    <row r="24" spans="1:12" x14ac:dyDescent="0.25">
      <c r="A24" s="306">
        <v>19</v>
      </c>
      <c r="B24" s="341" t="s">
        <v>565</v>
      </c>
      <c r="C24" s="3" t="s">
        <v>531</v>
      </c>
      <c r="D24" s="354" t="s">
        <v>109</v>
      </c>
      <c r="E24" s="324">
        <v>1</v>
      </c>
      <c r="H24" s="307"/>
      <c r="I24" s="310"/>
      <c r="J24" s="380"/>
      <c r="K24" s="384"/>
      <c r="L24" s="309"/>
    </row>
    <row r="25" spans="1:12" x14ac:dyDescent="0.25">
      <c r="A25" s="306">
        <v>20</v>
      </c>
      <c r="B25" s="341" t="s">
        <v>566</v>
      </c>
      <c r="C25" s="3" t="s">
        <v>413</v>
      </c>
      <c r="D25" s="354" t="s">
        <v>109</v>
      </c>
      <c r="E25" s="323">
        <v>1</v>
      </c>
      <c r="H25" s="307"/>
      <c r="I25" s="381"/>
      <c r="J25" s="308"/>
      <c r="K25" s="384"/>
      <c r="L25" s="309"/>
    </row>
    <row r="26" spans="1:12" x14ac:dyDescent="0.25">
      <c r="A26" s="306">
        <v>21</v>
      </c>
      <c r="B26" s="341" t="s">
        <v>567</v>
      </c>
      <c r="C26" s="3" t="s">
        <v>414</v>
      </c>
      <c r="D26" s="354" t="s">
        <v>109</v>
      </c>
      <c r="E26" s="323">
        <v>1</v>
      </c>
      <c r="H26" s="307"/>
      <c r="I26" s="385"/>
      <c r="J26" s="308"/>
      <c r="K26" s="384"/>
      <c r="L26" s="309"/>
    </row>
    <row r="27" spans="1:12" x14ac:dyDescent="0.25">
      <c r="A27" s="306">
        <v>22</v>
      </c>
      <c r="B27" s="341" t="s">
        <v>575</v>
      </c>
      <c r="C27" s="3" t="s">
        <v>576</v>
      </c>
      <c r="D27" s="354" t="s">
        <v>109</v>
      </c>
      <c r="E27" s="323">
        <v>1</v>
      </c>
      <c r="H27" s="307"/>
      <c r="I27" s="381"/>
      <c r="J27" s="383"/>
      <c r="K27" s="384"/>
      <c r="L27" s="309"/>
    </row>
    <row r="28" spans="1:12" x14ac:dyDescent="0.25">
      <c r="A28" s="306">
        <v>23</v>
      </c>
      <c r="B28" s="352" t="s">
        <v>578</v>
      </c>
      <c r="C28" s="396" t="s">
        <v>627</v>
      </c>
      <c r="D28" s="397"/>
      <c r="E28" s="398">
        <v>0</v>
      </c>
      <c r="H28" s="307"/>
      <c r="I28" s="381"/>
      <c r="J28" s="308"/>
      <c r="K28" s="384"/>
      <c r="L28" s="309"/>
    </row>
    <row r="29" spans="1:12" x14ac:dyDescent="0.25">
      <c r="A29" s="306">
        <v>24</v>
      </c>
      <c r="B29" s="348" t="s">
        <v>579</v>
      </c>
      <c r="C29" s="3" t="s">
        <v>405</v>
      </c>
      <c r="D29" s="354" t="s">
        <v>109</v>
      </c>
      <c r="E29" s="323">
        <v>1</v>
      </c>
      <c r="H29" s="307"/>
      <c r="I29" s="381"/>
      <c r="J29" s="308"/>
      <c r="K29" s="384"/>
      <c r="L29" s="309"/>
    </row>
    <row r="30" spans="1:12" x14ac:dyDescent="0.25">
      <c r="A30" s="306">
        <v>25</v>
      </c>
      <c r="B30" s="348" t="s">
        <v>580</v>
      </c>
      <c r="C30" s="58" t="s">
        <v>536</v>
      </c>
      <c r="D30" s="354" t="s">
        <v>109</v>
      </c>
      <c r="E30" s="337">
        <v>1</v>
      </c>
      <c r="H30" s="307"/>
      <c r="I30" s="385"/>
      <c r="J30" s="308"/>
      <c r="K30" s="384"/>
      <c r="L30" s="309"/>
    </row>
    <row r="31" spans="1:12" x14ac:dyDescent="0.25">
      <c r="A31" s="306">
        <v>26</v>
      </c>
      <c r="B31" s="348" t="s">
        <v>581</v>
      </c>
      <c r="C31" s="58" t="s">
        <v>537</v>
      </c>
      <c r="D31" s="354" t="s">
        <v>109</v>
      </c>
      <c r="E31" s="337">
        <v>1</v>
      </c>
      <c r="H31" s="307"/>
      <c r="I31" s="385"/>
      <c r="J31" s="308"/>
      <c r="K31" s="384"/>
      <c r="L31" s="309"/>
    </row>
    <row r="32" spans="1:12" x14ac:dyDescent="0.25">
      <c r="A32" s="306">
        <v>27</v>
      </c>
      <c r="B32" s="348" t="s">
        <v>582</v>
      </c>
      <c r="C32" s="58" t="s">
        <v>132</v>
      </c>
      <c r="D32" s="354" t="s">
        <v>109</v>
      </c>
      <c r="E32" s="337">
        <v>1</v>
      </c>
      <c r="H32" s="307"/>
      <c r="I32" s="385"/>
      <c r="J32" s="308"/>
      <c r="K32" s="384"/>
      <c r="L32" s="309"/>
    </row>
    <row r="33" spans="1:12" x14ac:dyDescent="0.25">
      <c r="A33" s="306">
        <v>28</v>
      </c>
      <c r="B33" s="348" t="s">
        <v>583</v>
      </c>
      <c r="C33" s="58" t="s">
        <v>133</v>
      </c>
      <c r="D33" s="354" t="s">
        <v>109</v>
      </c>
      <c r="E33" s="337">
        <v>1</v>
      </c>
      <c r="H33" s="307"/>
      <c r="I33" s="385"/>
      <c r="J33" s="308"/>
      <c r="K33" s="384"/>
      <c r="L33" s="309"/>
    </row>
    <row r="34" spans="1:12" x14ac:dyDescent="0.25">
      <c r="A34" s="306">
        <v>29</v>
      </c>
      <c r="B34" s="348" t="s">
        <v>584</v>
      </c>
      <c r="C34" s="58" t="s">
        <v>538</v>
      </c>
      <c r="D34" s="354" t="s">
        <v>109</v>
      </c>
      <c r="E34" s="337">
        <v>1</v>
      </c>
      <c r="H34" s="307"/>
      <c r="I34" s="381"/>
      <c r="J34" s="308"/>
      <c r="K34" s="384"/>
      <c r="L34" s="309"/>
    </row>
    <row r="35" spans="1:12" x14ac:dyDescent="0.25">
      <c r="A35" s="306">
        <v>30</v>
      </c>
      <c r="B35" s="348" t="s">
        <v>585</v>
      </c>
      <c r="C35" s="58" t="s">
        <v>134</v>
      </c>
      <c r="D35" s="354" t="s">
        <v>109</v>
      </c>
      <c r="E35" s="337">
        <v>1</v>
      </c>
      <c r="H35" s="307"/>
      <c r="I35" s="381"/>
      <c r="J35" s="308"/>
      <c r="K35" s="384"/>
      <c r="L35" s="309"/>
    </row>
    <row r="36" spans="1:12" x14ac:dyDescent="0.25">
      <c r="A36" s="306">
        <v>31</v>
      </c>
      <c r="B36" s="348" t="s">
        <v>586</v>
      </c>
      <c r="C36" s="58" t="s">
        <v>539</v>
      </c>
      <c r="D36" s="354" t="s">
        <v>109</v>
      </c>
      <c r="E36" s="337">
        <v>1</v>
      </c>
      <c r="H36" s="307"/>
      <c r="I36" s="381"/>
      <c r="J36" s="308"/>
      <c r="K36" s="384"/>
      <c r="L36" s="309"/>
    </row>
    <row r="37" spans="1:12" x14ac:dyDescent="0.25">
      <c r="A37" s="306">
        <v>32</v>
      </c>
      <c r="B37" s="348" t="s">
        <v>587</v>
      </c>
      <c r="C37" s="58" t="s">
        <v>135</v>
      </c>
      <c r="D37" s="354" t="s">
        <v>109</v>
      </c>
      <c r="E37" s="337">
        <v>1</v>
      </c>
      <c r="H37" s="307"/>
      <c r="I37" s="381"/>
      <c r="J37" s="308"/>
      <c r="K37" s="384"/>
      <c r="L37" s="309"/>
    </row>
    <row r="38" spans="1:12" x14ac:dyDescent="0.25">
      <c r="A38" s="306">
        <v>33</v>
      </c>
      <c r="B38" s="348" t="s">
        <v>588</v>
      </c>
      <c r="C38" s="58" t="s">
        <v>136</v>
      </c>
      <c r="D38" s="354" t="s">
        <v>109</v>
      </c>
      <c r="E38" s="337">
        <v>1</v>
      </c>
      <c r="H38" s="307"/>
      <c r="I38" s="381"/>
      <c r="J38" s="308"/>
      <c r="K38" s="384"/>
      <c r="L38" s="309"/>
    </row>
    <row r="39" spans="1:12" x14ac:dyDescent="0.25">
      <c r="A39" s="306">
        <v>34</v>
      </c>
      <c r="B39" s="348" t="s">
        <v>589</v>
      </c>
      <c r="C39" s="58" t="s">
        <v>137</v>
      </c>
      <c r="D39" s="354" t="s">
        <v>109</v>
      </c>
      <c r="E39" s="337">
        <v>1</v>
      </c>
      <c r="H39" s="307"/>
      <c r="I39" s="381"/>
      <c r="J39" s="308"/>
      <c r="K39" s="384"/>
      <c r="L39" s="309"/>
    </row>
    <row r="40" spans="1:12" x14ac:dyDescent="0.25">
      <c r="A40" s="306">
        <v>35</v>
      </c>
      <c r="B40" s="348" t="s">
        <v>590</v>
      </c>
      <c r="C40" s="58" t="s">
        <v>138</v>
      </c>
      <c r="D40" s="354" t="s">
        <v>109</v>
      </c>
      <c r="E40" s="337">
        <v>1</v>
      </c>
      <c r="H40" s="307"/>
      <c r="I40" s="310"/>
      <c r="J40" s="380"/>
      <c r="K40" s="384"/>
      <c r="L40" s="309"/>
    </row>
    <row r="41" spans="1:12" x14ac:dyDescent="0.25">
      <c r="A41" s="306">
        <v>36</v>
      </c>
      <c r="B41" s="348" t="s">
        <v>591</v>
      </c>
      <c r="C41" s="58" t="s">
        <v>139</v>
      </c>
      <c r="D41" s="354" t="s">
        <v>109</v>
      </c>
      <c r="E41" s="337">
        <v>1</v>
      </c>
      <c r="H41" s="307"/>
      <c r="I41" s="381"/>
      <c r="J41" s="308"/>
      <c r="K41" s="384"/>
      <c r="L41" s="309"/>
    </row>
    <row r="42" spans="1:12" x14ac:dyDescent="0.25">
      <c r="A42" s="306">
        <v>37</v>
      </c>
      <c r="B42" s="348" t="s">
        <v>592</v>
      </c>
      <c r="C42" s="58" t="s">
        <v>140</v>
      </c>
      <c r="D42" s="354" t="s">
        <v>109</v>
      </c>
      <c r="E42" s="337">
        <v>1</v>
      </c>
      <c r="H42" s="307"/>
      <c r="I42" s="381"/>
      <c r="J42" s="308"/>
      <c r="K42" s="384"/>
      <c r="L42" s="309"/>
    </row>
    <row r="43" spans="1:12" x14ac:dyDescent="0.25">
      <c r="A43" s="306">
        <v>38</v>
      </c>
      <c r="B43" s="399" t="s">
        <v>521</v>
      </c>
      <c r="C43" s="400" t="s">
        <v>628</v>
      </c>
      <c r="D43" s="397"/>
      <c r="E43" s="401"/>
      <c r="H43" s="307"/>
      <c r="I43" s="381"/>
      <c r="J43" s="308"/>
      <c r="K43" s="384"/>
      <c r="L43" s="309"/>
    </row>
    <row r="44" spans="1:12" x14ac:dyDescent="0.25">
      <c r="A44" s="306">
        <v>39</v>
      </c>
      <c r="B44" s="378" t="s">
        <v>598</v>
      </c>
      <c r="C44" s="58" t="s">
        <v>397</v>
      </c>
      <c r="D44" s="354" t="s">
        <v>109</v>
      </c>
      <c r="E44" s="393">
        <v>1</v>
      </c>
      <c r="H44" s="307"/>
      <c r="I44" s="381"/>
      <c r="J44" s="308"/>
      <c r="K44" s="384"/>
      <c r="L44" s="309"/>
    </row>
    <row r="45" spans="1:12" x14ac:dyDescent="0.25">
      <c r="A45" s="306">
        <v>40</v>
      </c>
      <c r="B45" s="378" t="s">
        <v>599</v>
      </c>
      <c r="C45" s="58" t="s">
        <v>594</v>
      </c>
      <c r="D45" s="354" t="s">
        <v>109</v>
      </c>
      <c r="E45" s="393">
        <v>1</v>
      </c>
      <c r="H45" s="307"/>
      <c r="I45" s="381"/>
      <c r="J45" s="308"/>
      <c r="K45" s="384"/>
      <c r="L45" s="309"/>
    </row>
    <row r="46" spans="1:12" x14ac:dyDescent="0.25">
      <c r="A46" s="306">
        <v>41</v>
      </c>
      <c r="B46" s="378" t="s">
        <v>600</v>
      </c>
      <c r="C46" s="58" t="s">
        <v>406</v>
      </c>
      <c r="D46" s="354" t="s">
        <v>109</v>
      </c>
      <c r="E46" s="393">
        <v>1</v>
      </c>
      <c r="H46" s="307"/>
      <c r="I46" s="381"/>
      <c r="J46" s="308"/>
      <c r="K46" s="384"/>
      <c r="L46" s="309"/>
    </row>
    <row r="47" spans="1:12" x14ac:dyDescent="0.25">
      <c r="A47" s="306">
        <v>42</v>
      </c>
      <c r="B47" s="378" t="s">
        <v>601</v>
      </c>
      <c r="C47" s="58" t="s">
        <v>407</v>
      </c>
      <c r="D47" s="354" t="s">
        <v>109</v>
      </c>
      <c r="E47" s="393">
        <v>1</v>
      </c>
      <c r="H47" s="307"/>
      <c r="I47" s="381"/>
      <c r="J47" s="308"/>
      <c r="K47" s="384"/>
      <c r="L47" s="309"/>
    </row>
    <row r="48" spans="1:12" x14ac:dyDescent="0.25">
      <c r="A48" s="306">
        <v>43</v>
      </c>
      <c r="B48" s="378" t="s">
        <v>602</v>
      </c>
      <c r="C48" s="58" t="s">
        <v>603</v>
      </c>
      <c r="D48" s="354" t="s">
        <v>109</v>
      </c>
      <c r="E48" s="393">
        <v>1</v>
      </c>
      <c r="H48" s="307"/>
      <c r="I48" s="381"/>
      <c r="J48" s="308"/>
      <c r="K48" s="384"/>
      <c r="L48" s="309"/>
    </row>
    <row r="49" spans="1:12" x14ac:dyDescent="0.25">
      <c r="A49" s="306">
        <v>44</v>
      </c>
      <c r="B49" s="378" t="s">
        <v>604</v>
      </c>
      <c r="C49" s="58" t="s">
        <v>593</v>
      </c>
      <c r="D49" s="354" t="s">
        <v>109</v>
      </c>
      <c r="E49" s="393">
        <v>1</v>
      </c>
      <c r="H49" s="307"/>
      <c r="I49" s="381"/>
      <c r="J49" s="308"/>
      <c r="K49" s="384"/>
      <c r="L49" s="309"/>
    </row>
    <row r="50" spans="1:12" x14ac:dyDescent="0.25">
      <c r="A50" s="306">
        <v>45</v>
      </c>
      <c r="B50" s="378" t="s">
        <v>605</v>
      </c>
      <c r="C50" s="58" t="s">
        <v>596</v>
      </c>
      <c r="D50" s="354" t="s">
        <v>109</v>
      </c>
      <c r="E50" s="393">
        <v>1</v>
      </c>
      <c r="H50" s="307"/>
      <c r="I50" s="381"/>
      <c r="J50" s="308"/>
      <c r="K50" s="384"/>
      <c r="L50" s="309"/>
    </row>
    <row r="51" spans="1:12" x14ac:dyDescent="0.25">
      <c r="A51" s="306">
        <v>46</v>
      </c>
      <c r="B51" s="378" t="s">
        <v>606</v>
      </c>
      <c r="C51" s="58" t="s">
        <v>595</v>
      </c>
      <c r="D51" s="354" t="s">
        <v>109</v>
      </c>
      <c r="E51" s="393">
        <v>1</v>
      </c>
      <c r="H51" s="307"/>
      <c r="I51" s="381"/>
      <c r="J51" s="308"/>
      <c r="K51" s="384"/>
      <c r="L51" s="309"/>
    </row>
    <row r="52" spans="1:12" x14ac:dyDescent="0.25">
      <c r="A52" s="306">
        <v>47</v>
      </c>
      <c r="B52" s="378" t="s">
        <v>607</v>
      </c>
      <c r="C52" s="58" t="s">
        <v>597</v>
      </c>
      <c r="D52" s="354" t="s">
        <v>109</v>
      </c>
      <c r="E52" s="393">
        <v>1</v>
      </c>
      <c r="H52" s="307"/>
      <c r="I52" s="381"/>
      <c r="J52" s="308"/>
      <c r="K52" s="384"/>
      <c r="L52" s="309"/>
    </row>
    <row r="53" spans="1:12" x14ac:dyDescent="0.25">
      <c r="A53" s="306">
        <v>48</v>
      </c>
      <c r="B53" s="352" t="s">
        <v>608</v>
      </c>
      <c r="C53" s="396" t="s">
        <v>629</v>
      </c>
      <c r="D53" s="397"/>
      <c r="E53" s="402"/>
      <c r="H53" s="307"/>
      <c r="I53" s="381"/>
      <c r="J53" s="308"/>
      <c r="K53" s="384"/>
      <c r="L53" s="309"/>
    </row>
    <row r="54" spans="1:12" x14ac:dyDescent="0.25">
      <c r="A54" s="306">
        <v>49</v>
      </c>
      <c r="B54" s="377" t="s">
        <v>608</v>
      </c>
      <c r="C54" s="3" t="s">
        <v>609</v>
      </c>
      <c r="D54" s="354" t="s">
        <v>109</v>
      </c>
      <c r="E54" s="323">
        <v>1</v>
      </c>
      <c r="H54" s="307"/>
      <c r="I54" s="381"/>
      <c r="J54" s="308"/>
      <c r="K54" s="384"/>
      <c r="L54" s="309"/>
    </row>
    <row r="55" spans="1:12" x14ac:dyDescent="0.25">
      <c r="A55" s="306">
        <v>50</v>
      </c>
      <c r="B55" s="115" t="s">
        <v>620</v>
      </c>
      <c r="C55" s="3" t="s">
        <v>625</v>
      </c>
      <c r="D55" s="354" t="s">
        <v>109</v>
      </c>
      <c r="E55" s="323">
        <v>1</v>
      </c>
      <c r="H55" s="307"/>
      <c r="I55" s="381"/>
      <c r="J55" s="308"/>
      <c r="K55" s="384"/>
      <c r="L55" s="309"/>
    </row>
    <row r="56" spans="1:12" x14ac:dyDescent="0.25">
      <c r="A56" s="306">
        <v>51</v>
      </c>
      <c r="B56" s="115" t="s">
        <v>614</v>
      </c>
      <c r="C56" s="3" t="s">
        <v>612</v>
      </c>
      <c r="D56" s="354" t="s">
        <v>109</v>
      </c>
      <c r="E56" s="336">
        <v>1</v>
      </c>
      <c r="H56" s="307"/>
      <c r="I56" s="381"/>
      <c r="J56" s="308"/>
      <c r="K56" s="384"/>
      <c r="L56" s="309"/>
    </row>
    <row r="57" spans="1:12" x14ac:dyDescent="0.25">
      <c r="A57" s="306">
        <v>52</v>
      </c>
      <c r="B57" s="115" t="s">
        <v>615</v>
      </c>
      <c r="C57" s="3" t="s">
        <v>624</v>
      </c>
      <c r="D57" s="354" t="s">
        <v>109</v>
      </c>
      <c r="E57" s="336">
        <v>1</v>
      </c>
      <c r="H57" s="307"/>
      <c r="I57" s="381"/>
      <c r="J57" s="308"/>
      <c r="K57" s="384"/>
      <c r="L57" s="309"/>
    </row>
    <row r="58" spans="1:12" x14ac:dyDescent="0.25">
      <c r="A58" s="306">
        <v>53</v>
      </c>
      <c r="B58" s="115" t="s">
        <v>616</v>
      </c>
      <c r="C58" s="3" t="s">
        <v>623</v>
      </c>
      <c r="D58" s="354" t="s">
        <v>109</v>
      </c>
      <c r="E58" s="336">
        <v>1</v>
      </c>
      <c r="H58" s="307"/>
      <c r="I58" s="381"/>
      <c r="J58" s="308"/>
      <c r="K58" s="384"/>
      <c r="L58" s="309"/>
    </row>
    <row r="59" spans="1:12" x14ac:dyDescent="0.25">
      <c r="A59" s="306">
        <v>54</v>
      </c>
      <c r="B59" s="115" t="s">
        <v>617</v>
      </c>
      <c r="C59" s="3" t="s">
        <v>622</v>
      </c>
      <c r="D59" s="354" t="s">
        <v>109</v>
      </c>
      <c r="E59" s="336">
        <v>1</v>
      </c>
      <c r="H59" s="307"/>
      <c r="I59" s="381"/>
      <c r="J59" s="308"/>
      <c r="K59" s="384"/>
      <c r="L59" s="309"/>
    </row>
    <row r="60" spans="1:12" x14ac:dyDescent="0.25">
      <c r="A60" s="306">
        <v>55</v>
      </c>
      <c r="B60" s="115" t="s">
        <v>618</v>
      </c>
      <c r="C60" s="3" t="s">
        <v>621</v>
      </c>
      <c r="D60" s="354" t="s">
        <v>109</v>
      </c>
      <c r="E60" s="336">
        <v>1</v>
      </c>
      <c r="H60" s="307"/>
      <c r="I60" s="381"/>
      <c r="J60" s="308"/>
      <c r="K60" s="384"/>
      <c r="L60" s="309"/>
    </row>
    <row r="61" spans="1:12" x14ac:dyDescent="0.25">
      <c r="A61" s="306">
        <v>56</v>
      </c>
      <c r="B61" s="115" t="s">
        <v>619</v>
      </c>
      <c r="C61" s="3" t="s">
        <v>613</v>
      </c>
      <c r="D61" s="354" t="s">
        <v>109</v>
      </c>
      <c r="E61" s="336">
        <v>1</v>
      </c>
      <c r="H61" s="307"/>
      <c r="I61" s="381"/>
      <c r="J61" s="308"/>
      <c r="K61" s="384"/>
      <c r="L61" s="309"/>
    </row>
    <row r="62" spans="1:12" x14ac:dyDescent="0.25">
      <c r="A62" s="306">
        <v>57</v>
      </c>
      <c r="B62" s="352" t="s">
        <v>523</v>
      </c>
      <c r="C62" s="396" t="s">
        <v>630</v>
      </c>
      <c r="D62" s="397"/>
      <c r="E62" s="402">
        <v>0</v>
      </c>
      <c r="H62" s="307"/>
      <c r="I62" s="381"/>
      <c r="J62" s="308"/>
      <c r="K62" s="384"/>
      <c r="L62" s="309"/>
    </row>
    <row r="63" spans="1:12" x14ac:dyDescent="0.25">
      <c r="A63" s="306">
        <v>58</v>
      </c>
      <c r="B63" s="340" t="s">
        <v>522</v>
      </c>
      <c r="C63" s="3" t="s">
        <v>470</v>
      </c>
      <c r="D63" s="354" t="s">
        <v>109</v>
      </c>
      <c r="E63" s="323">
        <v>1</v>
      </c>
      <c r="H63" s="307"/>
      <c r="I63" s="381"/>
      <c r="J63" s="308"/>
      <c r="K63" s="384"/>
      <c r="L63" s="309"/>
    </row>
    <row r="64" spans="1:12" x14ac:dyDescent="0.25">
      <c r="A64" s="306">
        <v>59</v>
      </c>
      <c r="B64" s="340" t="s">
        <v>524</v>
      </c>
      <c r="C64" s="3" t="s">
        <v>471</v>
      </c>
      <c r="D64" s="354" t="s">
        <v>109</v>
      </c>
      <c r="E64" s="323">
        <v>1</v>
      </c>
      <c r="H64" s="307"/>
      <c r="I64" s="381"/>
      <c r="J64" s="308"/>
      <c r="K64" s="384"/>
      <c r="L64" s="309"/>
    </row>
    <row r="65" spans="1:12 16383:16383" x14ac:dyDescent="0.25">
      <c r="A65" s="306">
        <v>60</v>
      </c>
      <c r="B65" s="340" t="s">
        <v>525</v>
      </c>
      <c r="C65" s="3" t="s">
        <v>472</v>
      </c>
      <c r="D65" s="354" t="s">
        <v>109</v>
      </c>
      <c r="E65" s="336">
        <v>1</v>
      </c>
      <c r="H65" s="307"/>
      <c r="I65" s="381"/>
      <c r="J65" s="308"/>
      <c r="K65" s="384"/>
      <c r="L65" s="309"/>
    </row>
    <row r="66" spans="1:12 16383:16383" x14ac:dyDescent="0.25">
      <c r="A66" s="306">
        <v>61</v>
      </c>
      <c r="B66" s="340" t="s">
        <v>611</v>
      </c>
      <c r="C66" s="3" t="s">
        <v>610</v>
      </c>
      <c r="D66" s="354" t="s">
        <v>109</v>
      </c>
      <c r="E66" s="336">
        <v>1</v>
      </c>
      <c r="H66" s="307"/>
      <c r="I66" s="381"/>
      <c r="J66" s="308"/>
      <c r="K66" s="384"/>
      <c r="L66" s="309"/>
    </row>
    <row r="67" spans="1:12 16383:16383" x14ac:dyDescent="0.25">
      <c r="A67" s="306">
        <v>62</v>
      </c>
      <c r="B67" s="403" t="s">
        <v>398</v>
      </c>
      <c r="C67" s="404" t="s">
        <v>408</v>
      </c>
      <c r="D67" s="405"/>
      <c r="E67" s="406"/>
      <c r="H67" s="307"/>
      <c r="I67" s="381"/>
      <c r="J67" s="308"/>
      <c r="K67" s="384"/>
      <c r="L67" s="309"/>
    </row>
    <row r="68" spans="1:12 16383:16383" x14ac:dyDescent="0.25">
      <c r="A68" s="306">
        <v>63</v>
      </c>
      <c r="B68" s="340" t="s">
        <v>526</v>
      </c>
      <c r="C68" s="3" t="s">
        <v>409</v>
      </c>
      <c r="D68" s="354" t="s">
        <v>109</v>
      </c>
      <c r="E68" s="337">
        <v>1</v>
      </c>
      <c r="H68" s="307"/>
      <c r="I68" s="381"/>
      <c r="J68" s="308"/>
      <c r="K68" s="384"/>
      <c r="L68" s="309"/>
    </row>
    <row r="69" spans="1:12 16383:16383" x14ac:dyDescent="0.25">
      <c r="A69" s="306">
        <v>64</v>
      </c>
      <c r="B69" s="340" t="s">
        <v>527</v>
      </c>
      <c r="C69" s="3" t="s">
        <v>410</v>
      </c>
      <c r="D69" s="354" t="s">
        <v>109</v>
      </c>
      <c r="E69" s="337">
        <v>1</v>
      </c>
      <c r="H69" s="307"/>
      <c r="I69" s="381"/>
      <c r="J69" s="379"/>
      <c r="K69" s="384"/>
      <c r="L69" s="309"/>
    </row>
    <row r="70" spans="1:12 16383:16383" x14ac:dyDescent="0.25">
      <c r="A70" s="306">
        <v>65</v>
      </c>
      <c r="B70" s="340" t="s">
        <v>528</v>
      </c>
      <c r="C70" s="3" t="s">
        <v>411</v>
      </c>
      <c r="D70" s="354" t="s">
        <v>109</v>
      </c>
      <c r="E70" s="337">
        <v>1</v>
      </c>
      <c r="H70" s="307"/>
      <c r="I70" s="381"/>
      <c r="J70" s="379"/>
      <c r="K70" s="384"/>
      <c r="L70" s="309"/>
    </row>
    <row r="71" spans="1:12 16383:16383" x14ac:dyDescent="0.25">
      <c r="A71" s="306">
        <v>66</v>
      </c>
      <c r="B71" s="340" t="s">
        <v>529</v>
      </c>
      <c r="C71" s="331" t="s">
        <v>412</v>
      </c>
      <c r="D71" s="354" t="s">
        <v>109</v>
      </c>
      <c r="E71" s="337">
        <v>5</v>
      </c>
      <c r="H71" s="307"/>
      <c r="I71" s="381"/>
      <c r="J71" s="308"/>
      <c r="K71" s="384"/>
      <c r="L71" s="309"/>
    </row>
    <row r="72" spans="1:12 16383:16383" x14ac:dyDescent="0.25">
      <c r="A72" s="306">
        <v>67</v>
      </c>
      <c r="B72" s="340" t="s">
        <v>530</v>
      </c>
      <c r="C72" s="330" t="s">
        <v>418</v>
      </c>
      <c r="D72" s="354" t="s">
        <v>109</v>
      </c>
      <c r="E72" s="337">
        <v>7</v>
      </c>
      <c r="H72" s="307"/>
      <c r="I72" s="310"/>
      <c r="J72" s="308"/>
      <c r="K72" s="384"/>
      <c r="L72" s="309"/>
    </row>
    <row r="73" spans="1:12 16383:16383" x14ac:dyDescent="0.25">
      <c r="A73" s="306">
        <v>68</v>
      </c>
      <c r="B73" s="4"/>
      <c r="C73" s="3"/>
      <c r="D73" s="354"/>
      <c r="E73" s="337">
        <v>0</v>
      </c>
      <c r="H73" s="307"/>
      <c r="I73" s="310"/>
      <c r="J73" s="380"/>
      <c r="K73" s="386"/>
      <c r="L73" s="309"/>
    </row>
    <row r="74" spans="1:12 16383:16383" x14ac:dyDescent="0.25">
      <c r="A74" s="306">
        <v>69</v>
      </c>
      <c r="B74" s="4"/>
      <c r="C74" s="3"/>
      <c r="D74" s="354"/>
      <c r="E74" s="337">
        <v>0</v>
      </c>
      <c r="H74" s="307"/>
      <c r="I74" s="381"/>
      <c r="J74" s="308"/>
      <c r="K74" s="384"/>
      <c r="L74" s="309"/>
    </row>
    <row r="75" spans="1:12 16383:16383" x14ac:dyDescent="0.25">
      <c r="A75" s="306">
        <v>70</v>
      </c>
      <c r="B75" s="58"/>
      <c r="C75" s="58"/>
      <c r="D75" s="394"/>
      <c r="E75" s="337">
        <v>0</v>
      </c>
      <c r="H75" s="307"/>
      <c r="I75" s="310"/>
      <c r="J75" s="380"/>
      <c r="K75" s="384"/>
      <c r="L75" s="309"/>
    </row>
    <row r="76" spans="1:12 16383:16383" x14ac:dyDescent="0.25">
      <c r="A76" s="306">
        <v>71</v>
      </c>
      <c r="B76" s="335"/>
      <c r="C76" s="311"/>
      <c r="D76" s="395"/>
      <c r="E76" s="337">
        <v>0</v>
      </c>
      <c r="H76" s="307"/>
      <c r="I76" s="381"/>
      <c r="J76" s="308"/>
      <c r="K76" s="387"/>
      <c r="L76" s="309"/>
    </row>
    <row r="77" spans="1:12 16383:16383" x14ac:dyDescent="0.25">
      <c r="H77" s="307"/>
      <c r="I77" s="381"/>
      <c r="J77" s="308"/>
      <c r="K77" s="387"/>
      <c r="L77" s="309"/>
    </row>
    <row r="78" spans="1:12 16383:16383" x14ac:dyDescent="0.25">
      <c r="H78" s="307"/>
      <c r="I78" s="381"/>
      <c r="J78" s="308"/>
      <c r="K78" s="387"/>
      <c r="L78" s="309"/>
    </row>
    <row r="79" spans="1:12 16383:16383" ht="26.25" x14ac:dyDescent="0.25">
      <c r="A79" s="52"/>
      <c r="B79" s="9" t="s">
        <v>130</v>
      </c>
      <c r="C79" s="9"/>
      <c r="D79" s="9"/>
      <c r="E79" s="9"/>
      <c r="G79" s="350"/>
      <c r="H79" s="307"/>
      <c r="I79" s="310"/>
      <c r="J79" s="308"/>
      <c r="K79" s="384"/>
      <c r="L79" s="309"/>
    </row>
    <row r="80" spans="1:12 16383:16383" ht="26.25" x14ac:dyDescent="0.25">
      <c r="A80" s="9"/>
      <c r="B80" s="9"/>
      <c r="C80" s="9"/>
      <c r="D80" s="9"/>
      <c r="E80" s="9"/>
      <c r="G80" s="75"/>
      <c r="H80" s="307"/>
      <c r="I80" s="381"/>
      <c r="J80" s="308"/>
      <c r="K80" s="384"/>
      <c r="L80" s="309"/>
      <c r="XFC80" s="9"/>
    </row>
    <row r="81" spans="1:12" x14ac:dyDescent="0.25">
      <c r="A81">
        <v>1</v>
      </c>
      <c r="B81" s="58" t="s">
        <v>131</v>
      </c>
      <c r="C81" s="58" t="s">
        <v>536</v>
      </c>
      <c r="D81" s="351" t="s">
        <v>109</v>
      </c>
      <c r="E81" s="337">
        <v>1</v>
      </c>
      <c r="G81" s="75"/>
      <c r="H81" s="307"/>
      <c r="I81" s="381"/>
      <c r="J81" s="308"/>
      <c r="K81" s="384"/>
      <c r="L81" s="309"/>
    </row>
    <row r="82" spans="1:12" x14ac:dyDescent="0.25">
      <c r="A82">
        <v>2</v>
      </c>
      <c r="B82" s="58" t="s">
        <v>150</v>
      </c>
      <c r="C82" s="58" t="s">
        <v>537</v>
      </c>
      <c r="D82" s="351" t="s">
        <v>109</v>
      </c>
      <c r="E82" s="337">
        <v>1</v>
      </c>
      <c r="G82" s="75"/>
      <c r="H82" s="307"/>
      <c r="I82" s="381"/>
      <c r="J82" s="308"/>
      <c r="K82" s="384"/>
      <c r="L82" s="309"/>
    </row>
    <row r="83" spans="1:12" x14ac:dyDescent="0.25">
      <c r="A83">
        <v>3</v>
      </c>
      <c r="B83" s="58" t="s">
        <v>534</v>
      </c>
      <c r="C83" s="58" t="s">
        <v>132</v>
      </c>
      <c r="D83" s="351" t="s">
        <v>109</v>
      </c>
      <c r="E83" s="337">
        <v>1</v>
      </c>
      <c r="G83" s="75"/>
      <c r="H83" s="307"/>
      <c r="I83" s="381"/>
      <c r="J83" s="308"/>
      <c r="K83" s="384"/>
      <c r="L83" s="309"/>
    </row>
    <row r="84" spans="1:12" x14ac:dyDescent="0.25">
      <c r="A84">
        <v>4</v>
      </c>
      <c r="B84" s="58" t="s">
        <v>149</v>
      </c>
      <c r="C84" s="58" t="s">
        <v>133</v>
      </c>
      <c r="D84" s="351" t="s">
        <v>109</v>
      </c>
      <c r="E84" s="337">
        <v>1</v>
      </c>
      <c r="G84" s="75"/>
      <c r="H84" s="307"/>
      <c r="I84" s="381"/>
      <c r="J84" s="388"/>
      <c r="K84" s="384"/>
      <c r="L84" s="309"/>
    </row>
    <row r="85" spans="1:12" x14ac:dyDescent="0.25">
      <c r="A85">
        <v>5</v>
      </c>
      <c r="B85" s="58" t="s">
        <v>535</v>
      </c>
      <c r="C85" s="58" t="s">
        <v>538</v>
      </c>
      <c r="D85" s="351" t="s">
        <v>109</v>
      </c>
      <c r="E85" s="337">
        <v>1</v>
      </c>
      <c r="G85" s="75"/>
      <c r="H85" s="307"/>
      <c r="I85" s="310"/>
      <c r="J85" s="308"/>
      <c r="K85" s="384"/>
      <c r="L85" s="309"/>
    </row>
    <row r="86" spans="1:12" x14ac:dyDescent="0.25">
      <c r="A86">
        <v>6</v>
      </c>
      <c r="B86" s="58" t="s">
        <v>148</v>
      </c>
      <c r="C86" s="58" t="s">
        <v>134</v>
      </c>
      <c r="D86" s="351" t="s">
        <v>109</v>
      </c>
      <c r="E86" s="337">
        <v>1</v>
      </c>
      <c r="G86" s="75"/>
      <c r="H86" s="307"/>
      <c r="I86" s="310"/>
      <c r="J86" s="308"/>
      <c r="K86" s="384"/>
      <c r="L86" s="309"/>
    </row>
    <row r="87" spans="1:12" x14ac:dyDescent="0.25">
      <c r="A87">
        <v>7</v>
      </c>
      <c r="B87" s="58" t="s">
        <v>147</v>
      </c>
      <c r="C87" s="58" t="s">
        <v>539</v>
      </c>
      <c r="D87" s="351" t="s">
        <v>109</v>
      </c>
      <c r="E87" s="337">
        <v>1</v>
      </c>
      <c r="G87" s="75"/>
      <c r="H87" s="307"/>
      <c r="I87" s="388"/>
      <c r="J87" s="388"/>
      <c r="K87" s="389"/>
      <c r="L87" s="309"/>
    </row>
    <row r="88" spans="1:12" x14ac:dyDescent="0.25">
      <c r="A88">
        <v>8</v>
      </c>
      <c r="B88" s="58" t="s">
        <v>146</v>
      </c>
      <c r="C88" s="58" t="s">
        <v>135</v>
      </c>
      <c r="D88" s="351" t="s">
        <v>109</v>
      </c>
      <c r="E88" s="337">
        <v>1</v>
      </c>
      <c r="G88" s="75"/>
      <c r="H88" s="307"/>
      <c r="I88" s="388"/>
      <c r="J88" s="388"/>
      <c r="K88" s="389"/>
      <c r="L88" s="309"/>
    </row>
    <row r="89" spans="1:12" x14ac:dyDescent="0.25">
      <c r="A89">
        <v>9</v>
      </c>
      <c r="B89" s="58" t="s">
        <v>145</v>
      </c>
      <c r="C89" s="58" t="s">
        <v>136</v>
      </c>
      <c r="D89" s="351" t="s">
        <v>109</v>
      </c>
      <c r="E89" s="337">
        <v>1</v>
      </c>
      <c r="G89" s="75"/>
      <c r="H89" s="75"/>
      <c r="I89" s="75"/>
      <c r="J89" s="75"/>
      <c r="K89" s="75"/>
    </row>
    <row r="90" spans="1:12" x14ac:dyDescent="0.25">
      <c r="A90">
        <v>10</v>
      </c>
      <c r="B90" s="58" t="s">
        <v>141</v>
      </c>
      <c r="C90" s="58" t="s">
        <v>137</v>
      </c>
      <c r="D90" s="351" t="s">
        <v>109</v>
      </c>
      <c r="E90" s="337">
        <v>1</v>
      </c>
      <c r="G90" s="75"/>
      <c r="H90" s="75"/>
      <c r="I90" s="75"/>
      <c r="J90" s="75"/>
      <c r="K90" s="75"/>
    </row>
    <row r="91" spans="1:12" x14ac:dyDescent="0.25">
      <c r="A91">
        <v>11</v>
      </c>
      <c r="B91" s="58" t="s">
        <v>142</v>
      </c>
      <c r="C91" s="58" t="s">
        <v>138</v>
      </c>
      <c r="D91" s="351" t="s">
        <v>109</v>
      </c>
      <c r="E91" s="337">
        <v>1</v>
      </c>
      <c r="G91" s="75"/>
      <c r="H91" s="75"/>
      <c r="I91" s="75"/>
      <c r="J91" s="75"/>
      <c r="K91" s="75"/>
    </row>
    <row r="92" spans="1:12" x14ac:dyDescent="0.25">
      <c r="A92">
        <v>12</v>
      </c>
      <c r="B92" s="58" t="s">
        <v>143</v>
      </c>
      <c r="C92" s="58" t="s">
        <v>139</v>
      </c>
      <c r="D92" s="351" t="s">
        <v>109</v>
      </c>
      <c r="E92" s="337">
        <v>1</v>
      </c>
      <c r="G92" s="75"/>
      <c r="H92" s="75"/>
      <c r="I92" s="75"/>
      <c r="J92" s="75"/>
      <c r="K92" s="75"/>
    </row>
    <row r="93" spans="1:12" x14ac:dyDescent="0.25">
      <c r="A93">
        <v>13</v>
      </c>
      <c r="B93" s="58" t="s">
        <v>144</v>
      </c>
      <c r="C93" s="58" t="s">
        <v>140</v>
      </c>
      <c r="D93" s="351" t="s">
        <v>109</v>
      </c>
      <c r="E93" s="337">
        <v>1</v>
      </c>
      <c r="G93" s="75"/>
      <c r="H93" s="75"/>
      <c r="I93" s="75"/>
      <c r="J93" s="75"/>
      <c r="K93" s="75"/>
    </row>
    <row r="94" spans="1:12" x14ac:dyDescent="0.25">
      <c r="A94">
        <v>14</v>
      </c>
      <c r="B94" s="58" t="s">
        <v>533</v>
      </c>
      <c r="C94" s="58"/>
      <c r="D94" s="58"/>
      <c r="E94" s="337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29" sqref="B29"/>
    </sheetView>
  </sheetViews>
  <sheetFormatPr baseColWidth="10" defaultRowHeight="15" x14ac:dyDescent="0.25"/>
  <cols>
    <col min="1" max="1" width="4.7109375" customWidth="1"/>
    <col min="2" max="2" width="15.7109375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451</v>
      </c>
      <c r="D2" s="9"/>
      <c r="E2" s="9"/>
      <c r="F2" s="9"/>
    </row>
    <row r="5" spans="1:6" ht="30" x14ac:dyDescent="0.25">
      <c r="A5" s="11" t="s">
        <v>8</v>
      </c>
      <c r="B5" s="11" t="s">
        <v>49</v>
      </c>
      <c r="C5" s="11" t="s">
        <v>9</v>
      </c>
      <c r="D5" s="11" t="s">
        <v>0</v>
      </c>
      <c r="E5" s="11" t="s">
        <v>108</v>
      </c>
      <c r="F5" s="11" t="s">
        <v>0</v>
      </c>
    </row>
    <row r="6" spans="1:6" x14ac:dyDescent="0.25">
      <c r="A6" s="2">
        <v>1</v>
      </c>
      <c r="B6" s="4" t="s">
        <v>94</v>
      </c>
      <c r="C6" s="317" t="s">
        <v>452</v>
      </c>
      <c r="D6" s="4">
        <v>1</v>
      </c>
      <c r="E6" s="322" t="s">
        <v>109</v>
      </c>
      <c r="F6" s="323">
        <v>0</v>
      </c>
    </row>
    <row r="7" spans="1:6" x14ac:dyDescent="0.25">
      <c r="A7" s="2">
        <v>2</v>
      </c>
      <c r="B7" s="4" t="s">
        <v>95</v>
      </c>
      <c r="C7" s="317" t="s">
        <v>453</v>
      </c>
      <c r="D7" s="4">
        <v>1</v>
      </c>
      <c r="E7" s="322" t="s">
        <v>110</v>
      </c>
      <c r="F7" s="323">
        <v>0</v>
      </c>
    </row>
    <row r="8" spans="1:6" x14ac:dyDescent="0.25">
      <c r="A8" s="2">
        <v>3</v>
      </c>
      <c r="B8" s="4" t="s">
        <v>95</v>
      </c>
      <c r="C8" s="317" t="s">
        <v>453</v>
      </c>
      <c r="D8" s="4">
        <v>1</v>
      </c>
      <c r="E8" s="322" t="s">
        <v>110</v>
      </c>
      <c r="F8" s="323">
        <v>0</v>
      </c>
    </row>
    <row r="9" spans="1:6" x14ac:dyDescent="0.25">
      <c r="A9" s="2">
        <v>4</v>
      </c>
      <c r="B9" s="4" t="s">
        <v>106</v>
      </c>
      <c r="C9" s="317" t="s">
        <v>111</v>
      </c>
      <c r="D9" s="4">
        <v>1</v>
      </c>
      <c r="E9" s="322" t="s">
        <v>110</v>
      </c>
      <c r="F9" s="323">
        <v>0</v>
      </c>
    </row>
    <row r="10" spans="1:6" x14ac:dyDescent="0.25">
      <c r="A10" s="2">
        <v>5</v>
      </c>
      <c r="B10" s="4" t="s">
        <v>466</v>
      </c>
      <c r="C10" s="317" t="s">
        <v>96</v>
      </c>
      <c r="D10" s="4">
        <v>1</v>
      </c>
      <c r="E10" s="322" t="s">
        <v>110</v>
      </c>
      <c r="F10" s="323">
        <v>0</v>
      </c>
    </row>
    <row r="11" spans="1:6" x14ac:dyDescent="0.25">
      <c r="A11" s="2">
        <v>6</v>
      </c>
      <c r="B11" s="4" t="s">
        <v>97</v>
      </c>
      <c r="C11" s="317" t="s">
        <v>454</v>
      </c>
      <c r="D11" s="4">
        <v>1</v>
      </c>
      <c r="E11" s="322" t="s">
        <v>109</v>
      </c>
      <c r="F11" s="323">
        <v>0</v>
      </c>
    </row>
    <row r="12" spans="1:6" x14ac:dyDescent="0.25">
      <c r="A12" s="2">
        <v>7</v>
      </c>
      <c r="B12" s="4" t="s">
        <v>98</v>
      </c>
      <c r="C12" s="317" t="s">
        <v>455</v>
      </c>
      <c r="D12" s="4">
        <v>1</v>
      </c>
      <c r="E12" s="322" t="s">
        <v>109</v>
      </c>
      <c r="F12" s="323">
        <v>0</v>
      </c>
    </row>
    <row r="13" spans="1:6" x14ac:dyDescent="0.25">
      <c r="A13" s="2">
        <v>8</v>
      </c>
      <c r="B13" s="4" t="s">
        <v>99</v>
      </c>
      <c r="C13" s="317" t="s">
        <v>456</v>
      </c>
      <c r="D13" s="4">
        <v>1</v>
      </c>
      <c r="E13" s="322" t="s">
        <v>109</v>
      </c>
      <c r="F13" s="323">
        <v>0</v>
      </c>
    </row>
    <row r="14" spans="1:6" x14ac:dyDescent="0.25">
      <c r="A14" s="2">
        <v>9</v>
      </c>
      <c r="B14" s="4" t="s">
        <v>107</v>
      </c>
      <c r="C14" s="317" t="s">
        <v>457</v>
      </c>
      <c r="D14" s="4">
        <v>1</v>
      </c>
      <c r="E14" s="322" t="s">
        <v>109</v>
      </c>
      <c r="F14" s="324">
        <v>0</v>
      </c>
    </row>
    <row r="15" spans="1:6" x14ac:dyDescent="0.25">
      <c r="A15" s="2">
        <v>10</v>
      </c>
      <c r="B15" s="4" t="s">
        <v>467</v>
      </c>
      <c r="C15" s="317" t="s">
        <v>458</v>
      </c>
      <c r="D15" s="4">
        <v>1</v>
      </c>
      <c r="E15" s="322" t="s">
        <v>109</v>
      </c>
      <c r="F15" s="323">
        <v>0</v>
      </c>
    </row>
    <row r="16" spans="1:6" x14ac:dyDescent="0.25">
      <c r="A16" s="2">
        <v>11</v>
      </c>
      <c r="B16" s="4" t="s">
        <v>115</v>
      </c>
      <c r="C16" s="317" t="s">
        <v>116</v>
      </c>
      <c r="D16" s="4">
        <v>1</v>
      </c>
      <c r="E16" s="322" t="s">
        <v>109</v>
      </c>
      <c r="F16" s="323">
        <v>0</v>
      </c>
    </row>
    <row r="17" spans="1:6" x14ac:dyDescent="0.25">
      <c r="A17" s="2">
        <v>12</v>
      </c>
      <c r="B17" s="4" t="s">
        <v>114</v>
      </c>
      <c r="C17" s="317" t="s">
        <v>113</v>
      </c>
      <c r="D17" s="4">
        <v>2</v>
      </c>
      <c r="E17" s="322" t="s">
        <v>109</v>
      </c>
      <c r="F17" s="323">
        <v>0</v>
      </c>
    </row>
    <row r="18" spans="1:6" x14ac:dyDescent="0.25">
      <c r="A18" s="2">
        <v>13</v>
      </c>
      <c r="B18" s="4" t="s">
        <v>178</v>
      </c>
      <c r="C18" s="317" t="s">
        <v>459</v>
      </c>
      <c r="D18" s="4">
        <v>1</v>
      </c>
      <c r="E18" s="322" t="s">
        <v>109</v>
      </c>
      <c r="F18" s="323">
        <v>0</v>
      </c>
    </row>
    <row r="19" spans="1:6" x14ac:dyDescent="0.25">
      <c r="A19" s="2">
        <v>14</v>
      </c>
      <c r="B19" s="4" t="s">
        <v>179</v>
      </c>
      <c r="C19" s="317" t="s">
        <v>460</v>
      </c>
      <c r="D19" s="4">
        <v>1</v>
      </c>
      <c r="E19" s="322" t="s">
        <v>109</v>
      </c>
      <c r="F19" s="323">
        <v>0</v>
      </c>
    </row>
    <row r="20" spans="1:6" x14ac:dyDescent="0.25">
      <c r="A20" s="2">
        <v>15</v>
      </c>
      <c r="B20" s="4" t="s">
        <v>100</v>
      </c>
      <c r="C20" s="317" t="s">
        <v>112</v>
      </c>
      <c r="D20" s="4">
        <v>3</v>
      </c>
      <c r="E20" s="322" t="s">
        <v>109</v>
      </c>
      <c r="F20" s="323">
        <v>0</v>
      </c>
    </row>
    <row r="21" spans="1:6" x14ac:dyDescent="0.25">
      <c r="A21" s="2">
        <v>16</v>
      </c>
      <c r="B21" s="4" t="s">
        <v>468</v>
      </c>
      <c r="C21" s="317" t="s">
        <v>177</v>
      </c>
      <c r="D21" s="4">
        <v>1</v>
      </c>
      <c r="E21" s="322" t="s">
        <v>109</v>
      </c>
      <c r="F21" s="323">
        <v>0</v>
      </c>
    </row>
    <row r="22" spans="1:6" x14ac:dyDescent="0.25">
      <c r="A22" s="2">
        <v>17</v>
      </c>
      <c r="B22" s="4" t="s">
        <v>101</v>
      </c>
      <c r="C22" s="318" t="s">
        <v>102</v>
      </c>
      <c r="D22" s="4">
        <v>1</v>
      </c>
      <c r="E22" s="322" t="s">
        <v>109</v>
      </c>
      <c r="F22" s="324">
        <v>0</v>
      </c>
    </row>
    <row r="23" spans="1:6" x14ac:dyDescent="0.25">
      <c r="A23" s="2">
        <v>18</v>
      </c>
      <c r="B23" s="4" t="s">
        <v>103</v>
      </c>
      <c r="C23" s="317" t="s">
        <v>461</v>
      </c>
      <c r="D23" s="4">
        <v>1</v>
      </c>
      <c r="E23" s="322" t="s">
        <v>109</v>
      </c>
      <c r="F23" s="323">
        <v>0</v>
      </c>
    </row>
    <row r="24" spans="1:6" x14ac:dyDescent="0.25">
      <c r="A24" s="2">
        <v>19</v>
      </c>
      <c r="B24" s="4" t="s">
        <v>104</v>
      </c>
      <c r="C24" s="317" t="s">
        <v>462</v>
      </c>
      <c r="D24" s="4">
        <v>1</v>
      </c>
      <c r="E24" s="322" t="s">
        <v>109</v>
      </c>
      <c r="F24" s="323">
        <v>0</v>
      </c>
    </row>
    <row r="25" spans="1:6" x14ac:dyDescent="0.25">
      <c r="A25" s="2">
        <v>20</v>
      </c>
      <c r="B25" s="4" t="s">
        <v>105</v>
      </c>
      <c r="C25" s="317" t="s">
        <v>464</v>
      </c>
      <c r="D25" s="4">
        <v>1</v>
      </c>
      <c r="E25" s="322" t="s">
        <v>109</v>
      </c>
      <c r="F25" s="323">
        <v>0</v>
      </c>
    </row>
    <row r="26" spans="1:6" x14ac:dyDescent="0.25">
      <c r="A26" s="2">
        <v>21</v>
      </c>
      <c r="B26" s="4" t="s">
        <v>469</v>
      </c>
      <c r="C26" s="317" t="s">
        <v>463</v>
      </c>
      <c r="D26" s="4">
        <v>1</v>
      </c>
      <c r="E26" s="322" t="s">
        <v>109</v>
      </c>
      <c r="F26" s="325">
        <v>0</v>
      </c>
    </row>
    <row r="27" spans="1:6" x14ac:dyDescent="0.25">
      <c r="A27" s="2">
        <v>22</v>
      </c>
      <c r="B27" s="314" t="s">
        <v>176</v>
      </c>
      <c r="C27" s="312" t="s">
        <v>465</v>
      </c>
      <c r="D27" s="4">
        <v>0</v>
      </c>
      <c r="E27" s="322">
        <v>0</v>
      </c>
      <c r="F27" s="326"/>
    </row>
    <row r="28" spans="1:6" x14ac:dyDescent="0.25">
      <c r="A28" s="2">
        <v>23</v>
      </c>
      <c r="B28" s="314" t="s">
        <v>180</v>
      </c>
      <c r="C28" s="311" t="s">
        <v>181</v>
      </c>
      <c r="D28" s="4">
        <v>1</v>
      </c>
      <c r="E28" s="322" t="s">
        <v>109</v>
      </c>
      <c r="F28" s="327"/>
    </row>
    <row r="29" spans="1:6" x14ac:dyDescent="0.25">
      <c r="A29" s="2">
        <v>24</v>
      </c>
      <c r="B29" s="311"/>
      <c r="C29" s="311"/>
      <c r="D29" s="4"/>
      <c r="E29" s="58"/>
      <c r="F2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FORMULA 10-02-22</vt:lpstr>
      <vt:lpstr>INVENTARIO MATERIAS PRIMAS</vt:lpstr>
      <vt:lpstr>INVENTARIO PRODUCTO TERMINADO</vt:lpstr>
      <vt:lpstr>INVENTARIO BOLSAS TERMINADA</vt:lpstr>
      <vt:lpstr>INVENTARIO DE ESI</vt:lpstr>
      <vt:lpstr>INVENTARIO CRUZ ROJA</vt:lpstr>
      <vt:lpstr>INVENTARIO DE H.E.P</vt:lpstr>
      <vt:lpstr>INVENTARIO H.P</vt:lpstr>
      <vt:lpstr>'FORMULA 10-02-22'!Área_de_impresión</vt:lpstr>
      <vt:lpstr>'INVENTARIO DE ESI'!Área_de_impresión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thetethrg</cp:lastModifiedBy>
  <cp:lastPrinted>2022-02-24T19:59:39Z</cp:lastPrinted>
  <dcterms:created xsi:type="dcterms:W3CDTF">2018-01-04T14:49:19Z</dcterms:created>
  <dcterms:modified xsi:type="dcterms:W3CDTF">2022-04-06T19:12:31Z</dcterms:modified>
</cp:coreProperties>
</file>