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CHS+ CONSTRUCCIONES Y MATERIALES\GERENCIA GENERAL\GERENCIA DE OPERACIONES\COORDINACION DE ALMACENES\LOGISTICA DE ALMACEN\INVENTARIO CORO\C. inventario 2022\"/>
    </mc:Choice>
  </mc:AlternateContent>
  <bookViews>
    <workbookView xWindow="0" yWindow="0" windowWidth="19200" windowHeight="7275" tabRatio="856" activeTab="5"/>
  </bookViews>
  <sheets>
    <sheet name="FORMULA 17-10-22 " sheetId="43" r:id="rId1"/>
    <sheet name="FORMULA 05-09-22" sheetId="42" r:id="rId2"/>
    <sheet name="Dosis y Calidad" sheetId="39" r:id="rId3"/>
    <sheet name="INVENTARIO MATERIAS PRIMAS" sheetId="29" r:id="rId4"/>
    <sheet name="INVENTARIO PRODUCTO TERMINADO" sheetId="4" r:id="rId5"/>
    <sheet name="INVENTARIO BOLSAS TERMINADA" sheetId="6" r:id="rId6"/>
    <sheet name=" INVENTARIOOOO" sheetId="41" r:id="rId7"/>
    <sheet name="INVENTARIO DE ESI" sheetId="15" r:id="rId8"/>
    <sheet name="INVENTARIO CRUZ ROJA" sheetId="33" r:id="rId9"/>
    <sheet name="INVENTARIO DE H.E.P" sheetId="36" r:id="rId10"/>
    <sheet name="INVENTARIO H.P" sheetId="35" r:id="rId11"/>
  </sheets>
  <definedNames>
    <definedName name="_xlnm.Print_Area" localSheetId="2">'Dosis y Calidad'!$A$3:$L$77</definedName>
    <definedName name="_xlnm.Print_Area" localSheetId="1">'FORMULA 05-09-22'!$A$4:$J$91</definedName>
    <definedName name="_xlnm.Print_Area" localSheetId="0">'FORMULA 17-10-22 '!$A$4:$J$92</definedName>
    <definedName name="_xlnm.Print_Area" localSheetId="7">'INVENTARIO DE ESI'!$B$30:$C$51</definedName>
  </definedNames>
  <calcPr calcId="162913"/>
</workbook>
</file>

<file path=xl/calcChain.xml><?xml version="1.0" encoding="utf-8"?>
<calcChain xmlns="http://schemas.openxmlformats.org/spreadsheetml/2006/main">
  <c r="CS25" i="4" l="1"/>
  <c r="CH6" i="29"/>
  <c r="CH7" i="29"/>
  <c r="CG9" i="29"/>
  <c r="CH9" i="29"/>
  <c r="CH10" i="29"/>
  <c r="CH15" i="29"/>
  <c r="CH16" i="29"/>
  <c r="CJ6" i="29" l="1"/>
  <c r="CJ26" i="29"/>
  <c r="CJ25" i="29"/>
  <c r="CJ22" i="29"/>
  <c r="CJ10" i="29"/>
  <c r="CJ9" i="29"/>
  <c r="CJ7" i="29"/>
  <c r="CD7" i="29" l="1"/>
  <c r="BL7" i="29"/>
  <c r="Z7" i="29"/>
  <c r="AH7" i="29"/>
  <c r="AV7" i="29"/>
  <c r="AD7" i="29"/>
  <c r="V7" i="29"/>
  <c r="N7" i="29"/>
  <c r="R7" i="29"/>
  <c r="I11" i="29"/>
  <c r="BQ11" i="29"/>
  <c r="CA11" i="29"/>
  <c r="CC11" i="29"/>
  <c r="BC19" i="29"/>
  <c r="BR24" i="29"/>
  <c r="BQ13" i="29"/>
  <c r="N9" i="29"/>
  <c r="N19" i="29"/>
  <c r="M13" i="29"/>
  <c r="Y13" i="29"/>
  <c r="AC13" i="29"/>
  <c r="AI13" i="29"/>
  <c r="AS13" i="29"/>
  <c r="BE13" i="29"/>
  <c r="BK24" i="29"/>
  <c r="J16" i="29" l="1"/>
  <c r="BB16" i="29" l="1"/>
  <c r="BF16" i="29"/>
  <c r="BJ16" i="29"/>
  <c r="CF15" i="29"/>
  <c r="AV16" i="29"/>
  <c r="AV15" i="29"/>
  <c r="K15" i="29"/>
  <c r="BK15" i="29" l="1"/>
  <c r="BE10" i="29"/>
  <c r="AC10" i="29"/>
  <c r="U10" i="29"/>
  <c r="R9" i="29"/>
  <c r="AN10" i="29"/>
  <c r="BD10" i="29" l="1"/>
  <c r="BF11" i="29"/>
  <c r="BH11" i="29"/>
  <c r="BN10" i="29" l="1"/>
  <c r="BR10" i="29"/>
  <c r="BT10" i="29"/>
  <c r="BX10" i="29"/>
  <c r="BU10" i="29"/>
  <c r="AF6" i="29" l="1"/>
  <c r="AR25" i="29"/>
  <c r="AR22" i="29"/>
  <c r="AR19" i="29"/>
  <c r="AR13" i="29"/>
  <c r="AR10" i="29"/>
  <c r="AR9" i="29"/>
  <c r="AR6" i="29"/>
  <c r="AX6" i="29"/>
  <c r="BJ25" i="29"/>
  <c r="BJ22" i="29"/>
  <c r="BJ19" i="29"/>
  <c r="BJ13" i="29"/>
  <c r="BJ10" i="29"/>
  <c r="BJ9" i="29"/>
  <c r="BJ6" i="29"/>
  <c r="CE9" i="29"/>
  <c r="AB9" i="29"/>
  <c r="BA8" i="29"/>
  <c r="CA8" i="29"/>
  <c r="BU6" i="29" l="1"/>
  <c r="BD9" i="29"/>
  <c r="BL9" i="29"/>
  <c r="BN9" i="29"/>
  <c r="BQ9" i="29" l="1"/>
  <c r="BU9" i="29"/>
  <c r="BW9" i="29"/>
  <c r="CA9" i="29"/>
  <c r="BG9" i="29"/>
  <c r="BR6" i="29"/>
  <c r="BV9" i="29"/>
  <c r="CB26" i="29"/>
  <c r="CB25" i="29"/>
  <c r="CB22" i="29"/>
  <c r="CB11" i="29"/>
  <c r="CB6" i="29"/>
  <c r="CB9" i="29"/>
  <c r="CD10" i="29"/>
  <c r="CF13" i="29"/>
  <c r="BU15" i="4"/>
  <c r="CC10" i="4"/>
  <c r="CC15" i="4"/>
  <c r="CC32" i="4"/>
  <c r="CI10" i="4"/>
  <c r="CK15" i="4"/>
  <c r="CK10" i="4"/>
  <c r="CM24" i="4"/>
  <c r="CM15" i="4"/>
  <c r="CF25" i="29" l="1"/>
  <c r="CF22" i="29"/>
  <c r="CF19" i="29"/>
  <c r="CF10" i="29"/>
  <c r="CF9" i="29"/>
  <c r="CF6" i="29"/>
  <c r="CF26" i="29"/>
  <c r="CF7" i="29"/>
  <c r="CM21" i="4" l="1"/>
  <c r="CD20" i="29"/>
  <c r="CJ13" i="6"/>
  <c r="CM10" i="4" l="1"/>
  <c r="CM7" i="4"/>
  <c r="CK21" i="4"/>
  <c r="CD6" i="29" l="1"/>
  <c r="CD9" i="29"/>
  <c r="CD8" i="29"/>
  <c r="CD11" i="29"/>
  <c r="Q15" i="42" l="1"/>
  <c r="O9" i="42"/>
  <c r="N10" i="42"/>
  <c r="CB20" i="29" l="1"/>
  <c r="CB10" i="29" l="1"/>
  <c r="CB7" i="29"/>
  <c r="BV6" i="29" l="1"/>
  <c r="BV11" i="29"/>
  <c r="BV10" i="29"/>
  <c r="BV25" i="29"/>
  <c r="BV22" i="29"/>
  <c r="BV19" i="29"/>
  <c r="BV13" i="29"/>
  <c r="BR13" i="29"/>
  <c r="BR9" i="29"/>
  <c r="CB21" i="4"/>
  <c r="BZ21" i="4"/>
  <c r="BU14" i="4" l="1"/>
  <c r="CC21" i="4"/>
  <c r="CC14" i="4"/>
  <c r="BU10" i="4" l="1"/>
  <c r="BY10" i="4" l="1"/>
  <c r="BP9" i="29" l="1"/>
  <c r="BP6" i="29"/>
  <c r="AZ9" i="29"/>
  <c r="AZ10" i="29"/>
  <c r="AZ15" i="29"/>
  <c r="BF6" i="29"/>
  <c r="BF10" i="29"/>
  <c r="BN6" i="29"/>
  <c r="BN8" i="29"/>
  <c r="BR22" i="29"/>
  <c r="BR11" i="29"/>
  <c r="BE16" i="29"/>
  <c r="BN16" i="29"/>
  <c r="BW21" i="4"/>
  <c r="BR8" i="29" l="1"/>
  <c r="BR25" i="29" l="1"/>
  <c r="BR19" i="29"/>
  <c r="BP10" i="29"/>
  <c r="BP13" i="29"/>
  <c r="BP19" i="29"/>
  <c r="U20" i="29"/>
  <c r="W15" i="29"/>
  <c r="AG15" i="29"/>
  <c r="Q9" i="29"/>
  <c r="AG9" i="29"/>
  <c r="AQ9" i="29"/>
  <c r="AY9" i="29"/>
  <c r="BT10" i="4" l="1"/>
  <c r="BP25" i="29" l="1"/>
  <c r="BP22" i="29"/>
  <c r="BH20" i="6"/>
  <c r="BR13" i="6"/>
  <c r="BQ10" i="4" l="1"/>
  <c r="BL21" i="4"/>
  <c r="BN7" i="4"/>
  <c r="BK10" i="4"/>
  <c r="BM21" i="4"/>
  <c r="BM8" i="4"/>
  <c r="BM14" i="4"/>
  <c r="BM10" i="4"/>
  <c r="BN23" i="29" l="1"/>
  <c r="BN25" i="29"/>
  <c r="BN26" i="29"/>
  <c r="BN22" i="29"/>
  <c r="BN7" i="29"/>
  <c r="BN19" i="29"/>
  <c r="BN18" i="29"/>
  <c r="BL25" i="29"/>
  <c r="BL22" i="29"/>
  <c r="BL19" i="29"/>
  <c r="BL13" i="29"/>
  <c r="BL10" i="29"/>
  <c r="BL6" i="29"/>
  <c r="BJ7" i="29" l="1"/>
  <c r="BJ11" i="29"/>
  <c r="BH25" i="29" l="1"/>
  <c r="BH22" i="29"/>
  <c r="BH19" i="29"/>
  <c r="BH13" i="29"/>
  <c r="BH10" i="29"/>
  <c r="BH9" i="29"/>
  <c r="BH6" i="29"/>
  <c r="BF9" i="29"/>
  <c r="BF8" i="29"/>
  <c r="BF7" i="29"/>
  <c r="BF24" i="29"/>
  <c r="BF22" i="29"/>
  <c r="BK21" i="4" l="1"/>
  <c r="BK30" i="4"/>
  <c r="BK7" i="4"/>
  <c r="BF25" i="29" l="1"/>
  <c r="BF20" i="29" l="1"/>
  <c r="BE24" i="29"/>
  <c r="BF23" i="29" l="1"/>
  <c r="BD26" i="29"/>
  <c r="BG14" i="4" l="1"/>
  <c r="BG10" i="4" l="1"/>
  <c r="BH32" i="6"/>
  <c r="BI19" i="6"/>
  <c r="BK19" i="6"/>
  <c r="BM19" i="6"/>
  <c r="BO19" i="6"/>
  <c r="BQ19" i="6"/>
  <c r="BS19" i="6"/>
  <c r="BG12" i="6"/>
  <c r="BI12" i="6"/>
  <c r="BK12" i="6"/>
  <c r="BM12" i="6"/>
  <c r="BO12" i="6"/>
  <c r="BQ12" i="6"/>
  <c r="BK9" i="6"/>
  <c r="BM9" i="6"/>
  <c r="BO9" i="6"/>
  <c r="BQ9" i="6"/>
  <c r="BS9" i="6"/>
  <c r="BU9" i="6"/>
  <c r="BG20" i="6"/>
  <c r="BD18" i="29" l="1"/>
  <c r="BD25" i="29"/>
  <c r="BD22" i="29"/>
  <c r="BD7" i="29"/>
  <c r="BD11" i="29"/>
  <c r="BD6" i="29"/>
  <c r="BB25" i="29" l="1"/>
  <c r="BB22" i="29"/>
  <c r="BB19" i="29"/>
  <c r="BB13" i="29"/>
  <c r="BB10" i="29"/>
  <c r="BB9" i="29"/>
  <c r="BB6" i="29"/>
  <c r="AZ22" i="29" l="1"/>
  <c r="AZ25" i="29"/>
  <c r="AZ19" i="29"/>
  <c r="AZ13" i="29"/>
  <c r="AZ6" i="29"/>
  <c r="AY6" i="29"/>
  <c r="BA10" i="4" l="1"/>
  <c r="AZ12" i="29"/>
  <c r="AU15" i="29"/>
  <c r="AX9" i="29"/>
  <c r="AX10" i="29"/>
  <c r="AX7" i="29"/>
  <c r="AX13" i="29" l="1"/>
  <c r="AX25" i="29"/>
  <c r="AX22" i="29"/>
  <c r="AX19" i="29"/>
  <c r="BC14" i="4"/>
  <c r="BC16" i="4"/>
  <c r="BC10" i="4"/>
  <c r="AZ7" i="4" l="1"/>
  <c r="AZ25" i="4" l="1"/>
  <c r="AV10" i="29"/>
  <c r="AV11" i="29"/>
  <c r="AV25" i="29"/>
  <c r="AV18" i="29"/>
  <c r="AV21" i="29"/>
  <c r="AV22" i="29"/>
  <c r="AV19" i="29"/>
  <c r="AV9" i="29"/>
  <c r="BA7" i="4"/>
  <c r="AT9" i="29" l="1"/>
  <c r="AT19" i="29"/>
  <c r="AT24" i="29"/>
  <c r="AT10" i="29"/>
  <c r="AT7" i="29"/>
  <c r="AT6" i="29"/>
  <c r="AT22" i="29"/>
  <c r="AT26" i="29"/>
  <c r="AT25" i="29"/>
  <c r="AR20" i="29" l="1"/>
  <c r="AB9" i="6"/>
  <c r="AR24" i="29" l="1"/>
  <c r="AR15" i="29" l="1"/>
  <c r="X15" i="29"/>
  <c r="AE13" i="29"/>
  <c r="AB10" i="29"/>
  <c r="R10" i="29"/>
  <c r="V10" i="29"/>
  <c r="AD10" i="29"/>
  <c r="AG8" i="29"/>
  <c r="AN7" i="29"/>
  <c r="AD9" i="29"/>
  <c r="AD6" i="29"/>
  <c r="AD24" i="29"/>
  <c r="AD19" i="29"/>
  <c r="R6" i="29"/>
  <c r="H10" i="4"/>
  <c r="J9" i="29"/>
  <c r="J11" i="29"/>
  <c r="J8" i="29"/>
  <c r="J10" i="29"/>
  <c r="J6" i="29"/>
  <c r="L6" i="29"/>
  <c r="R26" i="29"/>
  <c r="V16" i="29"/>
  <c r="X10" i="29"/>
  <c r="X9" i="29"/>
  <c r="Z19" i="29"/>
  <c r="AD15" i="29"/>
  <c r="AD25" i="29"/>
  <c r="AD22" i="29"/>
  <c r="AD13" i="29"/>
  <c r="AF10" i="29"/>
  <c r="AF25" i="29"/>
  <c r="AF22" i="29"/>
  <c r="AF19" i="29"/>
  <c r="AF13" i="29"/>
  <c r="AF9" i="29"/>
  <c r="AH10" i="29"/>
  <c r="AJ16" i="29"/>
  <c r="AJ25" i="29"/>
  <c r="AJ22" i="29"/>
  <c r="AJ19" i="29"/>
  <c r="AJ10" i="29"/>
  <c r="AJ13" i="29"/>
  <c r="AN9" i="29"/>
  <c r="AJ9" i="29"/>
  <c r="AJ6" i="29"/>
  <c r="AA9" i="29"/>
  <c r="AE9" i="29"/>
  <c r="O9" i="29"/>
  <c r="Y9" i="29"/>
  <c r="AK9" i="29"/>
  <c r="AN26" i="29"/>
  <c r="AN23" i="29"/>
  <c r="AN25" i="29"/>
  <c r="AN21" i="29"/>
  <c r="AN13" i="29"/>
  <c r="AN22" i="29"/>
  <c r="AN19" i="29"/>
  <c r="AN6" i="29"/>
  <c r="AP16" i="29"/>
  <c r="AP25" i="29"/>
  <c r="AP22" i="29"/>
  <c r="AP19" i="29"/>
  <c r="AP13" i="29"/>
  <c r="AP10" i="29"/>
  <c r="AP9" i="29"/>
  <c r="AP6" i="29"/>
  <c r="AO10" i="4"/>
  <c r="AW11" i="4"/>
  <c r="AW21" i="4" l="1"/>
  <c r="AW10" i="4" l="1"/>
  <c r="AS10" i="4" l="1"/>
  <c r="AS7" i="4" l="1"/>
  <c r="AL16" i="29" l="1"/>
  <c r="AH15" i="4" l="1"/>
  <c r="AQ10" i="4"/>
  <c r="AM7" i="4"/>
  <c r="AM10" i="4"/>
  <c r="AK7" i="4"/>
  <c r="AK10" i="4"/>
  <c r="AA21" i="4"/>
  <c r="AA8" i="4"/>
  <c r="AA10" i="4"/>
  <c r="W10" i="4"/>
  <c r="U10" i="4"/>
  <c r="S21" i="4"/>
  <c r="S10" i="4"/>
  <c r="Q10" i="4"/>
  <c r="Q15" i="4"/>
  <c r="O10" i="4"/>
  <c r="M18" i="4"/>
  <c r="M10" i="4"/>
  <c r="K14" i="4"/>
  <c r="K10" i="4"/>
  <c r="AJ24" i="29" l="1"/>
  <c r="AE24" i="29"/>
  <c r="AL25" i="29"/>
  <c r="AL22" i="29"/>
  <c r="AL19" i="29"/>
  <c r="AL13" i="29"/>
  <c r="AL10" i="29"/>
  <c r="AL9" i="29"/>
  <c r="AL6" i="29"/>
  <c r="AM16" i="4" l="1"/>
  <c r="L25" i="4"/>
  <c r="AM25" i="4"/>
  <c r="I10" i="6" l="1"/>
  <c r="R20" i="29" l="1"/>
  <c r="AM21" i="4" l="1"/>
  <c r="AK21" i="4"/>
  <c r="AH21" i="4"/>
  <c r="AO7" i="4" l="1"/>
  <c r="D47" i="4" l="1"/>
  <c r="F47" i="4" s="1"/>
  <c r="D46" i="4"/>
  <c r="F46" i="4" s="1"/>
  <c r="D45" i="4"/>
  <c r="F45" i="4" s="1"/>
  <c r="D38" i="4"/>
  <c r="F38" i="4" s="1"/>
  <c r="AM15" i="4"/>
  <c r="AM14" i="4"/>
  <c r="AH9" i="29" l="1"/>
  <c r="AH6" i="29"/>
  <c r="J7" i="42"/>
  <c r="AH25" i="29"/>
  <c r="AH21" i="29"/>
  <c r="AH22" i="29"/>
  <c r="AH19" i="29"/>
  <c r="AH26" i="29"/>
  <c r="AB25" i="29" l="1"/>
  <c r="AB22" i="29"/>
  <c r="AB19" i="29"/>
  <c r="AB13" i="29"/>
  <c r="AB6" i="29"/>
  <c r="Z25" i="29" l="1"/>
  <c r="Z22" i="29"/>
  <c r="Z13" i="29"/>
  <c r="Z10" i="29"/>
  <c r="Z9" i="29"/>
  <c r="Z6" i="29"/>
  <c r="AE10" i="4" l="1"/>
  <c r="Z24" i="29" l="1"/>
  <c r="W24" i="29"/>
  <c r="X23" i="29" l="1"/>
  <c r="X26" i="29"/>
  <c r="K15" i="4" l="1"/>
  <c r="V25" i="29" l="1"/>
  <c r="V11" i="29"/>
  <c r="V9" i="29"/>
  <c r="V6" i="29"/>
  <c r="X25" i="29"/>
  <c r="X22" i="29"/>
  <c r="X19" i="29"/>
  <c r="X13" i="29"/>
  <c r="X6" i="29"/>
  <c r="U9" i="29" l="1"/>
  <c r="V22" i="29"/>
  <c r="V19" i="29"/>
  <c r="V13" i="29"/>
  <c r="V26" i="29"/>
  <c r="V21" i="29"/>
  <c r="T13" i="29" l="1"/>
  <c r="T25" i="29"/>
  <c r="T22" i="29"/>
  <c r="T19" i="29"/>
  <c r="T10" i="29"/>
  <c r="T9" i="29"/>
  <c r="T6" i="29"/>
  <c r="Q15" i="29" l="1"/>
  <c r="R25" i="29" l="1"/>
  <c r="R19" i="29"/>
  <c r="R22" i="29"/>
  <c r="R15" i="29"/>
  <c r="R23" i="29"/>
  <c r="Q33" i="6" l="1"/>
  <c r="R13" i="29" l="1"/>
  <c r="R14" i="29"/>
  <c r="L20" i="29" l="1"/>
  <c r="P25" i="29" l="1"/>
  <c r="P22" i="29"/>
  <c r="P19" i="29"/>
  <c r="P13" i="29"/>
  <c r="P10" i="29"/>
  <c r="P9" i="29"/>
  <c r="P6" i="29"/>
  <c r="N13" i="29"/>
  <c r="N6" i="29"/>
  <c r="N21" i="29"/>
  <c r="N18" i="29"/>
  <c r="D18" i="29" s="1"/>
  <c r="N10" i="29"/>
  <c r="N22" i="29"/>
  <c r="N25" i="29"/>
  <c r="N15" i="29" l="1"/>
  <c r="N23" i="29"/>
  <c r="N26" i="29"/>
  <c r="K9" i="6" l="1"/>
  <c r="M7" i="6"/>
  <c r="K7" i="6"/>
  <c r="I7" i="6"/>
  <c r="I8" i="6"/>
  <c r="N24" i="29" l="1"/>
  <c r="L10" i="29"/>
  <c r="D10" i="29" s="1"/>
  <c r="I33" i="6" l="1"/>
  <c r="I32" i="6"/>
  <c r="I31" i="6"/>
  <c r="I30" i="6"/>
  <c r="I29" i="6"/>
  <c r="I27" i="6"/>
  <c r="I26" i="6"/>
  <c r="I25" i="6"/>
  <c r="I24" i="6"/>
  <c r="I23" i="6"/>
  <c r="I22" i="6"/>
  <c r="I20" i="6"/>
  <c r="I19" i="6"/>
  <c r="I18" i="6"/>
  <c r="I17" i="6"/>
  <c r="I16" i="6"/>
  <c r="I15" i="6"/>
  <c r="I12" i="6"/>
  <c r="I13" i="6"/>
  <c r="I14" i="6"/>
  <c r="I9" i="6"/>
  <c r="N87" i="43"/>
  <c r="K18" i="6" l="1"/>
  <c r="I9" i="29" l="1"/>
  <c r="L13" i="29" l="1"/>
  <c r="L25" i="29"/>
  <c r="L22" i="29"/>
  <c r="L19" i="29"/>
  <c r="L9" i="29"/>
  <c r="J13" i="29"/>
  <c r="J22" i="29"/>
  <c r="J19" i="29"/>
  <c r="D19" i="29" s="1"/>
  <c r="J25" i="29"/>
  <c r="E88" i="42" l="1"/>
  <c r="E87" i="42"/>
  <c r="E89" i="43" l="1"/>
  <c r="E88" i="43"/>
  <c r="E87" i="43"/>
  <c r="I148" i="43" l="1"/>
  <c r="G148" i="43"/>
  <c r="I147" i="43"/>
  <c r="G147" i="43"/>
  <c r="I146" i="43"/>
  <c r="G146" i="43"/>
  <c r="G145" i="43"/>
  <c r="G144" i="43"/>
  <c r="G143" i="43"/>
  <c r="G138" i="43"/>
  <c r="G137" i="43"/>
  <c r="G136" i="43"/>
  <c r="G135" i="43"/>
  <c r="G134" i="43"/>
  <c r="G133" i="43"/>
  <c r="G132" i="43"/>
  <c r="G131" i="43"/>
  <c r="G130" i="43"/>
  <c r="G129" i="43"/>
  <c r="G128" i="43"/>
  <c r="G127" i="43"/>
  <c r="G126" i="43"/>
  <c r="F103" i="43"/>
  <c r="H105" i="43" s="1"/>
  <c r="H99" i="43"/>
  <c r="E99" i="43"/>
  <c r="F98" i="43"/>
  <c r="H102" i="43" s="1"/>
  <c r="H97" i="43"/>
  <c r="E95" i="43"/>
  <c r="H94" i="43"/>
  <c r="E94" i="43"/>
  <c r="F93" i="43"/>
  <c r="H96" i="43" s="1"/>
  <c r="F87" i="43"/>
  <c r="H82" i="43"/>
  <c r="I82" i="43" s="1"/>
  <c r="J82" i="43" s="1"/>
  <c r="F79" i="43"/>
  <c r="H77" i="43"/>
  <c r="I76" i="43"/>
  <c r="J76" i="43" s="1"/>
  <c r="F76" i="43"/>
  <c r="H74" i="43"/>
  <c r="I73" i="43"/>
  <c r="J73" i="43" s="1"/>
  <c r="F73" i="43"/>
  <c r="F66" i="43"/>
  <c r="H68" i="43" s="1"/>
  <c r="I66" i="43" s="1"/>
  <c r="J66" i="43" s="1"/>
  <c r="H64" i="43"/>
  <c r="I63" i="43"/>
  <c r="J63" i="43" s="1"/>
  <c r="F63" i="43"/>
  <c r="I62" i="43"/>
  <c r="J62" i="43" s="1"/>
  <c r="H62" i="43"/>
  <c r="I60" i="43"/>
  <c r="J60" i="43" s="1"/>
  <c r="F60" i="43"/>
  <c r="H60" i="43" s="1"/>
  <c r="I59" i="43"/>
  <c r="J59" i="43" s="1"/>
  <c r="H59" i="43"/>
  <c r="J58" i="43"/>
  <c r="I58" i="43"/>
  <c r="H58" i="43"/>
  <c r="H56" i="43"/>
  <c r="J55" i="43"/>
  <c r="I55" i="43"/>
  <c r="F55" i="43"/>
  <c r="I52" i="43"/>
  <c r="J52" i="43" s="1"/>
  <c r="F52" i="43"/>
  <c r="H52" i="43" s="1"/>
  <c r="I51" i="43"/>
  <c r="J51" i="43" s="1"/>
  <c r="H51" i="43"/>
  <c r="I50" i="43"/>
  <c r="J50" i="43" s="1"/>
  <c r="H50" i="43"/>
  <c r="F46" i="43"/>
  <c r="H47" i="43" s="1"/>
  <c r="I46" i="43" s="1"/>
  <c r="J46" i="43" s="1"/>
  <c r="F43" i="43"/>
  <c r="H44" i="43" s="1"/>
  <c r="I43" i="43" s="1"/>
  <c r="J43" i="43" s="1"/>
  <c r="F36" i="43"/>
  <c r="H38" i="43" s="1"/>
  <c r="I36" i="43" s="1"/>
  <c r="J36" i="43" s="1"/>
  <c r="F29" i="43"/>
  <c r="H32" i="43" s="1"/>
  <c r="I29" i="43" s="1"/>
  <c r="J29" i="43" s="1"/>
  <c r="H27" i="43"/>
  <c r="I27" i="43" s="1"/>
  <c r="J27" i="43" s="1"/>
  <c r="F22" i="43"/>
  <c r="H22" i="43" s="1"/>
  <c r="I22" i="43" s="1"/>
  <c r="J22" i="43" s="1"/>
  <c r="H16" i="43"/>
  <c r="I16" i="43" s="1"/>
  <c r="J16" i="43" s="1"/>
  <c r="F14" i="43"/>
  <c r="H20" i="43" s="1"/>
  <c r="I20" i="43" s="1"/>
  <c r="J20" i="43" s="1"/>
  <c r="H13" i="43"/>
  <c r="I13" i="43" s="1"/>
  <c r="J13" i="43" s="1"/>
  <c r="F9" i="43"/>
  <c r="H11" i="43" s="1"/>
  <c r="I11" i="43" s="1"/>
  <c r="J11" i="43" s="1"/>
  <c r="J8" i="43"/>
  <c r="I8" i="43"/>
  <c r="I7" i="43"/>
  <c r="J7" i="43" s="1"/>
  <c r="H9" i="43" l="1"/>
  <c r="I9" i="43" s="1"/>
  <c r="J9" i="43" s="1"/>
  <c r="H93" i="43"/>
  <c r="H95" i="43"/>
  <c r="H98" i="43"/>
  <c r="H101" i="43"/>
  <c r="H104" i="43"/>
  <c r="H106" i="43"/>
  <c r="H100" i="43"/>
  <c r="H103" i="43"/>
  <c r="H107" i="43"/>
  <c r="H25" i="43"/>
  <c r="I25" i="43" s="1"/>
  <c r="J25" i="43" s="1"/>
  <c r="H106" i="42" l="1"/>
  <c r="H104" i="42"/>
  <c r="H103" i="42"/>
  <c r="H102" i="42"/>
  <c r="H101" i="42"/>
  <c r="H100" i="42"/>
  <c r="H99" i="42"/>
  <c r="H98" i="42"/>
  <c r="H97" i="42"/>
  <c r="F102" i="42"/>
  <c r="E98" i="42"/>
  <c r="F97" i="42" s="1"/>
  <c r="H96" i="42"/>
  <c r="H95" i="42"/>
  <c r="H94" i="42"/>
  <c r="H93" i="42"/>
  <c r="H92" i="42"/>
  <c r="H105" i="42" l="1"/>
  <c r="E94" i="42" l="1"/>
  <c r="E93" i="42"/>
  <c r="E91" i="42" l="1"/>
  <c r="E90" i="42"/>
  <c r="E89" i="42"/>
  <c r="D35" i="41" l="1"/>
  <c r="D34" i="41"/>
  <c r="D33" i="41" l="1"/>
  <c r="D32" i="4" l="1"/>
  <c r="F92" i="42" l="1"/>
  <c r="F79" i="42"/>
  <c r="H82" i="42" s="1"/>
  <c r="I82" i="42" s="1"/>
  <c r="J82" i="42" s="1"/>
  <c r="I147" i="42" l="1"/>
  <c r="G147" i="42"/>
  <c r="G146" i="42"/>
  <c r="I145" i="42"/>
  <c r="I146" i="42" s="1"/>
  <c r="G145" i="42"/>
  <c r="G144" i="42"/>
  <c r="G143" i="42"/>
  <c r="G142" i="42"/>
  <c r="G137" i="42"/>
  <c r="G136" i="42"/>
  <c r="G135" i="42"/>
  <c r="G134" i="42"/>
  <c r="G133" i="42"/>
  <c r="G132" i="42"/>
  <c r="G131" i="42"/>
  <c r="G130" i="42"/>
  <c r="G129" i="42"/>
  <c r="G128" i="42"/>
  <c r="G127" i="42"/>
  <c r="G126" i="42"/>
  <c r="G125" i="42"/>
  <c r="F87" i="42"/>
  <c r="F76" i="42"/>
  <c r="H77" i="42" s="1"/>
  <c r="I76" i="42" s="1"/>
  <c r="J76" i="42" s="1"/>
  <c r="F73" i="42"/>
  <c r="H74" i="42" s="1"/>
  <c r="I73" i="42" s="1"/>
  <c r="J73" i="42" s="1"/>
  <c r="F66" i="42"/>
  <c r="H68" i="42" s="1"/>
  <c r="I66" i="42" s="1"/>
  <c r="J66" i="42" s="1"/>
  <c r="I63" i="42"/>
  <c r="J63" i="42" s="1"/>
  <c r="F63" i="42"/>
  <c r="H64" i="42" s="1"/>
  <c r="I62" i="42"/>
  <c r="J62" i="42" s="1"/>
  <c r="H62" i="42"/>
  <c r="I60" i="42"/>
  <c r="J60" i="42" s="1"/>
  <c r="F60" i="42"/>
  <c r="H60" i="42" s="1"/>
  <c r="I59" i="42"/>
  <c r="J59" i="42" s="1"/>
  <c r="H59" i="42"/>
  <c r="I58" i="42"/>
  <c r="J58" i="42" s="1"/>
  <c r="H58" i="42"/>
  <c r="I55" i="42"/>
  <c r="J55" i="42" s="1"/>
  <c r="F55" i="42"/>
  <c r="H56" i="42" s="1"/>
  <c r="I52" i="42"/>
  <c r="J52" i="42" s="1"/>
  <c r="F52" i="42"/>
  <c r="H52" i="42" s="1"/>
  <c r="I51" i="42"/>
  <c r="J51" i="42" s="1"/>
  <c r="H51" i="42"/>
  <c r="I50" i="42"/>
  <c r="J50" i="42" s="1"/>
  <c r="H50" i="42"/>
  <c r="F46" i="42"/>
  <c r="H47" i="42" s="1"/>
  <c r="F43" i="42"/>
  <c r="H44" i="42" s="1"/>
  <c r="I43" i="42" s="1"/>
  <c r="J43" i="42" s="1"/>
  <c r="F36" i="42"/>
  <c r="H38" i="42" s="1"/>
  <c r="I36" i="42" s="1"/>
  <c r="J36" i="42" s="1"/>
  <c r="F29" i="42"/>
  <c r="H32" i="42" s="1"/>
  <c r="I29" i="42" s="1"/>
  <c r="J29" i="42" s="1"/>
  <c r="F22" i="42"/>
  <c r="H22" i="42" s="1"/>
  <c r="I22" i="42" s="1"/>
  <c r="J22" i="42" s="1"/>
  <c r="F14" i="42"/>
  <c r="H20" i="42" s="1"/>
  <c r="I20" i="42" s="1"/>
  <c r="J20" i="42" s="1"/>
  <c r="F9" i="42"/>
  <c r="H11" i="42" s="1"/>
  <c r="I11" i="42" s="1"/>
  <c r="J11" i="42" s="1"/>
  <c r="I8" i="42"/>
  <c r="J8" i="42" s="1"/>
  <c r="I7" i="42"/>
  <c r="I46" i="42" l="1"/>
  <c r="J46" i="42" s="1"/>
  <c r="H13" i="42"/>
  <c r="I13" i="42" s="1"/>
  <c r="J13" i="42" s="1"/>
  <c r="H27" i="42"/>
  <c r="I27" i="42" s="1"/>
  <c r="J27" i="42" s="1"/>
  <c r="H16" i="42"/>
  <c r="I16" i="42" s="1"/>
  <c r="J16" i="42" s="1"/>
  <c r="H9" i="42"/>
  <c r="I9" i="42" s="1"/>
  <c r="J9" i="42" s="1"/>
  <c r="H25" i="42"/>
  <c r="I25" i="42" s="1"/>
  <c r="J25" i="42" s="1"/>
  <c r="D11" i="41" l="1"/>
  <c r="D21" i="41"/>
  <c r="D28" i="41"/>
  <c r="D32" i="41"/>
  <c r="D31" i="41"/>
  <c r="D30" i="41"/>
  <c r="D27" i="41"/>
  <c r="D26" i="41"/>
  <c r="D25" i="41"/>
  <c r="D24" i="41"/>
  <c r="D23" i="41"/>
  <c r="D22" i="41"/>
  <c r="D20" i="41"/>
  <c r="D19" i="41"/>
  <c r="D18" i="41"/>
  <c r="D17" i="41"/>
  <c r="D16" i="41"/>
  <c r="D15" i="41"/>
  <c r="D14" i="41"/>
  <c r="D13" i="41"/>
  <c r="WWD12" i="41"/>
  <c r="D12" i="41"/>
  <c r="WWD9" i="41"/>
  <c r="D9" i="41"/>
  <c r="WWD8" i="41"/>
  <c r="D8" i="41"/>
  <c r="D7" i="41"/>
  <c r="BQ4" i="41"/>
  <c r="BO4" i="41"/>
  <c r="BM4" i="41"/>
  <c r="BK4" i="41"/>
  <c r="BI4" i="41"/>
  <c r="BG4" i="41"/>
  <c r="BE4" i="41"/>
  <c r="BC4" i="41"/>
  <c r="BA4" i="41"/>
  <c r="AY4" i="41"/>
  <c r="AW4" i="41"/>
  <c r="AU4" i="41"/>
  <c r="AS4" i="41"/>
  <c r="AQ4" i="41"/>
  <c r="AO4" i="41"/>
  <c r="AM4" i="41"/>
  <c r="AK4" i="41"/>
  <c r="AI4" i="41"/>
  <c r="AG4" i="41"/>
  <c r="AE4" i="41"/>
  <c r="AC4" i="41"/>
  <c r="AA4" i="41"/>
  <c r="Y4" i="41"/>
  <c r="W4" i="41"/>
  <c r="U4" i="41"/>
  <c r="S4" i="41"/>
  <c r="Q4" i="41"/>
  <c r="O4" i="41"/>
  <c r="D25" i="29" l="1"/>
  <c r="G25" i="29" l="1"/>
  <c r="E25" i="29"/>
  <c r="AA25" i="6"/>
  <c r="CM33" i="6" l="1"/>
  <c r="CK33" i="6"/>
  <c r="CI33" i="6"/>
  <c r="CG33" i="6"/>
  <c r="CE33" i="6"/>
  <c r="CC33" i="6"/>
  <c r="CA33" i="6"/>
  <c r="BY33" i="6"/>
  <c r="BW33" i="6"/>
  <c r="BU33" i="6"/>
  <c r="BS33" i="6"/>
  <c r="BQ33" i="6"/>
  <c r="BO33" i="6"/>
  <c r="BM33" i="6"/>
  <c r="BK33" i="6"/>
  <c r="BI33" i="6"/>
  <c r="BG33" i="6"/>
  <c r="BE33" i="6"/>
  <c r="BC33" i="6"/>
  <c r="BA33" i="6"/>
  <c r="AY33" i="6"/>
  <c r="AW33" i="6"/>
  <c r="AU33" i="6"/>
  <c r="AS33" i="6"/>
  <c r="AQ33" i="6"/>
  <c r="AO33" i="6"/>
  <c r="AM33" i="6"/>
  <c r="AK33" i="6"/>
  <c r="AI33" i="6"/>
  <c r="AG33" i="6"/>
  <c r="AE33" i="6"/>
  <c r="AC33" i="6"/>
  <c r="AA33" i="6"/>
  <c r="Y33" i="6"/>
  <c r="W33" i="6"/>
  <c r="U33" i="6"/>
  <c r="S33" i="6"/>
  <c r="O33" i="6"/>
  <c r="M33" i="6"/>
  <c r="K33" i="6"/>
  <c r="D33" i="6" l="1"/>
  <c r="D11" i="29"/>
  <c r="E11" i="29" s="1"/>
  <c r="D23" i="29" l="1"/>
  <c r="E23" i="29" l="1"/>
  <c r="BM8" i="6" l="1"/>
  <c r="BI8" i="6"/>
  <c r="BE8" i="6"/>
  <c r="CM8" i="6" l="1"/>
  <c r="CG7" i="6" l="1"/>
  <c r="CM7" i="6"/>
  <c r="BQ8" i="6" l="1"/>
  <c r="F33" i="6" l="1"/>
  <c r="AO10" i="6" l="1"/>
  <c r="E19" i="29" l="1"/>
  <c r="D44" i="4"/>
  <c r="F44" i="4" s="1"/>
  <c r="D43" i="4"/>
  <c r="F43" i="4" s="1"/>
  <c r="D42" i="4"/>
  <c r="F42" i="4" s="1"/>
  <c r="D41" i="4"/>
  <c r="F41" i="4" s="1"/>
  <c r="CM10" i="6"/>
  <c r="CK10" i="6"/>
  <c r="CI10" i="6"/>
  <c r="CG10" i="6"/>
  <c r="CE10" i="6"/>
  <c r="CC10" i="6"/>
  <c r="CA10" i="6"/>
  <c r="BY10" i="6"/>
  <c r="BW10" i="6"/>
  <c r="BU10" i="6"/>
  <c r="BS10" i="6"/>
  <c r="BQ10" i="6"/>
  <c r="BO10" i="6"/>
  <c r="BM10" i="6"/>
  <c r="BK10" i="6"/>
  <c r="BI10" i="6"/>
  <c r="BG10" i="6"/>
  <c r="BE10" i="6"/>
  <c r="BC10" i="6"/>
  <c r="BA10" i="6"/>
  <c r="AY10" i="6"/>
  <c r="AW10" i="6"/>
  <c r="AU10" i="6"/>
  <c r="AS10" i="6"/>
  <c r="AQ10" i="6"/>
  <c r="AM10" i="6"/>
  <c r="AK10" i="6"/>
  <c r="AI10" i="6"/>
  <c r="AG10" i="6"/>
  <c r="AE10" i="6"/>
  <c r="AC10" i="6"/>
  <c r="AA10" i="6"/>
  <c r="Y10" i="6"/>
  <c r="W10" i="6"/>
  <c r="U10" i="6"/>
  <c r="U9" i="6"/>
  <c r="S10" i="6"/>
  <c r="Q10" i="6"/>
  <c r="O10" i="6"/>
  <c r="M10" i="6"/>
  <c r="K10" i="6"/>
  <c r="D40" i="4"/>
  <c r="F40" i="4" s="1"/>
  <c r="D39" i="4"/>
  <c r="F39" i="4" s="1"/>
  <c r="D37" i="4"/>
  <c r="F37" i="4" s="1"/>
  <c r="D36" i="4"/>
  <c r="F36" i="4" s="1"/>
  <c r="D11" i="4"/>
  <c r="F11" i="4" s="1"/>
  <c r="D10" i="6" l="1"/>
  <c r="F10" i="6" s="1"/>
  <c r="AA20" i="6" l="1"/>
  <c r="D6" i="29" l="1"/>
  <c r="E6" i="29" s="1"/>
  <c r="U8" i="6" l="1"/>
  <c r="D21" i="29" l="1"/>
  <c r="E21" i="29" s="1"/>
  <c r="E10" i="29"/>
  <c r="D7" i="29"/>
  <c r="E7" i="29" s="1"/>
  <c r="D26" i="29"/>
  <c r="D24" i="29"/>
  <c r="E24" i="29" s="1"/>
  <c r="D15" i="29"/>
  <c r="E15" i="29" s="1"/>
  <c r="D14" i="29"/>
  <c r="E14" i="29" s="1"/>
  <c r="D13" i="29"/>
  <c r="E13" i="29" s="1"/>
  <c r="D12" i="29"/>
  <c r="E12" i="29" s="1"/>
  <c r="D9" i="29"/>
  <c r="E9" i="29" s="1"/>
  <c r="D8" i="29"/>
  <c r="E8" i="29" s="1"/>
  <c r="E26" i="29" l="1"/>
  <c r="E18" i="29"/>
  <c r="D17" i="29"/>
  <c r="E17" i="29" s="1"/>
  <c r="D16" i="29"/>
  <c r="E16" i="29" s="1"/>
  <c r="F74" i="39" l="1"/>
  <c r="J74" i="39" s="1"/>
  <c r="F71" i="39"/>
  <c r="J71" i="39" s="1"/>
  <c r="J65" i="39"/>
  <c r="K65" i="39" s="1"/>
  <c r="F63" i="39"/>
  <c r="J69" i="39" s="1"/>
  <c r="K61" i="39"/>
  <c r="F61" i="39"/>
  <c r="J61" i="39" s="1"/>
  <c r="F54" i="39"/>
  <c r="J54" i="39" s="1"/>
  <c r="K54" i="39" s="1"/>
  <c r="L52" i="39"/>
  <c r="J52" i="39"/>
  <c r="K52" i="39" s="1"/>
  <c r="J47" i="39"/>
  <c r="L47" i="39" s="1"/>
  <c r="F47" i="39"/>
  <c r="J50" i="39" s="1"/>
  <c r="L40" i="39"/>
  <c r="J40" i="39"/>
  <c r="K40" i="39" s="1"/>
  <c r="F40" i="39"/>
  <c r="F34" i="39"/>
  <c r="J34" i="39" s="1"/>
  <c r="K34" i="39" s="1"/>
  <c r="K31" i="39"/>
  <c r="F31" i="39"/>
  <c r="J31" i="39" s="1"/>
  <c r="F28" i="39"/>
  <c r="J28" i="39" s="1"/>
  <c r="K28" i="39" s="1"/>
  <c r="F25" i="39"/>
  <c r="J25" i="39" s="1"/>
  <c r="J22" i="39"/>
  <c r="K22" i="39" s="1"/>
  <c r="F20" i="39"/>
  <c r="J24" i="39" s="1"/>
  <c r="K19" i="39"/>
  <c r="J19" i="39"/>
  <c r="K16" i="39"/>
  <c r="F16" i="39"/>
  <c r="J16" i="39" s="1"/>
  <c r="K13" i="39"/>
  <c r="F13" i="39"/>
  <c r="J13" i="39" s="1"/>
  <c r="K12" i="39"/>
  <c r="J12" i="39"/>
  <c r="K11" i="39"/>
  <c r="J11" i="39"/>
  <c r="K10" i="39"/>
  <c r="J10" i="39"/>
  <c r="K9" i="39"/>
  <c r="J9" i="39"/>
  <c r="K8" i="39"/>
  <c r="K7" i="39"/>
  <c r="L71" i="39" l="1"/>
  <c r="K71" i="39"/>
  <c r="K24" i="39"/>
  <c r="L24" i="39"/>
  <c r="L74" i="39"/>
  <c r="K74" i="39"/>
  <c r="L69" i="39"/>
  <c r="K69" i="39"/>
  <c r="L25" i="39"/>
  <c r="K25" i="39"/>
  <c r="L50" i="39"/>
  <c r="K50" i="39"/>
  <c r="K47" i="39"/>
  <c r="J20" i="39"/>
  <c r="K20" i="39" s="1"/>
  <c r="L22" i="39"/>
  <c r="L65" i="39"/>
  <c r="BE24" i="6" l="1"/>
  <c r="D8" i="4" l="1"/>
  <c r="BA14" i="6" l="1"/>
  <c r="BS12" i="6" l="1"/>
  <c r="BW7" i="6"/>
  <c r="BU7" i="6"/>
  <c r="BW9" i="6" l="1"/>
  <c r="C38" i="29" l="1"/>
  <c r="C37" i="29"/>
  <c r="D39" i="29"/>
  <c r="C39" i="29" s="1"/>
  <c r="C43" i="29" s="1"/>
  <c r="D21" i="4"/>
  <c r="CM26" i="6" l="1"/>
  <c r="CK26" i="6"/>
  <c r="CI26" i="6"/>
  <c r="CG26" i="6"/>
  <c r="CE26" i="6"/>
  <c r="CC26" i="6"/>
  <c r="CA26" i="6"/>
  <c r="BY26" i="6"/>
  <c r="BW26" i="6"/>
  <c r="BU26" i="6"/>
  <c r="BS26" i="6"/>
  <c r="BQ26" i="6"/>
  <c r="BO26" i="6"/>
  <c r="BM26" i="6"/>
  <c r="BK26" i="6"/>
  <c r="BI26" i="6"/>
  <c r="BG26" i="6"/>
  <c r="BE26" i="6"/>
  <c r="BC26" i="6"/>
  <c r="BA26" i="6"/>
  <c r="AY26" i="6"/>
  <c r="AW26" i="6"/>
  <c r="AU26" i="6"/>
  <c r="AS26" i="6"/>
  <c r="AQ26" i="6"/>
  <c r="AO26" i="6"/>
  <c r="AM26" i="6"/>
  <c r="AK26" i="6"/>
  <c r="AI26" i="6"/>
  <c r="AG26" i="6"/>
  <c r="AE26" i="6"/>
  <c r="AC26" i="6"/>
  <c r="AA26" i="6"/>
  <c r="Y26" i="6"/>
  <c r="W26" i="6"/>
  <c r="U26" i="6"/>
  <c r="S26" i="6"/>
  <c r="Q26" i="6"/>
  <c r="O26" i="6"/>
  <c r="M26" i="6"/>
  <c r="K26" i="6"/>
  <c r="D26" i="6" l="1"/>
  <c r="C40" i="29"/>
  <c r="C36" i="29"/>
  <c r="C35" i="29"/>
  <c r="C34" i="29"/>
  <c r="C33" i="29"/>
  <c r="C32" i="29"/>
  <c r="AA9" i="6" l="1"/>
  <c r="CM25" i="6" l="1"/>
  <c r="CK25" i="6"/>
  <c r="CI25" i="6"/>
  <c r="CG25" i="6"/>
  <c r="CE25" i="6"/>
  <c r="CC25" i="6"/>
  <c r="CA25" i="6"/>
  <c r="BY25" i="6"/>
  <c r="BW25" i="6"/>
  <c r="BU25" i="6"/>
  <c r="BS25" i="6"/>
  <c r="BQ25" i="6"/>
  <c r="BO25" i="6"/>
  <c r="BM25" i="6"/>
  <c r="BK25" i="6"/>
  <c r="BI25" i="6"/>
  <c r="BG25" i="6"/>
  <c r="BE25" i="6"/>
  <c r="BC25" i="6"/>
  <c r="BA25" i="6"/>
  <c r="AY25" i="6"/>
  <c r="AW25" i="6"/>
  <c r="AU25" i="6"/>
  <c r="AS25" i="6"/>
  <c r="AQ25" i="6"/>
  <c r="AO25" i="6"/>
  <c r="AM25" i="6"/>
  <c r="AK25" i="6"/>
  <c r="AI25" i="6"/>
  <c r="AG25" i="6"/>
  <c r="AE25" i="6"/>
  <c r="AC25" i="6"/>
  <c r="Y25" i="6"/>
  <c r="W25" i="6"/>
  <c r="U25" i="6"/>
  <c r="S25" i="6"/>
  <c r="Q25" i="6"/>
  <c r="O25" i="6"/>
  <c r="M25" i="6"/>
  <c r="K25" i="6"/>
  <c r="D26" i="4"/>
  <c r="F26" i="4" s="1"/>
  <c r="D25" i="6" l="1"/>
  <c r="F25" i="6" s="1"/>
  <c r="G24" i="29" l="1"/>
  <c r="G17" i="29"/>
  <c r="G16" i="29"/>
  <c r="F8" i="29"/>
  <c r="CM32" i="6"/>
  <c r="CK32" i="6"/>
  <c r="CI32" i="6"/>
  <c r="CG32" i="6"/>
  <c r="CE32" i="6"/>
  <c r="CC32" i="6"/>
  <c r="CA32" i="6"/>
  <c r="BY32" i="6"/>
  <c r="BW32" i="6"/>
  <c r="BU32" i="6"/>
  <c r="BS32" i="6"/>
  <c r="BQ32" i="6"/>
  <c r="BO32" i="6"/>
  <c r="BM32" i="6"/>
  <c r="BK32" i="6"/>
  <c r="BI32" i="6"/>
  <c r="BG32" i="6"/>
  <c r="BE32" i="6"/>
  <c r="BC32" i="6"/>
  <c r="BA32" i="6"/>
  <c r="AY32" i="6"/>
  <c r="AW32" i="6"/>
  <c r="AU32" i="6"/>
  <c r="AS32" i="6"/>
  <c r="AQ32" i="6"/>
  <c r="AO32" i="6"/>
  <c r="AM32" i="6"/>
  <c r="AK32" i="6"/>
  <c r="AI32" i="6"/>
  <c r="AG32" i="6"/>
  <c r="AE32" i="6"/>
  <c r="AC32" i="6"/>
  <c r="AA32" i="6"/>
  <c r="Y32" i="6"/>
  <c r="W32" i="6"/>
  <c r="U32" i="6"/>
  <c r="S32" i="6"/>
  <c r="Q32" i="6"/>
  <c r="O32" i="6"/>
  <c r="M32" i="6"/>
  <c r="K32" i="6"/>
  <c r="D33" i="4"/>
  <c r="F33" i="4" s="1"/>
  <c r="CM31" i="6"/>
  <c r="CK31" i="6"/>
  <c r="CI31" i="6"/>
  <c r="CG31" i="6"/>
  <c r="CE31" i="6"/>
  <c r="CC31" i="6"/>
  <c r="CA31" i="6"/>
  <c r="BY31" i="6"/>
  <c r="BW31" i="6"/>
  <c r="BU31" i="6"/>
  <c r="BS31" i="6"/>
  <c r="BQ31" i="6"/>
  <c r="BO31" i="6"/>
  <c r="BM31" i="6"/>
  <c r="BK31" i="6"/>
  <c r="BI31" i="6"/>
  <c r="BG31" i="6"/>
  <c r="BE31" i="6"/>
  <c r="BC31" i="6"/>
  <c r="BA31" i="6"/>
  <c r="AY31" i="6"/>
  <c r="AW31" i="6"/>
  <c r="AU31" i="6"/>
  <c r="AS31" i="6"/>
  <c r="AQ31" i="6"/>
  <c r="AO31" i="6"/>
  <c r="AM31" i="6"/>
  <c r="AK31" i="6"/>
  <c r="AI31" i="6"/>
  <c r="AG31" i="6"/>
  <c r="AE31" i="6"/>
  <c r="AC31" i="6"/>
  <c r="AA31" i="6"/>
  <c r="Y31" i="6"/>
  <c r="W31" i="6"/>
  <c r="U31" i="6"/>
  <c r="S31" i="6"/>
  <c r="Q31" i="6"/>
  <c r="O31" i="6"/>
  <c r="M31" i="6"/>
  <c r="K31" i="6"/>
  <c r="F32" i="4"/>
  <c r="CM30" i="6"/>
  <c r="CK30" i="6"/>
  <c r="CI30" i="6"/>
  <c r="CG30" i="6"/>
  <c r="CE30" i="6"/>
  <c r="CC30" i="6"/>
  <c r="CA30" i="6"/>
  <c r="BY30" i="6"/>
  <c r="BW30" i="6"/>
  <c r="BU30" i="6"/>
  <c r="BS30" i="6"/>
  <c r="BQ30" i="6"/>
  <c r="BO30" i="6"/>
  <c r="BM30" i="6"/>
  <c r="BK30" i="6"/>
  <c r="BI30" i="6"/>
  <c r="BG30" i="6"/>
  <c r="BE30" i="6"/>
  <c r="BC30" i="6"/>
  <c r="BA30" i="6"/>
  <c r="AY30" i="6"/>
  <c r="AW30" i="6"/>
  <c r="AU30" i="6"/>
  <c r="AS30" i="6"/>
  <c r="AQ30" i="6"/>
  <c r="AO30" i="6"/>
  <c r="AM30" i="6"/>
  <c r="AK30" i="6"/>
  <c r="AI30" i="6"/>
  <c r="AG30" i="6"/>
  <c r="AE30" i="6"/>
  <c r="AC30" i="6"/>
  <c r="AA30" i="6"/>
  <c r="Y30" i="6"/>
  <c r="W30" i="6"/>
  <c r="U30" i="6"/>
  <c r="S30" i="6"/>
  <c r="Q30" i="6"/>
  <c r="O30" i="6"/>
  <c r="M30" i="6"/>
  <c r="K30" i="6"/>
  <c r="D31" i="4"/>
  <c r="F31" i="4" s="1"/>
  <c r="CM29" i="6"/>
  <c r="CK29" i="6"/>
  <c r="CI29" i="6"/>
  <c r="CG29" i="6"/>
  <c r="CE29" i="6"/>
  <c r="CC29" i="6"/>
  <c r="CA29" i="6"/>
  <c r="BY29" i="6"/>
  <c r="BW29" i="6"/>
  <c r="BU29" i="6"/>
  <c r="BS29" i="6"/>
  <c r="BQ29" i="6"/>
  <c r="BO29" i="6"/>
  <c r="BM29" i="6"/>
  <c r="BK29" i="6"/>
  <c r="BI29" i="6"/>
  <c r="BG29" i="6"/>
  <c r="BE29" i="6"/>
  <c r="BC29" i="6"/>
  <c r="BA29" i="6"/>
  <c r="AY29" i="6"/>
  <c r="AW29" i="6"/>
  <c r="AU29" i="6"/>
  <c r="AS29" i="6"/>
  <c r="AQ29" i="6"/>
  <c r="AO29" i="6"/>
  <c r="AM29" i="6"/>
  <c r="AK29" i="6"/>
  <c r="AI29" i="6"/>
  <c r="AG29" i="6"/>
  <c r="AE29" i="6"/>
  <c r="AC29" i="6"/>
  <c r="AA29" i="6"/>
  <c r="Y29" i="6"/>
  <c r="W29" i="6"/>
  <c r="U29" i="6"/>
  <c r="S29" i="6"/>
  <c r="Q29" i="6"/>
  <c r="O29" i="6"/>
  <c r="M29" i="6"/>
  <c r="K29" i="6"/>
  <c r="D30" i="4"/>
  <c r="F30" i="4" s="1"/>
  <c r="CM27" i="6"/>
  <c r="CK27" i="6"/>
  <c r="CI27" i="6"/>
  <c r="CG27" i="6"/>
  <c r="CE27" i="6"/>
  <c r="CC27" i="6"/>
  <c r="CA27" i="6"/>
  <c r="BY27" i="6"/>
  <c r="BW27" i="6"/>
  <c r="BU27" i="6"/>
  <c r="BS27" i="6"/>
  <c r="BQ27" i="6"/>
  <c r="BO27" i="6"/>
  <c r="BM27" i="6"/>
  <c r="BK27" i="6"/>
  <c r="BI27" i="6"/>
  <c r="BG27" i="6"/>
  <c r="BE27" i="6"/>
  <c r="BC27" i="6"/>
  <c r="BA27" i="6"/>
  <c r="AY27" i="6"/>
  <c r="AW27" i="6"/>
  <c r="AU27" i="6"/>
  <c r="AS27" i="6"/>
  <c r="AQ27" i="6"/>
  <c r="AO27" i="6"/>
  <c r="AM27" i="6"/>
  <c r="AK27" i="6"/>
  <c r="AI27" i="6"/>
  <c r="AG27" i="6"/>
  <c r="AE27" i="6"/>
  <c r="AC27" i="6"/>
  <c r="AA27" i="6"/>
  <c r="Y27" i="6"/>
  <c r="W27" i="6"/>
  <c r="U27" i="6"/>
  <c r="S27" i="6"/>
  <c r="Q27" i="6"/>
  <c r="O27" i="6"/>
  <c r="M27" i="6"/>
  <c r="K27" i="6"/>
  <c r="D28" i="4"/>
  <c r="F28" i="4" s="1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M24" i="6"/>
  <c r="AO24" i="6"/>
  <c r="AQ24" i="6"/>
  <c r="AS24" i="6"/>
  <c r="AU24" i="6"/>
  <c r="AW24" i="6"/>
  <c r="AY24" i="6"/>
  <c r="BA24" i="6"/>
  <c r="BC24" i="6"/>
  <c r="BG24" i="6"/>
  <c r="BI24" i="6"/>
  <c r="BK24" i="6"/>
  <c r="BM24" i="6"/>
  <c r="BO24" i="6"/>
  <c r="BQ24" i="6"/>
  <c r="BS24" i="6"/>
  <c r="BU24" i="6"/>
  <c r="BW24" i="6"/>
  <c r="BY24" i="6"/>
  <c r="CA24" i="6"/>
  <c r="CC24" i="6"/>
  <c r="CE24" i="6"/>
  <c r="CG24" i="6"/>
  <c r="CI24" i="6"/>
  <c r="CK24" i="6"/>
  <c r="CM24" i="6"/>
  <c r="K23" i="6"/>
  <c r="M23" i="6"/>
  <c r="O23" i="6"/>
  <c r="Q23" i="6"/>
  <c r="S23" i="6"/>
  <c r="U23" i="6"/>
  <c r="W23" i="6"/>
  <c r="Y23" i="6"/>
  <c r="AA23" i="6"/>
  <c r="AC23" i="6"/>
  <c r="AE23" i="6"/>
  <c r="AG23" i="6"/>
  <c r="AI23" i="6"/>
  <c r="AK23" i="6"/>
  <c r="AM23" i="6"/>
  <c r="AO23" i="6"/>
  <c r="AQ23" i="6"/>
  <c r="AS23" i="6"/>
  <c r="AU23" i="6"/>
  <c r="AW23" i="6"/>
  <c r="AY23" i="6"/>
  <c r="BA23" i="6"/>
  <c r="BC23" i="6"/>
  <c r="BE23" i="6"/>
  <c r="BG23" i="6"/>
  <c r="BI23" i="6"/>
  <c r="BK23" i="6"/>
  <c r="BM23" i="6"/>
  <c r="BO23" i="6"/>
  <c r="BQ23" i="6"/>
  <c r="BS23" i="6"/>
  <c r="BU23" i="6"/>
  <c r="BW23" i="6"/>
  <c r="BY23" i="6"/>
  <c r="CA23" i="6"/>
  <c r="CC23" i="6"/>
  <c r="CE23" i="6"/>
  <c r="CG23" i="6"/>
  <c r="CI23" i="6"/>
  <c r="CK23" i="6"/>
  <c r="CM23" i="6"/>
  <c r="K22" i="6"/>
  <c r="M22" i="6"/>
  <c r="O22" i="6"/>
  <c r="Q22" i="6"/>
  <c r="S22" i="6"/>
  <c r="U22" i="6"/>
  <c r="W22" i="6"/>
  <c r="Y22" i="6"/>
  <c r="AA22" i="6"/>
  <c r="AC22" i="6"/>
  <c r="AE22" i="6"/>
  <c r="AG22" i="6"/>
  <c r="AI22" i="6"/>
  <c r="AK22" i="6"/>
  <c r="AM22" i="6"/>
  <c r="AO22" i="6"/>
  <c r="AQ22" i="6"/>
  <c r="AS22" i="6"/>
  <c r="AU22" i="6"/>
  <c r="AW22" i="6"/>
  <c r="AY22" i="6"/>
  <c r="BA22" i="6"/>
  <c r="BC22" i="6"/>
  <c r="BE22" i="6"/>
  <c r="BG22" i="6"/>
  <c r="BI22" i="6"/>
  <c r="BK22" i="6"/>
  <c r="BM22" i="6"/>
  <c r="BO22" i="6"/>
  <c r="BQ22" i="6"/>
  <c r="BS22" i="6"/>
  <c r="BU22" i="6"/>
  <c r="BW22" i="6"/>
  <c r="BY22" i="6"/>
  <c r="CA22" i="6"/>
  <c r="CC22" i="6"/>
  <c r="CE22" i="6"/>
  <c r="CG22" i="6"/>
  <c r="CI22" i="6"/>
  <c r="CK22" i="6"/>
  <c r="CM22" i="6"/>
  <c r="D27" i="4"/>
  <c r="F27" i="4" s="1"/>
  <c r="D25" i="4"/>
  <c r="F25" i="4" s="1"/>
  <c r="D24" i="4"/>
  <c r="F24" i="4" s="1"/>
  <c r="D23" i="4"/>
  <c r="F23" i="4" s="1"/>
  <c r="CM20" i="6"/>
  <c r="CK20" i="6"/>
  <c r="CI20" i="6"/>
  <c r="CG20" i="6"/>
  <c r="CE20" i="6"/>
  <c r="CC20" i="6"/>
  <c r="CA20" i="6"/>
  <c r="BY20" i="6"/>
  <c r="BW20" i="6"/>
  <c r="BU20" i="6"/>
  <c r="BS20" i="6"/>
  <c r="BQ20" i="6"/>
  <c r="BO20" i="6"/>
  <c r="BM20" i="6"/>
  <c r="BK20" i="6"/>
  <c r="BI20" i="6"/>
  <c r="BE20" i="6"/>
  <c r="BC20" i="6"/>
  <c r="BA20" i="6"/>
  <c r="AY20" i="6"/>
  <c r="AW20" i="6"/>
  <c r="AU20" i="6"/>
  <c r="AS20" i="6"/>
  <c r="AQ20" i="6"/>
  <c r="AO20" i="6"/>
  <c r="AM20" i="6"/>
  <c r="AK20" i="6"/>
  <c r="AI20" i="6"/>
  <c r="AG20" i="6"/>
  <c r="AE20" i="6"/>
  <c r="AC20" i="6"/>
  <c r="Y20" i="6"/>
  <c r="W20" i="6"/>
  <c r="U20" i="6"/>
  <c r="S20" i="6"/>
  <c r="Q20" i="6"/>
  <c r="O20" i="6"/>
  <c r="M20" i="6"/>
  <c r="K20" i="6"/>
  <c r="F21" i="4"/>
  <c r="CM19" i="6"/>
  <c r="CK19" i="6"/>
  <c r="CI19" i="6"/>
  <c r="CG19" i="6"/>
  <c r="CE19" i="6"/>
  <c r="CC19" i="6"/>
  <c r="CA19" i="6"/>
  <c r="BY19" i="6"/>
  <c r="BW19" i="6"/>
  <c r="BU19" i="6"/>
  <c r="BG19" i="6"/>
  <c r="BE19" i="6"/>
  <c r="BC19" i="6"/>
  <c r="BA19" i="6"/>
  <c r="AY19" i="6"/>
  <c r="AW19" i="6"/>
  <c r="AU19" i="6"/>
  <c r="AS19" i="6"/>
  <c r="AQ19" i="6"/>
  <c r="AO19" i="6"/>
  <c r="AM19" i="6"/>
  <c r="AK19" i="6"/>
  <c r="AI19" i="6"/>
  <c r="AG19" i="6"/>
  <c r="AE19" i="6"/>
  <c r="AC19" i="6"/>
  <c r="AA19" i="6"/>
  <c r="Y19" i="6"/>
  <c r="W19" i="6"/>
  <c r="U19" i="6"/>
  <c r="S19" i="6"/>
  <c r="Q19" i="6"/>
  <c r="O19" i="6"/>
  <c r="M19" i="6"/>
  <c r="K19" i="6"/>
  <c r="D20" i="4"/>
  <c r="F20" i="4" s="1"/>
  <c r="CM18" i="6"/>
  <c r="CK18" i="6"/>
  <c r="CI18" i="6"/>
  <c r="CG18" i="6"/>
  <c r="CE18" i="6"/>
  <c r="CC18" i="6"/>
  <c r="CA18" i="6"/>
  <c r="BY18" i="6"/>
  <c r="BW18" i="6"/>
  <c r="BU18" i="6"/>
  <c r="BS18" i="6"/>
  <c r="BQ18" i="6"/>
  <c r="BO18" i="6"/>
  <c r="BM18" i="6"/>
  <c r="BK18" i="6"/>
  <c r="BI18" i="6"/>
  <c r="BG18" i="6"/>
  <c r="BE18" i="6"/>
  <c r="BC18" i="6"/>
  <c r="BA18" i="6"/>
  <c r="AY18" i="6"/>
  <c r="AW18" i="6"/>
  <c r="AU18" i="6"/>
  <c r="AS18" i="6"/>
  <c r="AQ18" i="6"/>
  <c r="AO18" i="6"/>
  <c r="AM18" i="6"/>
  <c r="AK18" i="6"/>
  <c r="AI18" i="6"/>
  <c r="AG18" i="6"/>
  <c r="AE18" i="6"/>
  <c r="AC18" i="6"/>
  <c r="AA18" i="6"/>
  <c r="Y18" i="6"/>
  <c r="W18" i="6"/>
  <c r="U18" i="6"/>
  <c r="S18" i="6"/>
  <c r="Q18" i="6"/>
  <c r="O18" i="6"/>
  <c r="M18" i="6"/>
  <c r="D19" i="4"/>
  <c r="F19" i="4" s="1"/>
  <c r="CM17" i="6"/>
  <c r="CK17" i="6"/>
  <c r="CI17" i="6"/>
  <c r="CG17" i="6"/>
  <c r="CE17" i="6"/>
  <c r="CC17" i="6"/>
  <c r="CA17" i="6"/>
  <c r="BY17" i="6"/>
  <c r="BW17" i="6"/>
  <c r="BU17" i="6"/>
  <c r="BS17" i="6"/>
  <c r="BQ17" i="6"/>
  <c r="BO17" i="6"/>
  <c r="BM17" i="6"/>
  <c r="BK17" i="6"/>
  <c r="BI17" i="6"/>
  <c r="BG17" i="6"/>
  <c r="BE17" i="6"/>
  <c r="BC17" i="6"/>
  <c r="BA17" i="6"/>
  <c r="AY17" i="6"/>
  <c r="AW17" i="6"/>
  <c r="AU17" i="6"/>
  <c r="AS17" i="6"/>
  <c r="AQ17" i="6"/>
  <c r="AO17" i="6"/>
  <c r="AM17" i="6"/>
  <c r="AK17" i="6"/>
  <c r="AI17" i="6"/>
  <c r="AG17" i="6"/>
  <c r="AE17" i="6"/>
  <c r="AC17" i="6"/>
  <c r="AA17" i="6"/>
  <c r="Y17" i="6"/>
  <c r="W17" i="6"/>
  <c r="U17" i="6"/>
  <c r="S17" i="6"/>
  <c r="Q17" i="6"/>
  <c r="O17" i="6"/>
  <c r="M17" i="6"/>
  <c r="K17" i="6"/>
  <c r="D18" i="4"/>
  <c r="F18" i="4" s="1"/>
  <c r="CM16" i="6"/>
  <c r="CK16" i="6"/>
  <c r="CI16" i="6"/>
  <c r="CG16" i="6"/>
  <c r="CE16" i="6"/>
  <c r="CC16" i="6"/>
  <c r="CA16" i="6"/>
  <c r="BY16" i="6"/>
  <c r="BW16" i="6"/>
  <c r="BU16" i="6"/>
  <c r="BS16" i="6"/>
  <c r="BQ16" i="6"/>
  <c r="BO16" i="6"/>
  <c r="BM16" i="6"/>
  <c r="BK16" i="6"/>
  <c r="BI16" i="6"/>
  <c r="BG16" i="6"/>
  <c r="BE16" i="6"/>
  <c r="BC16" i="6"/>
  <c r="BA16" i="6"/>
  <c r="AY16" i="6"/>
  <c r="AW16" i="6"/>
  <c r="AU16" i="6"/>
  <c r="AS16" i="6"/>
  <c r="AQ16" i="6"/>
  <c r="AO16" i="6"/>
  <c r="AM16" i="6"/>
  <c r="AK16" i="6"/>
  <c r="AI16" i="6"/>
  <c r="AG16" i="6"/>
  <c r="AE16" i="6"/>
  <c r="AC16" i="6"/>
  <c r="AA16" i="6"/>
  <c r="Y16" i="6"/>
  <c r="W16" i="6"/>
  <c r="U16" i="6"/>
  <c r="S16" i="6"/>
  <c r="Q16" i="6"/>
  <c r="O16" i="6"/>
  <c r="M16" i="6"/>
  <c r="K16" i="6"/>
  <c r="D17" i="4"/>
  <c r="F17" i="4" s="1"/>
  <c r="CM15" i="6"/>
  <c r="CK15" i="6"/>
  <c r="CI15" i="6"/>
  <c r="CG15" i="6"/>
  <c r="CE15" i="6"/>
  <c r="CC15" i="6"/>
  <c r="CA15" i="6"/>
  <c r="BY15" i="6"/>
  <c r="BW15" i="6"/>
  <c r="BU15" i="6"/>
  <c r="BS15" i="6"/>
  <c r="BQ15" i="6"/>
  <c r="BO15" i="6"/>
  <c r="BM15" i="6"/>
  <c r="BK15" i="6"/>
  <c r="BI15" i="6"/>
  <c r="BG15" i="6"/>
  <c r="BE15" i="6"/>
  <c r="BC15" i="6"/>
  <c r="BA15" i="6"/>
  <c r="AY15" i="6"/>
  <c r="AW15" i="6"/>
  <c r="AU15" i="6"/>
  <c r="AS15" i="6"/>
  <c r="AQ15" i="6"/>
  <c r="AO15" i="6"/>
  <c r="AM15" i="6"/>
  <c r="AK15" i="6"/>
  <c r="AI15" i="6"/>
  <c r="AG15" i="6"/>
  <c r="AE15" i="6"/>
  <c r="AC15" i="6"/>
  <c r="AA15" i="6"/>
  <c r="Y15" i="6"/>
  <c r="W15" i="6"/>
  <c r="U15" i="6"/>
  <c r="S15" i="6"/>
  <c r="Q15" i="6"/>
  <c r="O15" i="6"/>
  <c r="M15" i="6"/>
  <c r="K15" i="6"/>
  <c r="D16" i="4"/>
  <c r="F16" i="4" s="1"/>
  <c r="CM14" i="6"/>
  <c r="CK14" i="6"/>
  <c r="CI14" i="6"/>
  <c r="CG14" i="6"/>
  <c r="CE14" i="6"/>
  <c r="CC14" i="6"/>
  <c r="CA14" i="6"/>
  <c r="BY14" i="6"/>
  <c r="BW14" i="6"/>
  <c r="BU14" i="6"/>
  <c r="BS14" i="6"/>
  <c r="BQ14" i="6"/>
  <c r="BO14" i="6"/>
  <c r="BM14" i="6"/>
  <c r="BK14" i="6"/>
  <c r="BI14" i="6"/>
  <c r="BG14" i="6"/>
  <c r="BE14" i="6"/>
  <c r="BC14" i="6"/>
  <c r="AY14" i="6"/>
  <c r="AW14" i="6"/>
  <c r="AU14" i="6"/>
  <c r="AS14" i="6"/>
  <c r="AQ14" i="6"/>
  <c r="AO14" i="6"/>
  <c r="AM14" i="6"/>
  <c r="AK14" i="6"/>
  <c r="AI14" i="6"/>
  <c r="AG14" i="6"/>
  <c r="AE14" i="6"/>
  <c r="AC14" i="6"/>
  <c r="AA14" i="6"/>
  <c r="Y14" i="6"/>
  <c r="W14" i="6"/>
  <c r="U14" i="6"/>
  <c r="S14" i="6"/>
  <c r="Q14" i="6"/>
  <c r="O14" i="6"/>
  <c r="M14" i="6"/>
  <c r="K14" i="6"/>
  <c r="D15" i="4"/>
  <c r="F15" i="4" s="1"/>
  <c r="CM13" i="6"/>
  <c r="CK13" i="6"/>
  <c r="CI13" i="6"/>
  <c r="CG13" i="6"/>
  <c r="CE13" i="6"/>
  <c r="CC13" i="6"/>
  <c r="CA13" i="6"/>
  <c r="BY13" i="6"/>
  <c r="BW13" i="6"/>
  <c r="BU13" i="6"/>
  <c r="BS13" i="6"/>
  <c r="BQ13" i="6"/>
  <c r="BO13" i="6"/>
  <c r="BM13" i="6"/>
  <c r="BK13" i="6"/>
  <c r="BI13" i="6"/>
  <c r="BG13" i="6"/>
  <c r="BE13" i="6"/>
  <c r="BC13" i="6"/>
  <c r="BA13" i="6"/>
  <c r="AY13" i="6"/>
  <c r="AW13" i="6"/>
  <c r="AU13" i="6"/>
  <c r="AS13" i="6"/>
  <c r="AQ13" i="6"/>
  <c r="AO13" i="6"/>
  <c r="AM13" i="6"/>
  <c r="AK13" i="6"/>
  <c r="AI13" i="6"/>
  <c r="AG13" i="6"/>
  <c r="AE13" i="6"/>
  <c r="AC13" i="6"/>
  <c r="AA13" i="6"/>
  <c r="Y13" i="6"/>
  <c r="W13" i="6"/>
  <c r="U13" i="6"/>
  <c r="S13" i="6"/>
  <c r="Q13" i="6"/>
  <c r="M13" i="6"/>
  <c r="O13" i="6"/>
  <c r="K13" i="6"/>
  <c r="D14" i="4"/>
  <c r="F14" i="4" s="1"/>
  <c r="CM12" i="6"/>
  <c r="CK12" i="6"/>
  <c r="CI12" i="6"/>
  <c r="CG12" i="6"/>
  <c r="CE12" i="6"/>
  <c r="CC12" i="6"/>
  <c r="CA12" i="6"/>
  <c r="BY12" i="6"/>
  <c r="BW12" i="6"/>
  <c r="BU12" i="6"/>
  <c r="BE12" i="6"/>
  <c r="BC12" i="6"/>
  <c r="BA12" i="6"/>
  <c r="AY12" i="6"/>
  <c r="AW12" i="6"/>
  <c r="AU12" i="6"/>
  <c r="AS12" i="6"/>
  <c r="AQ12" i="6"/>
  <c r="AO12" i="6"/>
  <c r="AM12" i="6"/>
  <c r="AK12" i="6"/>
  <c r="AI12" i="6"/>
  <c r="AG12" i="6"/>
  <c r="AE12" i="6"/>
  <c r="AC12" i="6"/>
  <c r="AA12" i="6"/>
  <c r="Y12" i="6"/>
  <c r="W12" i="6"/>
  <c r="U12" i="6"/>
  <c r="S12" i="6"/>
  <c r="Q12" i="6"/>
  <c r="O12" i="6"/>
  <c r="M12" i="6"/>
  <c r="K12" i="6"/>
  <c r="WWC12" i="6"/>
  <c r="D13" i="4"/>
  <c r="F13" i="4" s="1"/>
  <c r="CM9" i="6"/>
  <c r="WWC9" i="6"/>
  <c r="CK9" i="6"/>
  <c r="CI9" i="6"/>
  <c r="CG9" i="6"/>
  <c r="CE9" i="6"/>
  <c r="CC9" i="6"/>
  <c r="CA9" i="6"/>
  <c r="BY9" i="6"/>
  <c r="BI9" i="6"/>
  <c r="BG9" i="6"/>
  <c r="BE9" i="6"/>
  <c r="BC9" i="6"/>
  <c r="BA9" i="6"/>
  <c r="AY9" i="6"/>
  <c r="AW9" i="6"/>
  <c r="AU9" i="6"/>
  <c r="AS9" i="6"/>
  <c r="AQ9" i="6"/>
  <c r="AO9" i="6"/>
  <c r="AM9" i="6"/>
  <c r="AK9" i="6"/>
  <c r="AI9" i="6"/>
  <c r="AG9" i="6"/>
  <c r="AE9" i="6"/>
  <c r="AC9" i="6"/>
  <c r="Y9" i="6"/>
  <c r="W9" i="6"/>
  <c r="S9" i="6"/>
  <c r="Q9" i="6"/>
  <c r="O9" i="6"/>
  <c r="M9" i="6"/>
  <c r="WWC8" i="6"/>
  <c r="CK8" i="6"/>
  <c r="CI8" i="6"/>
  <c r="CG8" i="6"/>
  <c r="CE8" i="6"/>
  <c r="CC8" i="6"/>
  <c r="CA8" i="6"/>
  <c r="BY8" i="6"/>
  <c r="BS8" i="6"/>
  <c r="BW8" i="6"/>
  <c r="BU8" i="6"/>
  <c r="BO8" i="6"/>
  <c r="BK8" i="6"/>
  <c r="BG8" i="6"/>
  <c r="BC8" i="6"/>
  <c r="BA8" i="6"/>
  <c r="AY8" i="6"/>
  <c r="AW8" i="6"/>
  <c r="AU8" i="6"/>
  <c r="AS8" i="6"/>
  <c r="AQ8" i="6"/>
  <c r="AO8" i="6"/>
  <c r="AM8" i="6"/>
  <c r="AK8" i="6"/>
  <c r="AI8" i="6"/>
  <c r="AG8" i="6"/>
  <c r="AE8" i="6"/>
  <c r="AC8" i="6"/>
  <c r="AA8" i="6"/>
  <c r="Y8" i="6"/>
  <c r="W8" i="6"/>
  <c r="S8" i="6"/>
  <c r="Q8" i="6"/>
  <c r="O8" i="6"/>
  <c r="M8" i="6"/>
  <c r="K8" i="6"/>
  <c r="D9" i="4"/>
  <c r="F9" i="4" s="1"/>
  <c r="CE7" i="6"/>
  <c r="CK7" i="6"/>
  <c r="CI7" i="6"/>
  <c r="CC7" i="6"/>
  <c r="CA7" i="6"/>
  <c r="BY7" i="6"/>
  <c r="BS7" i="6"/>
  <c r="BQ7" i="6"/>
  <c r="BO7" i="6"/>
  <c r="BM7" i="6"/>
  <c r="BK7" i="6"/>
  <c r="BI7" i="6"/>
  <c r="BG7" i="6"/>
  <c r="BE7" i="6"/>
  <c r="BC7" i="6"/>
  <c r="BA7" i="6"/>
  <c r="AY7" i="6"/>
  <c r="AW7" i="6"/>
  <c r="AU7" i="6"/>
  <c r="AS7" i="6"/>
  <c r="AQ7" i="6"/>
  <c r="AO7" i="6"/>
  <c r="AM7" i="6"/>
  <c r="AK7" i="6"/>
  <c r="AI7" i="6"/>
  <c r="AG7" i="6"/>
  <c r="AE7" i="6"/>
  <c r="AC7" i="6"/>
  <c r="AA7" i="6"/>
  <c r="Y7" i="6"/>
  <c r="W7" i="6"/>
  <c r="U7" i="6"/>
  <c r="S7" i="6"/>
  <c r="Q7" i="6"/>
  <c r="O7" i="6"/>
  <c r="F8" i="4"/>
  <c r="D7" i="4"/>
  <c r="F7" i="4" s="1"/>
  <c r="D32" i="6" l="1"/>
  <c r="F32" i="6" s="1"/>
  <c r="D9" i="6"/>
  <c r="F9" i="6" s="1"/>
  <c r="D31" i="6"/>
  <c r="F31" i="6" s="1"/>
  <c r="D7" i="6"/>
  <c r="F7" i="6" s="1"/>
  <c r="D8" i="6"/>
  <c r="F8" i="6" s="1"/>
  <c r="D18" i="6"/>
  <c r="F18" i="6" s="1"/>
  <c r="D27" i="6"/>
  <c r="F27" i="6" s="1"/>
  <c r="D30" i="6"/>
  <c r="F30" i="6" s="1"/>
  <c r="D16" i="6"/>
  <c r="F16" i="6" s="1"/>
  <c r="D19" i="6"/>
  <c r="F19" i="6" s="1"/>
  <c r="D12" i="6"/>
  <c r="F12" i="6" s="1"/>
  <c r="D14" i="6"/>
  <c r="F14" i="6" s="1"/>
  <c r="D20" i="6"/>
  <c r="D15" i="6"/>
  <c r="F15" i="6" s="1"/>
  <c r="D29" i="6"/>
  <c r="F29" i="6" s="1"/>
  <c r="D22" i="6"/>
  <c r="F22" i="6" s="1"/>
  <c r="D24" i="6"/>
  <c r="F24" i="6" s="1"/>
  <c r="D23" i="6"/>
  <c r="F23" i="6" s="1"/>
  <c r="D13" i="6"/>
  <c r="F13" i="6" s="1"/>
  <c r="D17" i="6"/>
  <c r="F17" i="6" s="1"/>
  <c r="G18" i="29"/>
  <c r="G12" i="29"/>
  <c r="G14" i="29"/>
  <c r="G6" i="29"/>
  <c r="G8" i="29"/>
  <c r="G15" i="29"/>
  <c r="G13" i="29"/>
  <c r="G19" i="29"/>
  <c r="G11" i="29"/>
  <c r="G7" i="29"/>
  <c r="G9" i="29"/>
  <c r="G23" i="29"/>
  <c r="G10" i="29"/>
  <c r="G21" i="29"/>
  <c r="G26" i="29"/>
  <c r="F26" i="6"/>
  <c r="D20" i="29" l="1"/>
  <c r="E20" i="29" s="1"/>
  <c r="G20" i="29" l="1"/>
  <c r="F20" i="6"/>
  <c r="D22" i="29"/>
  <c r="E22" i="29" s="1"/>
  <c r="G22" i="29" l="1"/>
  <c r="D10" i="4"/>
  <c r="F10" i="4" s="1"/>
  <c r="D34" i="4" l="1"/>
  <c r="F34" i="4" s="1"/>
</calcChain>
</file>

<file path=xl/sharedStrings.xml><?xml version="1.0" encoding="utf-8"?>
<sst xmlns="http://schemas.openxmlformats.org/spreadsheetml/2006/main" count="2147" uniqueCount="863">
  <si>
    <t>INVENTARIO ACTUAL</t>
  </si>
  <si>
    <t>INVENTARIO MINIMO</t>
  </si>
  <si>
    <t>REPOSICION</t>
  </si>
  <si>
    <t>BOLSAS DE PASTA 3KG</t>
  </si>
  <si>
    <t>Ingreso</t>
  </si>
  <si>
    <t>Egreso</t>
  </si>
  <si>
    <t>Nro.</t>
  </si>
  <si>
    <t>DESCRIPCION</t>
  </si>
  <si>
    <t>CAL HIDRATADA (Kg)</t>
  </si>
  <si>
    <t>DOLOMITA (Kg)</t>
  </si>
  <si>
    <t>CEMENTO GRIS (Kg)</t>
  </si>
  <si>
    <t>CEMENTO BLANCO (Kg)</t>
  </si>
  <si>
    <t>YESO (Kg)</t>
  </si>
  <si>
    <t>GRAVA Roja Nº0 (Kg)</t>
  </si>
  <si>
    <t>ESTILOSA AMARILLA (Kg)</t>
  </si>
  <si>
    <t>PINkLOT (Kg)</t>
  </si>
  <si>
    <t>POLVO DE MARMOL (Kg)</t>
  </si>
  <si>
    <t>MACRO FIBRA (Kg)</t>
  </si>
  <si>
    <t>MICRO FIBRA (Kg)</t>
  </si>
  <si>
    <t>STYLOSA HIDROXIETIL (85 Gr)</t>
  </si>
  <si>
    <t>INVENTARIO / SACO</t>
  </si>
  <si>
    <t>INVENTARIO / KG</t>
  </si>
  <si>
    <t>CANT.</t>
  </si>
  <si>
    <t>INVENTARIO DE BOLSAS TERMINADAS</t>
  </si>
  <si>
    <t>BOLSAS DE ESTYLOSA - 85 GR</t>
  </si>
  <si>
    <t>BOLSAS DE YESO - 1 KG</t>
  </si>
  <si>
    <t>BOLSAS DE CAL - 1 KG</t>
  </si>
  <si>
    <t>BOLSAS DE CEMENTO BLANCO - 1 KG</t>
  </si>
  <si>
    <t>BOLSAS DE TAPA GRIETA - 0,75 KG</t>
  </si>
  <si>
    <t>BOLSAS DE BASE RENDIDORA - 1,25 KG</t>
  </si>
  <si>
    <t>BOLSAS DE GRAFIADO - 6 KG</t>
  </si>
  <si>
    <t>BOLSAS DE CAL LIQUIDA - 1 GAL</t>
  </si>
  <si>
    <t>INVENTARIO DE MATERIAS PRIMAS</t>
  </si>
  <si>
    <t>INVENTARIO DE PRODUCTO TERMINADO</t>
  </si>
  <si>
    <t>TAPA GRIETA - 0,75KG</t>
  </si>
  <si>
    <t>PRODUCTO TERMINADO</t>
  </si>
  <si>
    <t xml:space="preserve">UND. </t>
  </si>
  <si>
    <t>Kg</t>
  </si>
  <si>
    <t>cc</t>
  </si>
  <si>
    <t>MARCA</t>
  </si>
  <si>
    <t>COLOR</t>
  </si>
  <si>
    <t>CODIGO</t>
  </si>
  <si>
    <t>AZUL</t>
  </si>
  <si>
    <t>BLANCO</t>
  </si>
  <si>
    <t>GRIS</t>
  </si>
  <si>
    <t>ESTANTE DE CRUZ ROJA</t>
  </si>
  <si>
    <t>AESI-CR</t>
  </si>
  <si>
    <t>GUANTES QUIRURGICOS</t>
  </si>
  <si>
    <t>AESI-GQ</t>
  </si>
  <si>
    <t>GASAS</t>
  </si>
  <si>
    <t>AESI-GS</t>
  </si>
  <si>
    <t>BENDAS</t>
  </si>
  <si>
    <t>AESI-BD</t>
  </si>
  <si>
    <t>ADHESIVO</t>
  </si>
  <si>
    <t>AESI-AD</t>
  </si>
  <si>
    <t>AESI-AO</t>
  </si>
  <si>
    <t>AGUA OXIGENADA</t>
  </si>
  <si>
    <t>GERDEX</t>
  </si>
  <si>
    <t>AESI-GX</t>
  </si>
  <si>
    <t>ACETAMINOFEN TABLETAS</t>
  </si>
  <si>
    <t>EASI-AC</t>
  </si>
  <si>
    <t>EASI-IB</t>
  </si>
  <si>
    <t>IBUPROFENO TABLETAS</t>
  </si>
  <si>
    <t>RANITIDINA TABLETAS</t>
  </si>
  <si>
    <t>AESI-RN</t>
  </si>
  <si>
    <t>LORATADINA TABLETAS</t>
  </si>
  <si>
    <t>AESI-LR</t>
  </si>
  <si>
    <t>ANTUX JBE</t>
  </si>
  <si>
    <t>AESI-AX</t>
  </si>
  <si>
    <t>AESI-IY</t>
  </si>
  <si>
    <t>INYECTADORAS ( 3CC- 5CC-20CC)</t>
  </si>
  <si>
    <t>SCALP ADULTO</t>
  </si>
  <si>
    <t>AESI-SC</t>
  </si>
  <si>
    <t>ANALGESICO AMP</t>
  </si>
  <si>
    <t>AESI-AG</t>
  </si>
  <si>
    <t>RANITIDINA AMP</t>
  </si>
  <si>
    <t>EASI-RNA</t>
  </si>
  <si>
    <t>LIDOCAINA 2% AMP</t>
  </si>
  <si>
    <t>SOL 0,9%</t>
  </si>
  <si>
    <t>AESI-SL</t>
  </si>
  <si>
    <t>YODO</t>
  </si>
  <si>
    <t>AESI-YD</t>
  </si>
  <si>
    <t>CROMICO #3</t>
  </si>
  <si>
    <t>EASI-HS</t>
  </si>
  <si>
    <t>EASI-EX</t>
  </si>
  <si>
    <t>EXTINTOR DE POLVO QUIMICO SECO</t>
  </si>
  <si>
    <t>EP-AL-MECL</t>
  </si>
  <si>
    <t>EP-AL-MEL1</t>
  </si>
  <si>
    <t>MAQUINA EMPACADORA DE CHUPIS</t>
  </si>
  <si>
    <t>EP-AP-MEPBP</t>
  </si>
  <si>
    <t>EP-AP-MEPMP</t>
  </si>
  <si>
    <t>EP-AP-MEPAP</t>
  </si>
  <si>
    <t>EP-AM-SAAG</t>
  </si>
  <si>
    <t>EP-AM-EM</t>
  </si>
  <si>
    <t>ESCALERA MOVIL</t>
  </si>
  <si>
    <t>EP-ALS-EEP</t>
  </si>
  <si>
    <t>EP-AL-SO1</t>
  </si>
  <si>
    <t>EP-AL-SO2</t>
  </si>
  <si>
    <t>EP-AL-MSL20</t>
  </si>
  <si>
    <t>EP-AP-MSP50</t>
  </si>
  <si>
    <t>OPERATIVIDAD</t>
  </si>
  <si>
    <t>SI</t>
  </si>
  <si>
    <t>NO</t>
  </si>
  <si>
    <t>MAQUINA SELLADORA DE LIQUIDOS 20cm</t>
  </si>
  <si>
    <t>SILOS PARA ALMACENAMIENTO DE ARENA Y GRAVA</t>
  </si>
  <si>
    <t>PESO DIGITAL (PEQ)</t>
  </si>
  <si>
    <t>EP-AP-PDP</t>
  </si>
  <si>
    <t>EP-AP-MSM</t>
  </si>
  <si>
    <t>MAQUINA SELLADORA MANUAL</t>
  </si>
  <si>
    <t>IMPERMEABILIZANTE EN POLVO  PARA CONCRETO PLUS+ (450g + 120cc)</t>
  </si>
  <si>
    <t>CHS + TAPA GRIETA - SACO 0,75KG</t>
  </si>
  <si>
    <t>CHS+ YESO NACIONAL- SACO 1 KG</t>
  </si>
  <si>
    <t>CHS+ CEMENTO BLANCO NACIONAL- SACO 1KG</t>
  </si>
  <si>
    <t>CHS+ CAL HIDRATADA- SACO 1KG</t>
  </si>
  <si>
    <t>CHS+ BASE RENDIDORA EN POLVO PARA PINTURA DE CAUCHO (1,25 KG )</t>
  </si>
  <si>
    <t>CHS+ MICROFIBRA DE POLIPROPILENO (100gr)</t>
  </si>
  <si>
    <t>CHS+ MACROFIBRA TEREFTALATO DE DIMETILO (100 GR)</t>
  </si>
  <si>
    <t>CHS+ PASTA EN POLVO PLUS-SACO (3KG + 60CC)</t>
  </si>
  <si>
    <t>CHS+ GRAFIADO EN POLVO- SACO 6 KG</t>
  </si>
  <si>
    <t>CHS+ PEGO PREMIUM GRIS - SACO 7 KG</t>
  </si>
  <si>
    <t>CHS+ CAL PREPARADA LIQUIDA (1 GALON)</t>
  </si>
  <si>
    <t>DRAGER X-PLORE 3300</t>
  </si>
  <si>
    <t>HERRAMIENTAS DE PRODUCCION DE OPERADOR</t>
  </si>
  <si>
    <t>HPO-TPP-CH</t>
  </si>
  <si>
    <t>MARTILLO DE GOMA</t>
  </si>
  <si>
    <t>DESTORNILLADOR DE PALETA</t>
  </si>
  <si>
    <t>ESPATULA DE METAL</t>
  </si>
  <si>
    <t>PIQUETA PEQUEÑA</t>
  </si>
  <si>
    <t>ALICATE PEQUEÑO</t>
  </si>
  <si>
    <t>CORTA EXACTO DE PLASTICO</t>
  </si>
  <si>
    <t>BROCHA DE 2"</t>
  </si>
  <si>
    <t>LAPIZ DE COLOR</t>
  </si>
  <si>
    <t xml:space="preserve">LLAVE </t>
  </si>
  <si>
    <t>HPO-CH-CEP</t>
  </si>
  <si>
    <t>HPO-CH-B2</t>
  </si>
  <si>
    <t>HPO-CH-LC</t>
  </si>
  <si>
    <t>HPO-CH-LL</t>
  </si>
  <si>
    <t>HPO-CH-AP</t>
  </si>
  <si>
    <t>HPO-CH-PP</t>
  </si>
  <si>
    <t>HPO-CH-TGM</t>
  </si>
  <si>
    <t>HPO-CH-EM</t>
  </si>
  <si>
    <t>HPO-CH-DP</t>
  </si>
  <si>
    <t>HPO-CH-CC</t>
  </si>
  <si>
    <t>CHS+ PEGO PREMIUM GRIS - SACO 10 KG</t>
  </si>
  <si>
    <t>CH</t>
  </si>
  <si>
    <t>CB</t>
  </si>
  <si>
    <t>CG</t>
  </si>
  <si>
    <t>DL</t>
  </si>
  <si>
    <t>IP</t>
  </si>
  <si>
    <t>EH</t>
  </si>
  <si>
    <t>PK</t>
  </si>
  <si>
    <t>YN</t>
  </si>
  <si>
    <t>MT</t>
  </si>
  <si>
    <t>MP</t>
  </si>
  <si>
    <t>PM</t>
  </si>
  <si>
    <t>SP</t>
  </si>
  <si>
    <t>Lt</t>
  </si>
  <si>
    <t>CHS-PEGA PLUSS - 15KG</t>
  </si>
  <si>
    <t>INGRESO</t>
  </si>
  <si>
    <t>EGRESO</t>
  </si>
  <si>
    <t>PPL15</t>
  </si>
  <si>
    <t>PL</t>
  </si>
  <si>
    <t>PF</t>
  </si>
  <si>
    <t>EP-AP-SAP</t>
  </si>
  <si>
    <t>MAQUINA CERNIDORA</t>
  </si>
  <si>
    <t>EP-AM-TMP</t>
  </si>
  <si>
    <t>EP-AM-TMG</t>
  </si>
  <si>
    <t>EP-AA-BAP</t>
  </si>
  <si>
    <t>BALANZA DE ALTO PESO DIGITAL</t>
  </si>
  <si>
    <t>CHS-CONCRE-PLUS - 15 KG</t>
  </si>
  <si>
    <t xml:space="preserve"> CHS-CONCRE-PLUS - 15 KG</t>
  </si>
  <si>
    <t>CHS+ PEGO PREMIUM GRIS - SACO 15 KG</t>
  </si>
  <si>
    <t>CHS-STYLOSA BLANCA TIPO "A". 50gr</t>
  </si>
  <si>
    <t>CHS+ GRAFIADO EN POLVO- SACO 15 KG</t>
  </si>
  <si>
    <t>BOLSAS DE GRAFIADO 15KG</t>
  </si>
  <si>
    <t>BOLSAS DE PASTA 8KG</t>
  </si>
  <si>
    <t>CHS+ PASTA EN POLVO PLUS-SACO (8KG + 120CC)</t>
  </si>
  <si>
    <t>MICRO POLVO (Kg)</t>
  </si>
  <si>
    <t>CHS+ PINTURA IMPERMEABLE (10KG)</t>
  </si>
  <si>
    <t>BOLSAS DE PINTURA IMPERMEABLE EN POLVO 10 KG</t>
  </si>
  <si>
    <t>MA</t>
  </si>
  <si>
    <t>CHS+ESTUCO GRIS (12KG)</t>
  </si>
  <si>
    <t>BOLSAS ESTUCO GRIS 12KG</t>
  </si>
  <si>
    <t>MICRO-ARENA (Kg)</t>
  </si>
  <si>
    <t>CBP</t>
  </si>
  <si>
    <t>CEMENTO BLANCO PREPARADO (Kg)</t>
  </si>
  <si>
    <t>PP8</t>
  </si>
  <si>
    <t>EG12</t>
  </si>
  <si>
    <t>PIP10</t>
  </si>
  <si>
    <t>BOLSAS DE PEGO GRIS- 15KG</t>
  </si>
  <si>
    <t>BOLSAS DE PEGO GRIS - 7 KG</t>
  </si>
  <si>
    <t>BOLSAS DE PEGO GRIS- 10KG</t>
  </si>
  <si>
    <t>SB50</t>
  </si>
  <si>
    <t>SB</t>
  </si>
  <si>
    <t>ESTILOSA BLANCA (kg)</t>
  </si>
  <si>
    <t>GV</t>
  </si>
  <si>
    <t>SUPER PLASTIFICANTE (Kg)</t>
  </si>
  <si>
    <t>EH85</t>
  </si>
  <si>
    <t>IP450</t>
  </si>
  <si>
    <t>TG750</t>
  </si>
  <si>
    <t>CB1</t>
  </si>
  <si>
    <t>YN1</t>
  </si>
  <si>
    <t>CH1</t>
  </si>
  <si>
    <t>BR1,25</t>
  </si>
  <si>
    <t>MT100</t>
  </si>
  <si>
    <t>MP100</t>
  </si>
  <si>
    <t>PP3</t>
  </si>
  <si>
    <t>GP6</t>
  </si>
  <si>
    <t>PP7</t>
  </si>
  <si>
    <t>PP10</t>
  </si>
  <si>
    <t>CP15</t>
  </si>
  <si>
    <t>PP15</t>
  </si>
  <si>
    <t>GP15</t>
  </si>
  <si>
    <t>PPB15</t>
  </si>
  <si>
    <t>ADITIVOS E IMPERMEABILIZANTES para Concretos y Morteros</t>
  </si>
  <si>
    <t>BOLSAS FIBRA (MACRO Y MICRO) 1Kg</t>
  </si>
  <si>
    <t>BOLSAS DE IMPERMEABILIZANTE PLUS 450grs+120cc</t>
  </si>
  <si>
    <t>ACABADOS SUPERFICIALES para Paredes y Techos</t>
  </si>
  <si>
    <t>OTROS PRODUCTOS:</t>
  </si>
  <si>
    <t>1.2</t>
  </si>
  <si>
    <t>1.3</t>
  </si>
  <si>
    <t>1.1</t>
  </si>
  <si>
    <t>1.4</t>
  </si>
  <si>
    <t>3.3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</si>
  <si>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</si>
  <si>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</si>
  <si>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</si>
  <si>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</si>
  <si>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</si>
  <si>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</si>
  <si>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</si>
  <si>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</si>
  <si>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</si>
  <si>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3.1</t>
  </si>
  <si>
    <t>3.2</t>
  </si>
  <si>
    <t>3.4</t>
  </si>
  <si>
    <t>3.5</t>
  </si>
  <si>
    <t>3.6</t>
  </si>
  <si>
    <t>4.1</t>
  </si>
  <si>
    <t>MORTEROS Y CONCRETOS para la Construcción</t>
  </si>
  <si>
    <t>CHS+ CEMENTO BLANCO NACIONAL- SACO 4,5KG</t>
  </si>
  <si>
    <t>CB4,5</t>
  </si>
  <si>
    <t>CHS+ PEGO PREMIUM BLANCO - SACO 15 KG</t>
  </si>
  <si>
    <t>BOLSAS DE PEGO BLANCO- 15KG</t>
  </si>
  <si>
    <t>VIENE DE:</t>
  </si>
  <si>
    <t>4.2</t>
  </si>
  <si>
    <t>4.3</t>
  </si>
  <si>
    <t>4.4</t>
  </si>
  <si>
    <t>4.5</t>
  </si>
  <si>
    <r>
      <rPr>
        <b/>
        <sz val="11"/>
        <color theme="1"/>
        <rFont val="Calibri"/>
        <family val="2"/>
        <scheme val="minor"/>
      </rPr>
      <t>MT100-</t>
    </r>
    <r>
      <rPr>
        <sz val="11"/>
        <color theme="1"/>
        <rFont val="Calibri"/>
        <family val="2"/>
        <scheme val="minor"/>
      </rPr>
      <t>MACROFIBRA TEREFTALATO (100gr)</t>
    </r>
  </si>
  <si>
    <r>
      <rPr>
        <b/>
        <sz val="11"/>
        <color theme="1"/>
        <rFont val="Calibri"/>
        <family val="2"/>
        <scheme val="minor"/>
      </rPr>
      <t>MP100-</t>
    </r>
    <r>
      <rPr>
        <sz val="11"/>
        <color theme="1"/>
        <rFont val="Calibri"/>
        <family val="2"/>
        <scheme val="minor"/>
      </rPr>
      <t>MICROFIBRA DE POLIPROPILENO (100gr)</t>
    </r>
  </si>
  <si>
    <r>
      <t xml:space="preserve">1) </t>
    </r>
    <r>
      <rPr>
        <b/>
        <sz val="11"/>
        <color theme="1"/>
        <rFont val="Calibri"/>
        <family val="2"/>
        <scheme val="minor"/>
      </rPr>
      <t>MT-</t>
    </r>
    <r>
      <rPr>
        <sz val="11"/>
        <color theme="1"/>
        <rFont val="Calibri"/>
        <family val="2"/>
        <scheme val="minor"/>
      </rPr>
      <t>Macro fibra tereftalato</t>
    </r>
  </si>
  <si>
    <r>
      <t xml:space="preserve">1) </t>
    </r>
    <r>
      <rPr>
        <b/>
        <sz val="11"/>
        <color theme="1"/>
        <rFont val="Calibri"/>
        <family val="2"/>
        <scheme val="minor"/>
      </rPr>
      <t>MP-</t>
    </r>
    <r>
      <rPr>
        <sz val="11"/>
        <color theme="1"/>
        <rFont val="Calibri"/>
        <family val="2"/>
        <scheme val="minor"/>
      </rPr>
      <t>Micro fibra polipropileno</t>
    </r>
  </si>
  <si>
    <r>
      <t xml:space="preserve">1) </t>
    </r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Cal hidratada en polvo</t>
    </r>
  </si>
  <si>
    <r>
      <t xml:space="preserve">2) </t>
    </r>
    <r>
      <rPr>
        <b/>
        <sz val="11"/>
        <color theme="1"/>
        <rFont val="Calibri"/>
        <family val="2"/>
        <scheme val="minor"/>
      </rPr>
      <t>DL-</t>
    </r>
    <r>
      <rPr>
        <sz val="11"/>
        <color theme="1"/>
        <rFont val="Calibri"/>
        <family val="2"/>
        <scheme val="minor"/>
      </rPr>
      <t>Dolomita micronizada</t>
    </r>
  </si>
  <si>
    <r>
      <t xml:space="preserve">3)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</si>
  <si>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4)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Estilosa Hidroxietil blanca</t>
    </r>
  </si>
  <si>
    <r>
      <t xml:space="preserve">5) </t>
    </r>
    <r>
      <rPr>
        <b/>
        <sz val="11"/>
        <color theme="1"/>
        <rFont val="Calibri"/>
        <family val="2"/>
        <scheme val="minor"/>
      </rPr>
      <t>SP-</t>
    </r>
    <r>
      <rPr>
        <sz val="11"/>
        <color theme="1"/>
        <rFont val="Calibri"/>
        <family val="2"/>
        <scheme val="minor"/>
      </rPr>
      <t xml:space="preserve">Superplastificante </t>
    </r>
  </si>
  <si>
    <r>
      <rPr>
        <b/>
        <sz val="11"/>
        <color theme="1"/>
        <rFont val="Calibri"/>
        <family val="2"/>
        <scheme val="minor"/>
      </rPr>
      <t>GP-</t>
    </r>
    <r>
      <rPr>
        <sz val="11"/>
        <color theme="1"/>
        <rFont val="Calibri"/>
        <family val="2"/>
        <scheme val="minor"/>
      </rPr>
      <t xml:space="preserve">GRAFIADO EN POLVO </t>
    </r>
  </si>
  <si>
    <t>KG/TROMPO</t>
  </si>
  <si>
    <r>
      <t xml:space="preserve">1) </t>
    </r>
    <r>
      <rPr>
        <b/>
        <sz val="11"/>
        <color theme="1"/>
        <rFont val="Calibri"/>
        <family val="2"/>
        <scheme val="minor"/>
      </rPr>
      <t>MA-</t>
    </r>
    <r>
      <rPr>
        <sz val="11"/>
        <color theme="1"/>
        <rFont val="Calibri"/>
        <family val="2"/>
        <scheme val="minor"/>
      </rPr>
      <t>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</si>
  <si>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>TR-</t>
    </r>
    <r>
      <rPr>
        <sz val="11"/>
        <color theme="1"/>
        <rFont val="Calibri"/>
        <family val="2"/>
        <scheme val="minor"/>
      </rPr>
      <t>Tierra Roja</t>
    </r>
  </si>
  <si>
    <r>
      <t xml:space="preserve">4)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</si>
  <si>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5)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Stylosa Hidroxietil Blanca</t>
    </r>
  </si>
  <si>
    <r>
      <t xml:space="preserve">6) </t>
    </r>
    <r>
      <rPr>
        <b/>
        <sz val="11"/>
        <color theme="1"/>
        <rFont val="Calibri"/>
        <family val="2"/>
        <scheme val="minor"/>
      </rPr>
      <t>PM-</t>
    </r>
    <r>
      <rPr>
        <sz val="11"/>
        <color theme="1"/>
        <rFont val="Calibri"/>
        <family val="2"/>
        <scheme val="minor"/>
      </rPr>
      <t>Polvo de Marmol</t>
    </r>
  </si>
  <si>
    <r>
      <t xml:space="preserve">7) </t>
    </r>
    <r>
      <rPr>
        <b/>
        <sz val="11"/>
        <color theme="1"/>
        <rFont val="Calibri"/>
        <family val="2"/>
        <scheme val="minor"/>
      </rPr>
      <t>MP-</t>
    </r>
    <r>
      <rPr>
        <sz val="11"/>
        <color theme="1"/>
        <rFont val="Calibri"/>
        <family val="2"/>
        <scheme val="minor"/>
      </rPr>
      <t>Micro Polvo</t>
    </r>
  </si>
  <si>
    <r>
      <t xml:space="preserve">8) </t>
    </r>
    <r>
      <rPr>
        <b/>
        <sz val="11"/>
        <color theme="1"/>
        <rFont val="Calibri"/>
        <family val="2"/>
        <scheme val="minor"/>
      </rPr>
      <t>GV-</t>
    </r>
    <r>
      <rPr>
        <sz val="11"/>
        <color theme="1"/>
        <rFont val="Calibri"/>
        <family val="2"/>
        <scheme val="minor"/>
      </rPr>
      <t>Grava Roja Nro. 0</t>
    </r>
  </si>
  <si>
    <r>
      <t xml:space="preserve">3) </t>
    </r>
    <r>
      <rPr>
        <b/>
        <sz val="11"/>
        <color theme="1"/>
        <rFont val="Calibri"/>
        <family val="2"/>
        <scheme val="minor"/>
      </rPr>
      <t>DL-</t>
    </r>
    <r>
      <rPr>
        <sz val="11"/>
        <color theme="1"/>
        <rFont val="Calibri"/>
        <family val="2"/>
        <scheme val="minor"/>
      </rPr>
      <t>Dolomita Micronizada</t>
    </r>
  </si>
  <si>
    <t>IMPERMEABILIZANTE EN POLVO preparado (sika 101 mortero- Sealco100) (Kg)</t>
  </si>
  <si>
    <t>TIERRA ROJA (Kg)</t>
  </si>
  <si>
    <t>TR</t>
  </si>
  <si>
    <t>CANT. CUÑETES</t>
  </si>
  <si>
    <t>NRO.</t>
  </si>
  <si>
    <t>PESOS DE SILOS DE MATERIA PRIMA</t>
  </si>
  <si>
    <t>PESO (KG)</t>
  </si>
  <si>
    <t>SILO#1: MICRO POLVO</t>
  </si>
  <si>
    <t>PESO(KG)/CUÑETE</t>
  </si>
  <si>
    <t>SILO#2: POLVILLO</t>
  </si>
  <si>
    <t>SILO#3: TIERRA ROJA</t>
  </si>
  <si>
    <t>SILO#4: PIEDRA FINA</t>
  </si>
  <si>
    <r>
      <t xml:space="preserve">4) </t>
    </r>
    <r>
      <rPr>
        <b/>
        <sz val="11"/>
        <color theme="1"/>
        <rFont val="Calibri"/>
        <family val="2"/>
        <scheme val="minor"/>
      </rPr>
      <t>CBP-</t>
    </r>
    <r>
      <rPr>
        <sz val="11"/>
        <color theme="1"/>
        <rFont val="Calibri"/>
        <family val="2"/>
        <scheme val="minor"/>
      </rPr>
      <t xml:space="preserve">Cemento Blanco Preparado </t>
    </r>
  </si>
  <si>
    <r>
      <t xml:space="preserve">1) </t>
    </r>
    <r>
      <rPr>
        <b/>
        <sz val="11"/>
        <color theme="1"/>
        <rFont val="Calibri"/>
        <family val="2"/>
        <scheme val="minor"/>
      </rPr>
      <t>MA-</t>
    </r>
    <r>
      <rPr>
        <sz val="11"/>
        <color theme="1"/>
        <rFont val="Calibri"/>
        <family val="2"/>
        <scheme val="minor"/>
      </rPr>
      <t xml:space="preserve"> 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</si>
  <si>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>Cemento Gris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</si>
  <si>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PV- </t>
    </r>
    <r>
      <rPr>
        <sz val="11"/>
        <color theme="1"/>
        <rFont val="Calibri"/>
        <family val="2"/>
        <scheme val="minor"/>
      </rPr>
      <t>Polvillo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</si>
  <si>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MA- </t>
    </r>
    <r>
      <rPr>
        <sz val="11"/>
        <color theme="1"/>
        <rFont val="Calibri"/>
        <family val="2"/>
        <scheme val="minor"/>
      </rPr>
      <t>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</si>
  <si>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PF- </t>
    </r>
    <r>
      <rPr>
        <sz val="11"/>
        <color theme="1"/>
        <rFont val="Calibri"/>
        <family val="2"/>
        <scheme val="minor"/>
      </rPr>
      <t>Piedra picada Fina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</si>
  <si>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MT- </t>
    </r>
    <r>
      <rPr>
        <sz val="11"/>
        <color theme="1"/>
        <rFont val="Calibri"/>
        <family val="2"/>
        <scheme val="minor"/>
      </rPr>
      <t>Macro fibra tereftalato</t>
    </r>
  </si>
  <si>
    <r>
      <t xml:space="preserve">4)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 xml:space="preserve">Cemento Gris </t>
    </r>
  </si>
  <si>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BLANCA TIPO "A"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</si>
  <si>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DL- </t>
    </r>
    <r>
      <rPr>
        <sz val="11"/>
        <color theme="1"/>
        <rFont val="Calibri"/>
        <family val="2"/>
        <scheme val="minor"/>
      </rPr>
      <t>Dolomita micronizada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</si>
  <si>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PK- </t>
    </r>
    <r>
      <rPr>
        <sz val="11"/>
        <color theme="1"/>
        <rFont val="Calibri"/>
        <family val="2"/>
        <scheme val="minor"/>
      </rPr>
      <t>Pint Klot</t>
    </r>
  </si>
  <si>
    <r>
      <t xml:space="preserve">3)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 xml:space="preserve"> Stylosa Hidroxietil Blanca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</si>
  <si>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CB- </t>
    </r>
    <r>
      <rPr>
        <sz val="11"/>
        <color theme="1"/>
        <rFont val="Calibri"/>
        <family val="2"/>
        <scheme val="minor"/>
      </rPr>
      <t>Cemento Blanco</t>
    </r>
  </si>
  <si>
    <r>
      <t xml:space="preserve">2)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 Cemento Gris 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</si>
  <si>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</si>
  <si>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YN- </t>
    </r>
    <r>
      <rPr>
        <sz val="11"/>
        <color theme="1"/>
        <rFont val="Calibri"/>
        <family val="2"/>
        <scheme val="minor"/>
      </rPr>
      <t>Yeso Nacional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</si>
  <si>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</si>
  <si>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</si>
  <si>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r>
      <t xml:space="preserve">2) </t>
    </r>
    <r>
      <rPr>
        <b/>
        <sz val="11"/>
        <color theme="1"/>
        <rFont val="Calibri"/>
        <family val="2"/>
        <scheme val="minor"/>
      </rPr>
      <t>H2O-</t>
    </r>
    <r>
      <rPr>
        <sz val="11"/>
        <color theme="1"/>
        <rFont val="Calibri"/>
        <family val="2"/>
        <scheme val="minor"/>
      </rPr>
      <t>AGUA</t>
    </r>
  </si>
  <si>
    <r>
      <t>1)</t>
    </r>
    <r>
      <rPr>
        <b/>
        <sz val="11"/>
        <color theme="1"/>
        <rFont val="Calibri"/>
        <family val="2"/>
        <scheme val="minor"/>
      </rPr>
      <t xml:space="preserve"> DL- </t>
    </r>
    <r>
      <rPr>
        <sz val="11"/>
        <color theme="1"/>
        <rFont val="Calibri"/>
        <family val="2"/>
        <scheme val="minor"/>
      </rPr>
      <t>Dolomita micronizada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</si>
  <si>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</si>
  <si>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Hidroxietil Blanca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</si>
  <si>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PM- </t>
    </r>
    <r>
      <rPr>
        <sz val="11"/>
        <color theme="1"/>
        <rFont val="Calibri"/>
        <family val="2"/>
        <scheme val="minor"/>
      </rPr>
      <t>Polvo de Marmol</t>
    </r>
  </si>
  <si>
    <r>
      <t xml:space="preserve">4) </t>
    </r>
    <r>
      <rPr>
        <b/>
        <sz val="11"/>
        <color theme="1"/>
        <rFont val="Calibri"/>
        <family val="2"/>
        <scheme val="minor"/>
      </rPr>
      <t xml:space="preserve">MP- </t>
    </r>
    <r>
      <rPr>
        <sz val="11"/>
        <color theme="1"/>
        <rFont val="Calibri"/>
        <family val="2"/>
        <scheme val="minor"/>
      </rPr>
      <t>Micro Polvo</t>
    </r>
  </si>
  <si>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 preparado  (aditivo para pintura impermeable y IP450)</t>
    </r>
  </si>
  <si>
    <r>
      <t xml:space="preserve">5)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</t>
    </r>
  </si>
  <si>
    <r>
      <t xml:space="preserve">6) </t>
    </r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Hidroxietil Blanca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</si>
  <si>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S101- </t>
    </r>
    <r>
      <rPr>
        <sz val="11"/>
        <color theme="1"/>
        <rFont val="Calibri"/>
        <family val="2"/>
        <scheme val="minor"/>
      </rPr>
      <t>Sika 101 mortero impermeable</t>
    </r>
  </si>
  <si>
    <t>SILO#8: MICRO ARENA</t>
  </si>
  <si>
    <t>SILO#9: GRAVA ROJA NRO 0</t>
  </si>
  <si>
    <t>SILO#5: GRAVA ROJA NRO 0</t>
  </si>
  <si>
    <t>SILO#6: DOLOMITA</t>
  </si>
  <si>
    <t>SILO#7: CEMENTO GRIS</t>
  </si>
  <si>
    <t>LIGHT FLEX</t>
  </si>
  <si>
    <t>TOTAL</t>
  </si>
  <si>
    <t>TRUPER</t>
  </si>
  <si>
    <t>CHS+</t>
  </si>
  <si>
    <t xml:space="preserve">ROJO </t>
  </si>
  <si>
    <t>CLP1</t>
  </si>
  <si>
    <t xml:space="preserve">ELEVADOR CANGLION </t>
  </si>
  <si>
    <t xml:space="preserve">MEZCLADORA </t>
  </si>
  <si>
    <t>EP-APT</t>
  </si>
  <si>
    <t>CARRETILLAS</t>
  </si>
  <si>
    <t>ALMACENAMIENTO DE MATERIAS PRIMAS SILO 1</t>
  </si>
  <si>
    <t>ALMACENAMIENTO DE MATERIAS PRIMAS SILO 2</t>
  </si>
  <si>
    <t>ALMACENAMIENTO DE MATERIAS PRIMAS SILO 3</t>
  </si>
  <si>
    <t>ALMACENAMIENTO DE MATERIAS PRIMAS SILO 4/5</t>
  </si>
  <si>
    <t>ALMACENAMIENTO DE MATERIAS PRIMAS SILO 6/7</t>
  </si>
  <si>
    <t xml:space="preserve">MESA DE TALLER </t>
  </si>
  <si>
    <t>SELLADORA AUXILIAR</t>
  </si>
  <si>
    <t>ESCALERA</t>
  </si>
  <si>
    <r>
      <rPr>
        <b/>
        <sz val="11"/>
        <color theme="1"/>
        <rFont val="Calibri"/>
        <family val="2"/>
        <scheme val="minor"/>
      </rPr>
      <t>ALMACEN DE PRODUCTOS TERMINADOS</t>
    </r>
    <r>
      <rPr>
        <sz val="11"/>
        <color theme="1"/>
        <rFont val="Calibri"/>
        <family val="2"/>
        <scheme val="minor"/>
      </rPr>
      <t xml:space="preserve"> </t>
    </r>
  </si>
  <si>
    <t>PIPA DE ALMACEN DE PRODUCTOS TERMINADOS1</t>
  </si>
  <si>
    <t>PIPA DE ALMACEN DE PRODUCTOS TERMINADOS2</t>
  </si>
  <si>
    <t xml:space="preserve">ESTANTE DE ALMACEN DE PRODUCTOS TERMINADOS </t>
  </si>
  <si>
    <t xml:space="preserve">CESTAS PLASTICAS DE ALMACEN </t>
  </si>
  <si>
    <t>MOLINO 1</t>
  </si>
  <si>
    <t>MOLINO 2</t>
  </si>
  <si>
    <t>INVENTARIO DE CRUZ ROJA</t>
  </si>
  <si>
    <t>CONDICION</t>
  </si>
  <si>
    <t>INVENTARIO DE HERRAMIENTAS Y EQUIPOS DE PRODUCCION</t>
  </si>
  <si>
    <t>PALETAS DE MADERA</t>
  </si>
  <si>
    <t>CARRUCHAS DOS RUEDAS DE GOMAS</t>
  </si>
  <si>
    <t>PALAS</t>
  </si>
  <si>
    <t>BRAGA DE TELA</t>
  </si>
  <si>
    <t xml:space="preserve">PROTECTORES AUDITIVOS </t>
  </si>
  <si>
    <t xml:space="preserve">DELANTALES DE TELA </t>
  </si>
  <si>
    <t>TAPABOCAS NEGROS</t>
  </si>
  <si>
    <t>PERSONNA</t>
  </si>
  <si>
    <t>PROLIFE</t>
  </si>
  <si>
    <t>MORADO</t>
  </si>
  <si>
    <t>VERDE</t>
  </si>
  <si>
    <t>TRANSPARENTES</t>
  </si>
  <si>
    <t>NEGRO</t>
  </si>
  <si>
    <t>VERDE / AMARRILLO</t>
  </si>
  <si>
    <t>MARRONES</t>
  </si>
  <si>
    <t xml:space="preserve">INVENTARIO DE ALMACEN DE EQUIPOS DE SEGURIDAD INDUSTRIAL EN PLANTA </t>
  </si>
  <si>
    <t xml:space="preserve">DELANTALES DE TELA  </t>
  </si>
  <si>
    <t>TAPABOCAS CHS+</t>
  </si>
  <si>
    <t>AESIP-B-BT</t>
  </si>
  <si>
    <t>AESIP-C-LS</t>
  </si>
  <si>
    <t>AESIP-C-PA</t>
  </si>
  <si>
    <t>AESIP-C-TN</t>
  </si>
  <si>
    <t>AESIP-D-DT</t>
  </si>
  <si>
    <t>AESIP-D-GT</t>
  </si>
  <si>
    <t>IPEESI-DT</t>
  </si>
  <si>
    <t>IPEESI-MA</t>
  </si>
  <si>
    <t>IPEESI-TN</t>
  </si>
  <si>
    <t>IPEESI-GT</t>
  </si>
  <si>
    <t>IPEESI-BS</t>
  </si>
  <si>
    <t>IPEESI-LS</t>
  </si>
  <si>
    <t>IPEESI-PA</t>
  </si>
  <si>
    <t xml:space="preserve">TOTAL </t>
  </si>
  <si>
    <t>NOTA: CODIGO= XXX-XX   =INVENTARIO EN PLANTA ENTREGADOS DE EQUIPOS DE SEGURIDAD INDUSTRIAL-EQUIPO (CASCOS C)</t>
  </si>
  <si>
    <t xml:space="preserve">MAQUINA EMPACADORA DEL CAL LIQUIDA </t>
  </si>
  <si>
    <t xml:space="preserve">MAQUINA EMPACADORA DE LIQUIDOS </t>
  </si>
  <si>
    <t xml:space="preserve">MAQUINA EMPACADORA DE SUPER PLASTIFICANTE </t>
  </si>
  <si>
    <t xml:space="preserve">MAQUINA EMPACADORA DE POLVO DE BAJO PESO </t>
  </si>
  <si>
    <t>MAQUINA EMPACADORA DE POLVO MEDIANO PESO</t>
  </si>
  <si>
    <t xml:space="preserve">MAQUINA EMPACADORA DE POLVO DE ALTO PESO </t>
  </si>
  <si>
    <t xml:space="preserve">MAQUINA SELLADORA DEL POLVO 50cm </t>
  </si>
  <si>
    <t xml:space="preserve">TROMPO MEZCLADOR PEQUEÑO </t>
  </si>
  <si>
    <t xml:space="preserve">TROMPO MEZCLADOR GRANDE </t>
  </si>
  <si>
    <t>ESCRITORIO DE PASAJE Y EMBAJE</t>
  </si>
  <si>
    <t>SILLA OPERADOR 1</t>
  </si>
  <si>
    <t>SILLA OPERADOR 3</t>
  </si>
  <si>
    <t>SILLA OPERADOR 2</t>
  </si>
  <si>
    <t xml:space="preserve">SILO PORTATIL DE ALMACENAMIENTO </t>
  </si>
  <si>
    <t>EP-AL-MECH</t>
  </si>
  <si>
    <t xml:space="preserve"> EP-AP-MSM</t>
  </si>
  <si>
    <t>EP-AM-MC</t>
  </si>
  <si>
    <t>EP-AL-SO3</t>
  </si>
  <si>
    <t>LOCKER GRANDE</t>
  </si>
  <si>
    <t>LOCKER 1</t>
  </si>
  <si>
    <t>LOCKER 2</t>
  </si>
  <si>
    <t>AESIP-A-CS</t>
  </si>
  <si>
    <t>CASCO DE SEGURIDAD</t>
  </si>
  <si>
    <t xml:space="preserve">VERDE </t>
  </si>
  <si>
    <t>BRAGA DESECHABLE</t>
  </si>
  <si>
    <t>NUEVO 100%</t>
  </si>
  <si>
    <t>NOTA: CODIGO= XXXXX-X-XX = ALMACEN DE EQUIPO DE SEGURIDAD INDUSTRIAL - UBICACIÓN (A,B,C Y D...) - EQUIPO (LENTES DE SEGURIDAD)</t>
  </si>
  <si>
    <t>AESIP-B-CL</t>
  </si>
  <si>
    <t>CAMISA MANGA LARGA</t>
  </si>
  <si>
    <t>AESIP-C-MA</t>
  </si>
  <si>
    <t>NUEVOS 100%</t>
  </si>
  <si>
    <t>AESIP-D-CM</t>
  </si>
  <si>
    <t>NEGRO/AZUL/VERDE</t>
  </si>
  <si>
    <t>PRETUL</t>
  </si>
  <si>
    <t>CARTUCHO DE MASCARILLA ANTI-POLVO</t>
  </si>
  <si>
    <t>SAGA</t>
  </si>
  <si>
    <t>M3</t>
  </si>
  <si>
    <t>AESIP-C-BS</t>
  </si>
  <si>
    <t>INVENTARIO EN PLANTA ENTREGADOS, EQUIPOS DE SEGURIDAD INDUSTRIAL</t>
  </si>
  <si>
    <t>IPEESI-CS</t>
  </si>
  <si>
    <t>AESIP-D-CC</t>
  </si>
  <si>
    <t>IPEESI-CL</t>
  </si>
  <si>
    <t>CAMISAS MANGA LARGA</t>
  </si>
  <si>
    <t>IPEESI-TC</t>
  </si>
  <si>
    <t>AESIP-D-TC</t>
  </si>
  <si>
    <t>USADOS 50%</t>
  </si>
  <si>
    <t>USADO 75%</t>
  </si>
  <si>
    <t>VERDE/AMARRILLO</t>
  </si>
  <si>
    <t>GUANTES PVC</t>
  </si>
  <si>
    <t>IPEESI-GP</t>
  </si>
  <si>
    <t>ROJO</t>
  </si>
  <si>
    <t>USADOS 75%</t>
  </si>
  <si>
    <t>PVC</t>
  </si>
  <si>
    <t>AESIP-B-BD</t>
  </si>
  <si>
    <t>MASCARILLA ANTIPOLVO CON 1(UN) FILTRO</t>
  </si>
  <si>
    <t>GENERICA</t>
  </si>
  <si>
    <t>USADO 70%</t>
  </si>
  <si>
    <t>LENTES DE SEGURIDAD - MONOLENTES</t>
  </si>
  <si>
    <t>BOTAS DE SEGURIDAD  - TALLA 39</t>
  </si>
  <si>
    <t>MEMBRANAS DE GOMA ESPUMA PARA FITROS DE POLVO UND.</t>
  </si>
  <si>
    <t>MEMBRANAS DE FELPUDO COMPRIMIDO PARA FITROS DE POLVO UND.</t>
  </si>
  <si>
    <t>AESIP-D-MG</t>
  </si>
  <si>
    <t>AESIP-D-MF</t>
  </si>
  <si>
    <t>GUANTES DE TELA CON LATEX</t>
  </si>
  <si>
    <t>FRANELA CHS+ TALLA "S"</t>
  </si>
  <si>
    <t>MASCARILLA ANTIPOLVO CON 2(DOS) FILTRO</t>
  </si>
  <si>
    <t>FRANELAS CHS+</t>
  </si>
  <si>
    <t>GUANTES DE TELA - LATEX</t>
  </si>
  <si>
    <t>GENERICO</t>
  </si>
  <si>
    <t>HEP-AME</t>
  </si>
  <si>
    <t>HEP-ABT-LG</t>
  </si>
  <si>
    <t>HEP-ABT</t>
  </si>
  <si>
    <t>HEP-ABT-L1</t>
  </si>
  <si>
    <t>HEP-ABT-L2</t>
  </si>
  <si>
    <t>HEP-APT-PA1</t>
  </si>
  <si>
    <t>HEP-APT-PA2</t>
  </si>
  <si>
    <t>HEP-APT-EA</t>
  </si>
  <si>
    <t>HEP-APT-CP</t>
  </si>
  <si>
    <t>HEP-APT-PM</t>
  </si>
  <si>
    <t>PIPA DE AREA DE DOSIFICACION SACOS</t>
  </si>
  <si>
    <t>PIPA DE AREA DE DOSIFICACION 1 GRAVA</t>
  </si>
  <si>
    <t>HPO-CH-</t>
  </si>
  <si>
    <t>HPO-CH-MG</t>
  </si>
  <si>
    <t>HPO-CH-DE</t>
  </si>
  <si>
    <t xml:space="preserve">CAJA DE HERRAMIENTAS CON SEGURO METALICO </t>
  </si>
  <si>
    <t xml:space="preserve">CABEZAL DE CEPILLO </t>
  </si>
  <si>
    <t>DESTORNILLADOR ESTRIAS</t>
  </si>
  <si>
    <t xml:space="preserve">TIJERA GANDE DE METAL </t>
  </si>
  <si>
    <t xml:space="preserve">CASCOS DE SEGURIDAD </t>
  </si>
  <si>
    <t>CASCOS DE SEGURIDAD TOTAL</t>
  </si>
  <si>
    <t>USADO 80%</t>
  </si>
  <si>
    <t>USADOS 80%</t>
  </si>
  <si>
    <t>IPEESI-FC</t>
  </si>
  <si>
    <t>BOTAS DE SEGURIDAD TALLA "40,41,44"</t>
  </si>
  <si>
    <t>TUMA</t>
  </si>
  <si>
    <t>1. AREA DE ALMACEN DE MATERIAS PRIMAS</t>
  </si>
  <si>
    <t>DATO: XXX-XXX-XX CODIGO= HERRAMIENTAS Y EQUIPOS DE PRODUCCION-UBICACIÓN (AREA)-HERRAMIENTA Ò EQUIPO</t>
  </si>
  <si>
    <t>HEP-AMP</t>
  </si>
  <si>
    <t>1.1  AREA DE ALMACEN DE MATERIAS PRIMAS EN SACOS</t>
  </si>
  <si>
    <t>PALETAS DE MADERAS</t>
  </si>
  <si>
    <t xml:space="preserve">SI </t>
  </si>
  <si>
    <t>HEP-AMPS-PM</t>
  </si>
  <si>
    <t>HEP-AMPS-AE</t>
  </si>
  <si>
    <t xml:space="preserve">ALMACEN DE ESTILOSA </t>
  </si>
  <si>
    <t>CESTAS PLASTICAS</t>
  </si>
  <si>
    <t>HEP-AMPS-CP</t>
  </si>
  <si>
    <t xml:space="preserve">EQUIPO CERNIDOR DE MATERIAS PRIMAS </t>
  </si>
  <si>
    <t>HEP-AMPS-CT</t>
  </si>
  <si>
    <t>HEP-AMPS-CD</t>
  </si>
  <si>
    <t>HEP-AMPS-P</t>
  </si>
  <si>
    <t>HEP-AMPS-EC</t>
  </si>
  <si>
    <t>HEP-AMP-EC</t>
  </si>
  <si>
    <t>HEP-AMP-PD1</t>
  </si>
  <si>
    <t>HEP-AMP-PD2</t>
  </si>
  <si>
    <t>HEP-AMP-M1</t>
  </si>
  <si>
    <t>HEP-AMP-M2</t>
  </si>
  <si>
    <t>HEP-AMPS-CM</t>
  </si>
  <si>
    <t>CESTAS PLASTICAS DE MATERIAS PRIMAS</t>
  </si>
  <si>
    <t>HEP-AMPS-MP1</t>
  </si>
  <si>
    <t>HEP-AMPS-MP2</t>
  </si>
  <si>
    <t>HEP-AMPS-MP3</t>
  </si>
  <si>
    <t>HEP-AMPS-MP4/5</t>
  </si>
  <si>
    <t>HEP-AMPS-MP6/7</t>
  </si>
  <si>
    <t>HEP-AMP-CM</t>
  </si>
  <si>
    <t>CERNIDORA  MEDIANA</t>
  </si>
  <si>
    <t>HEP-AMPSL</t>
  </si>
  <si>
    <t>HEP-ATH</t>
  </si>
  <si>
    <t>HEP-ATH-MT</t>
  </si>
  <si>
    <t>HEP-ATH-CH</t>
  </si>
  <si>
    <t>HEP-ATH-CP</t>
  </si>
  <si>
    <t>HEP-ATH-MG</t>
  </si>
  <si>
    <t>HEP-ATH-DP</t>
  </si>
  <si>
    <t>HEP-ATH-DE</t>
  </si>
  <si>
    <t>HEP-ATH-EM</t>
  </si>
  <si>
    <t>HEP-ATH-TG</t>
  </si>
  <si>
    <t>HEP-ATH-PP</t>
  </si>
  <si>
    <t>HEP-ATH-AP</t>
  </si>
  <si>
    <t>HEP-ATH-CE</t>
  </si>
  <si>
    <t>HEP-ATH-B2</t>
  </si>
  <si>
    <t>HEP-ATH-LC</t>
  </si>
  <si>
    <t>HEP-ATH-LL</t>
  </si>
  <si>
    <t>BANQUITO</t>
  </si>
  <si>
    <t>EMPACADORA A ALTO PESO-POLVO</t>
  </si>
  <si>
    <t>EMPACADORA BAJO PESO-POLVO</t>
  </si>
  <si>
    <t>EMPACADORA MEDIANO PESO-POLVO</t>
  </si>
  <si>
    <t>EMPACADORA LIQUIDOS</t>
  </si>
  <si>
    <t>HEP-AME-MZ</t>
  </si>
  <si>
    <t>HEP-AME-EA</t>
  </si>
  <si>
    <t>HEP-AME-SA</t>
  </si>
  <si>
    <t>HEP-AME-ES</t>
  </si>
  <si>
    <t>HEP-AME-MA</t>
  </si>
  <si>
    <t>MESA DE AREA MEZCLADO Y EMPAQUE</t>
  </si>
  <si>
    <t>HEP-AME-BQ</t>
  </si>
  <si>
    <t>HEP-AME-EM</t>
  </si>
  <si>
    <t>HEP-AME-EB</t>
  </si>
  <si>
    <t>HEP-AME-EL</t>
  </si>
  <si>
    <t>HEP-ALLP-</t>
  </si>
  <si>
    <t>MESA DE AREA DE LLENADO DE PLASTIFICANTE</t>
  </si>
  <si>
    <t xml:space="preserve">CESTAS PLASTICAS DE ALMACEN DE BOLSAS TERMINADAS </t>
  </si>
  <si>
    <t>HEP-ABT-CB</t>
  </si>
  <si>
    <t>SELLADORA PEQUEÑA (GENERAL)</t>
  </si>
  <si>
    <t>PESO PEQUEÑO (GENERAL)</t>
  </si>
  <si>
    <t>HEP-ALLP-SP</t>
  </si>
  <si>
    <t>HEP-ALLP-CP</t>
  </si>
  <si>
    <t>HEP-ALLP-MP</t>
  </si>
  <si>
    <t>HEP-ALLP-MP6</t>
  </si>
  <si>
    <t>HEP-ALLP-EM</t>
  </si>
  <si>
    <t>HEP-ALLP-PP</t>
  </si>
  <si>
    <t>HEP-ALLP- EG</t>
  </si>
  <si>
    <t>EMBUDO DE MILILITROS (GENERAL)</t>
  </si>
  <si>
    <t>MEDIDA DE PLASTIFICANTE 60CC (GENERAL)</t>
  </si>
  <si>
    <t>MEDIDA DE PLASTIFICANTE 120CC (GENERAL)</t>
  </si>
  <si>
    <t>COLADOR PEQUEÑO (GENERAL)</t>
  </si>
  <si>
    <t>EMBUDO GRANDE (GENERAL)</t>
  </si>
  <si>
    <t>1.2AREA DE ALMACEN DE MATERIAS PRIMAS EN SILOS</t>
  </si>
  <si>
    <t xml:space="preserve">2. AREA DE TALLER Y HERRAMIENTAS </t>
  </si>
  <si>
    <t xml:space="preserve">3. AREA DE MEZCLADO Y EMPAQUE </t>
  </si>
  <si>
    <t>4. AREA DE LLENADO DE PLASTIFICANTE EN BOLSAS</t>
  </si>
  <si>
    <t>5. ALMACEN DE BOLSAS TERMINADAS</t>
  </si>
  <si>
    <t>MT100 / MP100</t>
  </si>
  <si>
    <r>
      <rPr>
        <b/>
        <sz val="11"/>
        <color theme="1"/>
        <rFont val="Calibri"/>
        <family val="2"/>
        <scheme val="minor"/>
      </rPr>
      <t>PP-</t>
    </r>
    <r>
      <rPr>
        <sz val="11"/>
        <color theme="1"/>
        <rFont val="Calibri"/>
        <family val="2"/>
        <scheme val="minor"/>
      </rPr>
      <t xml:space="preserve">PASTA EN POLVO PLUS </t>
    </r>
  </si>
  <si>
    <r>
      <rPr>
        <b/>
        <sz val="11"/>
        <color theme="1"/>
        <rFont val="Calibri"/>
        <family val="2"/>
        <scheme val="minor"/>
      </rPr>
      <t>PP-</t>
    </r>
    <r>
      <rPr>
        <sz val="11"/>
        <color theme="1"/>
        <rFont val="Calibri"/>
        <family val="2"/>
        <scheme val="minor"/>
      </rPr>
      <t xml:space="preserve"> PEGO PREMIUM  GRIS</t>
    </r>
  </si>
  <si>
    <t>PP7-7KG=</t>
  </si>
  <si>
    <t>PP10- 10KG=</t>
  </si>
  <si>
    <t>PP15- 15KG=</t>
  </si>
  <si>
    <t>PPB15- 15KG=</t>
  </si>
  <si>
    <r>
      <rPr>
        <b/>
        <sz val="11"/>
        <color theme="1"/>
        <rFont val="Calibri"/>
        <family val="2"/>
        <scheme val="minor"/>
      </rPr>
      <t>MZ-</t>
    </r>
    <r>
      <rPr>
        <sz val="11"/>
        <color theme="1"/>
        <rFont val="Calibri"/>
        <family val="2"/>
        <scheme val="minor"/>
      </rPr>
      <t xml:space="preserve"> MEZCLILLA  PREMIUM</t>
    </r>
  </si>
  <si>
    <r>
      <rPr>
        <b/>
        <sz val="11"/>
        <color theme="1"/>
        <rFont val="Calibri"/>
        <family val="2"/>
        <scheme val="minor"/>
      </rPr>
      <t xml:space="preserve">PPB- </t>
    </r>
    <r>
      <rPr>
        <sz val="11"/>
        <color theme="1"/>
        <rFont val="Calibri"/>
        <family val="2"/>
        <scheme val="minor"/>
      </rPr>
      <t xml:space="preserve">PEGO BLANCO PREMIUM </t>
    </r>
  </si>
  <si>
    <r>
      <rPr>
        <b/>
        <sz val="11"/>
        <color theme="1"/>
        <rFont val="Calibri"/>
        <family val="2"/>
        <scheme val="minor"/>
      </rPr>
      <t xml:space="preserve">PPL- </t>
    </r>
    <r>
      <rPr>
        <sz val="11"/>
        <color theme="1"/>
        <rFont val="Calibri"/>
        <family val="2"/>
        <scheme val="minor"/>
      </rPr>
      <t>PEGA PLUS 15KG</t>
    </r>
  </si>
  <si>
    <r>
      <rPr>
        <b/>
        <sz val="11"/>
        <color theme="1"/>
        <rFont val="Calibri"/>
        <family val="2"/>
        <scheme val="minor"/>
      </rPr>
      <t>CP-</t>
    </r>
    <r>
      <rPr>
        <sz val="11"/>
        <color theme="1"/>
        <rFont val="Calibri"/>
        <family val="2"/>
        <scheme val="minor"/>
      </rPr>
      <t>CONCRE PLUS 15KG</t>
    </r>
  </si>
  <si>
    <r>
      <rPr>
        <b/>
        <sz val="11"/>
        <color theme="1"/>
        <rFont val="Calibri"/>
        <family val="2"/>
        <scheme val="minor"/>
      </rPr>
      <t>EH-</t>
    </r>
    <r>
      <rPr>
        <sz val="11"/>
        <color theme="1"/>
        <rFont val="Calibri"/>
        <family val="2"/>
        <scheme val="minor"/>
      </rPr>
      <t>STYLOSA HIDROXIETIL (85 Gr)</t>
    </r>
  </si>
  <si>
    <t>CP15-15KG=</t>
  </si>
  <si>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STYLOSA BLANCA TIPO "A" (50 Gr)</t>
    </r>
  </si>
  <si>
    <r>
      <rPr>
        <b/>
        <sz val="11"/>
        <color theme="1"/>
        <rFont val="Calibri"/>
        <family val="2"/>
        <scheme val="minor"/>
      </rPr>
      <t>BR-</t>
    </r>
    <r>
      <rPr>
        <sz val="11"/>
        <color theme="1"/>
        <rFont val="Calibri"/>
        <family val="2"/>
        <scheme val="minor"/>
      </rPr>
      <t>BASE RENDIDORA PARA PINTURA EN POLVO (1,25 Kg)</t>
    </r>
  </si>
  <si>
    <r>
      <rPr>
        <b/>
        <sz val="11"/>
        <color theme="1"/>
        <rFont val="Calibri"/>
        <family val="2"/>
        <scheme val="minor"/>
      </rPr>
      <t>CBP-</t>
    </r>
    <r>
      <rPr>
        <sz val="11"/>
        <color theme="1"/>
        <rFont val="Calibri"/>
        <family val="2"/>
        <scheme val="minor"/>
      </rPr>
      <t>CEMENTO BLANCO PREPARADO  1KG</t>
    </r>
  </si>
  <si>
    <t>CB1-1KG=</t>
  </si>
  <si>
    <t>YN1-1KG=</t>
  </si>
  <si>
    <r>
      <rPr>
        <b/>
        <sz val="11"/>
        <color theme="1"/>
        <rFont val="Calibri"/>
        <family val="2"/>
        <scheme val="minor"/>
      </rPr>
      <t>YN-</t>
    </r>
    <r>
      <rPr>
        <sz val="11"/>
        <color theme="1"/>
        <rFont val="Calibri"/>
        <family val="2"/>
        <scheme val="minor"/>
      </rPr>
      <t>YESO NACIONAL DE 1 KG</t>
    </r>
  </si>
  <si>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CAL HIDRATADA 1kg</t>
    </r>
  </si>
  <si>
    <t>CH1-1KG=</t>
  </si>
  <si>
    <t>CLP1- 5KG=</t>
  </si>
  <si>
    <r>
      <rPr>
        <b/>
        <sz val="11"/>
        <color theme="1"/>
        <rFont val="Calibri"/>
        <family val="2"/>
        <scheme val="minor"/>
      </rPr>
      <t>CLP-</t>
    </r>
    <r>
      <rPr>
        <sz val="11"/>
        <color theme="1"/>
        <rFont val="Calibri"/>
        <family val="2"/>
        <scheme val="minor"/>
      </rPr>
      <t>CAL HIDRATADA LIQUIDA</t>
    </r>
  </si>
  <si>
    <r>
      <rPr>
        <b/>
        <sz val="11"/>
        <color theme="1"/>
        <rFont val="Calibri"/>
        <family val="2"/>
        <scheme val="minor"/>
      </rPr>
      <t>TI-</t>
    </r>
    <r>
      <rPr>
        <sz val="11"/>
        <color theme="1"/>
        <rFont val="Calibri"/>
        <family val="2"/>
        <scheme val="minor"/>
      </rPr>
      <t>TALCO INDUSTRIAL</t>
    </r>
  </si>
  <si>
    <r>
      <rPr>
        <b/>
        <sz val="11"/>
        <color theme="1"/>
        <rFont val="Calibri"/>
        <family val="2"/>
        <scheme val="minor"/>
      </rPr>
      <t>IP-</t>
    </r>
    <r>
      <rPr>
        <sz val="11"/>
        <color theme="1"/>
        <rFont val="Calibri"/>
        <family val="2"/>
        <scheme val="minor"/>
      </rPr>
      <t>IMPERMEABILIZANTE EN POLVO PLUS (120CC + 450Gr)</t>
    </r>
  </si>
  <si>
    <t>IP450- 0,45KG=</t>
  </si>
  <si>
    <r>
      <rPr>
        <b/>
        <sz val="11"/>
        <color theme="1"/>
        <rFont val="Calibri"/>
        <family val="2"/>
        <scheme val="minor"/>
      </rPr>
      <t>PIP-</t>
    </r>
    <r>
      <rPr>
        <sz val="11"/>
        <color theme="1"/>
        <rFont val="Calibri"/>
        <family val="2"/>
        <scheme val="minor"/>
      </rPr>
      <t>PINTURA IMPERMEABLE PARA CONCRETOS (10KG)</t>
    </r>
  </si>
  <si>
    <t>PIP10- 10KG=</t>
  </si>
  <si>
    <r>
      <rPr>
        <b/>
        <sz val="11"/>
        <color theme="1"/>
        <rFont val="Calibri"/>
        <family val="2"/>
        <scheme val="minor"/>
      </rPr>
      <t>EG-</t>
    </r>
    <r>
      <rPr>
        <sz val="11"/>
        <color theme="1"/>
        <rFont val="Calibri"/>
        <family val="2"/>
        <scheme val="minor"/>
      </rPr>
      <t>ESTUCO GRIS (12KG)</t>
    </r>
  </si>
  <si>
    <t>EG12- 12KG=</t>
  </si>
  <si>
    <t>PROD/2PER.-8HRS</t>
  </si>
  <si>
    <t>SIKA 101 MORTERO</t>
  </si>
  <si>
    <t xml:space="preserve">                  DOSIS Y PARAMETROS DE CONTROL</t>
  </si>
  <si>
    <t>en el Proceso de Producción</t>
  </si>
  <si>
    <r>
      <t xml:space="preserve">PARAMETROS DE </t>
    </r>
    <r>
      <rPr>
        <b/>
        <sz val="18"/>
        <rFont val="Calibri"/>
        <family val="2"/>
        <scheme val="minor"/>
      </rPr>
      <t>CALIDAD</t>
    </r>
    <r>
      <rPr>
        <b/>
        <sz val="11"/>
        <rFont val="Calibri"/>
        <family val="2"/>
        <scheme val="minor"/>
      </rPr>
      <t xml:space="preserve"> EN PROCESO DE PRODUCCION</t>
    </r>
  </si>
  <si>
    <r>
      <rPr>
        <b/>
        <sz val="8"/>
        <color theme="0"/>
        <rFont val="Calibri"/>
        <family val="2"/>
        <scheme val="minor"/>
      </rPr>
      <t xml:space="preserve">PARAMETROS </t>
    </r>
    <r>
      <rPr>
        <b/>
        <sz val="14"/>
        <color theme="0"/>
        <rFont val="Calibri"/>
        <family val="2"/>
        <scheme val="minor"/>
      </rPr>
      <t xml:space="preserve">CANT. </t>
    </r>
    <r>
      <rPr>
        <b/>
        <sz val="11"/>
        <color theme="0"/>
        <rFont val="Calibri"/>
        <family val="2"/>
        <scheme val="minor"/>
      </rPr>
      <t>Y</t>
    </r>
    <r>
      <rPr>
        <b/>
        <sz val="14"/>
        <color theme="0"/>
        <rFont val="Calibri"/>
        <family val="2"/>
        <scheme val="minor"/>
      </rPr>
      <t xml:space="preserve"> RENDIM</t>
    </r>
    <r>
      <rPr>
        <b/>
        <sz val="11"/>
        <color theme="0"/>
        <rFont val="Calibri"/>
        <family val="2"/>
        <scheme val="minor"/>
      </rPr>
      <t>.</t>
    </r>
  </si>
  <si>
    <t>PRODUCTO</t>
  </si>
  <si>
    <t>FORMULACION-MAT. PRIMAS</t>
  </si>
  <si>
    <t>PARAMETROS DE CALIDAD</t>
  </si>
  <si>
    <t>CANT. CARGA. (UND)</t>
  </si>
  <si>
    <r>
      <t>PROM/HR</t>
    </r>
    <r>
      <rPr>
        <b/>
        <sz val="8"/>
        <rFont val="Calibri"/>
        <family val="2"/>
        <scheme val="minor"/>
      </rPr>
      <t xml:space="preserve"> (2PER.)</t>
    </r>
  </si>
  <si>
    <t>Dos</t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</si>
  <si>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98 a 102grs                                </t>
    </r>
    <r>
      <rPr>
        <b/>
        <sz val="9"/>
        <color theme="1"/>
        <rFont val="Calibri"/>
        <family val="2"/>
        <scheme val="minor"/>
      </rPr>
      <t>2) SELLADO:</t>
    </r>
    <r>
      <rPr>
        <sz val="9"/>
        <color theme="1"/>
        <rFont val="Calibri"/>
        <family val="2"/>
        <scheme val="minor"/>
      </rPr>
      <t xml:space="preserve"> Uniforme </t>
    </r>
    <r>
      <rPr>
        <b/>
        <sz val="9"/>
        <color theme="1"/>
        <rFont val="Calibri"/>
        <family val="2"/>
        <scheme val="minor"/>
      </rPr>
      <t xml:space="preserve">3)EMPAQUE: </t>
    </r>
    <r>
      <rPr>
        <sz val="9"/>
        <color theme="1"/>
        <rFont val="Calibri"/>
        <family val="2"/>
        <scheme val="minor"/>
      </rPr>
      <t xml:space="preserve">Etiq./sin Agujero    </t>
    </r>
  </si>
  <si>
    <r>
      <rPr>
        <b/>
        <sz val="11"/>
        <rFont val="Calibri"/>
        <family val="2"/>
        <scheme val="minor"/>
      </rPr>
      <t>MT100=                  100</t>
    </r>
    <r>
      <rPr>
        <sz val="11"/>
        <rFont val="Calibri"/>
        <family val="2"/>
        <scheme val="minor"/>
      </rPr>
      <t xml:space="preserve"> </t>
    </r>
  </si>
  <si>
    <r>
      <t xml:space="preserve">2: </t>
    </r>
    <r>
      <rPr>
        <b/>
        <sz val="10"/>
        <color theme="1"/>
        <rFont val="Calibri"/>
        <family val="2"/>
        <scheme val="minor"/>
      </rPr>
      <t>MICRO FIBRA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</si>
  <si>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98 a 102grs,                               </t>
    </r>
    <r>
      <rPr>
        <b/>
        <sz val="9"/>
        <color theme="1"/>
        <rFont val="Calibri"/>
        <family val="2"/>
        <scheme val="minor"/>
      </rPr>
      <t>2) 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 xml:space="preserve">3)EMPAQUE: </t>
    </r>
    <r>
      <rPr>
        <sz val="9"/>
        <color theme="1"/>
        <rFont val="Calibri"/>
        <family val="2"/>
        <scheme val="minor"/>
      </rPr>
      <t xml:space="preserve">Etiq./sin Agujero    </t>
    </r>
  </si>
  <si>
    <t>MP100=                   100</t>
  </si>
  <si>
    <r>
      <t xml:space="preserve">3: </t>
    </r>
    <r>
      <rPr>
        <b/>
        <sz val="10"/>
        <color theme="1"/>
        <rFont val="Calibri"/>
        <family val="2"/>
        <scheme val="minor"/>
      </rPr>
      <t>ESTILOSA AM.</t>
    </r>
  </si>
  <si>
    <r>
      <rPr>
        <b/>
        <sz val="11"/>
        <color theme="1"/>
        <rFont val="Calibri"/>
        <family val="2"/>
        <scheme val="minor"/>
      </rPr>
      <t xml:space="preserve">EH- </t>
    </r>
    <r>
      <rPr>
        <sz val="11"/>
        <color theme="1"/>
        <rFont val="Calibri"/>
        <family val="2"/>
        <scheme val="minor"/>
      </rPr>
      <t>Stylosa Amarilla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</si>
  <si>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theme="1"/>
        <rFont val="Calibri"/>
        <family val="2"/>
        <scheme val="minor"/>
      </rPr>
      <t>EH</t>
    </r>
    <r>
      <rPr>
        <sz val="9"/>
        <color theme="1"/>
        <rFont val="Calibri"/>
        <family val="2"/>
        <scheme val="minor"/>
      </rPr>
      <t xml:space="preserve">(0,83 a 0,87Kg)/ </t>
    </r>
    <r>
      <rPr>
        <u/>
        <sz val="9"/>
        <color theme="1"/>
        <rFont val="Calibri"/>
        <family val="2"/>
        <scheme val="minor"/>
      </rPr>
      <t>SB</t>
    </r>
    <r>
      <rPr>
        <sz val="9"/>
        <color theme="1"/>
        <rFont val="Calibri"/>
        <family val="2"/>
        <scheme val="minor"/>
      </rPr>
      <t xml:space="preserve">(0,49 a 0,51Kg.) ,                      </t>
    </r>
    <r>
      <rPr>
        <b/>
        <sz val="9"/>
        <color theme="1"/>
        <rFont val="Calibri"/>
        <family val="2"/>
        <scheme val="minor"/>
      </rPr>
      <t>2) SELL.:</t>
    </r>
    <r>
      <rPr>
        <sz val="9"/>
        <color theme="1"/>
        <rFont val="Calibri"/>
        <family val="2"/>
        <scheme val="minor"/>
      </rPr>
      <t xml:space="preserve"> Unif.,  </t>
    </r>
    <r>
      <rPr>
        <b/>
        <sz val="9"/>
        <color theme="1"/>
        <rFont val="Calibri"/>
        <family val="2"/>
        <scheme val="minor"/>
      </rPr>
      <t xml:space="preserve">3)EMP: </t>
    </r>
    <r>
      <rPr>
        <sz val="9"/>
        <color theme="1"/>
        <rFont val="Calibri"/>
        <family val="2"/>
        <scheme val="minor"/>
      </rPr>
      <t xml:space="preserve">Etiq./sin Agujero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#0</t>
    </r>
  </si>
  <si>
    <r>
      <t>EH85-</t>
    </r>
    <r>
      <rPr>
        <sz val="11"/>
        <rFont val="Calibri"/>
        <family val="2"/>
        <scheme val="minor"/>
      </rPr>
      <t>85Gr=</t>
    </r>
  </si>
  <si>
    <r>
      <rPr>
        <sz val="10"/>
        <color theme="1"/>
        <rFont val="Calibri"/>
        <family val="2"/>
        <scheme val="minor"/>
      </rPr>
      <t>4:</t>
    </r>
    <r>
      <rPr>
        <b/>
        <sz val="10"/>
        <color theme="1"/>
        <rFont val="Calibri"/>
        <family val="2"/>
        <scheme val="minor"/>
      </rPr>
      <t xml:space="preserve"> ESTILOSA BL.</t>
    </r>
  </si>
  <si>
    <r>
      <t>SB50-</t>
    </r>
    <r>
      <rPr>
        <sz val="11"/>
        <rFont val="Calibri"/>
        <family val="2"/>
        <scheme val="minor"/>
      </rPr>
      <t>50Gr=</t>
    </r>
  </si>
  <si>
    <r>
      <t xml:space="preserve">5: </t>
    </r>
    <r>
      <rPr>
        <b/>
        <sz val="10"/>
        <color theme="1"/>
        <rFont val="Calibri"/>
        <family val="2"/>
        <scheme val="minor"/>
      </rPr>
      <t>YESO NACIONAL</t>
    </r>
  </si>
  <si>
    <r>
      <rPr>
        <b/>
        <sz val="9"/>
        <color theme="1"/>
        <rFont val="Calibri"/>
        <family val="2"/>
        <scheme val="minor"/>
      </rPr>
      <t>1) PESO</t>
    </r>
    <r>
      <rPr>
        <sz val="9"/>
        <color theme="1"/>
        <rFont val="Calibri"/>
        <family val="2"/>
        <scheme val="minor"/>
      </rPr>
      <t xml:space="preserve">: </t>
    </r>
    <r>
      <rPr>
        <u/>
        <sz val="9"/>
        <color theme="1"/>
        <rFont val="Calibri"/>
        <family val="2"/>
        <scheme val="minor"/>
      </rPr>
      <t>YN1</t>
    </r>
    <r>
      <rPr>
        <sz val="9"/>
        <color theme="1"/>
        <rFont val="Calibri"/>
        <family val="2"/>
        <scheme val="minor"/>
      </rPr>
      <t xml:space="preserve">(0,97 a 1,03Kg)                               </t>
    </r>
    <r>
      <rPr>
        <b/>
        <sz val="9"/>
        <color theme="1"/>
        <rFont val="Calibri"/>
        <family val="2"/>
        <scheme val="minor"/>
      </rPr>
      <t>2) SELLADO</t>
    </r>
    <r>
      <rPr>
        <sz val="9"/>
        <color theme="1"/>
        <rFont val="Calibri"/>
        <family val="2"/>
        <scheme val="minor"/>
      </rPr>
      <t xml:space="preserve">: Uniforme, </t>
    </r>
    <r>
      <rPr>
        <b/>
        <sz val="9"/>
        <color theme="1"/>
        <rFont val="Calibri"/>
        <family val="2"/>
        <scheme val="minor"/>
      </rPr>
      <t>3)EMPAQUE</t>
    </r>
    <r>
      <rPr>
        <sz val="9"/>
        <color theme="1"/>
        <rFont val="Calibri"/>
        <family val="2"/>
        <scheme val="minor"/>
      </rPr>
      <t xml:space="preserve">: Etiq./sin Agujero                </t>
    </r>
    <r>
      <rPr>
        <b/>
        <sz val="9"/>
        <color theme="1"/>
        <rFont val="Calibri"/>
        <family val="2"/>
        <scheme val="minor"/>
      </rPr>
      <t>4)GRANULOMETRIA</t>
    </r>
    <r>
      <rPr>
        <sz val="9"/>
        <color theme="1"/>
        <rFont val="Calibri"/>
        <family val="2"/>
        <scheme val="minor"/>
      </rPr>
      <t xml:space="preserve">: #0    </t>
    </r>
  </si>
  <si>
    <r>
      <t xml:space="preserve">6: </t>
    </r>
    <r>
      <rPr>
        <b/>
        <sz val="10"/>
        <color theme="1"/>
        <rFont val="Calibri"/>
        <family val="2"/>
        <scheme val="minor"/>
      </rPr>
      <t>CAL HIDRATADA EN POLVO</t>
    </r>
  </si>
  <si>
    <r>
      <rPr>
        <b/>
        <sz val="9"/>
        <color theme="1"/>
        <rFont val="Calibri"/>
        <family val="2"/>
        <scheme val="minor"/>
      </rPr>
      <t>1) PESO</t>
    </r>
    <r>
      <rPr>
        <sz val="9"/>
        <color theme="1"/>
        <rFont val="Calibri"/>
        <family val="2"/>
        <scheme val="minor"/>
      </rPr>
      <t xml:space="preserve">: </t>
    </r>
    <r>
      <rPr>
        <u/>
        <sz val="9"/>
        <color theme="1"/>
        <rFont val="Calibri"/>
        <family val="2"/>
        <scheme val="minor"/>
      </rPr>
      <t>CH1</t>
    </r>
    <r>
      <rPr>
        <sz val="9"/>
        <color theme="1"/>
        <rFont val="Calibri"/>
        <family val="2"/>
        <scheme val="minor"/>
      </rPr>
      <t xml:space="preserve">(0,97 a 1,03Kg)                               </t>
    </r>
    <r>
      <rPr>
        <b/>
        <sz val="9"/>
        <color theme="1"/>
        <rFont val="Calibri"/>
        <family val="2"/>
        <scheme val="minor"/>
      </rPr>
      <t>2) SELLADO</t>
    </r>
    <r>
      <rPr>
        <sz val="9"/>
        <color theme="1"/>
        <rFont val="Calibri"/>
        <family val="2"/>
        <scheme val="minor"/>
      </rPr>
      <t xml:space="preserve">: Uniforme, </t>
    </r>
    <r>
      <rPr>
        <b/>
        <sz val="9"/>
        <color theme="1"/>
        <rFont val="Calibri"/>
        <family val="2"/>
        <scheme val="minor"/>
      </rPr>
      <t>3)EMPAQUE</t>
    </r>
    <r>
      <rPr>
        <sz val="9"/>
        <color theme="1"/>
        <rFont val="Calibri"/>
        <family val="2"/>
        <scheme val="minor"/>
      </rPr>
      <t xml:space="preserve">: Etiq./sin Agujero                </t>
    </r>
    <r>
      <rPr>
        <b/>
        <sz val="9"/>
        <color theme="1"/>
        <rFont val="Calibri"/>
        <family val="2"/>
        <scheme val="minor"/>
      </rPr>
      <t>4)GRANULOMETRIA</t>
    </r>
    <r>
      <rPr>
        <sz val="9"/>
        <color theme="1"/>
        <rFont val="Calibri"/>
        <family val="2"/>
        <scheme val="minor"/>
      </rPr>
      <t xml:space="preserve">: #0   </t>
    </r>
  </si>
  <si>
    <r>
      <t xml:space="preserve">7: </t>
    </r>
    <r>
      <rPr>
        <b/>
        <sz val="10"/>
        <color theme="1"/>
        <rFont val="Calibri"/>
        <family val="2"/>
        <scheme val="minor"/>
      </rPr>
      <t>CEM. BLANCO PREPARADO</t>
    </r>
  </si>
  <si>
    <r>
      <rPr>
        <b/>
        <sz val="9"/>
        <color theme="1"/>
        <rFont val="Calibri"/>
        <family val="2"/>
        <scheme val="minor"/>
      </rPr>
      <t>1) PESO</t>
    </r>
    <r>
      <rPr>
        <sz val="9"/>
        <color theme="1"/>
        <rFont val="Calibri"/>
        <family val="2"/>
        <scheme val="minor"/>
      </rPr>
      <t xml:space="preserve">: </t>
    </r>
    <r>
      <rPr>
        <u/>
        <sz val="9"/>
        <color theme="1"/>
        <rFont val="Calibri"/>
        <family val="2"/>
        <scheme val="minor"/>
      </rPr>
      <t>CB1</t>
    </r>
    <r>
      <rPr>
        <sz val="9"/>
        <color theme="1"/>
        <rFont val="Calibri"/>
        <family val="2"/>
        <scheme val="minor"/>
      </rPr>
      <t xml:space="preserve">(0,97 a 1,03Kg)                               </t>
    </r>
    <r>
      <rPr>
        <b/>
        <sz val="9"/>
        <color theme="1"/>
        <rFont val="Calibri"/>
        <family val="2"/>
        <scheme val="minor"/>
      </rPr>
      <t>2) SELLADO</t>
    </r>
    <r>
      <rPr>
        <sz val="9"/>
        <color theme="1"/>
        <rFont val="Calibri"/>
        <family val="2"/>
        <scheme val="minor"/>
      </rPr>
      <t xml:space="preserve">: Uniforme, </t>
    </r>
    <r>
      <rPr>
        <b/>
        <sz val="9"/>
        <color theme="1"/>
        <rFont val="Calibri"/>
        <family val="2"/>
        <scheme val="minor"/>
      </rPr>
      <t>3)EMPAQUE</t>
    </r>
    <r>
      <rPr>
        <sz val="9"/>
        <color theme="1"/>
        <rFont val="Calibri"/>
        <family val="2"/>
        <scheme val="minor"/>
      </rPr>
      <t xml:space="preserve">: Etiq./ sin Agujero                </t>
    </r>
    <r>
      <rPr>
        <b/>
        <sz val="9"/>
        <color theme="1"/>
        <rFont val="Calibri"/>
        <family val="2"/>
        <scheme val="minor"/>
      </rPr>
      <t>4)GRANULOMETRIA</t>
    </r>
    <r>
      <rPr>
        <sz val="9"/>
        <color theme="1"/>
        <rFont val="Calibri"/>
        <family val="2"/>
        <scheme val="minor"/>
      </rPr>
      <t xml:space="preserve">: #0    </t>
    </r>
  </si>
  <si>
    <r>
      <t xml:space="preserve">8: </t>
    </r>
    <r>
      <rPr>
        <b/>
        <sz val="10"/>
        <color theme="1"/>
        <rFont val="Calibri"/>
        <family val="2"/>
        <scheme val="minor"/>
      </rPr>
      <t>BASE REND.</t>
    </r>
  </si>
  <si>
    <r>
      <rPr>
        <b/>
        <sz val="8"/>
        <color theme="1"/>
        <rFont val="Calibri"/>
        <family val="2"/>
        <scheme val="minor"/>
      </rPr>
      <t>1) PESO</t>
    </r>
    <r>
      <rPr>
        <sz val="8"/>
        <color theme="1"/>
        <rFont val="Calibri"/>
        <family val="2"/>
        <scheme val="minor"/>
      </rPr>
      <t xml:space="preserve">: BR1,25(1,21 a 1,28Kg)                               </t>
    </r>
    <r>
      <rPr>
        <b/>
        <sz val="8"/>
        <color theme="1"/>
        <rFont val="Calibri"/>
        <family val="2"/>
        <scheme val="minor"/>
      </rPr>
      <t>2) SELLADO:</t>
    </r>
    <r>
      <rPr>
        <sz val="8"/>
        <color theme="1"/>
        <rFont val="Calibri"/>
        <family val="2"/>
        <scheme val="minor"/>
      </rPr>
      <t xml:space="preserve"> Uniforme, </t>
    </r>
    <r>
      <rPr>
        <b/>
        <sz val="8"/>
        <color theme="1"/>
        <rFont val="Calibri"/>
        <family val="2"/>
        <scheme val="minor"/>
      </rPr>
      <t>3)EMPAQUE</t>
    </r>
    <r>
      <rPr>
        <sz val="8"/>
        <color theme="1"/>
        <rFont val="Calibri"/>
        <family val="2"/>
        <scheme val="minor"/>
      </rPr>
      <t xml:space="preserve">: Etiq./sin Agujero    , </t>
    </r>
    <r>
      <rPr>
        <b/>
        <sz val="8"/>
        <color theme="1"/>
        <rFont val="Calibri"/>
        <family val="2"/>
        <scheme val="minor"/>
      </rPr>
      <t>4) GRAN:</t>
    </r>
    <r>
      <rPr>
        <sz val="8"/>
        <color theme="1"/>
        <rFont val="Calibri"/>
        <family val="2"/>
        <scheme val="minor"/>
      </rPr>
      <t xml:space="preserve">  #0 </t>
    </r>
  </si>
  <si>
    <r>
      <rPr>
        <b/>
        <sz val="11"/>
        <rFont val="Calibri"/>
        <family val="2"/>
        <scheme val="minor"/>
      </rPr>
      <t>BR1,25-</t>
    </r>
    <r>
      <rPr>
        <sz val="11"/>
        <rFont val="Calibri"/>
        <family val="2"/>
        <scheme val="minor"/>
      </rPr>
      <t xml:space="preserve"> 1,25KG=</t>
    </r>
  </si>
  <si>
    <r>
      <t xml:space="preserve">9: </t>
    </r>
    <r>
      <rPr>
        <b/>
        <sz val="10"/>
        <color theme="1"/>
        <rFont val="Calibri"/>
        <family val="2"/>
        <scheme val="minor"/>
      </rPr>
      <t>TALCO IND.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</si>
  <si>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TI5 (4,9 a 5,1Kg),                              </t>
    </r>
    <r>
      <rPr>
        <b/>
        <sz val="9"/>
        <color theme="1"/>
        <rFont val="Calibri"/>
        <family val="2"/>
        <scheme val="minor"/>
      </rPr>
      <t xml:space="preserve"> 2) 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 xml:space="preserve">3)EMPAQUE: </t>
    </r>
    <r>
      <rPr>
        <sz val="9"/>
        <color theme="1"/>
        <rFont val="Calibri"/>
        <family val="2"/>
        <scheme val="minor"/>
      </rPr>
      <t xml:space="preserve">Etiq./sin Agujero                                      </t>
    </r>
    <r>
      <rPr>
        <b/>
        <sz val="9"/>
        <color theme="1"/>
        <rFont val="Calibri"/>
        <family val="2"/>
        <scheme val="minor"/>
      </rPr>
      <t xml:space="preserve"> 4) GRANULOMETRIA: </t>
    </r>
    <r>
      <rPr>
        <sz val="9"/>
        <color theme="1"/>
        <rFont val="Calibri"/>
        <family val="2"/>
        <scheme val="minor"/>
      </rPr>
      <t xml:space="preserve">Malla #0 </t>
    </r>
  </si>
  <si>
    <r>
      <rPr>
        <sz val="11"/>
        <rFont val="Calibri"/>
        <family val="2"/>
        <scheme val="minor"/>
      </rPr>
      <t>TI5-</t>
    </r>
    <r>
      <rPr>
        <b/>
        <sz val="11"/>
        <rFont val="Calibri"/>
        <family val="2"/>
        <scheme val="minor"/>
      </rPr>
      <t>5KG=</t>
    </r>
  </si>
  <si>
    <r>
      <t xml:space="preserve">10: </t>
    </r>
    <r>
      <rPr>
        <b/>
        <sz val="10"/>
        <color theme="1"/>
        <rFont val="Calibri"/>
        <family val="2"/>
        <scheme val="minor"/>
      </rPr>
      <t>PASTA EN POLVO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</si>
  <si>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TG750(0,72 a 0,77) / PP3(2,91 a 3,1)/ PP8(7,8 a 8,25)                                                     </t>
    </r>
    <r>
      <rPr>
        <b/>
        <sz val="9"/>
        <color theme="1"/>
        <rFont val="Calibri"/>
        <family val="2"/>
        <scheme val="minor"/>
      </rPr>
      <t xml:space="preserve"> 2) 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#0 </t>
    </r>
  </si>
  <si>
    <r>
      <t>TG750-</t>
    </r>
    <r>
      <rPr>
        <sz val="10"/>
        <rFont val="Calibri"/>
        <family val="2"/>
        <scheme val="minor"/>
      </rPr>
      <t>0,75KG=</t>
    </r>
  </si>
  <si>
    <r>
      <t>PP3-</t>
    </r>
    <r>
      <rPr>
        <sz val="10"/>
        <rFont val="Calibri"/>
        <family val="2"/>
        <scheme val="minor"/>
      </rPr>
      <t>3KG=</t>
    </r>
  </si>
  <si>
    <r>
      <t>PP8-</t>
    </r>
    <r>
      <rPr>
        <sz val="10"/>
        <rFont val="Calibri"/>
        <family val="2"/>
        <scheme val="minor"/>
      </rPr>
      <t>8KG=</t>
    </r>
  </si>
  <si>
    <r>
      <t xml:space="preserve">11: </t>
    </r>
    <r>
      <rPr>
        <b/>
        <sz val="10"/>
        <color theme="1"/>
        <rFont val="Calibri"/>
        <family val="2"/>
        <scheme val="minor"/>
      </rPr>
      <t>ESTUCO GRIS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</si>
  <si>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EG12(11,76 a 12,24)                                                      </t>
    </r>
    <r>
      <rPr>
        <b/>
        <sz val="9"/>
        <color theme="1"/>
        <rFont val="Calibri"/>
        <family val="2"/>
        <scheme val="minor"/>
      </rPr>
      <t>2) 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 xml:space="preserve">3)EMPAQUE: </t>
    </r>
    <r>
      <rPr>
        <sz val="9"/>
        <color theme="1"/>
        <rFont val="Calibri"/>
        <family val="2"/>
        <scheme val="minor"/>
      </rPr>
      <t xml:space="preserve">Etiq./sin Agujero                                       </t>
    </r>
    <r>
      <rPr>
        <b/>
        <sz val="9"/>
        <color theme="1"/>
        <rFont val="Calibri"/>
        <family val="2"/>
        <scheme val="minor"/>
      </rPr>
      <t xml:space="preserve"> 4) GRANULOMETRIA:</t>
    </r>
    <r>
      <rPr>
        <sz val="9"/>
        <color theme="1"/>
        <rFont val="Calibri"/>
        <family val="2"/>
        <scheme val="minor"/>
      </rPr>
      <t xml:space="preserve"> Malla #0</t>
    </r>
  </si>
  <si>
    <r>
      <t>12:</t>
    </r>
    <r>
      <rPr>
        <b/>
        <sz val="10"/>
        <color theme="1"/>
        <rFont val="Calibri"/>
        <family val="2"/>
        <scheme val="minor"/>
      </rPr>
      <t xml:space="preserve"> IMPER. EN POLVO PREPARADO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</si>
  <si>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IPP(19,6 a 20,4)                                                     </t>
    </r>
    <r>
      <rPr>
        <b/>
        <sz val="9"/>
        <color theme="1"/>
        <rFont val="Calibri"/>
        <family val="2"/>
        <scheme val="minor"/>
      </rPr>
      <t xml:space="preserve"> 2) SELLADO: </t>
    </r>
    <r>
      <rPr>
        <sz val="9"/>
        <color theme="1"/>
        <rFont val="Calibri"/>
        <family val="2"/>
        <scheme val="minor"/>
      </rPr>
      <t xml:space="preserve">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#1</t>
    </r>
  </si>
  <si>
    <t>IPP-20KG=</t>
  </si>
  <si>
    <r>
      <t xml:space="preserve">13: </t>
    </r>
    <r>
      <rPr>
        <b/>
        <sz val="10"/>
        <color theme="1"/>
        <rFont val="Calibri"/>
        <family val="2"/>
        <scheme val="minor"/>
      </rPr>
      <t>IMPERMEABILIZANTE EN POLVO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</si>
  <si>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Impermeab. en polvo preparado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</si>
  <si>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0,44 a 0,46Kgs                              </t>
    </r>
    <r>
      <rPr>
        <b/>
        <sz val="9"/>
        <color theme="1"/>
        <rFont val="Calibri"/>
        <family val="2"/>
        <scheme val="minor"/>
      </rPr>
      <t>2)SELLADO: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</t>
    </r>
    <r>
      <rPr>
        <b/>
        <sz val="9"/>
        <color theme="1"/>
        <rFont val="Calibri"/>
        <family val="2"/>
        <scheme val="minor"/>
      </rPr>
      <t>4)GRANULOMETRIA:</t>
    </r>
    <r>
      <rPr>
        <sz val="9"/>
        <color theme="1"/>
        <rFont val="Calibri"/>
        <family val="2"/>
        <scheme val="minor"/>
      </rPr>
      <t xml:space="preserve"> MALLA #1            </t>
    </r>
  </si>
  <si>
    <r>
      <t xml:space="preserve">14: </t>
    </r>
    <r>
      <rPr>
        <b/>
        <sz val="10"/>
        <color theme="1"/>
        <rFont val="Calibri"/>
        <family val="2"/>
        <scheme val="minor"/>
      </rPr>
      <t>PINTURA IMPERMEABLE EN POLVO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</si>
  <si>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PIP10(9,8 a 10,2)                                                     </t>
    </r>
    <r>
      <rPr>
        <b/>
        <sz val="9"/>
        <color theme="1"/>
        <rFont val="Calibri"/>
        <family val="2"/>
        <scheme val="minor"/>
      </rPr>
      <t xml:space="preserve"> 2)SELLADO: </t>
    </r>
    <r>
      <rPr>
        <sz val="9"/>
        <color theme="1"/>
        <rFont val="Calibri"/>
        <family val="2"/>
        <scheme val="minor"/>
      </rPr>
      <t xml:space="preserve">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4)GRANULOMETRIA:</t>
    </r>
    <r>
      <rPr>
        <sz val="9"/>
        <color theme="1"/>
        <rFont val="Calibri"/>
        <family val="2"/>
        <scheme val="minor"/>
      </rPr>
      <t xml:space="preserve"> Malla #1</t>
    </r>
  </si>
  <si>
    <r>
      <t xml:space="preserve">15: </t>
    </r>
    <r>
      <rPr>
        <b/>
        <sz val="10"/>
        <color theme="1"/>
        <rFont val="Calibri"/>
        <family val="2"/>
        <scheme val="minor"/>
      </rPr>
      <t>PEGO BLANCO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</si>
  <si>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PPB15(14,55 a 15,45)                                                      </t>
    </r>
    <r>
      <rPr>
        <b/>
        <sz val="9"/>
        <color theme="1"/>
        <rFont val="Calibri"/>
        <family val="2"/>
        <scheme val="minor"/>
      </rPr>
      <t xml:space="preserve">2) SELLADO: </t>
    </r>
    <r>
      <rPr>
        <sz val="9"/>
        <color theme="1"/>
        <rFont val="Calibri"/>
        <family val="2"/>
        <scheme val="minor"/>
      </rPr>
      <t xml:space="preserve">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#1</t>
    </r>
  </si>
  <si>
    <r>
      <t xml:space="preserve">16: </t>
    </r>
    <r>
      <rPr>
        <b/>
        <sz val="10"/>
        <color theme="1"/>
        <rFont val="Calibri"/>
        <family val="2"/>
        <scheme val="minor"/>
      </rPr>
      <t>PEGO GRIS</t>
    </r>
  </si>
  <si>
    <r>
      <rPr>
        <b/>
        <sz val="9"/>
        <color theme="1"/>
        <rFont val="Calibri"/>
        <family val="2"/>
        <scheme val="minor"/>
      </rPr>
      <t>1)PESO: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theme="1"/>
        <rFont val="Calibri"/>
        <family val="2"/>
        <scheme val="minor"/>
      </rPr>
      <t>PP7</t>
    </r>
    <r>
      <rPr>
        <sz val="9"/>
        <color theme="1"/>
        <rFont val="Calibri"/>
        <family val="2"/>
        <scheme val="minor"/>
      </rPr>
      <t xml:space="preserve">(6,8 a 7,2) / </t>
    </r>
    <r>
      <rPr>
        <u/>
        <sz val="9"/>
        <color theme="1"/>
        <rFont val="Calibri"/>
        <family val="2"/>
        <scheme val="minor"/>
      </rPr>
      <t>PP10</t>
    </r>
    <r>
      <rPr>
        <sz val="9"/>
        <color theme="1"/>
        <rFont val="Calibri"/>
        <family val="2"/>
        <scheme val="minor"/>
      </rPr>
      <t xml:space="preserve">(9,7 a 10,3) / </t>
    </r>
    <r>
      <rPr>
        <u/>
        <sz val="9"/>
        <color theme="1"/>
        <rFont val="Calibri"/>
        <family val="2"/>
        <scheme val="minor"/>
      </rPr>
      <t>PP15</t>
    </r>
    <r>
      <rPr>
        <sz val="9"/>
        <color theme="1"/>
        <rFont val="Calibri"/>
        <family val="2"/>
        <scheme val="minor"/>
      </rPr>
      <t xml:space="preserve">(14,55 a 15,45)                                                      </t>
    </r>
    <r>
      <rPr>
        <b/>
        <sz val="9"/>
        <color theme="1"/>
        <rFont val="Calibri"/>
        <family val="2"/>
        <scheme val="minor"/>
      </rPr>
      <t>2)SELLADO: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 xml:space="preserve">4) GRANULOMETRIA: </t>
    </r>
    <r>
      <rPr>
        <sz val="9"/>
        <color theme="1"/>
        <rFont val="Calibri"/>
        <family val="2"/>
        <scheme val="minor"/>
      </rPr>
      <t>Malla #1</t>
    </r>
  </si>
  <si>
    <r>
      <t xml:space="preserve">17: </t>
    </r>
    <r>
      <rPr>
        <b/>
        <sz val="10"/>
        <color theme="1"/>
        <rFont val="Calibri"/>
        <family val="2"/>
        <scheme val="minor"/>
      </rPr>
      <t>MEZCLILLA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</si>
  <si>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theme="1"/>
        <rFont val="Calibri"/>
        <family val="2"/>
        <scheme val="minor"/>
      </rPr>
      <t>MZ7</t>
    </r>
    <r>
      <rPr>
        <sz val="9"/>
        <color theme="1"/>
        <rFont val="Calibri"/>
        <family val="2"/>
        <scheme val="minor"/>
      </rPr>
      <t xml:space="preserve">(6,8 a 7,2)                                                      </t>
    </r>
    <r>
      <rPr>
        <b/>
        <sz val="9"/>
        <color theme="1"/>
        <rFont val="Calibri"/>
        <family val="2"/>
        <scheme val="minor"/>
      </rPr>
      <t xml:space="preserve">2) SELLADO: </t>
    </r>
    <r>
      <rPr>
        <sz val="9"/>
        <color theme="1"/>
        <rFont val="Calibri"/>
        <family val="2"/>
        <scheme val="minor"/>
      </rPr>
      <t xml:space="preserve">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#1</t>
    </r>
  </si>
  <si>
    <r>
      <t>MZ7-</t>
    </r>
    <r>
      <rPr>
        <sz val="10"/>
        <rFont val="Calibri"/>
        <family val="2"/>
        <scheme val="minor"/>
      </rPr>
      <t>7KG=</t>
    </r>
  </si>
  <si>
    <r>
      <t xml:space="preserve">18: </t>
    </r>
    <r>
      <rPr>
        <b/>
        <sz val="10"/>
        <color theme="1"/>
        <rFont val="Calibri"/>
        <family val="2"/>
        <scheme val="minor"/>
      </rPr>
      <t>CAL LIQUIDA PREPARADA</t>
    </r>
  </si>
  <si>
    <r>
      <rPr>
        <b/>
        <sz val="9"/>
        <color theme="1"/>
        <rFont val="Calibri"/>
        <family val="2"/>
        <scheme val="minor"/>
      </rPr>
      <t>1) PESO</t>
    </r>
    <r>
      <rPr>
        <sz val="9"/>
        <color theme="1"/>
        <rFont val="Calibri"/>
        <family val="2"/>
        <scheme val="minor"/>
      </rPr>
      <t xml:space="preserve">: </t>
    </r>
    <r>
      <rPr>
        <u/>
        <sz val="9"/>
        <color theme="1"/>
        <rFont val="Calibri"/>
        <family val="2"/>
        <scheme val="minor"/>
      </rPr>
      <t>CLP1</t>
    </r>
    <r>
      <rPr>
        <sz val="9"/>
        <color theme="1"/>
        <rFont val="Calibri"/>
        <family val="2"/>
        <scheme val="minor"/>
      </rPr>
      <t xml:space="preserve">(4,85 a 5,15)                               </t>
    </r>
    <r>
      <rPr>
        <b/>
        <sz val="9"/>
        <color theme="1"/>
        <rFont val="Calibri"/>
        <family val="2"/>
        <scheme val="minor"/>
      </rPr>
      <t>2) SELLADO</t>
    </r>
    <r>
      <rPr>
        <sz val="9"/>
        <color theme="1"/>
        <rFont val="Calibri"/>
        <family val="2"/>
        <scheme val="minor"/>
      </rPr>
      <t xml:space="preserve">: Uniforme, </t>
    </r>
    <r>
      <rPr>
        <b/>
        <sz val="9"/>
        <color theme="1"/>
        <rFont val="Calibri"/>
        <family val="2"/>
        <scheme val="minor"/>
      </rPr>
      <t>3)EMPAQUE</t>
    </r>
    <r>
      <rPr>
        <sz val="9"/>
        <color theme="1"/>
        <rFont val="Calibri"/>
        <family val="2"/>
        <scheme val="minor"/>
      </rPr>
      <t xml:space="preserve">: Etiq./sin Agujero            </t>
    </r>
    <r>
      <rPr>
        <b/>
        <sz val="9"/>
        <color theme="1"/>
        <rFont val="Calibri"/>
        <family val="2"/>
        <scheme val="minor"/>
      </rPr>
      <t xml:space="preserve"> 4)GRANULOMETRIA:</t>
    </r>
    <r>
      <rPr>
        <sz val="9"/>
        <color theme="1"/>
        <rFont val="Calibri"/>
        <family val="2"/>
        <scheme val="minor"/>
      </rPr>
      <t xml:space="preserve"> #1            </t>
    </r>
  </si>
  <si>
    <r>
      <t xml:space="preserve">19: </t>
    </r>
    <r>
      <rPr>
        <b/>
        <sz val="10"/>
        <color theme="1"/>
        <rFont val="Calibri"/>
        <family val="2"/>
        <scheme val="minor"/>
      </rPr>
      <t>GRAFIADO EN POLVO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</si>
  <si>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theme="1"/>
        <rFont val="Calibri"/>
        <family val="2"/>
        <scheme val="minor"/>
      </rPr>
      <t>GP6</t>
    </r>
    <r>
      <rPr>
        <sz val="9"/>
        <color theme="1"/>
        <rFont val="Calibri"/>
        <family val="2"/>
        <scheme val="minor"/>
      </rPr>
      <t xml:space="preserve">(5,8 a 6,2) / </t>
    </r>
    <r>
      <rPr>
        <u/>
        <sz val="9"/>
        <color theme="1"/>
        <rFont val="Calibri"/>
        <family val="2"/>
        <scheme val="minor"/>
      </rPr>
      <t>GP15</t>
    </r>
    <r>
      <rPr>
        <sz val="9"/>
        <color theme="1"/>
        <rFont val="Calibri"/>
        <family val="2"/>
        <scheme val="minor"/>
      </rPr>
      <t xml:space="preserve">(14,7 a 15,3)                                                      </t>
    </r>
    <r>
      <rPr>
        <b/>
        <sz val="9"/>
        <color theme="1"/>
        <rFont val="Calibri"/>
        <family val="2"/>
        <scheme val="minor"/>
      </rPr>
      <t xml:space="preserve">2) SELLADO: </t>
    </r>
    <r>
      <rPr>
        <sz val="9"/>
        <color theme="1"/>
        <rFont val="Calibri"/>
        <family val="2"/>
        <scheme val="minor"/>
      </rPr>
      <t xml:space="preserve">Uniforme, </t>
    </r>
    <r>
      <rPr>
        <b/>
        <sz val="9"/>
        <color theme="1"/>
        <rFont val="Calibri"/>
        <family val="2"/>
        <scheme val="minor"/>
      </rPr>
      <t xml:space="preserve">3)EMPAQUE: </t>
    </r>
    <r>
      <rPr>
        <sz val="9"/>
        <color theme="1"/>
        <rFont val="Calibri"/>
        <family val="2"/>
        <scheme val="minor"/>
      </rPr>
      <t xml:space="preserve">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#2</t>
    </r>
  </si>
  <si>
    <r>
      <t>GP6-</t>
    </r>
    <r>
      <rPr>
        <sz val="10"/>
        <rFont val="Calibri"/>
        <family val="2"/>
        <scheme val="minor"/>
      </rPr>
      <t>6KG=</t>
    </r>
  </si>
  <si>
    <r>
      <t>GP15-</t>
    </r>
    <r>
      <rPr>
        <sz val="10"/>
        <rFont val="Calibri"/>
        <family val="2"/>
        <scheme val="minor"/>
      </rPr>
      <t>15KG=</t>
    </r>
  </si>
  <si>
    <r>
      <t xml:space="preserve">20: </t>
    </r>
    <r>
      <rPr>
        <b/>
        <sz val="10"/>
        <color theme="1"/>
        <rFont val="Calibri"/>
        <family val="2"/>
        <scheme val="minor"/>
      </rPr>
      <t>PEGA PLUS</t>
    </r>
  </si>
  <si>
    <r>
      <t xml:space="preserve">1) </t>
    </r>
    <r>
      <rPr>
        <b/>
        <sz val="9"/>
        <color theme="1"/>
        <rFont val="Calibri"/>
        <family val="2"/>
        <scheme val="minor"/>
      </rPr>
      <t>PESO</t>
    </r>
    <r>
      <rPr>
        <sz val="9"/>
        <color theme="1"/>
        <rFont val="Calibri"/>
        <family val="2"/>
        <scheme val="minor"/>
      </rPr>
      <t xml:space="preserve">: </t>
    </r>
    <r>
      <rPr>
        <u/>
        <sz val="9"/>
        <color theme="1"/>
        <rFont val="Calibri"/>
        <family val="2"/>
        <scheme val="minor"/>
      </rPr>
      <t>PPL15</t>
    </r>
    <r>
      <rPr>
        <sz val="9"/>
        <color theme="1"/>
        <rFont val="Calibri"/>
        <family val="2"/>
        <scheme val="minor"/>
      </rPr>
      <t xml:space="preserve">(14,55 a 15,45)                           2) </t>
    </r>
    <r>
      <rPr>
        <b/>
        <sz val="9"/>
        <color theme="1"/>
        <rFont val="Calibri"/>
        <family val="2"/>
        <scheme val="minor"/>
      </rPr>
      <t>SELLADO</t>
    </r>
    <r>
      <rPr>
        <sz val="9"/>
        <color theme="1"/>
        <rFont val="Calibri"/>
        <family val="2"/>
        <scheme val="minor"/>
      </rPr>
      <t>: Uniforme, 3)</t>
    </r>
    <r>
      <rPr>
        <b/>
        <sz val="9"/>
        <color theme="1"/>
        <rFont val="Calibri"/>
        <family val="2"/>
        <scheme val="minor"/>
      </rPr>
      <t>EMPAQUE</t>
    </r>
    <r>
      <rPr>
        <sz val="9"/>
        <color theme="1"/>
        <rFont val="Calibri"/>
        <family val="2"/>
        <scheme val="minor"/>
      </rPr>
      <t>: Etiq./sin Agujero        4)</t>
    </r>
    <r>
      <rPr>
        <b/>
        <sz val="9"/>
        <color theme="1"/>
        <rFont val="Calibri"/>
        <family val="2"/>
        <scheme val="minor"/>
      </rPr>
      <t>GRANULOMETRIA:</t>
    </r>
    <r>
      <rPr>
        <sz val="9"/>
        <color theme="1"/>
        <rFont val="Calibri"/>
        <family val="2"/>
        <scheme val="minor"/>
      </rPr>
      <t xml:space="preserve"> Malla #2</t>
    </r>
  </si>
  <si>
    <r>
      <t>PPL15-</t>
    </r>
    <r>
      <rPr>
        <sz val="10"/>
        <rFont val="Calibri"/>
        <family val="2"/>
        <scheme val="minor"/>
      </rPr>
      <t>15KG=</t>
    </r>
  </si>
  <si>
    <r>
      <t xml:space="preserve">21: </t>
    </r>
    <r>
      <rPr>
        <b/>
        <sz val="10"/>
        <color theme="1"/>
        <rFont val="Calibri"/>
        <family val="2"/>
        <scheme val="minor"/>
      </rPr>
      <t>CONCRE PLUS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</si>
  <si>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theme="1"/>
        <rFont val="Calibri"/>
        <family val="2"/>
        <scheme val="minor"/>
      </rPr>
      <t>CP15</t>
    </r>
    <r>
      <rPr>
        <sz val="9"/>
        <color theme="1"/>
        <rFont val="Calibri"/>
        <family val="2"/>
        <scheme val="minor"/>
      </rPr>
      <t xml:space="preserve">(14,55 a 15,45)                                                      </t>
    </r>
    <r>
      <rPr>
        <b/>
        <sz val="9"/>
        <color theme="1"/>
        <rFont val="Calibri"/>
        <family val="2"/>
        <scheme val="minor"/>
      </rPr>
      <t>2) 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#3 </t>
    </r>
  </si>
  <si>
    <r>
      <rPr>
        <b/>
        <sz val="10"/>
        <color theme="1"/>
        <rFont val="Calibri"/>
        <family val="2"/>
        <scheme val="minor"/>
      </rPr>
      <t>NOTA:</t>
    </r>
    <r>
      <rPr>
        <sz val="10"/>
        <color theme="1"/>
        <rFont val="Calibri"/>
        <family val="2"/>
        <scheme val="minor"/>
      </rPr>
      <t xml:space="preserve"> Verificar que el empaque este libre de Aire al Sellar. </t>
    </r>
    <r>
      <rPr>
        <b/>
        <sz val="10"/>
        <color theme="1"/>
        <rFont val="Calibri"/>
        <family val="2"/>
        <scheme val="minor"/>
      </rPr>
      <t xml:space="preserve"> PUESTA A PUNTO:</t>
    </r>
    <r>
      <rPr>
        <sz val="10"/>
        <color theme="1"/>
        <rFont val="Calibri"/>
        <family val="2"/>
        <scheme val="minor"/>
      </rPr>
      <t xml:space="preserve"> Aprox. 30min cuando se cambia de Malla/15min si no se hace.</t>
    </r>
  </si>
  <si>
    <t>MPI15</t>
  </si>
  <si>
    <r>
      <rPr>
        <b/>
        <sz val="11"/>
        <color rgb="FFFF0000"/>
        <rFont val="Calibri"/>
        <family val="2"/>
        <scheme val="minor"/>
      </rPr>
      <t>NOTA:</t>
    </r>
    <r>
      <rPr>
        <sz val="11"/>
        <rFont val="Calibri"/>
        <family val="2"/>
        <scheme val="minor"/>
      </rPr>
      <t xml:space="preserve"> un anillo de pipa abarca un volumen de 4 cuñetes </t>
    </r>
  </si>
  <si>
    <t>CHS+ MEZCLI-PEGO IMPERMEABLE (15KG)</t>
  </si>
  <si>
    <t>1.5</t>
  </si>
  <si>
    <t>REVESTIMIENTO Y DECORACION</t>
  </si>
  <si>
    <t>5.1</t>
  </si>
  <si>
    <t>5.2</t>
  </si>
  <si>
    <t>5.3</t>
  </si>
  <si>
    <t>5.4</t>
  </si>
  <si>
    <t>CHS+ CASTELATTO</t>
  </si>
  <si>
    <t>CAST</t>
  </si>
  <si>
    <t>TRAP</t>
  </si>
  <si>
    <t>RHOM</t>
  </si>
  <si>
    <t>CHS+ RHOMBUS</t>
  </si>
  <si>
    <t>CHS+ STELLA</t>
  </si>
  <si>
    <t>STE</t>
  </si>
  <si>
    <t>5.5</t>
  </si>
  <si>
    <t>5.6</t>
  </si>
  <si>
    <t>5.7</t>
  </si>
  <si>
    <t>5.8</t>
  </si>
  <si>
    <t>CHS+ MATERO HEXAGONAL PEQUEÑO-TEXTURIZADO BLANCO</t>
  </si>
  <si>
    <t>MHTB</t>
  </si>
  <si>
    <t>CHS+ MATERO HEXAGONAL PEQUEÑO-TEXTURIZADO GRIS</t>
  </si>
  <si>
    <t>MHTG</t>
  </si>
  <si>
    <t>CHS+ MATERO HEXAGONAL PEQUEÑO-GRAFIADO BLANCO</t>
  </si>
  <si>
    <t>CHS+ MATERO HEXAGONAL PEQUEÑO-GRAFIADO GRIS</t>
  </si>
  <si>
    <t>MHGB</t>
  </si>
  <si>
    <t>MHGG</t>
  </si>
  <si>
    <t>CHEMISES CHS+</t>
  </si>
  <si>
    <t>IPEESI-CHG</t>
  </si>
  <si>
    <t>AESIP-C-CHG</t>
  </si>
  <si>
    <t xml:space="preserve">CHEMISES GRISES </t>
  </si>
  <si>
    <t>BOLSAS STYLOSA BLANCA TIPO "A". 50gr</t>
  </si>
  <si>
    <t>POLVILLO  (Kg)</t>
  </si>
  <si>
    <t>AGOSTO, 2022</t>
  </si>
  <si>
    <t>ARENA-FINA (Kg)</t>
  </si>
  <si>
    <t>AF</t>
  </si>
  <si>
    <t>CAJA DE TORNILLOS</t>
  </si>
  <si>
    <t xml:space="preserve">DESCONOCIDO </t>
  </si>
  <si>
    <t>100% NUEVO</t>
  </si>
  <si>
    <t xml:space="preserve">PESO PORTABLE ELECTRONICO CON PILAS INCLUIDAS </t>
  </si>
  <si>
    <t xml:space="preserve">PORTABLE ELECTRONIC SCALE </t>
  </si>
  <si>
    <t xml:space="preserve">CEMENTO PARA TUBOS Y CONEXIONES </t>
  </si>
  <si>
    <t xml:space="preserve">PEGA O SOLD </t>
  </si>
  <si>
    <t>BLANCO/GRIS</t>
  </si>
  <si>
    <t>75% NUEVO</t>
  </si>
  <si>
    <t xml:space="preserve">SILICO ROJO </t>
  </si>
  <si>
    <t>HERMAFLEX</t>
  </si>
  <si>
    <t>25% NUEVO</t>
  </si>
  <si>
    <t xml:space="preserve">BOMBILLITOS / LUCES </t>
  </si>
  <si>
    <t>50% NUEVO</t>
  </si>
  <si>
    <t>TEIPE</t>
  </si>
  <si>
    <t>VINIL ELECTRICAL TAPE</t>
  </si>
  <si>
    <t xml:space="preserve">ULTRA PORTABLE PESO </t>
  </si>
  <si>
    <t xml:space="preserve">ETERNAL </t>
  </si>
  <si>
    <t>85% NUEVO</t>
  </si>
  <si>
    <t xml:space="preserve">CORREA </t>
  </si>
  <si>
    <t>AMERICA TECH / PRO STOC /QUALITY PARTS</t>
  </si>
  <si>
    <t>100% NUEVOS</t>
  </si>
  <si>
    <t xml:space="preserve">ACCESORIOS ELECTRICOS DOBLE EMPOTRAR </t>
  </si>
  <si>
    <t xml:space="preserve">BLANCO </t>
  </si>
  <si>
    <t>ACCESORIOS ELECTRICO</t>
  </si>
  <si>
    <t>TRIC</t>
  </si>
  <si>
    <t>TOMA CORRIENTE DOBLE EMPOTRAR 270V</t>
  </si>
  <si>
    <t>EAGLE</t>
  </si>
  <si>
    <t xml:space="preserve">ENCHUFE BLINDADO CON TIERRA </t>
  </si>
  <si>
    <t>TROEN / SEMILIC / TRIC</t>
  </si>
  <si>
    <t xml:space="preserve">BLANCOS Y AMARILLOS </t>
  </si>
  <si>
    <t xml:space="preserve">CAJITA CON MAYAS PARA LA SELLADORA </t>
  </si>
  <si>
    <t>BOMBILLLO M6</t>
  </si>
  <si>
    <t>EFFICIENT LED</t>
  </si>
  <si>
    <t xml:space="preserve">100% NUEVOS </t>
  </si>
  <si>
    <t>BOMBILLOS</t>
  </si>
  <si>
    <t>HOMELIGHT / CORPOELEC INDUSTRIAL</t>
  </si>
  <si>
    <t>75% NUEVOS</t>
  </si>
  <si>
    <t xml:space="preserve">PROTECTOR DE EQUIPOS ELECTRONICOS </t>
  </si>
  <si>
    <t>BREAKERMATIC</t>
  </si>
  <si>
    <t>99% NUEVO</t>
  </si>
  <si>
    <t>RODAMIENTO  VORTEX</t>
  </si>
  <si>
    <t xml:space="preserve">VORTEX </t>
  </si>
  <si>
    <t>GRIS/AMARILLO</t>
  </si>
  <si>
    <t>LO QUE VA EN LA SELLADORA</t>
  </si>
  <si>
    <t xml:space="preserve">100% NUEVO </t>
  </si>
  <si>
    <t xml:space="preserve">MECHAS DE METAL </t>
  </si>
  <si>
    <t>PILAS AAA 4PACK</t>
  </si>
  <si>
    <t>DURASONIC</t>
  </si>
  <si>
    <t>85% NUEVOS</t>
  </si>
  <si>
    <t>AEISIP-C-MP</t>
  </si>
  <si>
    <t>MASCARILLA ANTIPOLVO PROFESIONAL 3M</t>
  </si>
  <si>
    <t>3M</t>
  </si>
  <si>
    <t xml:space="preserve">BALANZA DIGITAL </t>
  </si>
  <si>
    <t>OSTER</t>
  </si>
  <si>
    <t>BLANCA</t>
  </si>
  <si>
    <t>INVENTARIOOOO</t>
  </si>
  <si>
    <t>INVENTARIO DE HERRAMIENTAS EN PLANTA</t>
  </si>
  <si>
    <t xml:space="preserve">         </t>
  </si>
  <si>
    <t>FORMULACION DE PRODUCTOS TERMINADOS</t>
  </si>
  <si>
    <t>TROMPO</t>
  </si>
  <si>
    <t>PUESTA A PUNTO- DOSIF-MEZCLA-CERNIDO-EMPACADO-ALMACEN-MANTTO.</t>
  </si>
  <si>
    <t>MATERIAS PRIMAS</t>
  </si>
  <si>
    <t>CANT. LOTE.</t>
  </si>
  <si>
    <t>PROM-HR/2PER.</t>
  </si>
  <si>
    <r>
      <rPr>
        <b/>
        <sz val="11"/>
        <color theme="1"/>
        <rFont val="Calibri"/>
        <family val="2"/>
        <scheme val="minor"/>
      </rPr>
      <t>MT100-</t>
    </r>
    <r>
      <rPr>
        <sz val="11"/>
        <color theme="1"/>
        <rFont val="Calibri"/>
        <family val="2"/>
        <scheme val="minor"/>
      </rPr>
      <t>100 Und</t>
    </r>
  </si>
  <si>
    <r>
      <rPr>
        <b/>
        <sz val="11"/>
        <color theme="1"/>
        <rFont val="Calibri"/>
        <family val="2"/>
        <scheme val="minor"/>
      </rPr>
      <t>MP100-</t>
    </r>
    <r>
      <rPr>
        <sz val="11"/>
        <color theme="1"/>
        <rFont val="Calibri"/>
        <family val="2"/>
        <scheme val="minor"/>
      </rPr>
      <t>100 Und</t>
    </r>
  </si>
  <si>
    <r>
      <t>TG750-</t>
    </r>
    <r>
      <rPr>
        <sz val="10"/>
        <color theme="1"/>
        <rFont val="Calibri"/>
        <family val="2"/>
        <scheme val="minor"/>
      </rPr>
      <t>0,75KG=</t>
    </r>
  </si>
  <si>
    <r>
      <t>PP3-</t>
    </r>
    <r>
      <rPr>
        <sz val="10"/>
        <color theme="1"/>
        <rFont val="Calibri"/>
        <family val="2"/>
        <scheme val="minor"/>
      </rPr>
      <t>3KG=</t>
    </r>
  </si>
  <si>
    <r>
      <t>PP8-</t>
    </r>
    <r>
      <rPr>
        <sz val="10"/>
        <color theme="1"/>
        <rFont val="Calibri"/>
        <family val="2"/>
        <scheme val="minor"/>
      </rPr>
      <t>8KG=</t>
    </r>
  </si>
  <si>
    <r>
      <t>GP6-</t>
    </r>
    <r>
      <rPr>
        <sz val="10"/>
        <color theme="1"/>
        <rFont val="Calibri"/>
        <family val="2"/>
        <scheme val="minor"/>
      </rPr>
      <t>6KG=</t>
    </r>
  </si>
  <si>
    <r>
      <t>GP15-</t>
    </r>
    <r>
      <rPr>
        <sz val="10"/>
        <color theme="1"/>
        <rFont val="Calibri"/>
        <family val="2"/>
        <scheme val="minor"/>
      </rPr>
      <t>15KG=</t>
    </r>
  </si>
  <si>
    <r>
      <t xml:space="preserve">6) </t>
    </r>
    <r>
      <rPr>
        <b/>
        <sz val="11"/>
        <color theme="1"/>
        <rFont val="Calibri"/>
        <family val="2"/>
        <scheme val="minor"/>
      </rPr>
      <t>AF-</t>
    </r>
    <r>
      <rPr>
        <sz val="11"/>
        <color theme="1"/>
        <rFont val="Calibri"/>
        <family val="2"/>
        <scheme val="minor"/>
      </rPr>
      <t>Arena Fina</t>
    </r>
  </si>
  <si>
    <r>
      <t>MZ7-</t>
    </r>
    <r>
      <rPr>
        <sz val="10"/>
        <color theme="1"/>
        <rFont val="Calibri"/>
        <family val="2"/>
        <scheme val="minor"/>
      </rPr>
      <t>7KG=</t>
    </r>
  </si>
  <si>
    <r>
      <t>PPL15-</t>
    </r>
    <r>
      <rPr>
        <sz val="10"/>
        <color theme="1"/>
        <rFont val="Calibri"/>
        <family val="2"/>
        <scheme val="minor"/>
      </rPr>
      <t>15KG=</t>
    </r>
  </si>
  <si>
    <r>
      <rPr>
        <b/>
        <sz val="11"/>
        <color theme="1"/>
        <rFont val="Calibri"/>
        <family val="2"/>
        <scheme val="minor"/>
      </rPr>
      <t xml:space="preserve">EH- </t>
    </r>
    <r>
      <rPr>
        <sz val="11"/>
        <color theme="1"/>
        <rFont val="Calibri"/>
        <family val="2"/>
        <scheme val="minor"/>
      </rPr>
      <t>Stylosa amarilla Maracaibo</t>
    </r>
  </si>
  <si>
    <r>
      <t>EH85-</t>
    </r>
    <r>
      <rPr>
        <sz val="11"/>
        <color theme="1"/>
        <rFont val="Calibri"/>
        <family val="2"/>
        <scheme val="minor"/>
      </rPr>
      <t>85Gr=</t>
    </r>
  </si>
  <si>
    <r>
      <t>SB50-</t>
    </r>
    <r>
      <rPr>
        <sz val="11"/>
        <color theme="1"/>
        <rFont val="Calibri"/>
        <family val="2"/>
        <scheme val="minor"/>
      </rPr>
      <t>50Gr=</t>
    </r>
  </si>
  <si>
    <r>
      <rPr>
        <b/>
        <sz val="11"/>
        <color theme="1"/>
        <rFont val="Calibri"/>
        <family val="2"/>
        <scheme val="minor"/>
      </rPr>
      <t>BR1,25-</t>
    </r>
    <r>
      <rPr>
        <sz val="11"/>
        <color theme="1"/>
        <rFont val="Calibri"/>
        <family val="2"/>
        <scheme val="minor"/>
      </rPr>
      <t xml:space="preserve"> 1,25KG=</t>
    </r>
  </si>
  <si>
    <r>
      <rPr>
        <sz val="11"/>
        <color theme="1"/>
        <rFont val="Calibri"/>
        <family val="2"/>
        <scheme val="minor"/>
      </rPr>
      <t>TI5-</t>
    </r>
    <r>
      <rPr>
        <b/>
        <sz val="11"/>
        <color theme="1"/>
        <rFont val="Calibri"/>
        <family val="2"/>
        <scheme val="minor"/>
      </rPr>
      <t>5KG=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</si>
  <si>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 preparado</t>
    </r>
  </si>
  <si>
    <t>20KG=</t>
  </si>
  <si>
    <t>MPI15- 15KG=</t>
  </si>
  <si>
    <r>
      <t xml:space="preserve">8) </t>
    </r>
    <r>
      <rPr>
        <b/>
        <sz val="11"/>
        <color theme="1"/>
        <rFont val="Calibri"/>
        <family val="2"/>
        <scheme val="minor"/>
      </rPr>
      <t>IPP-</t>
    </r>
    <r>
      <rPr>
        <sz val="11"/>
        <color theme="1"/>
        <rFont val="Calibri"/>
        <family val="2"/>
        <scheme val="minor"/>
      </rPr>
      <t>Impermeabilizante en Polvo</t>
    </r>
  </si>
  <si>
    <t>Diseño de dosificaciones para CONCRETOS</t>
  </si>
  <si>
    <t>RESISTENCIA (Kg/cm2)</t>
  </si>
  <si>
    <t>CEMENTO-ARENA-PIEDRA</t>
  </si>
  <si>
    <t>CEM</t>
  </si>
  <si>
    <t>ARENA</t>
  </si>
  <si>
    <t>1;2;2</t>
  </si>
  <si>
    <t>1;2;2.5</t>
  </si>
  <si>
    <t>1;2;3</t>
  </si>
  <si>
    <t>1;2;3.5</t>
  </si>
  <si>
    <t>1;2;4</t>
  </si>
  <si>
    <t>1;2.5;4</t>
  </si>
  <si>
    <t>1;2.5;4.5</t>
  </si>
  <si>
    <t>1;3;3</t>
  </si>
  <si>
    <t>1;3;4</t>
  </si>
  <si>
    <t>1;3;5</t>
  </si>
  <si>
    <t>1;3;6</t>
  </si>
  <si>
    <t>1;4;7</t>
  </si>
  <si>
    <t>1;4;8</t>
  </si>
  <si>
    <t>Diseño de dosificaciones para MORTEROS</t>
  </si>
  <si>
    <t>CEMENTO-ARENA-CAL</t>
  </si>
  <si>
    <t>1;2</t>
  </si>
  <si>
    <t>1;3  Ó   1;3;0,5</t>
  </si>
  <si>
    <t>1;4   Ó  1;4;0,5</t>
  </si>
  <si>
    <t>1;5</t>
  </si>
  <si>
    <t>1;6</t>
  </si>
  <si>
    <t>1;7</t>
  </si>
  <si>
    <t xml:space="preserve">DISCO DIAMANTADO CORTE CONTINUO </t>
  </si>
  <si>
    <t>GDESEO</t>
  </si>
  <si>
    <r>
      <rPr>
        <b/>
        <sz val="11"/>
        <color theme="1"/>
        <rFont val="Calibri"/>
        <family val="2"/>
        <scheme val="minor"/>
      </rPr>
      <t>MPI15-</t>
    </r>
    <r>
      <rPr>
        <sz val="11"/>
        <color theme="1"/>
        <rFont val="Calibri"/>
        <family val="2"/>
        <scheme val="minor"/>
      </rPr>
      <t xml:space="preserve"> MEZCLI-PEGO IMPERMEABLE EN POLVO</t>
    </r>
  </si>
  <si>
    <r>
      <t xml:space="preserve">1)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</si>
  <si>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4) </t>
    </r>
    <r>
      <rPr>
        <b/>
        <sz val="11"/>
        <color theme="1"/>
        <rFont val="Calibri"/>
        <family val="2"/>
        <scheme val="minor"/>
      </rPr>
      <t>YN-</t>
    </r>
    <r>
      <rPr>
        <sz val="11"/>
        <color theme="1"/>
        <rFont val="Calibri"/>
        <family val="2"/>
        <scheme val="minor"/>
      </rPr>
      <t>Yeso</t>
    </r>
  </si>
  <si>
    <t>MPM-MEZCLA PARA MATEROS</t>
  </si>
  <si>
    <r>
      <t xml:space="preserve">2) </t>
    </r>
    <r>
      <rPr>
        <b/>
        <sz val="11"/>
        <color theme="1"/>
        <rFont val="Calibri"/>
        <family val="2"/>
        <scheme val="minor"/>
      </rPr>
      <t>AF-</t>
    </r>
    <r>
      <rPr>
        <sz val="11"/>
        <color theme="1"/>
        <rFont val="Calibri"/>
        <family val="2"/>
        <scheme val="minor"/>
      </rPr>
      <t xml:space="preserve"> Arena Fina</t>
    </r>
  </si>
  <si>
    <r>
      <t>3)</t>
    </r>
    <r>
      <rPr>
        <b/>
        <sz val="11"/>
        <color theme="1"/>
        <rFont val="Calibri"/>
        <family val="2"/>
        <scheme val="minor"/>
      </rPr>
      <t xml:space="preserve"> PF- </t>
    </r>
    <r>
      <rPr>
        <sz val="11"/>
        <color theme="1"/>
        <rFont val="Calibri"/>
        <family val="2"/>
        <scheme val="minor"/>
      </rPr>
      <t>Piedra Fina</t>
    </r>
  </si>
  <si>
    <r>
      <t>4)</t>
    </r>
    <r>
      <rPr>
        <b/>
        <sz val="11"/>
        <color theme="1"/>
        <rFont val="Calibri"/>
        <family val="2"/>
        <scheme val="minor"/>
      </rPr>
      <t xml:space="preserve"> MT-</t>
    </r>
    <r>
      <rPr>
        <sz val="11"/>
        <color theme="1"/>
        <rFont val="Calibri"/>
        <family val="2"/>
        <scheme val="minor"/>
      </rPr>
      <t>Macro Fibra ó Cocuiza</t>
    </r>
  </si>
  <si>
    <r>
      <t xml:space="preserve">2) </t>
    </r>
    <r>
      <rPr>
        <b/>
        <sz val="11"/>
        <color theme="1"/>
        <rFont val="Calibri"/>
        <family val="2"/>
        <scheme val="minor"/>
      </rPr>
      <t>AF</t>
    </r>
    <r>
      <rPr>
        <sz val="11"/>
        <color theme="1"/>
        <rFont val="Calibri"/>
        <family val="2"/>
        <scheme val="minor"/>
      </rPr>
      <t>-Arena fina</t>
    </r>
  </si>
  <si>
    <t xml:space="preserve">MASCARILLA ANTIPOLVO DE DOS (2) CARTUCHOS </t>
  </si>
  <si>
    <t xml:space="preserve">NEGRA </t>
  </si>
  <si>
    <r>
      <t>3)</t>
    </r>
    <r>
      <rPr>
        <b/>
        <sz val="11"/>
        <color theme="1"/>
        <rFont val="Calibri"/>
        <family val="2"/>
        <scheme val="minor"/>
      </rPr>
      <t xml:space="preserve"> TR </t>
    </r>
    <r>
      <rPr>
        <sz val="11"/>
        <color theme="1"/>
        <rFont val="Calibri"/>
        <family val="2"/>
        <scheme val="minor"/>
      </rPr>
      <t>-Tierra Roja</t>
    </r>
  </si>
  <si>
    <r>
      <t>4)</t>
    </r>
    <r>
      <rPr>
        <b/>
        <sz val="11"/>
        <color theme="1"/>
        <rFont val="Calibri"/>
        <family val="2"/>
        <scheme val="minor"/>
      </rPr>
      <t xml:space="preserve"> PV </t>
    </r>
    <r>
      <rPr>
        <sz val="11"/>
        <color theme="1"/>
        <rFont val="Calibri"/>
        <family val="2"/>
        <scheme val="minor"/>
      </rPr>
      <t>-Polvillo</t>
    </r>
  </si>
  <si>
    <t>Pzs</t>
  </si>
  <si>
    <t>MB3D-MEZCLA PARA BLOQUES 3D -ultima</t>
  </si>
  <si>
    <t>LAMPARA</t>
  </si>
  <si>
    <t>DISCO PARA ESMERILAR 7¨X1/4</t>
  </si>
  <si>
    <t>DISCO PARA ESMERILAR 4,5¨X3/64¨X7/8 ULTRAFINO</t>
  </si>
  <si>
    <t xml:space="preserve">DISCO PARA ESMERILAR 4,5¨X1/4X7/8 </t>
  </si>
  <si>
    <t>BROCHA</t>
  </si>
  <si>
    <t>CEBRA</t>
  </si>
  <si>
    <t>METCO</t>
  </si>
  <si>
    <t>SILICO MULTIUSOS</t>
  </si>
  <si>
    <t>HOGAR</t>
  </si>
  <si>
    <t>AZUL/BLANCO</t>
  </si>
  <si>
    <t>SILIPEX</t>
  </si>
  <si>
    <t xml:space="preserve"> SILICONA DE USO GENERAL TRASLUCIDO</t>
  </si>
  <si>
    <t>AMARILLO</t>
  </si>
  <si>
    <t>Grs</t>
  </si>
  <si>
    <t>M. Piramidal 33x40cm</t>
  </si>
  <si>
    <t>M. Piramidal 33x29cm</t>
  </si>
  <si>
    <t>M. Piramidal 30x13cm</t>
  </si>
  <si>
    <t>M. Hexagonal 17x20cm</t>
  </si>
  <si>
    <t>M. Hexagonal 17x11cm</t>
  </si>
  <si>
    <t>ACABADOS-MEZCLILLA</t>
  </si>
  <si>
    <t>ACABADOS- GRAFIADO</t>
  </si>
  <si>
    <r>
      <t xml:space="preserve">1) </t>
    </r>
    <r>
      <rPr>
        <b/>
        <sz val="11"/>
        <color theme="1"/>
        <rFont val="Calibri"/>
        <family val="2"/>
        <scheme val="minor"/>
      </rPr>
      <t>GP15-</t>
    </r>
    <r>
      <rPr>
        <sz val="11"/>
        <color theme="1"/>
        <rFont val="Calibri"/>
        <family val="2"/>
        <scheme val="minor"/>
      </rPr>
      <t xml:space="preserve"> Grafiado Chs+ </t>
    </r>
  </si>
  <si>
    <r>
      <t>5)</t>
    </r>
    <r>
      <rPr>
        <b/>
        <sz val="11"/>
        <color theme="1"/>
        <rFont val="Calibri"/>
        <family val="2"/>
        <scheme val="minor"/>
      </rPr>
      <t xml:space="preserve"> PF </t>
    </r>
    <r>
      <rPr>
        <sz val="11"/>
        <color theme="1"/>
        <rFont val="Calibri"/>
        <family val="2"/>
        <scheme val="minor"/>
      </rPr>
      <t>-Piedra Fina pasa 5mm</t>
    </r>
  </si>
  <si>
    <r>
      <t xml:space="preserve">6) </t>
    </r>
    <r>
      <rPr>
        <b/>
        <sz val="11"/>
        <color theme="1"/>
        <rFont val="Calibri"/>
        <family val="2"/>
        <scheme val="minor"/>
      </rPr>
      <t>YN-</t>
    </r>
    <r>
      <rPr>
        <sz val="11"/>
        <color theme="1"/>
        <rFont val="Calibri"/>
        <family val="2"/>
        <scheme val="minor"/>
      </rPr>
      <t>Yeso</t>
    </r>
  </si>
  <si>
    <r>
      <t xml:space="preserve">6)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</t>
    </r>
  </si>
  <si>
    <r>
      <t xml:space="preserve">7) </t>
    </r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Hidroxietil Blanca</t>
    </r>
  </si>
  <si>
    <r>
      <t>5)</t>
    </r>
    <r>
      <rPr>
        <b/>
        <sz val="11"/>
        <color theme="1"/>
        <rFont val="Calibri"/>
        <family val="2"/>
        <scheme val="minor"/>
      </rPr>
      <t xml:space="preserve"> MA- </t>
    </r>
    <r>
      <rPr>
        <sz val="11"/>
        <color theme="1"/>
        <rFont val="Calibri"/>
        <family val="2"/>
        <scheme val="minor"/>
      </rPr>
      <t>Micro Arena</t>
    </r>
  </si>
  <si>
    <t>OCTUBRE, 2022</t>
  </si>
  <si>
    <t>MATEROS GRANDES</t>
  </si>
  <si>
    <t>producccion</t>
  </si>
  <si>
    <t>,</t>
  </si>
  <si>
    <t>CHS+ TRAPEZZIO 20X40CM</t>
  </si>
  <si>
    <t>CHS+ TRAPEZZIO 16X32CM</t>
  </si>
  <si>
    <t>5.9</t>
  </si>
  <si>
    <t>CHS+ MATERO PIRAMIDAL - 33X40CM</t>
  </si>
  <si>
    <t>MP33X40</t>
  </si>
  <si>
    <t>CHS+ MATERO PIRAMIDAL - 33X33CM</t>
  </si>
  <si>
    <t>MP33X33</t>
  </si>
  <si>
    <t>CHS+ MATERO PIRAMIDAL - 33X13CM</t>
  </si>
  <si>
    <t>MP33X13</t>
  </si>
  <si>
    <t>5.10</t>
  </si>
  <si>
    <t>5.11</t>
  </si>
  <si>
    <t>5.12</t>
  </si>
  <si>
    <t>22/11/2022</t>
  </si>
  <si>
    <t>15/11/2022</t>
  </si>
  <si>
    <r>
      <t xml:space="preserve">5) </t>
    </r>
    <r>
      <rPr>
        <b/>
        <sz val="11"/>
        <color theme="1"/>
        <rFont val="Calibri"/>
        <family val="2"/>
        <scheme val="minor"/>
      </rPr>
      <t xml:space="preserve">MP- </t>
    </r>
    <r>
      <rPr>
        <sz val="11"/>
        <color theme="1"/>
        <rFont val="Calibri"/>
        <family val="2"/>
        <scheme val="minor"/>
      </rPr>
      <t>Micro Arena</t>
    </r>
  </si>
  <si>
    <t>DONACION POLIMIRANDA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</si>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</sst>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\ _€_-;\-* #,##0.00\ _€_-;_-* &quot;-&quot;??\ _€_-;_-@_-"/>
    <numFmt numFmtId="164" formatCode="_ * #,##0.00_ ;_ * \-#,##0.00_ ;_ * &quot;-&quot;??_ ;_ @_ "/>
    <numFmt numFmtId="165" formatCode="_(* #,##0.00_);_(* \(#,##0.00\);_(* &quot;-&quot;??_);_(@_)"/>
    <numFmt numFmtId="166" formatCode="0.0"/>
    <numFmt numFmtId="167" formatCode="_ * #,##0_ ;_ * \-#,##0_ ;_ * &quot;-&quot;??_ ;_ @_ "/>
    <numFmt numFmtId="168" formatCode="_-* #,##0.000\ _€_-;\-* #,##0.000\ _€_-;_-* &quot;-&quot;??\ _€_-;_-@_-"/>
    <numFmt numFmtId="169" formatCode="[$-C0A]mmmm\-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i/>
      <sz val="1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0.89999084444715716"/>
      </right>
      <top style="thin">
        <color indexed="64"/>
      </top>
      <bottom style="thin">
        <color indexed="64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indexed="64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963">
    <xf numFmtId="0" fontId="0" fillId="0" borderId="0" xfId="0"/>
    <xf numFmtId="164" fontId="0" fillId="0" borderId="0" xfId="1" applyFont="1"/>
    <xf numFmtId="0" fontId="2" fillId="3" borderId="1" xfId="0" applyFont="1" applyFill="1" applyBorder="1" applyAlignment="1">
      <alignment vertical="top"/>
    </xf>
    <xf numFmtId="0" fontId="0" fillId="0" borderId="1" xfId="0" applyBorder="1" applyAlignment="1">
      <alignment vertical="top" wrapText="1"/>
    </xf>
    <xf numFmtId="164" fontId="2" fillId="0" borderId="1" xfId="1" applyFont="1" applyBorder="1" applyAlignment="1">
      <alignment vertical="top"/>
    </xf>
    <xf numFmtId="164" fontId="0" fillId="2" borderId="1" xfId="1" applyFont="1" applyFill="1" applyBorder="1" applyAlignment="1">
      <alignment vertical="top"/>
    </xf>
    <xf numFmtId="164" fontId="3" fillId="4" borderId="1" xfId="1" applyFont="1" applyFill="1" applyBorder="1" applyAlignment="1">
      <alignment vertical="top"/>
    </xf>
    <xf numFmtId="164" fontId="0" fillId="0" borderId="0" xfId="0" applyNumberFormat="1"/>
    <xf numFmtId="0" fontId="0" fillId="5" borderId="0" xfId="0" applyFill="1"/>
    <xf numFmtId="0" fontId="4" fillId="3" borderId="0" xfId="0" applyFont="1" applyFill="1" applyAlignment="1">
      <alignment vertical="center"/>
    </xf>
    <xf numFmtId="164" fontId="2" fillId="0" borderId="2" xfId="1" applyFont="1" applyBorder="1" applyAlignment="1">
      <alignment vertical="top"/>
    </xf>
    <xf numFmtId="0" fontId="3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2" fillId="3" borderId="0" xfId="0" applyFont="1" applyFill="1" applyBorder="1" applyAlignment="1">
      <alignment vertical="top"/>
    </xf>
    <xf numFmtId="164" fontId="3" fillId="4" borderId="0" xfId="1" applyFont="1" applyFill="1" applyBorder="1" applyAlignment="1">
      <alignment vertical="top"/>
    </xf>
    <xf numFmtId="164" fontId="2" fillId="0" borderId="0" xfId="1" applyFont="1" applyBorder="1" applyAlignment="1">
      <alignment vertical="top"/>
    </xf>
    <xf numFmtId="0" fontId="3" fillId="6" borderId="41" xfId="0" applyFont="1" applyFill="1" applyBorder="1" applyAlignment="1">
      <alignment horizontal="center" wrapText="1"/>
    </xf>
    <xf numFmtId="164" fontId="3" fillId="8" borderId="1" xfId="1" applyFont="1" applyFill="1" applyBorder="1" applyAlignment="1">
      <alignment vertical="top"/>
    </xf>
    <xf numFmtId="0" fontId="0" fillId="0" borderId="1" xfId="0" applyBorder="1"/>
    <xf numFmtId="0" fontId="0" fillId="0" borderId="1" xfId="0" applyFill="1" applyBorder="1" applyAlignment="1">
      <alignment vertical="top" wrapText="1"/>
    </xf>
    <xf numFmtId="164" fontId="2" fillId="0" borderId="1" xfId="1" applyFont="1" applyFill="1" applyBorder="1" applyAlignment="1">
      <alignment vertical="top"/>
    </xf>
    <xf numFmtId="0" fontId="2" fillId="3" borderId="1" xfId="0" applyFont="1" applyFill="1" applyBorder="1"/>
    <xf numFmtId="14" fontId="0" fillId="0" borderId="0" xfId="0" applyNumberFormat="1"/>
    <xf numFmtId="0" fontId="0" fillId="9" borderId="1" xfId="0" applyFill="1" applyBorder="1" applyAlignment="1">
      <alignment vertical="top" wrapText="1"/>
    </xf>
    <xf numFmtId="164" fontId="6" fillId="2" borderId="1" xfId="1" applyFont="1" applyFill="1" applyBorder="1" applyAlignment="1">
      <alignment vertical="top"/>
    </xf>
    <xf numFmtId="164" fontId="1" fillId="2" borderId="1" xfId="1" applyFont="1" applyFill="1" applyBorder="1" applyAlignment="1">
      <alignment vertical="top"/>
    </xf>
    <xf numFmtId="164" fontId="7" fillId="2" borderId="1" xfId="1" applyFont="1" applyFill="1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6" fillId="0" borderId="1" xfId="0" applyFont="1" applyBorder="1"/>
    <xf numFmtId="13" fontId="0" fillId="2" borderId="1" xfId="1" applyNumberFormat="1" applyFont="1" applyFill="1" applyBorder="1" applyAlignment="1">
      <alignment vertical="top"/>
    </xf>
    <xf numFmtId="0" fontId="0" fillId="0" borderId="0" xfId="0" applyBorder="1"/>
    <xf numFmtId="0" fontId="0" fillId="0" borderId="41" xfId="0" applyFill="1" applyBorder="1" applyAlignment="1">
      <alignment vertical="top" wrapText="1"/>
    </xf>
    <xf numFmtId="164" fontId="3" fillId="4" borderId="41" xfId="1" applyFont="1" applyFill="1" applyBorder="1" applyAlignment="1">
      <alignment vertical="top"/>
    </xf>
    <xf numFmtId="164" fontId="2" fillId="0" borderId="41" xfId="1" applyFont="1" applyBorder="1" applyAlignment="1">
      <alignment vertical="top"/>
    </xf>
    <xf numFmtId="0" fontId="2" fillId="3" borderId="41" xfId="0" applyFont="1" applyFill="1" applyBorder="1" applyAlignment="1">
      <alignment vertical="top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horizontal="center" vertical="top" wrapText="1"/>
    </xf>
    <xf numFmtId="0" fontId="0" fillId="9" borderId="0" xfId="0" applyFill="1"/>
    <xf numFmtId="164" fontId="4" fillId="3" borderId="0" xfId="0" applyNumberFormat="1" applyFont="1" applyFill="1" applyAlignment="1">
      <alignment vertical="center"/>
    </xf>
    <xf numFmtId="164" fontId="0" fillId="9" borderId="1" xfId="1" applyFont="1" applyFill="1" applyBorder="1" applyAlignment="1">
      <alignment vertical="top"/>
    </xf>
    <xf numFmtId="164" fontId="0" fillId="0" borderId="1" xfId="0" applyNumberFormat="1" applyBorder="1"/>
    <xf numFmtId="0" fontId="0" fillId="5" borderId="0" xfId="0" applyFont="1" applyFill="1"/>
    <xf numFmtId="0" fontId="0" fillId="0" borderId="0" xfId="0" applyFont="1"/>
    <xf numFmtId="0" fontId="2" fillId="3" borderId="0" xfId="0" applyFont="1" applyFill="1" applyBorder="1"/>
    <xf numFmtId="164" fontId="8" fillId="2" borderId="1" xfId="1" applyFont="1" applyFill="1" applyBorder="1" applyAlignment="1">
      <alignment vertical="top"/>
    </xf>
    <xf numFmtId="164" fontId="0" fillId="0" borderId="0" xfId="0" applyNumberFormat="1" applyBorder="1"/>
    <xf numFmtId="164" fontId="0" fillId="2" borderId="0" xfId="1" applyFont="1" applyFill="1" applyBorder="1" applyAlignment="1">
      <alignment vertical="top"/>
    </xf>
    <xf numFmtId="164" fontId="0" fillId="0" borderId="0" xfId="1" applyFont="1" applyBorder="1"/>
    <xf numFmtId="0" fontId="9" fillId="0" borderId="1" xfId="0" applyFont="1" applyBorder="1"/>
    <xf numFmtId="164" fontId="7" fillId="0" borderId="1" xfId="1" applyFont="1" applyBorder="1"/>
    <xf numFmtId="0" fontId="6" fillId="0" borderId="0" xfId="0" applyFont="1"/>
    <xf numFmtId="17" fontId="3" fillId="6" borderId="1" xfId="0" applyNumberFormat="1" applyFont="1" applyFill="1" applyBorder="1" applyAlignment="1">
      <alignment horizontal="center" wrapText="1"/>
    </xf>
    <xf numFmtId="0" fontId="9" fillId="0" borderId="0" xfId="0" applyFont="1"/>
    <xf numFmtId="0" fontId="14" fillId="0" borderId="0" xfId="0" applyFont="1"/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11" fillId="0" borderId="0" xfId="0" applyFont="1" applyAlignment="1">
      <alignment horizontal="right"/>
    </xf>
    <xf numFmtId="164" fontId="7" fillId="0" borderId="41" xfId="1" applyFont="1" applyBorder="1"/>
    <xf numFmtId="0" fontId="7" fillId="0" borderId="0" xfId="0" applyFont="1"/>
    <xf numFmtId="0" fontId="8" fillId="0" borderId="0" xfId="0" applyFont="1"/>
    <xf numFmtId="43" fontId="0" fillId="0" borderId="0" xfId="0" applyNumberFormat="1"/>
    <xf numFmtId="164" fontId="15" fillId="2" borderId="1" xfId="1" applyFont="1" applyFill="1" applyBorder="1" applyAlignment="1">
      <alignment vertical="top"/>
    </xf>
    <xf numFmtId="43" fontId="4" fillId="3" borderId="0" xfId="0" applyNumberFormat="1" applyFont="1" applyFill="1" applyAlignment="1">
      <alignment vertical="center"/>
    </xf>
    <xf numFmtId="43" fontId="0" fillId="0" borderId="0" xfId="0" applyNumberFormat="1" applyBorder="1"/>
    <xf numFmtId="0" fontId="16" fillId="0" borderId="0" xfId="0" applyFont="1"/>
    <xf numFmtId="164" fontId="7" fillId="0" borderId="1" xfId="1" applyFont="1" applyFill="1" applyBorder="1" applyAlignment="1">
      <alignment vertical="top"/>
    </xf>
    <xf numFmtId="0" fontId="7" fillId="0" borderId="1" xfId="0" applyFont="1" applyBorder="1"/>
    <xf numFmtId="164" fontId="7" fillId="9" borderId="1" xfId="1" applyFont="1" applyFill="1" applyBorder="1"/>
    <xf numFmtId="0" fontId="2" fillId="3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164" fontId="3" fillId="10" borderId="1" xfId="1" applyFont="1" applyFill="1" applyBorder="1" applyAlignment="1">
      <alignment vertical="top"/>
    </xf>
    <xf numFmtId="164" fontId="2" fillId="10" borderId="1" xfId="1" applyFont="1" applyFill="1" applyBorder="1" applyAlignment="1">
      <alignment vertical="top"/>
    </xf>
    <xf numFmtId="164" fontId="0" fillId="10" borderId="1" xfId="1" applyFont="1" applyFill="1" applyBorder="1" applyAlignment="1">
      <alignment vertical="top"/>
    </xf>
    <xf numFmtId="164" fontId="7" fillId="10" borderId="1" xfId="1" applyFont="1" applyFill="1" applyBorder="1" applyAlignment="1">
      <alignment vertical="top"/>
    </xf>
    <xf numFmtId="164" fontId="6" fillId="10" borderId="1" xfId="1" applyFont="1" applyFill="1" applyBorder="1" applyAlignment="1">
      <alignment vertical="top"/>
    </xf>
    <xf numFmtId="164" fontId="1" fillId="10" borderId="1" xfId="1" applyFont="1" applyFill="1" applyBorder="1" applyAlignment="1">
      <alignment vertical="top"/>
    </xf>
    <xf numFmtId="0" fontId="0" fillId="10" borderId="0" xfId="0" applyFill="1"/>
    <xf numFmtId="0" fontId="5" fillId="10" borderId="1" xfId="0" applyFont="1" applyFill="1" applyBorder="1" applyAlignment="1">
      <alignment vertical="top" wrapText="1"/>
    </xf>
    <xf numFmtId="0" fontId="0" fillId="10" borderId="1" xfId="0" applyFill="1" applyBorder="1" applyAlignment="1">
      <alignment horizontal="left"/>
    </xf>
    <xf numFmtId="13" fontId="0" fillId="10" borderId="1" xfId="1" applyNumberFormat="1" applyFont="1" applyFill="1" applyBorder="1" applyAlignment="1">
      <alignment vertical="top"/>
    </xf>
    <xf numFmtId="0" fontId="2" fillId="10" borderId="0" xfId="0" applyFont="1" applyFill="1" applyBorder="1"/>
    <xf numFmtId="164" fontId="3" fillId="10" borderId="41" xfId="1" applyFont="1" applyFill="1" applyBorder="1" applyAlignment="1">
      <alignment vertical="top"/>
    </xf>
    <xf numFmtId="164" fontId="0" fillId="10" borderId="1" xfId="1" applyFont="1" applyFill="1" applyBorder="1"/>
    <xf numFmtId="164" fontId="7" fillId="10" borderId="1" xfId="1" applyFont="1" applyFill="1" applyBorder="1"/>
    <xf numFmtId="164" fontId="6" fillId="10" borderId="1" xfId="1" applyFont="1" applyFill="1" applyBorder="1"/>
    <xf numFmtId="164" fontId="0" fillId="10" borderId="0" xfId="1" applyFont="1" applyFill="1" applyBorder="1"/>
    <xf numFmtId="0" fontId="0" fillId="10" borderId="0" xfId="0" applyFill="1" applyBorder="1"/>
    <xf numFmtId="164" fontId="3" fillId="11" borderId="1" xfId="1" applyFont="1" applyFill="1" applyBorder="1" applyAlignment="1">
      <alignment vertical="top"/>
    </xf>
    <xf numFmtId="164" fontId="0" fillId="11" borderId="1" xfId="1" applyFont="1" applyFill="1" applyBorder="1" applyAlignment="1">
      <alignment vertical="top"/>
    </xf>
    <xf numFmtId="164" fontId="3" fillId="11" borderId="41" xfId="1" applyFont="1" applyFill="1" applyBorder="1" applyAlignment="1">
      <alignment vertical="top"/>
    </xf>
    <xf numFmtId="43" fontId="7" fillId="0" borderId="0" xfId="0" applyNumberFormat="1" applyFont="1"/>
    <xf numFmtId="0" fontId="18" fillId="0" borderId="0" xfId="0" applyFont="1" applyFill="1" applyBorder="1" applyAlignment="1">
      <alignment horizontal="center" vertical="top" wrapText="1"/>
    </xf>
    <xf numFmtId="0" fontId="13" fillId="0" borderId="0" xfId="0" applyFont="1"/>
    <xf numFmtId="1" fontId="0" fillId="0" borderId="0" xfId="0" applyNumberFormat="1" applyFill="1" applyBorder="1" applyAlignment="1">
      <alignment horizontal="center" vertical="top" wrapText="1"/>
    </xf>
    <xf numFmtId="0" fontId="2" fillId="3" borderId="55" xfId="0" applyFont="1" applyFill="1" applyBorder="1"/>
    <xf numFmtId="0" fontId="2" fillId="3" borderId="10" xfId="0" applyFont="1" applyFill="1" applyBorder="1"/>
    <xf numFmtId="0" fontId="2" fillId="3" borderId="9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17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52" xfId="0" applyFill="1" applyBorder="1" applyAlignment="1">
      <alignment vertical="center" wrapText="1"/>
    </xf>
    <xf numFmtId="0" fontId="2" fillId="3" borderId="9" xfId="0" applyFont="1" applyFill="1" applyBorder="1"/>
    <xf numFmtId="0" fontId="0" fillId="0" borderId="1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4" xfId="0" applyBorder="1" applyAlignment="1">
      <alignment vertical="center"/>
    </xf>
    <xf numFmtId="1" fontId="20" fillId="12" borderId="16" xfId="0" applyNumberFormat="1" applyFont="1" applyFill="1" applyBorder="1" applyAlignment="1">
      <alignment horizontal="center" vertical="top" wrapText="1"/>
    </xf>
    <xf numFmtId="1" fontId="20" fillId="12" borderId="21" xfId="0" applyNumberFormat="1" applyFont="1" applyFill="1" applyBorder="1" applyAlignment="1">
      <alignment horizontal="center" vertical="top" wrapText="1"/>
    </xf>
    <xf numFmtId="1" fontId="21" fillId="12" borderId="21" xfId="0" applyNumberFormat="1" applyFont="1" applyFill="1" applyBorder="1" applyAlignment="1">
      <alignment horizontal="center" vertical="top" wrapText="1"/>
    </xf>
    <xf numFmtId="1" fontId="22" fillId="12" borderId="24" xfId="0" applyNumberFormat="1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0" fillId="0" borderId="1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1" xfId="0" applyBorder="1" applyAlignment="1">
      <alignment horizontal="center"/>
    </xf>
    <xf numFmtId="164" fontId="23" fillId="0" borderId="0" xfId="0" applyNumberFormat="1" applyFont="1"/>
    <xf numFmtId="43" fontId="7" fillId="0" borderId="0" xfId="0" applyNumberFormat="1" applyFont="1" applyAlignment="1">
      <alignment horizontal="right"/>
    </xf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13" borderId="1" xfId="0" applyFont="1" applyFill="1" applyBorder="1" applyAlignment="1">
      <alignment vertical="top" wrapText="1"/>
    </xf>
    <xf numFmtId="0" fontId="2" fillId="13" borderId="1" xfId="0" applyFont="1" applyFill="1" applyBorder="1" applyAlignment="1">
      <alignment vertical="top"/>
    </xf>
    <xf numFmtId="0" fontId="2" fillId="9" borderId="0" xfId="0" applyFont="1" applyFill="1" applyBorder="1" applyAlignment="1">
      <alignment vertical="top"/>
    </xf>
    <xf numFmtId="0" fontId="0" fillId="9" borderId="0" xfId="0" applyFill="1" applyBorder="1" applyAlignment="1">
      <alignment vertical="top" wrapText="1"/>
    </xf>
    <xf numFmtId="164" fontId="3" fillId="9" borderId="0" xfId="1" applyFont="1" applyFill="1" applyBorder="1" applyAlignment="1">
      <alignment vertical="top"/>
    </xf>
    <xf numFmtId="164" fontId="2" fillId="9" borderId="0" xfId="1" applyFont="1" applyFill="1" applyBorder="1" applyAlignment="1">
      <alignment vertical="top"/>
    </xf>
    <xf numFmtId="0" fontId="0" fillId="0" borderId="3" xfId="0" applyBorder="1"/>
    <xf numFmtId="0" fontId="0" fillId="0" borderId="14" xfId="0" applyBorder="1"/>
    <xf numFmtId="164" fontId="2" fillId="0" borderId="22" xfId="1" applyFont="1" applyBorder="1" applyAlignment="1">
      <alignment vertical="top"/>
    </xf>
    <xf numFmtId="164" fontId="2" fillId="0" borderId="3" xfId="1" applyFont="1" applyBorder="1" applyAlignment="1">
      <alignment vertical="top"/>
    </xf>
    <xf numFmtId="164" fontId="2" fillId="0" borderId="56" xfId="1" applyFont="1" applyBorder="1" applyAlignment="1">
      <alignment vertical="top"/>
    </xf>
    <xf numFmtId="164" fontId="2" fillId="0" borderId="35" xfId="1" applyFont="1" applyBorder="1" applyAlignment="1">
      <alignment vertical="top"/>
    </xf>
    <xf numFmtId="0" fontId="0" fillId="9" borderId="3" xfId="0" applyFill="1" applyBorder="1" applyAlignment="1">
      <alignment vertical="top" wrapText="1"/>
    </xf>
    <xf numFmtId="0" fontId="0" fillId="9" borderId="14" xfId="0" applyFill="1" applyBorder="1" applyAlignment="1">
      <alignment vertical="top" wrapText="1"/>
    </xf>
    <xf numFmtId="0" fontId="24" fillId="0" borderId="0" xfId="5"/>
    <xf numFmtId="164" fontId="3" fillId="4" borderId="5" xfId="1" applyFont="1" applyFill="1" applyBorder="1" applyAlignment="1">
      <alignment vertical="top"/>
    </xf>
    <xf numFmtId="0" fontId="0" fillId="0" borderId="2" xfId="0" applyBorder="1"/>
    <xf numFmtId="164" fontId="3" fillId="5" borderId="1" xfId="1" applyFont="1" applyFill="1" applyBorder="1" applyAlignment="1">
      <alignment vertical="top"/>
    </xf>
    <xf numFmtId="164" fontId="3" fillId="5" borderId="0" xfId="1" applyFont="1" applyFill="1" applyBorder="1" applyAlignment="1">
      <alignment vertical="top"/>
    </xf>
    <xf numFmtId="164" fontId="2" fillId="13" borderId="1" xfId="1" applyFont="1" applyFill="1" applyBorder="1" applyAlignment="1">
      <alignment vertical="top"/>
    </xf>
    <xf numFmtId="0" fontId="2" fillId="13" borderId="3" xfId="0" applyFont="1" applyFill="1" applyBorder="1" applyAlignment="1">
      <alignment vertical="top" wrapText="1"/>
    </xf>
    <xf numFmtId="0" fontId="0" fillId="0" borderId="57" xfId="0" applyBorder="1"/>
    <xf numFmtId="0" fontId="0" fillId="0" borderId="57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164" fontId="25" fillId="0" borderId="1" xfId="1" applyFont="1" applyBorder="1" applyAlignment="1">
      <alignment vertical="top"/>
    </xf>
    <xf numFmtId="0" fontId="0" fillId="0" borderId="58" xfId="0" applyBorder="1"/>
    <xf numFmtId="164" fontId="3" fillId="5" borderId="41" xfId="1" applyFont="1" applyFill="1" applyBorder="1" applyAlignment="1">
      <alignment vertical="top"/>
    </xf>
    <xf numFmtId="164" fontId="3" fillId="5" borderId="60" xfId="1" applyFont="1" applyFill="1" applyBorder="1" applyAlignment="1">
      <alignment vertical="top"/>
    </xf>
    <xf numFmtId="164" fontId="0" fillId="0" borderId="1" xfId="1" applyFont="1" applyBorder="1" applyAlignment="1">
      <alignment vertical="top"/>
    </xf>
    <xf numFmtId="164" fontId="0" fillId="0" borderId="1" xfId="1" applyFont="1" applyFill="1" applyBorder="1" applyAlignment="1">
      <alignment vertical="top"/>
    </xf>
    <xf numFmtId="0" fontId="2" fillId="0" borderId="1" xfId="0" applyFont="1" applyBorder="1"/>
    <xf numFmtId="0" fontId="2" fillId="9" borderId="1" xfId="0" applyFont="1" applyFill="1" applyBorder="1" applyAlignment="1">
      <alignment vertical="top" wrapText="1"/>
    </xf>
    <xf numFmtId="0" fontId="2" fillId="9" borderId="3" xfId="0" applyFont="1" applyFill="1" applyBorder="1" applyAlignment="1">
      <alignment vertical="top" wrapText="1"/>
    </xf>
    <xf numFmtId="0" fontId="2" fillId="9" borderId="56" xfId="0" applyFont="1" applyFill="1" applyBorder="1" applyAlignment="1">
      <alignment vertical="top" wrapText="1"/>
    </xf>
    <xf numFmtId="0" fontId="2" fillId="9" borderId="14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164" fontId="0" fillId="0" borderId="3" xfId="1" applyFont="1" applyBorder="1" applyAlignment="1">
      <alignment vertical="top"/>
    </xf>
    <xf numFmtId="164" fontId="2" fillId="13" borderId="1" xfId="1" applyFont="1" applyFill="1" applyBorder="1" applyAlignment="1">
      <alignment horizontal="center" vertical="top"/>
    </xf>
    <xf numFmtId="0" fontId="4" fillId="9" borderId="0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/>
    </xf>
    <xf numFmtId="164" fontId="2" fillId="14" borderId="1" xfId="1" applyFont="1" applyFill="1" applyBorder="1" applyAlignment="1">
      <alignment vertical="top"/>
    </xf>
    <xf numFmtId="164" fontId="25" fillId="15" borderId="1" xfId="1" applyFont="1" applyFill="1" applyBorder="1" applyAlignment="1">
      <alignment horizontal="center" vertical="top"/>
    </xf>
    <xf numFmtId="164" fontId="2" fillId="15" borderId="1" xfId="1" applyFont="1" applyFill="1" applyBorder="1" applyAlignment="1">
      <alignment horizontal="center" vertical="top"/>
    </xf>
    <xf numFmtId="164" fontId="2" fillId="0" borderId="61" xfId="1" applyFont="1" applyBorder="1" applyAlignment="1">
      <alignment vertical="top"/>
    </xf>
    <xf numFmtId="0" fontId="0" fillId="0" borderId="62" xfId="0" applyBorder="1"/>
    <xf numFmtId="0" fontId="2" fillId="3" borderId="42" xfId="0" applyFont="1" applyFill="1" applyBorder="1" applyAlignment="1">
      <alignment vertical="top"/>
    </xf>
    <xf numFmtId="0" fontId="2" fillId="3" borderId="44" xfId="0" applyFont="1" applyFill="1" applyBorder="1" applyAlignment="1">
      <alignment vertical="top"/>
    </xf>
    <xf numFmtId="0" fontId="2" fillId="3" borderId="45" xfId="0" applyFont="1" applyFill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0" fillId="0" borderId="30" xfId="0" applyBorder="1"/>
    <xf numFmtId="0" fontId="2" fillId="0" borderId="16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164" fontId="2" fillId="0" borderId="19" xfId="1" applyFont="1" applyBorder="1" applyAlignment="1">
      <alignment vertical="top"/>
    </xf>
    <xf numFmtId="0" fontId="0" fillId="0" borderId="31" xfId="0" applyBorder="1"/>
    <xf numFmtId="164" fontId="3" fillId="4" borderId="16" xfId="1" applyFont="1" applyFill="1" applyBorder="1" applyAlignment="1">
      <alignment vertical="top"/>
    </xf>
    <xf numFmtId="164" fontId="3" fillId="4" borderId="21" xfId="1" applyFont="1" applyFill="1" applyBorder="1" applyAlignment="1">
      <alignment vertical="top"/>
    </xf>
    <xf numFmtId="0" fontId="0" fillId="4" borderId="21" xfId="0" applyFill="1" applyBorder="1"/>
    <xf numFmtId="0" fontId="0" fillId="4" borderId="24" xfId="0" applyFill="1" applyBorder="1"/>
    <xf numFmtId="0" fontId="2" fillId="0" borderId="62" xfId="0" applyFont="1" applyBorder="1"/>
    <xf numFmtId="0" fontId="2" fillId="0" borderId="2" xfId="0" applyFont="1" applyBorder="1"/>
    <xf numFmtId="0" fontId="2" fillId="0" borderId="31" xfId="0" applyFont="1" applyBorder="1"/>
    <xf numFmtId="164" fontId="3" fillId="4" borderId="24" xfId="1" applyFont="1" applyFill="1" applyBorder="1" applyAlignment="1">
      <alignment vertical="top"/>
    </xf>
    <xf numFmtId="0" fontId="2" fillId="0" borderId="30" xfId="0" applyFont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164" fontId="1" fillId="9" borderId="1" xfId="1" applyFont="1" applyFill="1" applyBorder="1" applyAlignment="1">
      <alignment vertical="top"/>
    </xf>
    <xf numFmtId="164" fontId="0" fillId="9" borderId="3" xfId="1" applyFont="1" applyFill="1" applyBorder="1" applyAlignment="1">
      <alignment vertical="top"/>
    </xf>
    <xf numFmtId="0" fontId="7" fillId="9" borderId="0" xfId="0" applyFont="1" applyFill="1" applyBorder="1" applyAlignment="1">
      <alignment vertical="top" wrapText="1"/>
    </xf>
    <xf numFmtId="0" fontId="2" fillId="9" borderId="0" xfId="0" applyFont="1" applyFill="1" applyBorder="1" applyAlignment="1">
      <alignment vertical="top" wrapText="1"/>
    </xf>
    <xf numFmtId="164" fontId="0" fillId="9" borderId="0" xfId="1" applyFont="1" applyFill="1" applyBorder="1" applyAlignment="1">
      <alignment vertical="top"/>
    </xf>
    <xf numFmtId="164" fontId="25" fillId="9" borderId="0" xfId="1" applyFont="1" applyFill="1" applyBorder="1" applyAlignment="1">
      <alignment horizontal="center" vertical="top"/>
    </xf>
    <xf numFmtId="0" fontId="0" fillId="9" borderId="0" xfId="0" applyFont="1" applyFill="1" applyBorder="1" applyAlignment="1">
      <alignment vertical="top" wrapText="1"/>
    </xf>
    <xf numFmtId="164" fontId="2" fillId="9" borderId="0" xfId="1" applyFont="1" applyFill="1" applyBorder="1" applyAlignment="1">
      <alignment horizontal="center" vertical="top"/>
    </xf>
    <xf numFmtId="164" fontId="1" fillId="9" borderId="0" xfId="1" applyFont="1" applyFill="1" applyBorder="1" applyAlignment="1">
      <alignment vertical="top"/>
    </xf>
    <xf numFmtId="164" fontId="3" fillId="9" borderId="0" xfId="1" applyFont="1" applyFill="1" applyBorder="1" applyAlignment="1">
      <alignment horizontal="center" vertical="top"/>
    </xf>
    <xf numFmtId="164" fontId="1" fillId="9" borderId="0" xfId="1" applyFont="1" applyFill="1" applyBorder="1" applyAlignment="1">
      <alignment horizontal="center" vertical="top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164" fontId="25" fillId="14" borderId="1" xfId="1" applyFont="1" applyFill="1" applyBorder="1" applyAlignment="1">
      <alignment vertical="top"/>
    </xf>
    <xf numFmtId="0" fontId="25" fillId="14" borderId="3" xfId="0" applyFont="1" applyFill="1" applyBorder="1" applyAlignment="1">
      <alignment vertical="top" wrapText="1"/>
    </xf>
    <xf numFmtId="0" fontId="0" fillId="9" borderId="3" xfId="0" applyFont="1" applyFill="1" applyBorder="1" applyAlignment="1">
      <alignment vertical="top" wrapText="1"/>
    </xf>
    <xf numFmtId="164" fontId="3" fillId="5" borderId="22" xfId="1" applyFont="1" applyFill="1" applyBorder="1" applyAlignment="1">
      <alignment vertical="top"/>
    </xf>
    <xf numFmtId="0" fontId="2" fillId="15" borderId="1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4" borderId="1" xfId="0" applyFont="1" applyFill="1" applyBorder="1" applyAlignment="1">
      <alignment vertical="top" wrapText="1"/>
    </xf>
    <xf numFmtId="164" fontId="2" fillId="14" borderId="1" xfId="1" applyFont="1" applyFill="1" applyBorder="1" applyAlignment="1">
      <alignment horizontal="center" vertical="top"/>
    </xf>
    <xf numFmtId="164" fontId="3" fillId="14" borderId="3" xfId="1" applyFont="1" applyFill="1" applyBorder="1" applyAlignment="1">
      <alignment vertical="top"/>
    </xf>
    <xf numFmtId="164" fontId="2" fillId="14" borderId="3" xfId="1" applyFont="1" applyFill="1" applyBorder="1" applyAlignment="1">
      <alignment vertical="top"/>
    </xf>
    <xf numFmtId="0" fontId="2" fillId="14" borderId="1" xfId="0" applyFont="1" applyFill="1" applyBorder="1"/>
    <xf numFmtId="164" fontId="3" fillId="14" borderId="22" xfId="1" applyFont="1" applyFill="1" applyBorder="1" applyAlignment="1">
      <alignment vertical="top"/>
    </xf>
    <xf numFmtId="164" fontId="3" fillId="14" borderId="1" xfId="1" applyFont="1" applyFill="1" applyBorder="1" applyAlignment="1">
      <alignment vertical="top"/>
    </xf>
    <xf numFmtId="164" fontId="2" fillId="14" borderId="41" xfId="1" applyFont="1" applyFill="1" applyBorder="1" applyAlignment="1">
      <alignment vertical="top"/>
    </xf>
    <xf numFmtId="0" fontId="0" fillId="14" borderId="1" xfId="0" applyFill="1" applyBorder="1" applyAlignment="1">
      <alignment vertical="top" wrapText="1"/>
    </xf>
    <xf numFmtId="164" fontId="2" fillId="14" borderId="41" xfId="1" applyFont="1" applyFill="1" applyBorder="1" applyAlignment="1">
      <alignment horizontal="center" vertical="top"/>
    </xf>
    <xf numFmtId="164" fontId="3" fillId="14" borderId="59" xfId="1" applyFont="1" applyFill="1" applyBorder="1" applyAlignment="1">
      <alignment vertical="top"/>
    </xf>
    <xf numFmtId="164" fontId="6" fillId="0" borderId="1" xfId="1" applyFont="1" applyBorder="1"/>
    <xf numFmtId="164" fontId="9" fillId="2" borderId="1" xfId="1" applyFont="1" applyFill="1" applyBorder="1" applyAlignment="1">
      <alignment vertical="top"/>
    </xf>
    <xf numFmtId="164" fontId="6" fillId="0" borderId="41" xfId="1" applyFont="1" applyBorder="1"/>
    <xf numFmtId="164" fontId="1" fillId="0" borderId="1" xfId="1" applyFont="1" applyBorder="1"/>
    <xf numFmtId="14" fontId="0" fillId="0" borderId="0" xfId="0" applyNumberFormat="1" applyAlignment="1">
      <alignment horizontal="left"/>
    </xf>
    <xf numFmtId="1" fontId="0" fillId="0" borderId="0" xfId="0" applyNumberFormat="1"/>
    <xf numFmtId="168" fontId="0" fillId="0" borderId="0" xfId="0" applyNumberFormat="1"/>
    <xf numFmtId="0" fontId="0" fillId="0" borderId="0" xfId="0" applyBorder="1" applyAlignment="1">
      <alignment horizontal="left" vertical="center" wrapText="1"/>
    </xf>
    <xf numFmtId="0" fontId="27" fillId="3" borderId="0" xfId="0" applyFont="1" applyFill="1" applyAlignment="1">
      <alignment vertical="center"/>
    </xf>
    <xf numFmtId="14" fontId="28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5" fillId="9" borderId="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66" xfId="0" applyFont="1" applyFill="1" applyBorder="1" applyAlignment="1">
      <alignment vertical="center"/>
    </xf>
    <xf numFmtId="0" fontId="2" fillId="3" borderId="67" xfId="0" applyFont="1" applyFill="1" applyBorder="1" applyAlignment="1">
      <alignment horizontal="center" vertical="center"/>
    </xf>
    <xf numFmtId="0" fontId="2" fillId="3" borderId="68" xfId="0" applyFont="1" applyFill="1" applyBorder="1" applyAlignment="1">
      <alignment horizontal="center" vertical="center"/>
    </xf>
    <xf numFmtId="0" fontId="2" fillId="3" borderId="66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5" fillId="7" borderId="71" xfId="0" applyFont="1" applyFill="1" applyBorder="1" applyAlignment="1">
      <alignment horizontal="center" vertical="center" wrapText="1"/>
    </xf>
    <xf numFmtId="0" fontId="25" fillId="3" borderId="71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0" fontId="0" fillId="9" borderId="9" xfId="0" applyFont="1" applyFill="1" applyBorder="1" applyAlignment="1">
      <alignment horizontal="left" vertical="center"/>
    </xf>
    <xf numFmtId="0" fontId="26" fillId="9" borderId="9" xfId="0" applyFont="1" applyFill="1" applyBorder="1" applyAlignment="1">
      <alignment horizontal="left" vertical="center" wrapText="1"/>
    </xf>
    <xf numFmtId="0" fontId="26" fillId="9" borderId="0" xfId="0" applyFont="1" applyFill="1" applyBorder="1" applyAlignment="1">
      <alignment horizontal="left" vertical="center" wrapText="1"/>
    </xf>
    <xf numFmtId="0" fontId="7" fillId="7" borderId="71" xfId="0" applyFont="1" applyFill="1" applyBorder="1" applyAlignment="1">
      <alignment horizontal="left" vertical="center"/>
    </xf>
    <xf numFmtId="167" fontId="33" fillId="3" borderId="71" xfId="1" applyNumberFormat="1" applyFont="1" applyFill="1" applyBorder="1" applyAlignment="1">
      <alignment vertical="center"/>
    </xf>
    <xf numFmtId="0" fontId="12" fillId="0" borderId="13" xfId="0" applyFont="1" applyBorder="1" applyAlignment="1">
      <alignment horizontal="left" vertical="center"/>
    </xf>
    <xf numFmtId="0" fontId="0" fillId="9" borderId="13" xfId="0" applyFill="1" applyBorder="1" applyAlignment="1">
      <alignment horizontal="left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ont="1" applyFill="1" applyBorder="1" applyAlignment="1">
      <alignment horizontal="center" vertical="center"/>
    </xf>
    <xf numFmtId="0" fontId="0" fillId="9" borderId="25" xfId="0" applyFont="1" applyFill="1" applyBorder="1" applyAlignment="1">
      <alignment horizontal="left" vertical="center"/>
    </xf>
    <xf numFmtId="0" fontId="12" fillId="3" borderId="20" xfId="0" applyFont="1" applyFill="1" applyBorder="1" applyAlignment="1">
      <alignment horizontal="left" vertical="center"/>
    </xf>
    <xf numFmtId="0" fontId="0" fillId="3" borderId="34" xfId="0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/>
    </xf>
    <xf numFmtId="0" fontId="0" fillId="3" borderId="72" xfId="0" applyFill="1" applyBorder="1" applyAlignment="1">
      <alignment horizontal="center" vertical="center"/>
    </xf>
    <xf numFmtId="0" fontId="0" fillId="3" borderId="55" xfId="0" applyFont="1" applyFill="1" applyBorder="1" applyAlignment="1">
      <alignment horizontal="center" vertical="center"/>
    </xf>
    <xf numFmtId="0" fontId="0" fillId="3" borderId="34" xfId="0" applyFont="1" applyFill="1" applyBorder="1" applyAlignment="1">
      <alignment horizontal="left" vertical="center"/>
    </xf>
    <xf numFmtId="0" fontId="25" fillId="7" borderId="71" xfId="0" applyFont="1" applyFill="1" applyBorder="1" applyAlignment="1">
      <alignment horizontal="left" vertical="center" wrapText="1"/>
    </xf>
    <xf numFmtId="0" fontId="25" fillId="7" borderId="69" xfId="0" applyFont="1" applyFill="1" applyBorder="1" applyAlignment="1">
      <alignment vertical="center" wrapText="1"/>
    </xf>
    <xf numFmtId="0" fontId="7" fillId="7" borderId="71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37" xfId="0" applyFont="1" applyFill="1" applyBorder="1" applyAlignment="1">
      <alignment horizontal="left" vertical="center"/>
    </xf>
    <xf numFmtId="0" fontId="12" fillId="3" borderId="25" xfId="0" applyFont="1" applyFill="1" applyBorder="1" applyAlignment="1">
      <alignment horizontal="left" vertical="center" wrapText="1"/>
    </xf>
    <xf numFmtId="0" fontId="0" fillId="3" borderId="7" xfId="0" applyFill="1" applyBorder="1"/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left" vertical="center"/>
    </xf>
    <xf numFmtId="0" fontId="26" fillId="3" borderId="20" xfId="0" applyFont="1" applyFill="1" applyBorder="1" applyAlignment="1">
      <alignment horizontal="left" vertical="center" wrapText="1"/>
    </xf>
    <xf numFmtId="164" fontId="35" fillId="7" borderId="71" xfId="1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0" fillId="3" borderId="12" xfId="0" applyFill="1" applyBorder="1"/>
    <xf numFmtId="0" fontId="0" fillId="3" borderId="20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7" xfId="0" applyFont="1" applyFill="1" applyBorder="1" applyAlignment="1">
      <alignment horizontal="center" vertical="center"/>
    </xf>
    <xf numFmtId="0" fontId="0" fillId="3" borderId="44" xfId="0" applyFill="1" applyBorder="1" applyAlignment="1">
      <alignment horizontal="left" vertical="center"/>
    </xf>
    <xf numFmtId="0" fontId="0" fillId="3" borderId="48" xfId="0" applyFill="1" applyBorder="1" applyAlignment="1">
      <alignment horizontal="center" vertical="center"/>
    </xf>
    <xf numFmtId="0" fontId="0" fillId="3" borderId="49" xfId="0" applyFont="1" applyFill="1" applyBorder="1" applyAlignment="1">
      <alignment horizontal="center" vertical="center"/>
    </xf>
    <xf numFmtId="0" fontId="0" fillId="3" borderId="45" xfId="0" applyFill="1" applyBorder="1" applyAlignment="1">
      <alignment horizontal="left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 wrapText="1"/>
    </xf>
    <xf numFmtId="0" fontId="10" fillId="9" borderId="0" xfId="0" applyFont="1" applyFill="1" applyBorder="1" applyAlignment="1">
      <alignment horizontal="left" vertical="center" wrapText="1"/>
    </xf>
    <xf numFmtId="0" fontId="0" fillId="3" borderId="49" xfId="0" applyFill="1" applyBorder="1" applyAlignment="1">
      <alignment horizontal="center" vertical="center"/>
    </xf>
    <xf numFmtId="0" fontId="12" fillId="3" borderId="13" xfId="0" applyFont="1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166" fontId="26" fillId="9" borderId="0" xfId="0" applyNumberFormat="1" applyFont="1" applyFill="1" applyBorder="1" applyAlignment="1">
      <alignment horizontal="left" vertical="center" wrapText="1"/>
    </xf>
    <xf numFmtId="0" fontId="35" fillId="7" borderId="75" xfId="0" applyFont="1" applyFill="1" applyBorder="1" applyAlignment="1">
      <alignment horizontal="left" vertical="center" wrapText="1"/>
    </xf>
    <xf numFmtId="0" fontId="35" fillId="7" borderId="75" xfId="0" applyFont="1" applyFill="1" applyBorder="1" applyAlignment="1">
      <alignment vertical="center" wrapText="1"/>
    </xf>
    <xf numFmtId="0" fontId="36" fillId="7" borderId="75" xfId="0" applyFont="1" applyFill="1" applyBorder="1" applyAlignment="1">
      <alignment horizontal="left" vertical="center" wrapText="1"/>
    </xf>
    <xf numFmtId="167" fontId="33" fillId="3" borderId="75" xfId="1" applyNumberFormat="1" applyFont="1" applyFill="1" applyBorder="1" applyAlignment="1">
      <alignment vertical="center"/>
    </xf>
    <xf numFmtId="0" fontId="0" fillId="3" borderId="21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35" fillId="7" borderId="21" xfId="0" applyFont="1" applyFill="1" applyBorder="1" applyAlignment="1">
      <alignment horizontal="left" vertical="center" wrapText="1"/>
    </xf>
    <xf numFmtId="0" fontId="35" fillId="7" borderId="21" xfId="0" applyFont="1" applyFill="1" applyBorder="1" applyAlignment="1">
      <alignment vertical="center" wrapText="1"/>
    </xf>
    <xf numFmtId="0" fontId="36" fillId="7" borderId="21" xfId="0" applyFont="1" applyFill="1" applyBorder="1" applyAlignment="1">
      <alignment horizontal="left" vertical="center" wrapText="1"/>
    </xf>
    <xf numFmtId="167" fontId="33" fillId="3" borderId="21" xfId="0" applyNumberFormat="1" applyFont="1" applyFill="1" applyBorder="1" applyAlignment="1">
      <alignment vertical="center"/>
    </xf>
    <xf numFmtId="0" fontId="0" fillId="3" borderId="23" xfId="0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2" fontId="35" fillId="7" borderId="21" xfId="0" applyNumberFormat="1" applyFont="1" applyFill="1" applyBorder="1" applyAlignment="1">
      <alignment vertical="center" wrapText="1"/>
    </xf>
    <xf numFmtId="2" fontId="36" fillId="7" borderId="21" xfId="0" applyNumberFormat="1" applyFont="1" applyFill="1" applyBorder="1" applyAlignment="1">
      <alignment horizontal="left" vertical="center" wrapText="1"/>
    </xf>
    <xf numFmtId="167" fontId="33" fillId="3" borderId="21" xfId="1" applyNumberFormat="1" applyFont="1" applyFill="1" applyBorder="1" applyAlignment="1">
      <alignment vertical="center"/>
    </xf>
    <xf numFmtId="0" fontId="35" fillId="7" borderId="74" xfId="0" applyFont="1" applyFill="1" applyBorder="1" applyAlignment="1">
      <alignment horizontal="left" vertical="center" wrapText="1"/>
    </xf>
    <xf numFmtId="2" fontId="35" fillId="7" borderId="74" xfId="0" applyNumberFormat="1" applyFont="1" applyFill="1" applyBorder="1" applyAlignment="1">
      <alignment vertical="center" wrapText="1"/>
    </xf>
    <xf numFmtId="2" fontId="36" fillId="7" borderId="74" xfId="0" applyNumberFormat="1" applyFont="1" applyFill="1" applyBorder="1" applyAlignment="1">
      <alignment horizontal="left" vertical="center" wrapText="1"/>
    </xf>
    <xf numFmtId="167" fontId="33" fillId="3" borderId="74" xfId="1" applyNumberFormat="1" applyFont="1" applyFill="1" applyBorder="1" applyAlignment="1">
      <alignment vertical="center"/>
    </xf>
    <xf numFmtId="0" fontId="0" fillId="3" borderId="24" xfId="0" applyFill="1" applyBorder="1" applyAlignment="1">
      <alignment horizontal="left" vertical="center"/>
    </xf>
    <xf numFmtId="0" fontId="0" fillId="7" borderId="20" xfId="0" applyFill="1" applyBorder="1" applyAlignment="1">
      <alignment horizontal="left" vertical="center"/>
    </xf>
    <xf numFmtId="0" fontId="0" fillId="7" borderId="46" xfId="0" applyFill="1" applyBorder="1" applyAlignment="1">
      <alignment horizontal="center" vertical="center"/>
    </xf>
    <xf numFmtId="0" fontId="0" fillId="7" borderId="47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left" vertical="center"/>
    </xf>
    <xf numFmtId="0" fontId="0" fillId="7" borderId="48" xfId="0" applyFill="1" applyBorder="1" applyAlignment="1">
      <alignment horizontal="center" vertical="center"/>
    </xf>
    <xf numFmtId="0" fontId="0" fillId="7" borderId="49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left" vertical="center"/>
    </xf>
    <xf numFmtId="0" fontId="0" fillId="7" borderId="50" xfId="0" applyFill="1" applyBorder="1" applyAlignment="1">
      <alignment horizontal="center" vertical="center"/>
    </xf>
    <xf numFmtId="0" fontId="0" fillId="7" borderId="51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left" vertical="center" wrapText="1"/>
    </xf>
    <xf numFmtId="0" fontId="0" fillId="7" borderId="35" xfId="0" applyFill="1" applyBorder="1" applyAlignment="1">
      <alignment horizontal="center" vertical="center"/>
    </xf>
    <xf numFmtId="0" fontId="0" fillId="7" borderId="36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left" vertical="center"/>
    </xf>
    <xf numFmtId="0" fontId="0" fillId="7" borderId="42" xfId="0" applyFill="1" applyBorder="1" applyAlignment="1">
      <alignment horizontal="left" vertical="center"/>
    </xf>
    <xf numFmtId="0" fontId="0" fillId="7" borderId="53" xfId="0" applyFill="1" applyBorder="1" applyAlignment="1">
      <alignment horizontal="center" vertical="center"/>
    </xf>
    <xf numFmtId="0" fontId="0" fillId="7" borderId="54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left" vertical="center"/>
    </xf>
    <xf numFmtId="164" fontId="35" fillId="7" borderId="26" xfId="1" applyFont="1" applyFill="1" applyBorder="1" applyAlignment="1">
      <alignment horizontal="left" vertical="center" wrapText="1"/>
    </xf>
    <xf numFmtId="164" fontId="35" fillId="7" borderId="26" xfId="1" applyFont="1" applyFill="1" applyBorder="1" applyAlignment="1">
      <alignment vertical="center" wrapText="1"/>
    </xf>
    <xf numFmtId="2" fontId="36" fillId="7" borderId="75" xfId="0" applyNumberFormat="1" applyFont="1" applyFill="1" applyBorder="1" applyAlignment="1">
      <alignment horizontal="left" vertical="center" wrapText="1"/>
    </xf>
    <xf numFmtId="164" fontId="36" fillId="7" borderId="83" xfId="1" applyFont="1" applyFill="1" applyBorder="1" applyAlignment="1">
      <alignment horizontal="left" vertical="center" wrapText="1"/>
    </xf>
    <xf numFmtId="164" fontId="36" fillId="7" borderId="75" xfId="1" applyFont="1" applyFill="1" applyBorder="1" applyAlignment="1">
      <alignment horizontal="left" vertical="center" wrapText="1"/>
    </xf>
    <xf numFmtId="164" fontId="35" fillId="7" borderId="21" xfId="1" applyFont="1" applyFill="1" applyBorder="1" applyAlignment="1">
      <alignment horizontal="left" vertical="center" wrapText="1"/>
    </xf>
    <xf numFmtId="164" fontId="35" fillId="7" borderId="21" xfId="1" applyFont="1" applyFill="1" applyBorder="1" applyAlignment="1">
      <alignment vertical="center" wrapText="1"/>
    </xf>
    <xf numFmtId="164" fontId="36" fillId="7" borderId="74" xfId="1" applyFont="1" applyFill="1" applyBorder="1" applyAlignment="1">
      <alignment horizontal="left" vertical="center" wrapText="1"/>
    </xf>
    <xf numFmtId="164" fontId="35" fillId="7" borderId="74" xfId="1" applyFont="1" applyFill="1" applyBorder="1" applyAlignment="1">
      <alignment vertical="center" wrapText="1"/>
    </xf>
    <xf numFmtId="167" fontId="33" fillId="3" borderId="74" xfId="0" applyNumberFormat="1" applyFont="1" applyFill="1" applyBorder="1" applyAlignment="1">
      <alignment vertical="center"/>
    </xf>
    <xf numFmtId="0" fontId="0" fillId="7" borderId="45" xfId="0" applyFill="1" applyBorder="1" applyAlignment="1">
      <alignment horizontal="left" vertical="center"/>
    </xf>
    <xf numFmtId="0" fontId="0" fillId="13" borderId="42" xfId="0" applyFill="1" applyBorder="1" applyAlignment="1">
      <alignment horizontal="left" vertical="center"/>
    </xf>
    <xf numFmtId="0" fontId="0" fillId="13" borderId="46" xfId="0" applyFill="1" applyBorder="1" applyAlignment="1">
      <alignment horizontal="center" vertical="center"/>
    </xf>
    <xf numFmtId="0" fontId="0" fillId="13" borderId="47" xfId="0" applyFont="1" applyFill="1" applyBorder="1" applyAlignment="1">
      <alignment horizontal="center" vertical="center"/>
    </xf>
    <xf numFmtId="0" fontId="36" fillId="7" borderId="71" xfId="0" applyFont="1" applyFill="1" applyBorder="1" applyAlignment="1">
      <alignment horizontal="left" vertical="center" wrapText="1"/>
    </xf>
    <xf numFmtId="0" fontId="0" fillId="13" borderId="43" xfId="0" applyFill="1" applyBorder="1" applyAlignment="1">
      <alignment horizontal="left" vertical="center"/>
    </xf>
    <xf numFmtId="0" fontId="0" fillId="13" borderId="48" xfId="0" applyFill="1" applyBorder="1" applyAlignment="1">
      <alignment horizontal="center" vertical="center"/>
    </xf>
    <xf numFmtId="0" fontId="0" fillId="13" borderId="54" xfId="0" applyFont="1" applyFill="1" applyBorder="1" applyAlignment="1">
      <alignment horizontal="center" vertical="center"/>
    </xf>
    <xf numFmtId="0" fontId="0" fillId="13" borderId="44" xfId="0" applyFill="1" applyBorder="1" applyAlignment="1">
      <alignment horizontal="left" vertical="center"/>
    </xf>
    <xf numFmtId="0" fontId="0" fillId="13" borderId="49" xfId="0" applyFont="1" applyFill="1" applyBorder="1" applyAlignment="1">
      <alignment horizontal="center" vertical="center"/>
    </xf>
    <xf numFmtId="0" fontId="35" fillId="7" borderId="71" xfId="0" applyFont="1" applyFill="1" applyBorder="1" applyAlignment="1">
      <alignment horizontal="left" vertical="center" wrapText="1"/>
    </xf>
    <xf numFmtId="2" fontId="35" fillId="7" borderId="78" xfId="0" applyNumberFormat="1" applyFont="1" applyFill="1" applyBorder="1" applyAlignment="1">
      <alignment vertical="center" wrapText="1"/>
    </xf>
    <xf numFmtId="2" fontId="36" fillId="7" borderId="71" xfId="0" applyNumberFormat="1" applyFont="1" applyFill="1" applyBorder="1" applyAlignment="1">
      <alignment horizontal="left" vertical="center" wrapText="1"/>
    </xf>
    <xf numFmtId="0" fontId="0" fillId="13" borderId="45" xfId="0" applyFill="1" applyBorder="1" applyAlignment="1">
      <alignment horizontal="left" vertical="center"/>
    </xf>
    <xf numFmtId="0" fontId="0" fillId="13" borderId="50" xfId="0" applyFill="1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35" fillId="7" borderId="78" xfId="0" applyFont="1" applyFill="1" applyBorder="1" applyAlignment="1">
      <alignment vertical="center" wrapText="1"/>
    </xf>
    <xf numFmtId="167" fontId="33" fillId="3" borderId="71" xfId="0" applyNumberFormat="1" applyFont="1" applyFill="1" applyBorder="1" applyAlignment="1">
      <alignment vertical="center"/>
    </xf>
    <xf numFmtId="0" fontId="0" fillId="13" borderId="16" xfId="0" applyFill="1" applyBorder="1" applyAlignment="1">
      <alignment horizontal="left" vertical="center"/>
    </xf>
    <xf numFmtId="0" fontId="0" fillId="13" borderId="18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3" borderId="21" xfId="0" applyFill="1" applyBorder="1" applyAlignment="1">
      <alignment horizontal="left" vertical="center"/>
    </xf>
    <xf numFmtId="0" fontId="0" fillId="13" borderId="3" xfId="0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left"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ont="1" applyFill="1" applyBorder="1" applyAlignment="1">
      <alignment horizontal="center" vertical="center"/>
    </xf>
    <xf numFmtId="0" fontId="0" fillId="10" borderId="16" xfId="0" applyFill="1" applyBorder="1" applyAlignment="1">
      <alignment horizontal="left" vertical="center"/>
    </xf>
    <xf numFmtId="0" fontId="0" fillId="10" borderId="18" xfId="0" applyFill="1" applyBorder="1" applyAlignment="1">
      <alignment horizontal="center" vertical="center"/>
    </xf>
    <xf numFmtId="0" fontId="0" fillId="10" borderId="47" xfId="0" applyFont="1" applyFill="1" applyBorder="1" applyAlignment="1">
      <alignment horizontal="center" vertical="center"/>
    </xf>
    <xf numFmtId="0" fontId="0" fillId="10" borderId="21" xfId="0" applyFill="1" applyBorder="1" applyAlignment="1">
      <alignment horizontal="left" vertical="center"/>
    </xf>
    <xf numFmtId="0" fontId="0" fillId="10" borderId="3" xfId="0" applyFill="1" applyBorder="1" applyAlignment="1">
      <alignment horizontal="center" vertical="center"/>
    </xf>
    <xf numFmtId="0" fontId="0" fillId="10" borderId="49" xfId="0" applyFont="1" applyFill="1" applyBorder="1" applyAlignment="1">
      <alignment horizontal="center" vertical="center"/>
    </xf>
    <xf numFmtId="0" fontId="0" fillId="10" borderId="84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left" vertical="center"/>
    </xf>
    <xf numFmtId="0" fontId="0" fillId="10" borderId="30" xfId="0" applyFill="1" applyBorder="1" applyAlignment="1">
      <alignment horizontal="center" vertical="center"/>
    </xf>
    <xf numFmtId="0" fontId="0" fillId="10" borderId="5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25" fillId="17" borderId="1" xfId="1" applyFont="1" applyFill="1" applyBorder="1" applyAlignment="1">
      <alignment vertical="top"/>
    </xf>
    <xf numFmtId="164" fontId="7" fillId="2" borderId="0" xfId="1" applyFont="1" applyFill="1" applyBorder="1" applyAlignment="1">
      <alignment vertical="top"/>
    </xf>
    <xf numFmtId="0" fontId="7" fillId="0" borderId="0" xfId="0" applyFont="1" applyBorder="1"/>
    <xf numFmtId="164" fontId="8" fillId="0" borderId="0" xfId="0" applyNumberFormat="1" applyFont="1"/>
    <xf numFmtId="12" fontId="4" fillId="3" borderId="0" xfId="0" applyNumberFormat="1" applyFont="1" applyFill="1" applyAlignment="1">
      <alignment vertical="center"/>
    </xf>
    <xf numFmtId="0" fontId="0" fillId="0" borderId="0" xfId="0" applyFill="1" applyBorder="1"/>
    <xf numFmtId="164" fontId="37" fillId="2" borderId="1" xfId="1" applyFont="1" applyFill="1" applyBorder="1" applyAlignment="1">
      <alignment vertical="top"/>
    </xf>
    <xf numFmtId="0" fontId="2" fillId="3" borderId="3" xfId="0" applyFont="1" applyFill="1" applyBorder="1"/>
    <xf numFmtId="0" fontId="0" fillId="0" borderId="85" xfId="0" applyBorder="1"/>
    <xf numFmtId="43" fontId="0" fillId="0" borderId="1" xfId="0" applyNumberFormat="1" applyBorder="1"/>
    <xf numFmtId="164" fontId="7" fillId="0" borderId="1" xfId="1" applyFont="1" applyFill="1" applyBorder="1"/>
    <xf numFmtId="164" fontId="0" fillId="0" borderId="0" xfId="1" applyFont="1" applyFill="1" applyBorder="1" applyAlignment="1">
      <alignment vertical="top"/>
    </xf>
    <xf numFmtId="169" fontId="2" fillId="3" borderId="1" xfId="0" applyNumberFormat="1" applyFont="1" applyFill="1" applyBorder="1" applyAlignment="1">
      <alignment horizont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53" xfId="0" applyFont="1" applyBorder="1" applyAlignment="1">
      <alignment horizontal="left" vertical="center" wrapText="1"/>
    </xf>
    <xf numFmtId="164" fontId="3" fillId="11" borderId="16" xfId="1" applyFont="1" applyFill="1" applyBorder="1" applyAlignment="1">
      <alignment horizontal="center" vertical="center"/>
    </xf>
    <xf numFmtId="164" fontId="3" fillId="11" borderId="21" xfId="1" applyFont="1" applyFill="1" applyBorder="1" applyAlignment="1">
      <alignment horizontal="center" vertical="center"/>
    </xf>
    <xf numFmtId="164" fontId="3" fillId="11" borderId="23" xfId="1" applyFont="1" applyFill="1" applyBorder="1" applyAlignment="1">
      <alignment horizontal="center" vertical="center"/>
    </xf>
    <xf numFmtId="164" fontId="3" fillId="11" borderId="26" xfId="1" applyFont="1" applyFill="1" applyBorder="1" applyAlignment="1">
      <alignment horizontal="center" vertical="center"/>
    </xf>
    <xf numFmtId="164" fontId="1" fillId="19" borderId="61" xfId="1" applyFont="1" applyFill="1" applyBorder="1" applyAlignment="1">
      <alignment horizontal="center" vertical="center"/>
    </xf>
    <xf numFmtId="164" fontId="1" fillId="19" borderId="1" xfId="1" applyFont="1" applyFill="1" applyBorder="1" applyAlignment="1">
      <alignment horizontal="center" vertical="center"/>
    </xf>
    <xf numFmtId="164" fontId="7" fillId="19" borderId="1" xfId="1" applyFont="1" applyFill="1" applyBorder="1" applyAlignment="1">
      <alignment horizontal="center" vertical="center"/>
    </xf>
    <xf numFmtId="164" fontId="1" fillId="19" borderId="1" xfId="1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center" vertical="center"/>
    </xf>
    <xf numFmtId="0" fontId="0" fillId="19" borderId="41" xfId="0" applyFont="1" applyFill="1" applyBorder="1" applyAlignment="1">
      <alignment horizontal="center" vertical="center"/>
    </xf>
    <xf numFmtId="164" fontId="1" fillId="19" borderId="57" xfId="1" applyFont="1" applyFill="1" applyBorder="1" applyAlignment="1">
      <alignment horizontal="center" vertical="center"/>
    </xf>
    <xf numFmtId="164" fontId="1" fillId="20" borderId="61" xfId="1" applyFont="1" applyFill="1" applyBorder="1" applyAlignment="1">
      <alignment horizontal="center" vertical="center"/>
    </xf>
    <xf numFmtId="164" fontId="1" fillId="20" borderId="1" xfId="1" applyFont="1" applyFill="1" applyBorder="1" applyAlignment="1">
      <alignment horizontal="center" vertical="center"/>
    </xf>
    <xf numFmtId="164" fontId="7" fillId="20" borderId="1" xfId="1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164" fontId="1" fillId="20" borderId="1" xfId="1" applyFont="1" applyFill="1" applyBorder="1" applyAlignment="1">
      <alignment horizontal="center" vertical="center" wrapText="1"/>
    </xf>
    <xf numFmtId="0" fontId="0" fillId="20" borderId="41" xfId="0" applyFont="1" applyFill="1" applyBorder="1" applyAlignment="1">
      <alignment horizontal="center" vertical="center"/>
    </xf>
    <xf numFmtId="164" fontId="1" fillId="20" borderId="57" xfId="1" applyFont="1" applyFill="1" applyBorder="1" applyAlignment="1">
      <alignment horizontal="center" vertical="center"/>
    </xf>
    <xf numFmtId="164" fontId="1" fillId="18" borderId="2" xfId="1" applyFont="1" applyFill="1" applyBorder="1" applyAlignment="1">
      <alignment horizontal="center" vertical="center"/>
    </xf>
    <xf numFmtId="0" fontId="0" fillId="18" borderId="2" xfId="0" applyFont="1" applyFill="1" applyBorder="1" applyAlignment="1">
      <alignment horizontal="center" vertical="center"/>
    </xf>
    <xf numFmtId="164" fontId="0" fillId="18" borderId="2" xfId="1" applyFont="1" applyFill="1" applyBorder="1" applyAlignment="1">
      <alignment horizontal="center" vertical="center"/>
    </xf>
    <xf numFmtId="164" fontId="7" fillId="18" borderId="2" xfId="1" applyFont="1" applyFill="1" applyBorder="1" applyAlignment="1">
      <alignment horizontal="center" vertical="center"/>
    </xf>
    <xf numFmtId="164" fontId="0" fillId="19" borderId="1" xfId="1" applyFont="1" applyFill="1" applyBorder="1" applyAlignment="1">
      <alignment horizontal="center" vertical="center"/>
    </xf>
    <xf numFmtId="164" fontId="0" fillId="20" borderId="1" xfId="1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vertical="top"/>
    </xf>
    <xf numFmtId="0" fontId="2" fillId="21" borderId="1" xfId="0" applyFont="1" applyFill="1" applyBorder="1" applyAlignment="1">
      <alignment vertical="top" wrapText="1"/>
    </xf>
    <xf numFmtId="164" fontId="2" fillId="0" borderId="1" xfId="1" applyFont="1" applyBorder="1" applyAlignment="1">
      <alignment horizontal="center" vertical="center"/>
    </xf>
    <xf numFmtId="164" fontId="2" fillId="19" borderId="1" xfId="1" applyFont="1" applyFill="1" applyBorder="1" applyAlignment="1">
      <alignment vertical="top"/>
    </xf>
    <xf numFmtId="164" fontId="2" fillId="14" borderId="22" xfId="1" applyFont="1" applyFill="1" applyBorder="1" applyAlignment="1">
      <alignment horizontal="center" vertical="top"/>
    </xf>
    <xf numFmtId="0" fontId="0" fillId="14" borderId="1" xfId="0" applyFill="1" applyBorder="1"/>
    <xf numFmtId="164" fontId="2" fillId="3" borderId="1" xfId="1" applyFont="1" applyFill="1" applyBorder="1" applyAlignment="1">
      <alignment vertical="top"/>
    </xf>
    <xf numFmtId="164" fontId="2" fillId="3" borderId="3" xfId="1" applyFont="1" applyFill="1" applyBorder="1" applyAlignment="1">
      <alignment vertical="top"/>
    </xf>
    <xf numFmtId="0" fontId="0" fillId="3" borderId="3" xfId="0" applyFill="1" applyBorder="1"/>
    <xf numFmtId="0" fontId="2" fillId="22" borderId="1" xfId="0" applyFont="1" applyFill="1" applyBorder="1" applyAlignment="1">
      <alignment vertical="top"/>
    </xf>
    <xf numFmtId="13" fontId="4" fillId="3" borderId="0" xfId="0" applyNumberFormat="1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right"/>
    </xf>
    <xf numFmtId="0" fontId="5" fillId="7" borderId="9" xfId="0" applyFont="1" applyFill="1" applyBorder="1"/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167" fontId="0" fillId="0" borderId="9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167" fontId="0" fillId="0" borderId="13" xfId="1" applyNumberFormat="1" applyFont="1" applyBorder="1" applyAlignment="1">
      <alignment horizontal="center" vertical="center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3" fillId="0" borderId="16" xfId="0" applyFont="1" applyBorder="1" applyAlignment="1">
      <alignment horizontal="right" vertical="center" wrapText="1"/>
    </xf>
    <xf numFmtId="0" fontId="13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167" fontId="0" fillId="0" borderId="16" xfId="1" applyNumberFormat="1" applyFont="1" applyBorder="1" applyAlignment="1">
      <alignment horizontal="center" vertical="center"/>
    </xf>
    <xf numFmtId="0" fontId="0" fillId="0" borderId="21" xfId="0" applyBorder="1"/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3" fillId="0" borderId="13" xfId="0" applyFont="1" applyBorder="1" applyAlignment="1">
      <alignment horizontal="right" vertical="center" wrapText="1"/>
    </xf>
    <xf numFmtId="0" fontId="13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167" fontId="0" fillId="0" borderId="13" xfId="0" applyNumberFormat="1" applyBorder="1" applyAlignment="1">
      <alignment horizontal="center" vertical="center"/>
    </xf>
    <xf numFmtId="0" fontId="0" fillId="0" borderId="23" xfId="0" applyBorder="1"/>
    <xf numFmtId="0" fontId="0" fillId="0" borderId="5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3" fillId="0" borderId="21" xfId="0" applyFont="1" applyBorder="1" applyAlignment="1">
      <alignment horizontal="right" vertical="center" wrapText="1"/>
    </xf>
    <xf numFmtId="2" fontId="13" fillId="0" borderId="21" xfId="0" applyNumberFormat="1" applyFont="1" applyBorder="1" applyAlignment="1">
      <alignment horizontal="center" vertical="center" wrapText="1"/>
    </xf>
    <xf numFmtId="2" fontId="12" fillId="0" borderId="21" xfId="0" applyNumberFormat="1" applyFont="1" applyBorder="1" applyAlignment="1">
      <alignment horizontal="center" vertical="center" wrapText="1"/>
    </xf>
    <xf numFmtId="167" fontId="0" fillId="0" borderId="21" xfId="1" applyNumberFormat="1" applyFont="1" applyBorder="1" applyAlignment="1">
      <alignment horizontal="center" vertical="center"/>
    </xf>
    <xf numFmtId="0" fontId="13" fillId="0" borderId="24" xfId="0" applyFont="1" applyBorder="1" applyAlignment="1">
      <alignment horizontal="right" vertical="center" wrapText="1"/>
    </xf>
    <xf numFmtId="2" fontId="13" fillId="0" borderId="24" xfId="0" applyNumberFormat="1" applyFont="1" applyBorder="1" applyAlignment="1">
      <alignment horizontal="center" vertical="center" wrapText="1"/>
    </xf>
    <xf numFmtId="2" fontId="12" fillId="0" borderId="24" xfId="0" applyNumberFormat="1" applyFont="1" applyBorder="1" applyAlignment="1">
      <alignment horizontal="center" vertical="center" wrapText="1"/>
    </xf>
    <xf numFmtId="167" fontId="0" fillId="0" borderId="24" xfId="1" applyNumberFormat="1" applyFont="1" applyBorder="1" applyAlignment="1">
      <alignment horizontal="center" vertical="center"/>
    </xf>
    <xf numFmtId="2" fontId="0" fillId="0" borderId="0" xfId="0" applyNumberFormat="1"/>
    <xf numFmtId="0" fontId="0" fillId="9" borderId="42" xfId="0" applyFill="1" applyBorder="1"/>
    <xf numFmtId="0" fontId="0" fillId="9" borderId="46" xfId="0" applyFill="1" applyBorder="1" applyAlignment="1">
      <alignment horizontal="center" vertical="center"/>
    </xf>
    <xf numFmtId="0" fontId="0" fillId="9" borderId="47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right" vertical="center" wrapText="1"/>
    </xf>
    <xf numFmtId="0" fontId="12" fillId="9" borderId="28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  <xf numFmtId="167" fontId="0" fillId="0" borderId="13" xfId="0" applyNumberFormat="1" applyFill="1" applyBorder="1" applyAlignment="1">
      <alignment horizontal="center" vertical="center"/>
    </xf>
    <xf numFmtId="0" fontId="0" fillId="9" borderId="43" xfId="0" applyFill="1" applyBorder="1"/>
    <xf numFmtId="0" fontId="0" fillId="9" borderId="48" xfId="0" applyFill="1" applyBorder="1" applyAlignment="1">
      <alignment horizontal="center" vertical="center"/>
    </xf>
    <xf numFmtId="0" fontId="0" fillId="9" borderId="54" xfId="0" applyFont="1" applyFill="1" applyBorder="1" applyAlignment="1">
      <alignment horizontal="center" vertical="center"/>
    </xf>
    <xf numFmtId="0" fontId="12" fillId="9" borderId="13" xfId="0" applyFont="1" applyFill="1" applyBorder="1" applyAlignment="1">
      <alignment horizontal="right" vertical="center" wrapText="1"/>
    </xf>
    <xf numFmtId="0" fontId="0" fillId="9" borderId="44" xfId="0" applyFill="1" applyBorder="1"/>
    <xf numFmtId="0" fontId="0" fillId="9" borderId="49" xfId="0" applyFont="1" applyFill="1" applyBorder="1" applyAlignment="1">
      <alignment horizontal="center" vertical="center"/>
    </xf>
    <xf numFmtId="0" fontId="13" fillId="9" borderId="21" xfId="0" applyFont="1" applyFill="1" applyBorder="1" applyAlignment="1">
      <alignment horizontal="right" vertical="center" wrapText="1"/>
    </xf>
    <xf numFmtId="2" fontId="13" fillId="9" borderId="86" xfId="0" applyNumberFormat="1" applyFont="1" applyFill="1" applyBorder="1" applyAlignment="1">
      <alignment horizontal="center" vertical="center" wrapText="1"/>
    </xf>
    <xf numFmtId="2" fontId="12" fillId="9" borderId="21" xfId="0" applyNumberFormat="1" applyFont="1" applyFill="1" applyBorder="1" applyAlignment="1">
      <alignment horizontal="center" vertical="center" wrapText="1"/>
    </xf>
    <xf numFmtId="2" fontId="13" fillId="9" borderId="28" xfId="0" applyNumberFormat="1" applyFont="1" applyFill="1" applyBorder="1" applyAlignment="1">
      <alignment horizontal="center" vertical="center" wrapText="1"/>
    </xf>
    <xf numFmtId="2" fontId="12" fillId="9" borderId="13" xfId="0" applyNumberFormat="1" applyFont="1" applyFill="1" applyBorder="1" applyAlignment="1">
      <alignment horizontal="center" vertical="center" wrapText="1"/>
    </xf>
    <xf numFmtId="0" fontId="0" fillId="9" borderId="45" xfId="0" applyFill="1" applyBorder="1"/>
    <xf numFmtId="0" fontId="0" fillId="9" borderId="50" xfId="0" applyFill="1" applyBorder="1" applyAlignment="1">
      <alignment horizontal="center" vertical="center"/>
    </xf>
    <xf numFmtId="0" fontId="0" fillId="9" borderId="51" xfId="0" applyFont="1" applyFill="1" applyBorder="1" applyAlignment="1">
      <alignment horizontal="center" vertical="center"/>
    </xf>
    <xf numFmtId="0" fontId="12" fillId="9" borderId="25" xfId="0" applyFont="1" applyFill="1" applyBorder="1" applyAlignment="1">
      <alignment horizontal="right" vertical="center" wrapText="1"/>
    </xf>
    <xf numFmtId="0" fontId="0" fillId="0" borderId="42" xfId="0" applyFill="1" applyBorder="1"/>
    <xf numFmtId="0" fontId="0" fillId="0" borderId="46" xfId="0" applyFill="1" applyBorder="1" applyAlignment="1">
      <alignment horizontal="center" vertical="center"/>
    </xf>
    <xf numFmtId="164" fontId="13" fillId="0" borderId="16" xfId="1" applyFont="1" applyBorder="1" applyAlignment="1">
      <alignment horizontal="right" vertical="center" wrapText="1"/>
    </xf>
    <xf numFmtId="164" fontId="13" fillId="0" borderId="16" xfId="1" applyFont="1" applyBorder="1" applyAlignment="1">
      <alignment horizontal="center" vertical="center" wrapText="1"/>
    </xf>
    <xf numFmtId="2" fontId="12" fillId="9" borderId="16" xfId="0" applyNumberFormat="1" applyFont="1" applyFill="1" applyBorder="1" applyAlignment="1">
      <alignment horizontal="center" vertical="center" wrapText="1"/>
    </xf>
    <xf numFmtId="12" fontId="0" fillId="0" borderId="0" xfId="0" applyNumberFormat="1"/>
    <xf numFmtId="0" fontId="0" fillId="0" borderId="43" xfId="0" applyFill="1" applyBorder="1"/>
    <xf numFmtId="0" fontId="0" fillId="0" borderId="48" xfId="0" applyFill="1" applyBorder="1" applyAlignment="1">
      <alignment horizontal="center" vertical="center"/>
    </xf>
    <xf numFmtId="164" fontId="13" fillId="0" borderId="13" xfId="1" applyFont="1" applyBorder="1" applyAlignment="1">
      <alignment horizontal="right" vertical="center" wrapText="1"/>
    </xf>
    <xf numFmtId="164" fontId="13" fillId="0" borderId="13" xfId="1" applyFont="1" applyBorder="1" applyAlignment="1">
      <alignment horizontal="center" vertical="center" wrapText="1"/>
    </xf>
    <xf numFmtId="164" fontId="12" fillId="0" borderId="13" xfId="1" applyFont="1" applyBorder="1" applyAlignment="1">
      <alignment vertical="center" wrapText="1"/>
    </xf>
    <xf numFmtId="0" fontId="0" fillId="0" borderId="44" xfId="0" applyFill="1" applyBorder="1"/>
    <xf numFmtId="164" fontId="13" fillId="0" borderId="21" xfId="1" applyFont="1" applyBorder="1" applyAlignment="1">
      <alignment horizontal="right" vertical="center" wrapText="1"/>
    </xf>
    <xf numFmtId="164" fontId="13" fillId="0" borderId="21" xfId="1" applyFont="1" applyBorder="1" applyAlignment="1">
      <alignment horizontal="center" vertical="center" wrapText="1"/>
    </xf>
    <xf numFmtId="0" fontId="0" fillId="0" borderId="44" xfId="0" applyBorder="1"/>
    <xf numFmtId="0" fontId="0" fillId="0" borderId="48" xfId="0" applyBorder="1" applyAlignment="1">
      <alignment horizontal="center" vertical="center"/>
    </xf>
    <xf numFmtId="164" fontId="13" fillId="0" borderId="13" xfId="1" applyFont="1" applyBorder="1" applyAlignment="1">
      <alignment vertical="center" wrapText="1"/>
    </xf>
    <xf numFmtId="0" fontId="0" fillId="0" borderId="50" xfId="0" applyFill="1" applyBorder="1" applyAlignment="1">
      <alignment horizontal="center" vertical="center"/>
    </xf>
    <xf numFmtId="164" fontId="12" fillId="0" borderId="25" xfId="1" applyFont="1" applyBorder="1" applyAlignment="1">
      <alignment horizontal="right" vertical="center" wrapText="1"/>
    </xf>
    <xf numFmtId="164" fontId="12" fillId="0" borderId="25" xfId="1" applyFont="1" applyBorder="1" applyAlignment="1">
      <alignment horizontal="center" vertical="center" wrapText="1"/>
    </xf>
    <xf numFmtId="164" fontId="12" fillId="0" borderId="25" xfId="1" applyFont="1" applyBorder="1" applyAlignment="1">
      <alignment vertical="center" wrapText="1"/>
    </xf>
    <xf numFmtId="167" fontId="0" fillId="0" borderId="25" xfId="0" applyNumberFormat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12" fillId="0" borderId="27" xfId="0" applyFont="1" applyBorder="1" applyAlignment="1">
      <alignment horizontal="right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right" vertical="center" wrapText="1"/>
    </xf>
    <xf numFmtId="0" fontId="12" fillId="0" borderId="39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/>
    </xf>
    <xf numFmtId="164" fontId="13" fillId="0" borderId="39" xfId="1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164" fontId="12" fillId="0" borderId="20" xfId="1" applyFont="1" applyBorder="1" applyAlignment="1">
      <alignment horizontal="right" vertical="center" wrapText="1"/>
    </xf>
    <xf numFmtId="164" fontId="12" fillId="0" borderId="38" xfId="1" applyFont="1" applyBorder="1" applyAlignment="1">
      <alignment horizontal="center" vertical="center" wrapText="1"/>
    </xf>
    <xf numFmtId="164" fontId="12" fillId="0" borderId="13" xfId="1" applyFont="1" applyBorder="1" applyAlignment="1">
      <alignment horizontal="right" vertical="center" wrapText="1"/>
    </xf>
    <xf numFmtId="164" fontId="12" fillId="0" borderId="39" xfId="1" applyFont="1" applyBorder="1" applyAlignment="1">
      <alignment horizontal="center" vertical="center" wrapText="1"/>
    </xf>
    <xf numFmtId="0" fontId="0" fillId="0" borderId="16" xfId="0" applyFill="1" applyBorder="1"/>
    <xf numFmtId="0" fontId="0" fillId="0" borderId="18" xfId="0" applyFill="1" applyBorder="1" applyAlignment="1">
      <alignment horizontal="center" vertical="center"/>
    </xf>
    <xf numFmtId="0" fontId="0" fillId="0" borderId="20" xfId="0" applyBorder="1" applyAlignment="1">
      <alignment horizontal="right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1" xfId="0" applyFill="1" applyBorder="1"/>
    <xf numFmtId="0" fontId="0" fillId="0" borderId="3" xfId="0" applyFill="1" applyBorder="1" applyAlignment="1">
      <alignment horizontal="center" vertical="center"/>
    </xf>
    <xf numFmtId="2" fontId="0" fillId="0" borderId="39" xfId="0" applyNumberFormat="1" applyFont="1" applyBorder="1" applyAlignment="1">
      <alignment horizontal="center" vertical="center" wrapText="1"/>
    </xf>
    <xf numFmtId="0" fontId="0" fillId="0" borderId="24" xfId="0" applyFill="1" applyBorder="1"/>
    <xf numFmtId="0" fontId="0" fillId="0" borderId="30" xfId="0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25" xfId="0" applyFont="1" applyBorder="1" applyAlignment="1">
      <alignment horizontal="right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26" xfId="0" applyFill="1" applyBorder="1"/>
    <xf numFmtId="0" fontId="0" fillId="0" borderId="39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 wrapText="1"/>
    </xf>
    <xf numFmtId="0" fontId="0" fillId="0" borderId="26" xfId="0" applyBorder="1"/>
    <xf numFmtId="0" fontId="0" fillId="0" borderId="17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20" xfId="0" applyBorder="1"/>
    <xf numFmtId="0" fontId="0" fillId="0" borderId="34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45" xfId="0" applyBorder="1"/>
    <xf numFmtId="0" fontId="0" fillId="0" borderId="51" xfId="0" applyFont="1" applyBorder="1" applyAlignment="1">
      <alignment horizontal="center" vertical="center"/>
    </xf>
    <xf numFmtId="0" fontId="0" fillId="0" borderId="43" xfId="0" applyBorder="1"/>
    <xf numFmtId="0" fontId="0" fillId="0" borderId="53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25" xfId="0" applyBorder="1" applyAlignment="1">
      <alignment horizontal="righ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7" xfId="0" applyBorder="1"/>
    <xf numFmtId="164" fontId="13" fillId="0" borderId="9" xfId="1" applyFont="1" applyBorder="1" applyAlignment="1">
      <alignment horizontal="right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6" xfId="0" applyFill="1" applyBorder="1" applyAlignment="1">
      <alignment wrapText="1"/>
    </xf>
    <xf numFmtId="0" fontId="0" fillId="0" borderId="35" xfId="0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166" fontId="0" fillId="0" borderId="0" xfId="0" applyNumberFormat="1" applyFont="1" applyBorder="1" applyAlignment="1">
      <alignment horizontal="center" vertical="center" wrapText="1"/>
    </xf>
    <xf numFmtId="0" fontId="0" fillId="0" borderId="24" xfId="0" applyBorder="1"/>
    <xf numFmtId="0" fontId="0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166" fontId="0" fillId="0" borderId="20" xfId="0" applyNumberFormat="1" applyBorder="1" applyAlignment="1">
      <alignment horizontal="right" vertical="center" wrapText="1"/>
    </xf>
    <xf numFmtId="166" fontId="0" fillId="0" borderId="34" xfId="0" applyNumberFormat="1" applyBorder="1" applyAlignment="1">
      <alignment horizontal="center" vertical="center" wrapText="1"/>
    </xf>
    <xf numFmtId="166" fontId="0" fillId="0" borderId="13" xfId="0" applyNumberFormat="1" applyBorder="1" applyAlignment="1">
      <alignment horizontal="right" vertical="center" wrapText="1"/>
    </xf>
    <xf numFmtId="166" fontId="0" fillId="0" borderId="0" xfId="0" applyNumberFormat="1" applyBorder="1" applyAlignment="1">
      <alignment horizontal="center" vertical="center" wrapText="1"/>
    </xf>
    <xf numFmtId="0" fontId="0" fillId="0" borderId="23" xfId="0" applyFill="1" applyBorder="1"/>
    <xf numFmtId="166" fontId="0" fillId="0" borderId="25" xfId="0" applyNumberFormat="1" applyBorder="1" applyAlignment="1">
      <alignment horizontal="right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2" fillId="0" borderId="13" xfId="0" applyNumberFormat="1" applyFont="1" applyBorder="1" applyAlignment="1">
      <alignment horizontal="right" vertical="center" wrapText="1"/>
    </xf>
    <xf numFmtId="0" fontId="0" fillId="0" borderId="45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12" fillId="0" borderId="0" xfId="1" applyFont="1" applyBorder="1" applyAlignment="1">
      <alignment horizontal="right" vertical="center" wrapText="1"/>
    </xf>
    <xf numFmtId="164" fontId="12" fillId="0" borderId="0" xfId="1" applyFont="1" applyBorder="1" applyAlignment="1">
      <alignment horizontal="center" vertical="center" wrapText="1"/>
    </xf>
    <xf numFmtId="164" fontId="12" fillId="0" borderId="0" xfId="1" applyFont="1" applyBorder="1" applyAlignment="1">
      <alignment vertical="center" wrapText="1"/>
    </xf>
    <xf numFmtId="167" fontId="0" fillId="0" borderId="0" xfId="0" applyNumberForma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21" fontId="0" fillId="0" borderId="26" xfId="1" applyNumberFormat="1" applyFont="1" applyBorder="1"/>
    <xf numFmtId="21" fontId="0" fillId="0" borderId="21" xfId="0" applyNumberFormat="1" applyBorder="1"/>
    <xf numFmtId="21" fontId="0" fillId="0" borderId="24" xfId="0" applyNumberFormat="1" applyBorder="1"/>
    <xf numFmtId="0" fontId="2" fillId="0" borderId="38" xfId="0" applyFont="1" applyBorder="1"/>
    <xf numFmtId="0" fontId="2" fillId="0" borderId="20" xfId="0" applyFont="1" applyBorder="1"/>
    <xf numFmtId="0" fontId="0" fillId="0" borderId="42" xfId="0" applyBorder="1"/>
    <xf numFmtId="21" fontId="0" fillId="0" borderId="16" xfId="1" applyNumberFormat="1" applyFont="1" applyBorder="1"/>
    <xf numFmtId="21" fontId="0" fillId="0" borderId="21" xfId="1" applyNumberFormat="1" applyFont="1" applyBorder="1"/>
    <xf numFmtId="21" fontId="0" fillId="0" borderId="24" xfId="1" applyNumberFormat="1" applyFont="1" applyBorder="1"/>
    <xf numFmtId="167" fontId="0" fillId="0" borderId="13" xfId="1" applyNumberFormat="1" applyFon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 wrapText="1"/>
    </xf>
    <xf numFmtId="164" fontId="38" fillId="2" borderId="1" xfId="1" applyFont="1" applyFill="1" applyBorder="1" applyAlignment="1">
      <alignment vertical="top"/>
    </xf>
    <xf numFmtId="0" fontId="38" fillId="0" borderId="0" xfId="0" applyFont="1"/>
    <xf numFmtId="0" fontId="0" fillId="0" borderId="79" xfId="0" applyBorder="1" applyAlignment="1">
      <alignment horizontal="center" vertical="center"/>
    </xf>
    <xf numFmtId="0" fontId="0" fillId="0" borderId="80" xfId="0" applyFont="1" applyBorder="1" applyAlignment="1">
      <alignment horizontal="center" vertical="center"/>
    </xf>
    <xf numFmtId="0" fontId="0" fillId="0" borderId="25" xfId="0" applyBorder="1"/>
    <xf numFmtId="1" fontId="0" fillId="0" borderId="0" xfId="0" applyNumberFormat="1" applyBorder="1"/>
    <xf numFmtId="164" fontId="37" fillId="0" borderId="1" xfId="1" applyFont="1" applyBorder="1"/>
    <xf numFmtId="0" fontId="0" fillId="9" borderId="84" xfId="0" applyFont="1" applyFill="1" applyBorder="1" applyAlignment="1">
      <alignment horizontal="center" vertical="center"/>
    </xf>
    <xf numFmtId="164" fontId="4" fillId="3" borderId="0" xfId="1" applyFont="1" applyFill="1" applyAlignment="1">
      <alignment vertical="center"/>
    </xf>
    <xf numFmtId="13" fontId="0" fillId="0" borderId="0" xfId="0" applyNumberFormat="1"/>
    <xf numFmtId="0" fontId="7" fillId="19" borderId="1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164" fontId="7" fillId="19" borderId="1" xfId="1" applyFont="1" applyFill="1" applyBorder="1" applyAlignment="1">
      <alignment horizontal="center"/>
    </xf>
    <xf numFmtId="164" fontId="7" fillId="20" borderId="1" xfId="1" applyFont="1" applyFill="1" applyBorder="1" applyAlignment="1">
      <alignment horizontal="center"/>
    </xf>
    <xf numFmtId="10" fontId="4" fillId="3" borderId="0" xfId="0" applyNumberFormat="1" applyFont="1" applyFill="1" applyAlignment="1">
      <alignment vertical="center"/>
    </xf>
    <xf numFmtId="164" fontId="3" fillId="4" borderId="1" xfId="1" applyNumberFormat="1" applyFont="1" applyFill="1" applyBorder="1" applyAlignment="1">
      <alignment vertical="top"/>
    </xf>
    <xf numFmtId="0" fontId="0" fillId="0" borderId="88" xfId="0" applyFill="1" applyBorder="1"/>
    <xf numFmtId="0" fontId="0" fillId="0" borderId="87" xfId="0" applyFill="1" applyBorder="1" applyAlignment="1">
      <alignment horizontal="center" vertical="center"/>
    </xf>
    <xf numFmtId="164" fontId="13" fillId="0" borderId="42" xfId="1" applyFont="1" applyBorder="1" applyAlignment="1">
      <alignment vertical="center" wrapText="1"/>
    </xf>
    <xf numFmtId="164" fontId="13" fillId="0" borderId="44" xfId="1" applyFont="1" applyBorder="1" applyAlignment="1">
      <alignment vertical="center" wrapText="1"/>
    </xf>
    <xf numFmtId="164" fontId="13" fillId="0" borderId="45" xfId="1" applyFont="1" applyBorder="1" applyAlignment="1">
      <alignment vertical="center" wrapText="1"/>
    </xf>
    <xf numFmtId="2" fontId="12" fillId="9" borderId="42" xfId="0" applyNumberFormat="1" applyFont="1" applyFill="1" applyBorder="1" applyAlignment="1">
      <alignment vertical="center" wrapText="1"/>
    </xf>
    <xf numFmtId="2" fontId="12" fillId="9" borderId="44" xfId="0" applyNumberFormat="1" applyFont="1" applyFill="1" applyBorder="1" applyAlignment="1">
      <alignment vertical="center" wrapText="1"/>
    </xf>
    <xf numFmtId="2" fontId="12" fillId="9" borderId="45" xfId="0" applyNumberFormat="1" applyFont="1" applyFill="1" applyBorder="1" applyAlignment="1">
      <alignment vertical="center" wrapText="1"/>
    </xf>
    <xf numFmtId="167" fontId="0" fillId="0" borderId="16" xfId="1" applyNumberFormat="1" applyFont="1" applyBorder="1" applyAlignment="1">
      <alignment vertical="center"/>
    </xf>
    <xf numFmtId="167" fontId="0" fillId="0" borderId="21" xfId="1" applyNumberFormat="1" applyFont="1" applyBorder="1" applyAlignment="1">
      <alignment vertical="center"/>
    </xf>
    <xf numFmtId="167" fontId="0" fillId="0" borderId="24" xfId="1" applyNumberFormat="1" applyFont="1" applyBorder="1" applyAlignment="1">
      <alignment vertical="center"/>
    </xf>
    <xf numFmtId="167" fontId="12" fillId="0" borderId="42" xfId="1" applyNumberFormat="1" applyFont="1" applyBorder="1" applyAlignment="1">
      <alignment vertical="center" wrapText="1"/>
    </xf>
    <xf numFmtId="167" fontId="12" fillId="0" borderId="44" xfId="1" applyNumberFormat="1" applyFont="1" applyBorder="1" applyAlignment="1">
      <alignment vertical="center" wrapText="1"/>
    </xf>
    <xf numFmtId="167" fontId="12" fillId="0" borderId="45" xfId="1" applyNumberFormat="1" applyFont="1" applyBorder="1" applyAlignment="1">
      <alignment vertical="center" wrapText="1"/>
    </xf>
    <xf numFmtId="164" fontId="39" fillId="0" borderId="1" xfId="1" applyFont="1" applyBorder="1"/>
    <xf numFmtId="164" fontId="39" fillId="2" borderId="1" xfId="1" applyFont="1" applyFill="1" applyBorder="1" applyAlignment="1">
      <alignment vertical="top"/>
    </xf>
    <xf numFmtId="0" fontId="0" fillId="0" borderId="1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7" fontId="0" fillId="0" borderId="13" xfId="1" applyNumberFormat="1" applyFon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 wrapText="1"/>
    </xf>
    <xf numFmtId="164" fontId="13" fillId="0" borderId="13" xfId="1" applyFont="1" applyBorder="1" applyAlignment="1">
      <alignment horizontal="center" vertical="center" wrapText="1"/>
    </xf>
    <xf numFmtId="2" fontId="12" fillId="9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9" xfId="0" applyBorder="1" applyAlignment="1">
      <alignment horizontal="center" vertical="center" wrapText="1"/>
    </xf>
    <xf numFmtId="0" fontId="0" fillId="9" borderId="0" xfId="0" applyFont="1" applyFill="1" applyBorder="1" applyAlignment="1">
      <alignment horizontal="center" vertical="center"/>
    </xf>
    <xf numFmtId="164" fontId="0" fillId="11" borderId="0" xfId="0" applyNumberFormat="1" applyFont="1" applyFill="1" applyBorder="1"/>
    <xf numFmtId="0" fontId="37" fillId="0" borderId="0" xfId="0" applyFont="1"/>
    <xf numFmtId="164" fontId="7" fillId="9" borderId="1" xfId="1" applyFont="1" applyFill="1" applyBorder="1" applyAlignment="1">
      <alignment vertical="top"/>
    </xf>
    <xf numFmtId="43" fontId="39" fillId="0" borderId="0" xfId="0" applyNumberFormat="1" applyFont="1"/>
    <xf numFmtId="0" fontId="0" fillId="0" borderId="87" xfId="0" applyBorder="1" applyAlignment="1">
      <alignment horizontal="center" vertical="center"/>
    </xf>
    <xf numFmtId="0" fontId="0" fillId="0" borderId="84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Fon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Font="1" applyBorder="1" applyAlignment="1">
      <alignment horizontal="center" vertical="center"/>
    </xf>
    <xf numFmtId="164" fontId="1" fillId="0" borderId="41" xfId="1" applyFont="1" applyBorder="1"/>
    <xf numFmtId="164" fontId="1" fillId="10" borderId="1" xfId="1" applyFont="1" applyFill="1" applyBorder="1"/>
    <xf numFmtId="0" fontId="2" fillId="0" borderId="13" xfId="0" applyFont="1" applyBorder="1" applyAlignment="1">
      <alignment horizontal="right" vertical="center" wrapText="1"/>
    </xf>
    <xf numFmtId="164" fontId="6" fillId="9" borderId="1" xfId="1" applyFont="1" applyFill="1" applyBorder="1"/>
    <xf numFmtId="164" fontId="14" fillId="2" borderId="1" xfId="1" applyFont="1" applyFill="1" applyBorder="1" applyAlignment="1">
      <alignment vertical="top"/>
    </xf>
    <xf numFmtId="164" fontId="14" fillId="0" borderId="1" xfId="1" applyFont="1" applyBorder="1"/>
    <xf numFmtId="164" fontId="14" fillId="10" borderId="1" xfId="1" applyFont="1" applyFill="1" applyBorder="1" applyAlignment="1">
      <alignment vertical="top"/>
    </xf>
    <xf numFmtId="164" fontId="14" fillId="0" borderId="41" xfId="1" applyFont="1" applyBorder="1"/>
    <xf numFmtId="0" fontId="0" fillId="23" borderId="0" xfId="0" applyFill="1"/>
    <xf numFmtId="0" fontId="2" fillId="0" borderId="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4" fontId="13" fillId="0" borderId="20" xfId="1" applyFont="1" applyBorder="1" applyAlignment="1">
      <alignment horizontal="center" vertical="center" wrapText="1"/>
    </xf>
    <xf numFmtId="164" fontId="13" fillId="0" borderId="13" xfId="1" applyFont="1" applyBorder="1" applyAlignment="1">
      <alignment horizontal="center" vertical="center" wrapText="1"/>
    </xf>
    <xf numFmtId="2" fontId="12" fillId="9" borderId="20" xfId="0" applyNumberFormat="1" applyFont="1" applyFill="1" applyBorder="1" applyAlignment="1">
      <alignment horizontal="center" vertical="center" wrapText="1"/>
    </xf>
    <xf numFmtId="2" fontId="12" fillId="9" borderId="13" xfId="0" applyNumberFormat="1" applyFont="1" applyFill="1" applyBorder="1" applyAlignment="1">
      <alignment horizontal="center" vertical="center" wrapText="1"/>
    </xf>
    <xf numFmtId="167" fontId="0" fillId="0" borderId="20" xfId="1" applyNumberFormat="1" applyFont="1" applyBorder="1" applyAlignment="1">
      <alignment horizontal="center" vertical="center"/>
    </xf>
    <xf numFmtId="167" fontId="0" fillId="0" borderId="13" xfId="1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 wrapText="1"/>
    </xf>
    <xf numFmtId="166" fontId="0" fillId="0" borderId="13" xfId="0" applyNumberFormat="1" applyBorder="1" applyAlignment="1">
      <alignment horizontal="center" vertical="center" wrapText="1"/>
    </xf>
    <xf numFmtId="166" fontId="0" fillId="0" borderId="25" xfId="0" applyNumberFormat="1" applyBorder="1" applyAlignment="1">
      <alignment horizontal="center" vertical="center" wrapText="1"/>
    </xf>
    <xf numFmtId="167" fontId="0" fillId="0" borderId="25" xfId="1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166" fontId="0" fillId="0" borderId="20" xfId="0" applyNumberFormat="1" applyFont="1" applyBorder="1" applyAlignment="1">
      <alignment horizontal="center" vertical="center" wrapText="1"/>
    </xf>
    <xf numFmtId="166" fontId="0" fillId="0" borderId="13" xfId="0" applyNumberFormat="1" applyFont="1" applyBorder="1" applyAlignment="1">
      <alignment horizontal="center" vertical="center" wrapText="1"/>
    </xf>
    <xf numFmtId="166" fontId="0" fillId="0" borderId="25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164" fontId="13" fillId="0" borderId="20" xfId="1" applyFont="1" applyBorder="1" applyAlignment="1">
      <alignment horizontal="right" vertical="center" wrapText="1"/>
    </xf>
    <xf numFmtId="164" fontId="13" fillId="0" borderId="25" xfId="1" applyFont="1" applyBorder="1" applyAlignment="1">
      <alignment horizontal="right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2" fontId="0" fillId="0" borderId="20" xfId="0" applyNumberFormat="1" applyFont="1" applyBorder="1" applyAlignment="1">
      <alignment horizontal="center" vertical="center" wrapText="1"/>
    </xf>
    <xf numFmtId="2" fontId="0" fillId="0" borderId="13" xfId="0" applyNumberFormat="1" applyFont="1" applyBorder="1" applyAlignment="1">
      <alignment horizontal="center" vertical="center" wrapText="1"/>
    </xf>
    <xf numFmtId="2" fontId="0" fillId="0" borderId="25" xfId="0" applyNumberFormat="1" applyFont="1" applyBorder="1" applyAlignment="1">
      <alignment horizontal="center" vertical="center" wrapText="1"/>
    </xf>
    <xf numFmtId="0" fontId="0" fillId="0" borderId="20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2" fontId="12" fillId="9" borderId="25" xfId="0" applyNumberFormat="1" applyFont="1" applyFill="1" applyBorder="1" applyAlignment="1">
      <alignment horizontal="center" vertical="center" wrapText="1"/>
    </xf>
    <xf numFmtId="0" fontId="0" fillId="9" borderId="34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166" fontId="0" fillId="0" borderId="38" xfId="0" applyNumberFormat="1" applyFont="1" applyBorder="1" applyAlignment="1">
      <alignment horizontal="center" vertical="center"/>
    </xf>
    <xf numFmtId="166" fontId="0" fillId="0" borderId="39" xfId="0" applyNumberFormat="1" applyFont="1" applyBorder="1" applyAlignment="1">
      <alignment horizontal="center" vertical="center"/>
    </xf>
    <xf numFmtId="166" fontId="0" fillId="0" borderId="40" xfId="0" applyNumberFormat="1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wrapText="1"/>
    </xf>
    <xf numFmtId="0" fontId="5" fillId="7" borderId="8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25" fillId="10" borderId="63" xfId="0" applyFont="1" applyFill="1" applyBorder="1" applyAlignment="1">
      <alignment horizontal="center"/>
    </xf>
    <xf numFmtId="0" fontId="25" fillId="10" borderId="64" xfId="0" applyFont="1" applyFill="1" applyBorder="1" applyAlignment="1">
      <alignment horizontal="center"/>
    </xf>
    <xf numFmtId="0" fontId="25" fillId="10" borderId="65" xfId="0" applyFont="1" applyFill="1" applyBorder="1" applyAlignment="1">
      <alignment horizontal="center"/>
    </xf>
    <xf numFmtId="14" fontId="3" fillId="16" borderId="63" xfId="0" applyNumberFormat="1" applyFont="1" applyFill="1" applyBorder="1" applyAlignment="1">
      <alignment horizontal="center"/>
    </xf>
    <xf numFmtId="14" fontId="3" fillId="16" borderId="64" xfId="0" applyNumberFormat="1" applyFont="1" applyFill="1" applyBorder="1" applyAlignment="1">
      <alignment horizontal="center"/>
    </xf>
    <xf numFmtId="14" fontId="3" fillId="16" borderId="65" xfId="0" applyNumberFormat="1" applyFont="1" applyFill="1" applyBorder="1" applyAlignment="1">
      <alignment horizontal="center"/>
    </xf>
    <xf numFmtId="0" fontId="25" fillId="7" borderId="69" xfId="0" applyFont="1" applyFill="1" applyBorder="1" applyAlignment="1">
      <alignment horizontal="center" vertical="center"/>
    </xf>
    <xf numFmtId="0" fontId="25" fillId="7" borderId="70" xfId="0" applyFont="1" applyFill="1" applyBorder="1" applyAlignment="1">
      <alignment horizontal="center" vertical="center"/>
    </xf>
    <xf numFmtId="0" fontId="7" fillId="7" borderId="69" xfId="0" applyFont="1" applyFill="1" applyBorder="1" applyAlignment="1">
      <alignment horizontal="left" vertical="center"/>
    </xf>
    <xf numFmtId="0" fontId="7" fillId="7" borderId="70" xfId="0" applyFont="1" applyFill="1" applyBorder="1" applyAlignment="1">
      <alignment horizontal="left" vertical="center"/>
    </xf>
    <xf numFmtId="0" fontId="25" fillId="7" borderId="69" xfId="0" applyFont="1" applyFill="1" applyBorder="1" applyAlignment="1">
      <alignment horizontal="left" vertical="center"/>
    </xf>
    <xf numFmtId="0" fontId="26" fillId="3" borderId="27" xfId="0" applyFont="1" applyFill="1" applyBorder="1" applyAlignment="1">
      <alignment horizontal="left" vertical="center" wrapText="1"/>
    </xf>
    <xf numFmtId="0" fontId="26" fillId="3" borderId="29" xfId="0" applyFont="1" applyFill="1" applyBorder="1" applyAlignment="1">
      <alignment horizontal="left" vertical="center" wrapText="1"/>
    </xf>
    <xf numFmtId="167" fontId="33" fillId="3" borderId="71" xfId="1" applyNumberFormat="1" applyFont="1" applyFill="1" applyBorder="1" applyAlignment="1">
      <alignment vertical="center"/>
    </xf>
    <xf numFmtId="0" fontId="12" fillId="3" borderId="20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2" fillId="3" borderId="25" xfId="0" applyFont="1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/>
    </xf>
    <xf numFmtId="0" fontId="10" fillId="3" borderId="20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/>
    </xf>
    <xf numFmtId="0" fontId="10" fillId="3" borderId="25" xfId="0" applyFont="1" applyFill="1" applyBorder="1" applyAlignment="1">
      <alignment horizontal="left" vertical="center" wrapText="1"/>
    </xf>
    <xf numFmtId="0" fontId="7" fillId="7" borderId="71" xfId="0" applyFont="1" applyFill="1" applyBorder="1" applyAlignment="1">
      <alignment horizontal="left" vertical="center" wrapText="1"/>
    </xf>
    <xf numFmtId="0" fontId="25" fillId="7" borderId="69" xfId="0" applyFont="1" applyFill="1" applyBorder="1" applyAlignment="1">
      <alignment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25" xfId="0" applyFont="1" applyFill="1" applyBorder="1" applyAlignment="1">
      <alignment horizontal="left" vertical="center" wrapText="1"/>
    </xf>
    <xf numFmtId="0" fontId="0" fillId="3" borderId="38" xfId="0" applyFill="1" applyBorder="1" applyAlignment="1">
      <alignment horizontal="left" vertical="center"/>
    </xf>
    <xf numFmtId="0" fontId="0" fillId="3" borderId="39" xfId="0" applyFill="1" applyBorder="1" applyAlignment="1">
      <alignment horizontal="left" vertical="center"/>
    </xf>
    <xf numFmtId="0" fontId="0" fillId="3" borderId="40" xfId="0" applyFill="1" applyBorder="1" applyAlignment="1">
      <alignment horizontal="left" vertical="center"/>
    </xf>
    <xf numFmtId="0" fontId="0" fillId="3" borderId="20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/>
    </xf>
    <xf numFmtId="0" fontId="26" fillId="3" borderId="20" xfId="0" applyFont="1" applyFill="1" applyBorder="1" applyAlignment="1">
      <alignment horizontal="left" vertical="center" wrapText="1"/>
    </xf>
    <xf numFmtId="0" fontId="26" fillId="3" borderId="13" xfId="0" applyFont="1" applyFill="1" applyBorder="1" applyAlignment="1">
      <alignment horizontal="left" vertical="center" wrapText="1"/>
    </xf>
    <xf numFmtId="0" fontId="26" fillId="3" borderId="25" xfId="0" applyFont="1" applyFill="1" applyBorder="1" applyAlignment="1">
      <alignment horizontal="left" vertical="center" wrapText="1"/>
    </xf>
    <xf numFmtId="164" fontId="35" fillId="7" borderId="73" xfId="1" applyFont="1" applyFill="1" applyBorder="1" applyAlignment="1">
      <alignment horizontal="left" vertical="center" wrapText="1"/>
    </xf>
    <xf numFmtId="164" fontId="35" fillId="7" borderId="13" xfId="1" applyFont="1" applyFill="1" applyBorder="1" applyAlignment="1">
      <alignment horizontal="left" vertical="center" wrapText="1"/>
    </xf>
    <xf numFmtId="164" fontId="35" fillId="7" borderId="74" xfId="1" applyFont="1" applyFill="1" applyBorder="1" applyAlignment="1">
      <alignment horizontal="left" vertical="center" wrapText="1"/>
    </xf>
    <xf numFmtId="0" fontId="25" fillId="7" borderId="73" xfId="0" applyFont="1" applyFill="1" applyBorder="1" applyAlignment="1">
      <alignment vertical="center" wrapText="1"/>
    </xf>
    <xf numFmtId="0" fontId="25" fillId="7" borderId="13" xfId="0" applyFont="1" applyFill="1" applyBorder="1" applyAlignment="1">
      <alignment vertical="center" wrapText="1"/>
    </xf>
    <xf numFmtId="0" fontId="25" fillId="7" borderId="74" xfId="0" applyFont="1" applyFill="1" applyBorder="1" applyAlignment="1">
      <alignment vertical="center" wrapText="1"/>
    </xf>
    <xf numFmtId="0" fontId="12" fillId="3" borderId="16" xfId="0" applyFont="1" applyFill="1" applyBorder="1" applyAlignment="1">
      <alignment horizontal="left" vertical="center" wrapText="1"/>
    </xf>
    <xf numFmtId="0" fontId="12" fillId="3" borderId="21" xfId="0" applyFont="1" applyFill="1" applyBorder="1" applyAlignment="1">
      <alignment horizontal="left" vertical="center" wrapText="1"/>
    </xf>
    <xf numFmtId="0" fontId="12" fillId="3" borderId="24" xfId="0" applyFont="1" applyFill="1" applyBorder="1" applyAlignment="1">
      <alignment horizontal="left" vertical="center" wrapText="1"/>
    </xf>
    <xf numFmtId="0" fontId="0" fillId="3" borderId="17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166" fontId="0" fillId="3" borderId="38" xfId="0" applyNumberFormat="1" applyFont="1" applyFill="1" applyBorder="1" applyAlignment="1">
      <alignment horizontal="left" vertical="center"/>
    </xf>
    <xf numFmtId="166" fontId="0" fillId="3" borderId="39" xfId="0" applyNumberFormat="1" applyFont="1" applyFill="1" applyBorder="1" applyAlignment="1">
      <alignment horizontal="left" vertical="center"/>
    </xf>
    <xf numFmtId="166" fontId="0" fillId="3" borderId="40" xfId="0" applyNumberFormat="1" applyFont="1" applyFill="1" applyBorder="1" applyAlignment="1">
      <alignment horizontal="left" vertical="center"/>
    </xf>
    <xf numFmtId="166" fontId="26" fillId="3" borderId="20" xfId="0" applyNumberFormat="1" applyFont="1" applyFill="1" applyBorder="1" applyAlignment="1">
      <alignment horizontal="left" vertical="center" wrapText="1"/>
    </xf>
    <xf numFmtId="166" fontId="26" fillId="3" borderId="13" xfId="0" applyNumberFormat="1" applyFont="1" applyFill="1" applyBorder="1" applyAlignment="1">
      <alignment horizontal="left" vertical="center" wrapText="1"/>
    </xf>
    <xf numFmtId="166" fontId="26" fillId="3" borderId="25" xfId="0" applyNumberFormat="1" applyFont="1" applyFill="1" applyBorder="1" applyAlignment="1">
      <alignment horizontal="left" vertical="center" wrapText="1"/>
    </xf>
    <xf numFmtId="0" fontId="0" fillId="3" borderId="52" xfId="0" applyFill="1" applyBorder="1" applyAlignment="1">
      <alignment horizontal="left" vertical="center" wrapText="1"/>
    </xf>
    <xf numFmtId="0" fontId="0" fillId="3" borderId="38" xfId="0" applyFont="1" applyFill="1" applyBorder="1" applyAlignment="1">
      <alignment horizontal="left" vertical="center"/>
    </xf>
    <xf numFmtId="0" fontId="0" fillId="3" borderId="39" xfId="0" applyFont="1" applyFill="1" applyBorder="1" applyAlignment="1">
      <alignment horizontal="left" vertical="center"/>
    </xf>
    <xf numFmtId="0" fontId="0" fillId="3" borderId="40" xfId="0" applyFont="1" applyFill="1" applyBorder="1" applyAlignment="1">
      <alignment horizontal="left" vertical="center"/>
    </xf>
    <xf numFmtId="166" fontId="25" fillId="7" borderId="73" xfId="0" applyNumberFormat="1" applyFont="1" applyFill="1" applyBorder="1" applyAlignment="1">
      <alignment horizontal="left" vertical="center" wrapText="1"/>
    </xf>
    <xf numFmtId="166" fontId="25" fillId="7" borderId="13" xfId="0" applyNumberFormat="1" applyFont="1" applyFill="1" applyBorder="1" applyAlignment="1">
      <alignment horizontal="left" vertical="center" wrapText="1"/>
    </xf>
    <xf numFmtId="166" fontId="25" fillId="7" borderId="74" xfId="0" applyNumberFormat="1" applyFont="1" applyFill="1" applyBorder="1" applyAlignment="1">
      <alignment horizontal="left" vertical="center" wrapText="1"/>
    </xf>
    <xf numFmtId="166" fontId="25" fillId="7" borderId="73" xfId="0" applyNumberFormat="1" applyFont="1" applyFill="1" applyBorder="1" applyAlignment="1">
      <alignment vertical="center" wrapText="1"/>
    </xf>
    <xf numFmtId="166" fontId="25" fillId="7" borderId="13" xfId="0" applyNumberFormat="1" applyFont="1" applyFill="1" applyBorder="1" applyAlignment="1">
      <alignment vertical="center" wrapText="1"/>
    </xf>
    <xf numFmtId="166" fontId="25" fillId="7" borderId="74" xfId="0" applyNumberFormat="1" applyFont="1" applyFill="1" applyBorder="1" applyAlignment="1">
      <alignment vertical="center" wrapText="1"/>
    </xf>
    <xf numFmtId="166" fontId="7" fillId="7" borderId="71" xfId="0" applyNumberFormat="1" applyFont="1" applyFill="1" applyBorder="1" applyAlignment="1">
      <alignment horizontal="left" vertical="center" wrapText="1"/>
    </xf>
    <xf numFmtId="0" fontId="12" fillId="7" borderId="16" xfId="0" applyFont="1" applyFill="1" applyBorder="1" applyAlignment="1">
      <alignment horizontal="left" vertical="center" wrapText="1"/>
    </xf>
    <xf numFmtId="0" fontId="12" fillId="7" borderId="21" xfId="0" applyFont="1" applyFill="1" applyBorder="1" applyAlignment="1">
      <alignment horizontal="left" vertical="center" wrapText="1"/>
    </xf>
    <xf numFmtId="0" fontId="12" fillId="7" borderId="24" xfId="0" applyFont="1" applyFill="1" applyBorder="1" applyAlignment="1">
      <alignment horizontal="left" vertical="center" wrapText="1"/>
    </xf>
    <xf numFmtId="0" fontId="0" fillId="7" borderId="17" xfId="0" applyFill="1" applyBorder="1" applyAlignment="1">
      <alignment horizontal="left" vertical="center" wrapText="1"/>
    </xf>
    <xf numFmtId="0" fontId="0" fillId="7" borderId="22" xfId="0" applyFill="1" applyBorder="1" applyAlignment="1">
      <alignment horizontal="left" vertical="center" wrapText="1"/>
    </xf>
    <xf numFmtId="0" fontId="0" fillId="7" borderId="52" xfId="0" applyFill="1" applyBorder="1" applyAlignment="1">
      <alignment horizontal="left" vertical="center" wrapText="1"/>
    </xf>
    <xf numFmtId="0" fontId="0" fillId="7" borderId="38" xfId="0" applyFont="1" applyFill="1" applyBorder="1" applyAlignment="1">
      <alignment horizontal="left" vertical="center"/>
    </xf>
    <xf numFmtId="0" fontId="0" fillId="7" borderId="39" xfId="0" applyFont="1" applyFill="1" applyBorder="1" applyAlignment="1">
      <alignment horizontal="left" vertical="center"/>
    </xf>
    <xf numFmtId="0" fontId="0" fillId="7" borderId="40" xfId="0" applyFont="1" applyFill="1" applyBorder="1" applyAlignment="1">
      <alignment horizontal="left" vertical="center"/>
    </xf>
    <xf numFmtId="0" fontId="26" fillId="7" borderId="20" xfId="0" applyFont="1" applyFill="1" applyBorder="1" applyAlignment="1">
      <alignment horizontal="left" vertical="center" wrapText="1"/>
    </xf>
    <xf numFmtId="0" fontId="26" fillId="7" borderId="13" xfId="0" applyFont="1" applyFill="1" applyBorder="1" applyAlignment="1">
      <alignment horizontal="left" vertical="center" wrapText="1"/>
    </xf>
    <xf numFmtId="0" fontId="26" fillId="7" borderId="25" xfId="0" applyFont="1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 wrapText="1"/>
    </xf>
    <xf numFmtId="0" fontId="25" fillId="7" borderId="71" xfId="0" applyFont="1" applyFill="1" applyBorder="1" applyAlignment="1">
      <alignment horizontal="left" vertical="center" wrapText="1"/>
    </xf>
    <xf numFmtId="0" fontId="12" fillId="7" borderId="16" xfId="0" applyFont="1" applyFill="1" applyBorder="1" applyAlignment="1">
      <alignment horizontal="left" vertical="center"/>
    </xf>
    <xf numFmtId="0" fontId="12" fillId="7" borderId="26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3" xfId="0" applyFont="1" applyFill="1" applyBorder="1" applyAlignment="1">
      <alignment horizontal="left" vertical="center"/>
    </xf>
    <xf numFmtId="0" fontId="0" fillId="7" borderId="34" xfId="0" applyFill="1" applyBorder="1" applyAlignment="1">
      <alignment horizontal="left" vertical="center" wrapText="1"/>
    </xf>
    <xf numFmtId="0" fontId="0" fillId="7" borderId="20" xfId="0" applyFont="1" applyFill="1" applyBorder="1" applyAlignment="1">
      <alignment horizontal="left" vertical="center"/>
    </xf>
    <xf numFmtId="0" fontId="0" fillId="7" borderId="13" xfId="0" applyFont="1" applyFill="1" applyBorder="1" applyAlignment="1">
      <alignment horizontal="left" vertical="center"/>
    </xf>
    <xf numFmtId="166" fontId="26" fillId="7" borderId="20" xfId="0" applyNumberFormat="1" applyFont="1" applyFill="1" applyBorder="1" applyAlignment="1">
      <alignment horizontal="left" vertical="center" wrapText="1"/>
    </xf>
    <xf numFmtId="166" fontId="26" fillId="7" borderId="13" xfId="0" applyNumberFormat="1" applyFont="1" applyFill="1" applyBorder="1" applyAlignment="1">
      <alignment horizontal="left" vertical="center" wrapText="1"/>
    </xf>
    <xf numFmtId="166" fontId="26" fillId="7" borderId="25" xfId="0" applyNumberFormat="1" applyFont="1" applyFill="1" applyBorder="1" applyAlignment="1">
      <alignment horizontal="left" vertical="center" wrapText="1"/>
    </xf>
    <xf numFmtId="164" fontId="35" fillId="7" borderId="76" xfId="1" applyFont="1" applyFill="1" applyBorder="1" applyAlignment="1">
      <alignment horizontal="left" vertical="center" wrapText="1"/>
    </xf>
    <xf numFmtId="164" fontId="35" fillId="7" borderId="79" xfId="1" applyFont="1" applyFill="1" applyBorder="1" applyAlignment="1">
      <alignment horizontal="left" vertical="center" wrapText="1"/>
    </xf>
    <xf numFmtId="164" fontId="35" fillId="7" borderId="81" xfId="1" applyFont="1" applyFill="1" applyBorder="1" applyAlignment="1">
      <alignment horizontal="left" vertical="center" wrapText="1"/>
    </xf>
    <xf numFmtId="164" fontId="35" fillId="7" borderId="77" xfId="1" applyFont="1" applyFill="1" applyBorder="1" applyAlignment="1">
      <alignment vertical="center" wrapText="1"/>
    </xf>
    <xf numFmtId="164" fontId="35" fillId="7" borderId="80" xfId="1" applyFont="1" applyFill="1" applyBorder="1" applyAlignment="1">
      <alignment vertical="center" wrapText="1"/>
    </xf>
    <xf numFmtId="164" fontId="35" fillId="7" borderId="82" xfId="1" applyFont="1" applyFill="1" applyBorder="1" applyAlignment="1">
      <alignment vertical="center" wrapText="1"/>
    </xf>
    <xf numFmtId="2" fontId="36" fillId="7" borderId="78" xfId="0" applyNumberFormat="1" applyFont="1" applyFill="1" applyBorder="1" applyAlignment="1">
      <alignment horizontal="left" vertical="center" wrapText="1"/>
    </xf>
    <xf numFmtId="0" fontId="12" fillId="7" borderId="23" xfId="0" applyFont="1" applyFill="1" applyBorder="1" applyAlignment="1">
      <alignment horizontal="left" vertical="center" wrapText="1"/>
    </xf>
    <xf numFmtId="0" fontId="0" fillId="7" borderId="6" xfId="0" applyFill="1" applyBorder="1" applyAlignment="1">
      <alignment horizontal="left" vertical="center" wrapText="1"/>
    </xf>
    <xf numFmtId="0" fontId="25" fillId="7" borderId="73" xfId="0" applyFont="1" applyFill="1" applyBorder="1" applyAlignment="1">
      <alignment horizontal="left" vertical="center" wrapText="1"/>
    </xf>
    <xf numFmtId="0" fontId="25" fillId="7" borderId="13" xfId="0" applyFont="1" applyFill="1" applyBorder="1" applyAlignment="1">
      <alignment horizontal="left" vertical="center" wrapText="1"/>
    </xf>
    <xf numFmtId="0" fontId="25" fillId="7" borderId="25" xfId="0" applyFont="1" applyFill="1" applyBorder="1" applyAlignment="1">
      <alignment horizontal="left" vertical="center" wrapText="1"/>
    </xf>
    <xf numFmtId="166" fontId="25" fillId="7" borderId="25" xfId="0" applyNumberFormat="1" applyFont="1" applyFill="1" applyBorder="1" applyAlignment="1">
      <alignment vertical="center" wrapText="1"/>
    </xf>
    <xf numFmtId="167" fontId="33" fillId="3" borderId="23" xfId="0" applyNumberFormat="1" applyFont="1" applyFill="1" applyBorder="1" applyAlignment="1">
      <alignment horizontal="center" vertical="center"/>
    </xf>
    <xf numFmtId="167" fontId="33" fillId="3" borderId="26" xfId="0" applyNumberFormat="1" applyFont="1" applyFill="1" applyBorder="1" applyAlignment="1">
      <alignment horizontal="center" vertical="center"/>
    </xf>
    <xf numFmtId="164" fontId="35" fillId="7" borderId="73" xfId="1" applyFont="1" applyFill="1" applyBorder="1" applyAlignment="1">
      <alignment vertical="center" wrapText="1"/>
    </xf>
    <xf numFmtId="164" fontId="35" fillId="7" borderId="13" xfId="1" applyFont="1" applyFill="1" applyBorder="1" applyAlignment="1">
      <alignment vertical="center" wrapText="1"/>
    </xf>
    <xf numFmtId="164" fontId="35" fillId="7" borderId="74" xfId="1" applyFont="1" applyFill="1" applyBorder="1" applyAlignment="1">
      <alignment vertical="center" wrapText="1"/>
    </xf>
    <xf numFmtId="2" fontId="36" fillId="7" borderId="71" xfId="0" applyNumberFormat="1" applyFont="1" applyFill="1" applyBorder="1" applyAlignment="1">
      <alignment horizontal="left" vertical="center" wrapText="1"/>
    </xf>
    <xf numFmtId="0" fontId="12" fillId="7" borderId="24" xfId="0" applyFont="1" applyFill="1" applyBorder="1" applyAlignment="1">
      <alignment horizontal="left" vertical="center"/>
    </xf>
    <xf numFmtId="164" fontId="35" fillId="7" borderId="23" xfId="1" applyFont="1" applyFill="1" applyBorder="1" applyAlignment="1">
      <alignment horizontal="left" vertical="center" wrapText="1"/>
    </xf>
    <xf numFmtId="164" fontId="35" fillId="7" borderId="26" xfId="1" applyFont="1" applyFill="1" applyBorder="1" applyAlignment="1">
      <alignment horizontal="left" vertical="center" wrapText="1"/>
    </xf>
    <xf numFmtId="164" fontId="35" fillId="7" borderId="23" xfId="1" applyFont="1" applyFill="1" applyBorder="1" applyAlignment="1">
      <alignment vertical="center" wrapText="1"/>
    </xf>
    <xf numFmtId="164" fontId="35" fillId="7" borderId="26" xfId="1" applyFont="1" applyFill="1" applyBorder="1" applyAlignment="1">
      <alignment vertical="center" wrapText="1"/>
    </xf>
    <xf numFmtId="0" fontId="12" fillId="13" borderId="26" xfId="0" applyFont="1" applyFill="1" applyBorder="1" applyAlignment="1">
      <alignment horizontal="left" vertical="center" wrapText="1"/>
    </xf>
    <xf numFmtId="0" fontId="12" fillId="13" borderId="21" xfId="0" applyFont="1" applyFill="1" applyBorder="1" applyAlignment="1">
      <alignment horizontal="left" vertical="center" wrapText="1"/>
    </xf>
    <xf numFmtId="0" fontId="12" fillId="13" borderId="23" xfId="0" applyFont="1" applyFill="1" applyBorder="1" applyAlignment="1">
      <alignment horizontal="left" vertical="center" wrapText="1"/>
    </xf>
    <xf numFmtId="0" fontId="0" fillId="13" borderId="34" xfId="0" applyFill="1" applyBorder="1" applyAlignment="1">
      <alignment horizontal="left" vertical="center" wrapText="1"/>
    </xf>
    <xf numFmtId="0" fontId="0" fillId="13" borderId="0" xfId="0" applyFill="1" applyBorder="1" applyAlignment="1">
      <alignment horizontal="left" vertical="center" wrapText="1"/>
    </xf>
    <xf numFmtId="0" fontId="0" fillId="13" borderId="34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0" fillId="13" borderId="7" xfId="0" applyFont="1" applyFill="1" applyBorder="1" applyAlignment="1">
      <alignment horizontal="left" vertical="center"/>
    </xf>
    <xf numFmtId="166" fontId="26" fillId="13" borderId="27" xfId="0" applyNumberFormat="1" applyFont="1" applyFill="1" applyBorder="1" applyAlignment="1">
      <alignment horizontal="left" vertical="center" wrapText="1"/>
    </xf>
    <xf numFmtId="166" fontId="26" fillId="13" borderId="28" xfId="0" applyNumberFormat="1" applyFont="1" applyFill="1" applyBorder="1" applyAlignment="1">
      <alignment horizontal="left" vertical="center" wrapText="1"/>
    </xf>
    <xf numFmtId="166" fontId="26" fillId="13" borderId="29" xfId="0" applyNumberFormat="1" applyFont="1" applyFill="1" applyBorder="1" applyAlignment="1">
      <alignment horizontal="left" vertical="center" wrapText="1"/>
    </xf>
    <xf numFmtId="0" fontId="36" fillId="7" borderId="73" xfId="0" applyFont="1" applyFill="1" applyBorder="1" applyAlignment="1">
      <alignment horizontal="left" vertical="center" wrapText="1"/>
    </xf>
    <xf numFmtId="0" fontId="36" fillId="7" borderId="74" xfId="0" applyFont="1" applyFill="1" applyBorder="1" applyAlignment="1">
      <alignment horizontal="left" vertical="center" wrapText="1"/>
    </xf>
    <xf numFmtId="0" fontId="35" fillId="7" borderId="73" xfId="0" applyFont="1" applyFill="1" applyBorder="1" applyAlignment="1">
      <alignment vertical="center" wrapText="1"/>
    </xf>
    <xf numFmtId="0" fontId="35" fillId="7" borderId="74" xfId="0" applyFont="1" applyFill="1" applyBorder="1" applyAlignment="1">
      <alignment vertical="center" wrapText="1"/>
    </xf>
    <xf numFmtId="167" fontId="33" fillId="3" borderId="73" xfId="0" applyNumberFormat="1" applyFont="1" applyFill="1" applyBorder="1" applyAlignment="1">
      <alignment horizontal="center" vertical="center"/>
    </xf>
    <xf numFmtId="167" fontId="33" fillId="3" borderId="74" xfId="0" applyNumberFormat="1" applyFont="1" applyFill="1" applyBorder="1" applyAlignment="1">
      <alignment horizontal="center" vertical="center"/>
    </xf>
    <xf numFmtId="0" fontId="36" fillId="7" borderId="13" xfId="0" applyFont="1" applyFill="1" applyBorder="1" applyAlignment="1">
      <alignment horizontal="left" vertical="center" wrapText="1"/>
    </xf>
    <xf numFmtId="0" fontId="12" fillId="7" borderId="20" xfId="0" applyFont="1" applyFill="1" applyBorder="1" applyAlignment="1">
      <alignment horizontal="left" vertical="center" wrapText="1"/>
    </xf>
    <xf numFmtId="0" fontId="12" fillId="7" borderId="25" xfId="0" applyFont="1" applyFill="1" applyBorder="1" applyAlignment="1">
      <alignment horizontal="left" vertical="center" wrapText="1"/>
    </xf>
    <xf numFmtId="0" fontId="0" fillId="7" borderId="38" xfId="0" applyFill="1" applyBorder="1" applyAlignment="1">
      <alignment horizontal="left" vertical="center"/>
    </xf>
    <xf numFmtId="0" fontId="0" fillId="7" borderId="40" xfId="0" applyFill="1" applyBorder="1" applyAlignment="1">
      <alignment horizontal="left" vertical="center"/>
    </xf>
    <xf numFmtId="0" fontId="0" fillId="7" borderId="27" xfId="0" applyFont="1" applyFill="1" applyBorder="1" applyAlignment="1">
      <alignment horizontal="left" vertical="center"/>
    </xf>
    <xf numFmtId="0" fontId="0" fillId="7" borderId="29" xfId="0" applyFont="1" applyFill="1" applyBorder="1" applyAlignment="1">
      <alignment horizontal="left" vertical="center"/>
    </xf>
    <xf numFmtId="164" fontId="35" fillId="7" borderId="71" xfId="1" applyFont="1" applyFill="1" applyBorder="1" applyAlignment="1">
      <alignment horizontal="left" vertical="center" wrapText="1"/>
    </xf>
    <xf numFmtId="2" fontId="35" fillId="7" borderId="73" xfId="0" applyNumberFormat="1" applyFont="1" applyFill="1" applyBorder="1" applyAlignment="1">
      <alignment vertical="center" wrapText="1"/>
    </xf>
    <xf numFmtId="2" fontId="35" fillId="7" borderId="13" xfId="0" applyNumberFormat="1" applyFont="1" applyFill="1" applyBorder="1" applyAlignment="1">
      <alignment vertical="center" wrapText="1"/>
    </xf>
    <xf numFmtId="2" fontId="35" fillId="7" borderId="74" xfId="0" applyNumberFormat="1" applyFont="1" applyFill="1" applyBorder="1" applyAlignment="1">
      <alignment vertical="center" wrapText="1"/>
    </xf>
    <xf numFmtId="167" fontId="33" fillId="3" borderId="1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0" borderId="16" xfId="0" applyFont="1" applyFill="1" applyBorder="1" applyAlignment="1">
      <alignment horizontal="left" vertical="center"/>
    </xf>
    <xf numFmtId="0" fontId="12" fillId="10" borderId="21" xfId="0" applyFont="1" applyFill="1" applyBorder="1" applyAlignment="1">
      <alignment horizontal="left" vertical="center"/>
    </xf>
    <xf numFmtId="0" fontId="12" fillId="10" borderId="23" xfId="0" applyFont="1" applyFill="1" applyBorder="1" applyAlignment="1">
      <alignment horizontal="left" vertical="center"/>
    </xf>
    <xf numFmtId="0" fontId="12" fillId="10" borderId="24" xfId="0" applyFont="1" applyFill="1" applyBorder="1" applyAlignment="1">
      <alignment horizontal="left" vertical="center"/>
    </xf>
    <xf numFmtId="0" fontId="0" fillId="10" borderId="34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10" borderId="7" xfId="0" applyFill="1" applyBorder="1" applyAlignment="1">
      <alignment horizontal="left" vertical="center" wrapText="1"/>
    </xf>
    <xf numFmtId="0" fontId="0" fillId="10" borderId="20" xfId="0" applyFont="1" applyFill="1" applyBorder="1" applyAlignment="1">
      <alignment horizontal="left" vertical="center"/>
    </xf>
    <xf numFmtId="0" fontId="0" fillId="10" borderId="13" xfId="0" applyFont="1" applyFill="1" applyBorder="1" applyAlignment="1">
      <alignment horizontal="left" vertical="center"/>
    </xf>
    <xf numFmtId="0" fontId="0" fillId="10" borderId="25" xfId="0" applyFont="1" applyFill="1" applyBorder="1" applyAlignment="1">
      <alignment horizontal="left" vertical="center"/>
    </xf>
    <xf numFmtId="0" fontId="26" fillId="10" borderId="20" xfId="0" applyFont="1" applyFill="1" applyBorder="1" applyAlignment="1">
      <alignment horizontal="left" vertical="center" wrapText="1"/>
    </xf>
    <xf numFmtId="0" fontId="26" fillId="10" borderId="13" xfId="0" applyFont="1" applyFill="1" applyBorder="1" applyAlignment="1">
      <alignment horizontal="left" vertical="center" wrapText="1"/>
    </xf>
    <xf numFmtId="0" fontId="26" fillId="10" borderId="25" xfId="0" applyFont="1" applyFill="1" applyBorder="1" applyAlignment="1">
      <alignment horizontal="left" vertical="center" wrapText="1"/>
    </xf>
    <xf numFmtId="164" fontId="35" fillId="7" borderId="25" xfId="1" applyFont="1" applyFill="1" applyBorder="1" applyAlignment="1">
      <alignment horizontal="left" vertical="center" wrapText="1"/>
    </xf>
    <xf numFmtId="0" fontId="25" fillId="7" borderId="25" xfId="0" applyFont="1" applyFill="1" applyBorder="1" applyAlignment="1">
      <alignment vertical="center" wrapText="1"/>
    </xf>
    <xf numFmtId="0" fontId="12" fillId="13" borderId="16" xfId="0" applyFont="1" applyFill="1" applyBorder="1" applyAlignment="1">
      <alignment horizontal="left" vertical="center"/>
    </xf>
    <xf numFmtId="0" fontId="12" fillId="13" borderId="21" xfId="0" applyFont="1" applyFill="1" applyBorder="1" applyAlignment="1">
      <alignment horizontal="left" vertical="center"/>
    </xf>
    <xf numFmtId="0" fontId="12" fillId="13" borderId="24" xfId="0" applyFont="1" applyFill="1" applyBorder="1" applyAlignment="1">
      <alignment horizontal="left" vertical="center"/>
    </xf>
    <xf numFmtId="0" fontId="0" fillId="13" borderId="7" xfId="0" applyFill="1" applyBorder="1" applyAlignment="1">
      <alignment horizontal="left" vertical="center" wrapText="1"/>
    </xf>
    <xf numFmtId="0" fontId="0" fillId="13" borderId="20" xfId="0" applyFont="1" applyFill="1" applyBorder="1" applyAlignment="1">
      <alignment horizontal="left" vertical="center"/>
    </xf>
    <xf numFmtId="0" fontId="0" fillId="13" borderId="13" xfId="0" applyFont="1" applyFill="1" applyBorder="1" applyAlignment="1">
      <alignment horizontal="left" vertical="center"/>
    </xf>
    <xf numFmtId="0" fontId="0" fillId="13" borderId="25" xfId="0" applyFont="1" applyFill="1" applyBorder="1" applyAlignment="1">
      <alignment horizontal="left" vertical="center"/>
    </xf>
    <xf numFmtId="166" fontId="26" fillId="13" borderId="13" xfId="0" applyNumberFormat="1" applyFont="1" applyFill="1" applyBorder="1" applyAlignment="1">
      <alignment horizontal="left" vertical="center" wrapText="1"/>
    </xf>
    <xf numFmtId="166" fontId="26" fillId="13" borderId="25" xfId="0" applyNumberFormat="1" applyFont="1" applyFill="1" applyBorder="1" applyAlignment="1">
      <alignment horizontal="left" vertical="center" wrapText="1"/>
    </xf>
    <xf numFmtId="2" fontId="25" fillId="7" borderId="73" xfId="0" applyNumberFormat="1" applyFont="1" applyFill="1" applyBorder="1" applyAlignment="1">
      <alignment vertical="center" wrapText="1"/>
    </xf>
    <xf numFmtId="2" fontId="25" fillId="7" borderId="13" xfId="0" applyNumberFormat="1" applyFont="1" applyFill="1" applyBorder="1" applyAlignment="1">
      <alignment vertical="center" wrapText="1"/>
    </xf>
    <xf numFmtId="2" fontId="25" fillId="7" borderId="74" xfId="0" applyNumberFormat="1" applyFont="1" applyFill="1" applyBorder="1" applyAlignment="1">
      <alignment vertical="center" wrapText="1"/>
    </xf>
    <xf numFmtId="2" fontId="7" fillId="7" borderId="71" xfId="0" applyNumberFormat="1" applyFont="1" applyFill="1" applyBorder="1" applyAlignment="1">
      <alignment horizontal="left" vertical="center" wrapText="1"/>
    </xf>
    <xf numFmtId="2" fontId="7" fillId="7" borderId="66" xfId="0" applyNumberFormat="1" applyFont="1" applyFill="1" applyBorder="1" applyAlignment="1">
      <alignment horizontal="left" vertical="center" wrapText="1"/>
    </xf>
    <xf numFmtId="167" fontId="33" fillId="3" borderId="66" xfId="1" applyNumberFormat="1" applyFont="1" applyFill="1" applyBorder="1" applyAlignment="1">
      <alignment vertical="center"/>
    </xf>
    <xf numFmtId="14" fontId="2" fillId="3" borderId="4" xfId="0" quotePrefix="1" applyNumberFormat="1" applyFont="1" applyFill="1" applyBorder="1" applyAlignment="1">
      <alignment horizontal="center"/>
    </xf>
    <xf numFmtId="14" fontId="2" fillId="3" borderId="5" xfId="0" applyNumberFormat="1" applyFont="1" applyFill="1" applyBorder="1" applyAlignment="1">
      <alignment horizontal="center"/>
    </xf>
    <xf numFmtId="14" fontId="2" fillId="3" borderId="1" xfId="0" quotePrefix="1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4" fontId="2" fillId="3" borderId="2" xfId="0" quotePrefix="1" applyNumberFormat="1" applyFont="1" applyFill="1" applyBorder="1" applyAlignment="1">
      <alignment horizontal="center"/>
    </xf>
    <xf numFmtId="14" fontId="2" fillId="3" borderId="3" xfId="0" quotePrefix="1" applyNumberFormat="1" applyFont="1" applyFill="1" applyBorder="1" applyAlignment="1">
      <alignment horizontal="center"/>
    </xf>
  </cellXfs>
  <cellStyles count="6">
    <cellStyle name="Hipervínculo" xfId="5" builtinId="8"/>
    <cellStyle name="Millares" xfId="1" builtinId="3"/>
    <cellStyle name="Millares 2" xfId="2"/>
    <cellStyle name="Millares 2 2" xfId="4"/>
    <cellStyle name="Millares 3" xfId="3"/>
    <cellStyle name="Normal" xfId="0" builtinId="0"/>
  </cellStyles>
  <dxfs count="13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13807</xdr:colOff>
      <xdr:row>2</xdr:row>
      <xdr:rowOff>690562</xdr:rowOff>
    </xdr:from>
    <xdr:ext cx="1655287" cy="790864"/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557" y="776287"/>
          <a:ext cx="1655287" cy="79086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2</xdr:col>
      <xdr:colOff>2067727</xdr:colOff>
      <xdr:row>0</xdr:row>
      <xdr:rowOff>986400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0"/>
          <a:ext cx="2048677" cy="986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2</xdr:col>
      <xdr:colOff>2067727</xdr:colOff>
      <xdr:row>0</xdr:row>
      <xdr:rowOff>986400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0"/>
          <a:ext cx="2048677" cy="986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13807</xdr:colOff>
      <xdr:row>2</xdr:row>
      <xdr:rowOff>690562</xdr:rowOff>
    </xdr:from>
    <xdr:ext cx="1655287" cy="790864"/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557" y="776287"/>
          <a:ext cx="1655287" cy="79086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105103</xdr:colOff>
      <xdr:row>0</xdr:row>
      <xdr:rowOff>39415</xdr:rowOff>
    </xdr:from>
    <xdr:to>
      <xdr:col>2</xdr:col>
      <xdr:colOff>792015</xdr:colOff>
      <xdr:row>3</xdr:row>
      <xdr:rowOff>313122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03" y="39415"/>
          <a:ext cx="1658462" cy="7880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2067727</xdr:colOff>
      <xdr:row>0</xdr:row>
      <xdr:rowOff>986400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0"/>
          <a:ext cx="2048677" cy="986400"/>
        </a:xfrm>
        <a:prstGeom prst="rect">
          <a:avLst/>
        </a:prstGeom>
      </xdr:spPr>
    </xdr:pic>
    <xdr:clientData/>
  </xdr:twoCellAnchor>
  <xdr:twoCellAnchor>
    <xdr:from>
      <xdr:col>7</xdr:col>
      <xdr:colOff>107156</xdr:colOff>
      <xdr:row>30</xdr:row>
      <xdr:rowOff>154781</xdr:rowOff>
    </xdr:from>
    <xdr:to>
      <xdr:col>9</xdr:col>
      <xdr:colOff>142875</xdr:colOff>
      <xdr:row>33</xdr:row>
      <xdr:rowOff>95250</xdr:rowOff>
    </xdr:to>
    <xdr:sp macro="" textlink="">
      <xdr:nvSpPr>
        <xdr:cNvPr id="23" name="CuadroTexto 22"/>
        <xdr:cNvSpPr txBox="1"/>
      </xdr:nvSpPr>
      <xdr:spPr>
        <a:xfrm>
          <a:off x="8774906" y="7179469"/>
          <a:ext cx="2178844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solidFill>
                <a:srgbClr val="FF0000"/>
              </a:solidFill>
            </a:rPr>
            <a:t>Silos de 5</a:t>
          </a:r>
          <a:r>
            <a:rPr lang="es-ES" sz="1100" b="1" baseline="0">
              <a:solidFill>
                <a:srgbClr val="FF0000"/>
              </a:solidFill>
            </a:rPr>
            <a:t> anillos de pipa- Equivalente a 4 CUÑETES cada anillo</a:t>
          </a:r>
        </a:p>
        <a:p>
          <a:endParaRPr lang="es-E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11908</xdr:colOff>
      <xdr:row>30</xdr:row>
      <xdr:rowOff>47625</xdr:rowOff>
    </xdr:from>
    <xdr:to>
      <xdr:col>7</xdr:col>
      <xdr:colOff>27215</xdr:colOff>
      <xdr:row>59</xdr:row>
      <xdr:rowOff>52122</xdr:rowOff>
    </xdr:to>
    <xdr:grpSp>
      <xdr:nvGrpSpPr>
        <xdr:cNvPr id="27" name="Grupo 26"/>
        <xdr:cNvGrpSpPr/>
      </xdr:nvGrpSpPr>
      <xdr:grpSpPr>
        <a:xfrm>
          <a:off x="7849622" y="7273018"/>
          <a:ext cx="1335200" cy="6467890"/>
          <a:chOff x="7860515" y="7036594"/>
          <a:chExt cx="1080000" cy="6243372"/>
        </a:xfrm>
      </xdr:grpSpPr>
      <xdr:sp macro="" textlink="">
        <xdr:nvSpPr>
          <xdr:cNvPr id="28" name="Elipse 27"/>
          <xdr:cNvSpPr/>
        </xdr:nvSpPr>
        <xdr:spPr>
          <a:xfrm>
            <a:off x="7860515" y="11301401"/>
            <a:ext cx="1080000" cy="1080000"/>
          </a:xfrm>
          <a:prstGeom prst="ellipse">
            <a:avLst/>
          </a:prstGeom>
          <a:solidFill>
            <a:schemeClr val="tx1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29" name="Elipse 28"/>
          <xdr:cNvSpPr/>
        </xdr:nvSpPr>
        <xdr:spPr>
          <a:xfrm>
            <a:off x="8034211" y="7128114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0" name="Elipse 29"/>
          <xdr:cNvSpPr/>
        </xdr:nvSpPr>
        <xdr:spPr>
          <a:xfrm>
            <a:off x="8034211" y="7933480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1" name="Elipse 30"/>
          <xdr:cNvSpPr/>
        </xdr:nvSpPr>
        <xdr:spPr>
          <a:xfrm>
            <a:off x="8034211" y="8754097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2" name="Elipse 31"/>
          <xdr:cNvSpPr/>
        </xdr:nvSpPr>
        <xdr:spPr>
          <a:xfrm>
            <a:off x="8034211" y="9574715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cxnSp macro="">
        <xdr:nvCxnSpPr>
          <xdr:cNvPr id="33" name="Conector recto 32"/>
          <xdr:cNvCxnSpPr/>
        </xdr:nvCxnSpPr>
        <xdr:spPr>
          <a:xfrm>
            <a:off x="8034211" y="9943673"/>
            <a:ext cx="704001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Rectángulo 33"/>
          <xdr:cNvSpPr/>
        </xdr:nvSpPr>
        <xdr:spPr>
          <a:xfrm>
            <a:off x="7989093" y="7036594"/>
            <a:ext cx="785813" cy="3309937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5" name="CuadroTexto 34"/>
          <xdr:cNvSpPr txBox="1"/>
        </xdr:nvSpPr>
        <xdr:spPr>
          <a:xfrm>
            <a:off x="8239130" y="7289259"/>
            <a:ext cx="297656" cy="4295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1</a:t>
            </a:r>
          </a:p>
        </xdr:txBody>
      </xdr:sp>
      <xdr:sp macro="" textlink="">
        <xdr:nvSpPr>
          <xdr:cNvPr id="36" name="CuadroTexto 35"/>
          <xdr:cNvSpPr txBox="1"/>
        </xdr:nvSpPr>
        <xdr:spPr>
          <a:xfrm>
            <a:off x="8239130" y="8107899"/>
            <a:ext cx="297656" cy="416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2</a:t>
            </a:r>
          </a:p>
        </xdr:txBody>
      </xdr:sp>
      <xdr:sp macro="" textlink="">
        <xdr:nvSpPr>
          <xdr:cNvPr id="37" name="CuadroTexto 36"/>
          <xdr:cNvSpPr txBox="1"/>
        </xdr:nvSpPr>
        <xdr:spPr>
          <a:xfrm>
            <a:off x="8239130" y="8939172"/>
            <a:ext cx="297656" cy="4295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3</a:t>
            </a:r>
          </a:p>
        </xdr:txBody>
      </xdr:sp>
      <xdr:sp macro="" textlink="">
        <xdr:nvSpPr>
          <xdr:cNvPr id="38" name="CuadroTexto 37"/>
          <xdr:cNvSpPr txBox="1"/>
        </xdr:nvSpPr>
        <xdr:spPr>
          <a:xfrm>
            <a:off x="8239130" y="9644108"/>
            <a:ext cx="297656" cy="34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4</a:t>
            </a:r>
          </a:p>
        </xdr:txBody>
      </xdr:sp>
      <xdr:sp macro="" textlink="">
        <xdr:nvSpPr>
          <xdr:cNvPr id="39" name="CuadroTexto 38"/>
          <xdr:cNvSpPr txBox="1"/>
        </xdr:nvSpPr>
        <xdr:spPr>
          <a:xfrm>
            <a:off x="8239130" y="9919512"/>
            <a:ext cx="297656" cy="34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5</a:t>
            </a:r>
          </a:p>
        </xdr:txBody>
      </xdr:sp>
      <xdr:sp macro="" textlink="">
        <xdr:nvSpPr>
          <xdr:cNvPr id="40" name="CuadroTexto 39"/>
          <xdr:cNvSpPr txBox="1"/>
        </xdr:nvSpPr>
        <xdr:spPr>
          <a:xfrm>
            <a:off x="8203419" y="11656196"/>
            <a:ext cx="297656" cy="3214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>
                <a:solidFill>
                  <a:schemeClr val="bg1"/>
                </a:solidFill>
              </a:rPr>
              <a:t>8</a:t>
            </a:r>
          </a:p>
        </xdr:txBody>
      </xdr:sp>
      <xdr:sp macro="" textlink="">
        <xdr:nvSpPr>
          <xdr:cNvPr id="41" name="Elipse 40"/>
          <xdr:cNvSpPr/>
        </xdr:nvSpPr>
        <xdr:spPr>
          <a:xfrm>
            <a:off x="8262938" y="12703966"/>
            <a:ext cx="576000" cy="576000"/>
          </a:xfrm>
          <a:prstGeom prst="ellipse">
            <a:avLst/>
          </a:prstGeom>
          <a:solidFill>
            <a:srgbClr val="00B050"/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2" name="CuadroTexto 41"/>
          <xdr:cNvSpPr txBox="1"/>
        </xdr:nvSpPr>
        <xdr:spPr>
          <a:xfrm>
            <a:off x="8393913" y="12811103"/>
            <a:ext cx="297656" cy="3214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>
                <a:solidFill>
                  <a:sysClr val="windowText" lastClr="000000"/>
                </a:solidFill>
              </a:rPr>
              <a:t>9</a:t>
            </a:r>
          </a:p>
        </xdr:txBody>
      </xdr:sp>
      <xdr:sp macro="" textlink="">
        <xdr:nvSpPr>
          <xdr:cNvPr id="43" name="Elipse 42"/>
          <xdr:cNvSpPr/>
        </xdr:nvSpPr>
        <xdr:spPr>
          <a:xfrm>
            <a:off x="8019924" y="10393865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4" name="CuadroTexto 43"/>
          <xdr:cNvSpPr txBox="1"/>
        </xdr:nvSpPr>
        <xdr:spPr>
          <a:xfrm>
            <a:off x="8141501" y="10463258"/>
            <a:ext cx="490532" cy="34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6/</a:t>
            </a:r>
          </a:p>
        </xdr:txBody>
      </xdr:sp>
      <xdr:sp macro="" textlink="">
        <xdr:nvSpPr>
          <xdr:cNvPr id="45" name="CuadroTexto 44"/>
          <xdr:cNvSpPr txBox="1"/>
        </xdr:nvSpPr>
        <xdr:spPr>
          <a:xfrm>
            <a:off x="8224843" y="10738662"/>
            <a:ext cx="297656" cy="34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7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2096302</xdr:colOff>
      <xdr:row>0</xdr:row>
      <xdr:rowOff>986400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0"/>
          <a:ext cx="2048677" cy="986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2067727</xdr:colOff>
      <xdr:row>0</xdr:row>
      <xdr:rowOff>986400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0"/>
          <a:ext cx="2048677" cy="986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2067727</xdr:colOff>
      <xdr:row>0</xdr:row>
      <xdr:rowOff>986400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0"/>
          <a:ext cx="2048677" cy="986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2</xdr:col>
      <xdr:colOff>877102</xdr:colOff>
      <xdr:row>0</xdr:row>
      <xdr:rowOff>986400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0"/>
          <a:ext cx="2048677" cy="986400"/>
        </a:xfrm>
        <a:prstGeom prst="rect">
          <a:avLst/>
        </a:prstGeom>
      </xdr:spPr>
    </xdr:pic>
    <xdr:clientData/>
  </xdr:twoCellAnchor>
  <xdr:oneCellAnchor>
    <xdr:from>
      <xdr:col>9</xdr:col>
      <xdr:colOff>180975</xdr:colOff>
      <xdr:row>0</xdr:row>
      <xdr:rowOff>0</xdr:rowOff>
    </xdr:from>
    <xdr:ext cx="2048677" cy="986400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8025" y="0"/>
          <a:ext cx="2048677" cy="986400"/>
        </a:xfrm>
        <a:prstGeom prst="rect">
          <a:avLst/>
        </a:prstGeom>
      </xdr:spPr>
    </xdr:pic>
    <xdr:clientData/>
  </xdr:oneCellAnchor>
  <xdr:twoCellAnchor>
    <xdr:from>
      <xdr:col>2</xdr:col>
      <xdr:colOff>466725</xdr:colOff>
      <xdr:row>30</xdr:row>
      <xdr:rowOff>142875</xdr:rowOff>
    </xdr:from>
    <xdr:to>
      <xdr:col>2</xdr:col>
      <xdr:colOff>1943100</xdr:colOff>
      <xdr:row>48</xdr:row>
      <xdr:rowOff>171450</xdr:rowOff>
    </xdr:to>
    <xdr:sp macro="" textlink="">
      <xdr:nvSpPr>
        <xdr:cNvPr id="3" name="Rectángulo 2"/>
        <xdr:cNvSpPr/>
      </xdr:nvSpPr>
      <xdr:spPr>
        <a:xfrm>
          <a:off x="1714500" y="6696075"/>
          <a:ext cx="1476375" cy="3457575"/>
        </a:xfrm>
        <a:prstGeom prst="rect">
          <a:avLst/>
        </a:prstGeom>
        <a:noFill/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476250</xdr:colOff>
      <xdr:row>34</xdr:row>
      <xdr:rowOff>180975</xdr:rowOff>
    </xdr:from>
    <xdr:to>
      <xdr:col>2</xdr:col>
      <xdr:colOff>1924050</xdr:colOff>
      <xdr:row>35</xdr:row>
      <xdr:rowOff>0</xdr:rowOff>
    </xdr:to>
    <xdr:cxnSp macro="">
      <xdr:nvCxnSpPr>
        <xdr:cNvPr id="6" name="Conector recto 5"/>
        <xdr:cNvCxnSpPr/>
      </xdr:nvCxnSpPr>
      <xdr:spPr>
        <a:xfrm flipV="1">
          <a:off x="1724025" y="7496175"/>
          <a:ext cx="1447800" cy="9525"/>
        </a:xfrm>
        <a:prstGeom prst="line">
          <a:avLst/>
        </a:prstGeom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44</xdr:row>
      <xdr:rowOff>0</xdr:rowOff>
    </xdr:from>
    <xdr:to>
      <xdr:col>2</xdr:col>
      <xdr:colOff>1924050</xdr:colOff>
      <xdr:row>44</xdr:row>
      <xdr:rowOff>9525</xdr:rowOff>
    </xdr:to>
    <xdr:cxnSp macro="">
      <xdr:nvCxnSpPr>
        <xdr:cNvPr id="8" name="Conector recto 7"/>
        <xdr:cNvCxnSpPr/>
      </xdr:nvCxnSpPr>
      <xdr:spPr>
        <a:xfrm flipV="1">
          <a:off x="1704975" y="9220200"/>
          <a:ext cx="1466850" cy="9525"/>
        </a:xfrm>
        <a:prstGeom prst="line">
          <a:avLst/>
        </a:prstGeom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29</xdr:row>
      <xdr:rowOff>9526</xdr:rowOff>
    </xdr:from>
    <xdr:to>
      <xdr:col>2</xdr:col>
      <xdr:colOff>1533525</xdr:colOff>
      <xdr:row>30</xdr:row>
      <xdr:rowOff>104776</xdr:rowOff>
    </xdr:to>
    <xdr:sp macro="" textlink="">
      <xdr:nvSpPr>
        <xdr:cNvPr id="9" name="CuadroTexto 8"/>
        <xdr:cNvSpPr txBox="1"/>
      </xdr:nvSpPr>
      <xdr:spPr>
        <a:xfrm>
          <a:off x="1800225" y="5934076"/>
          <a:ext cx="981075" cy="285750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400" b="1">
              <a:latin typeface="Aharoni" panose="02010803020104030203" pitchFamily="2" charset="-79"/>
              <a:cs typeface="Aharoni" panose="02010803020104030203" pitchFamily="2" charset="-79"/>
            </a:rPr>
            <a:t>AESIP</a:t>
          </a:r>
        </a:p>
      </xdr:txBody>
    </xdr:sp>
    <xdr:clientData/>
  </xdr:twoCellAnchor>
  <xdr:twoCellAnchor>
    <xdr:from>
      <xdr:col>2</xdr:col>
      <xdr:colOff>1</xdr:colOff>
      <xdr:row>31</xdr:row>
      <xdr:rowOff>152400</xdr:rowOff>
    </xdr:from>
    <xdr:to>
      <xdr:col>2</xdr:col>
      <xdr:colOff>228601</xdr:colOff>
      <xdr:row>33</xdr:row>
      <xdr:rowOff>114300</xdr:rowOff>
    </xdr:to>
    <xdr:sp macro="" textlink="">
      <xdr:nvSpPr>
        <xdr:cNvPr id="11" name="CuadroTexto 10"/>
        <xdr:cNvSpPr txBox="1"/>
      </xdr:nvSpPr>
      <xdr:spPr>
        <a:xfrm>
          <a:off x="1247776" y="6467475"/>
          <a:ext cx="22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A</a:t>
          </a:r>
        </a:p>
      </xdr:txBody>
    </xdr:sp>
    <xdr:clientData/>
  </xdr:twoCellAnchor>
  <xdr:twoCellAnchor>
    <xdr:from>
      <xdr:col>2</xdr:col>
      <xdr:colOff>476249</xdr:colOff>
      <xdr:row>30</xdr:row>
      <xdr:rowOff>180973</xdr:rowOff>
    </xdr:from>
    <xdr:to>
      <xdr:col>2</xdr:col>
      <xdr:colOff>1676400</xdr:colOff>
      <xdr:row>33</xdr:row>
      <xdr:rowOff>28574</xdr:rowOff>
    </xdr:to>
    <xdr:sp macro="" textlink="">
      <xdr:nvSpPr>
        <xdr:cNvPr id="12" name="CuadroTexto 11"/>
        <xdr:cNvSpPr txBox="1"/>
      </xdr:nvSpPr>
      <xdr:spPr>
        <a:xfrm>
          <a:off x="1724024" y="6734173"/>
          <a:ext cx="1200151" cy="419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800" b="1"/>
            <a:t>CS</a:t>
          </a:r>
          <a:r>
            <a:rPr lang="es-ES" sz="800" b="0"/>
            <a:t>-Cascos de seguridad </a:t>
          </a:r>
        </a:p>
      </xdr:txBody>
    </xdr:sp>
    <xdr:clientData/>
  </xdr:twoCellAnchor>
  <xdr:twoCellAnchor>
    <xdr:from>
      <xdr:col>2</xdr:col>
      <xdr:colOff>438149</xdr:colOff>
      <xdr:row>34</xdr:row>
      <xdr:rowOff>180976</xdr:rowOff>
    </xdr:from>
    <xdr:to>
      <xdr:col>2</xdr:col>
      <xdr:colOff>1895474</xdr:colOff>
      <xdr:row>38</xdr:row>
      <xdr:rowOff>66675</xdr:rowOff>
    </xdr:to>
    <xdr:sp macro="" textlink="">
      <xdr:nvSpPr>
        <xdr:cNvPr id="13" name="CuadroTexto 12"/>
        <xdr:cNvSpPr txBox="1"/>
      </xdr:nvSpPr>
      <xdr:spPr>
        <a:xfrm>
          <a:off x="1685924" y="7496176"/>
          <a:ext cx="1457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s-ES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-Braga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desechables </a:t>
          </a:r>
        </a:p>
        <a:p>
          <a:pPr algn="l"/>
          <a:r>
            <a:rPr lang="es-ES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-bragas de tela</a:t>
          </a:r>
        </a:p>
        <a:p>
          <a:pPr algn="l"/>
          <a:r>
            <a:rPr lang="es-ES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-Camisa manga larga</a:t>
          </a:r>
          <a:endParaRPr lang="es-ES" sz="800">
            <a:effectLst/>
          </a:endParaRPr>
        </a:p>
        <a:p>
          <a:endParaRPr lang="es-ES" sz="800" b="0"/>
        </a:p>
      </xdr:txBody>
    </xdr:sp>
    <xdr:clientData/>
  </xdr:twoCellAnchor>
  <xdr:twoCellAnchor>
    <xdr:from>
      <xdr:col>1</xdr:col>
      <xdr:colOff>914401</xdr:colOff>
      <xdr:row>36</xdr:row>
      <xdr:rowOff>0</xdr:rowOff>
    </xdr:from>
    <xdr:to>
      <xdr:col>2</xdr:col>
      <xdr:colOff>209551</xdr:colOff>
      <xdr:row>37</xdr:row>
      <xdr:rowOff>152400</xdr:rowOff>
    </xdr:to>
    <xdr:sp macro="" textlink="">
      <xdr:nvSpPr>
        <xdr:cNvPr id="14" name="CuadroTexto 13"/>
        <xdr:cNvSpPr txBox="1"/>
      </xdr:nvSpPr>
      <xdr:spPr>
        <a:xfrm>
          <a:off x="1228726" y="7267575"/>
          <a:ext cx="22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B</a:t>
          </a:r>
        </a:p>
      </xdr:txBody>
    </xdr:sp>
    <xdr:clientData/>
  </xdr:twoCellAnchor>
  <xdr:twoCellAnchor>
    <xdr:from>
      <xdr:col>1</xdr:col>
      <xdr:colOff>904876</xdr:colOff>
      <xdr:row>40</xdr:row>
      <xdr:rowOff>104775</xdr:rowOff>
    </xdr:from>
    <xdr:to>
      <xdr:col>2</xdr:col>
      <xdr:colOff>200026</xdr:colOff>
      <xdr:row>42</xdr:row>
      <xdr:rowOff>66675</xdr:rowOff>
    </xdr:to>
    <xdr:sp macro="" textlink="">
      <xdr:nvSpPr>
        <xdr:cNvPr id="15" name="CuadroTexto 14"/>
        <xdr:cNvSpPr txBox="1"/>
      </xdr:nvSpPr>
      <xdr:spPr>
        <a:xfrm>
          <a:off x="1219201" y="8134350"/>
          <a:ext cx="22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C</a:t>
          </a:r>
        </a:p>
      </xdr:txBody>
    </xdr:sp>
    <xdr:clientData/>
  </xdr:twoCellAnchor>
  <xdr:twoCellAnchor>
    <xdr:from>
      <xdr:col>1</xdr:col>
      <xdr:colOff>895351</xdr:colOff>
      <xdr:row>45</xdr:row>
      <xdr:rowOff>76200</xdr:rowOff>
    </xdr:from>
    <xdr:to>
      <xdr:col>2</xdr:col>
      <xdr:colOff>190501</xdr:colOff>
      <xdr:row>47</xdr:row>
      <xdr:rowOff>38100</xdr:rowOff>
    </xdr:to>
    <xdr:sp macro="" textlink="">
      <xdr:nvSpPr>
        <xdr:cNvPr id="16" name="CuadroTexto 15"/>
        <xdr:cNvSpPr txBox="1"/>
      </xdr:nvSpPr>
      <xdr:spPr>
        <a:xfrm>
          <a:off x="1209676" y="9058275"/>
          <a:ext cx="22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D</a:t>
          </a:r>
        </a:p>
      </xdr:txBody>
    </xdr:sp>
    <xdr:clientData/>
  </xdr:twoCellAnchor>
  <xdr:twoCellAnchor>
    <xdr:from>
      <xdr:col>2</xdr:col>
      <xdr:colOff>440330</xdr:colOff>
      <xdr:row>38</xdr:row>
      <xdr:rowOff>181433</xdr:rowOff>
    </xdr:from>
    <xdr:to>
      <xdr:col>2</xdr:col>
      <xdr:colOff>2032153</xdr:colOff>
      <xdr:row>44</xdr:row>
      <xdr:rowOff>23327</xdr:rowOff>
    </xdr:to>
    <xdr:sp macro="" textlink="">
      <xdr:nvSpPr>
        <xdr:cNvPr id="17" name="CuadroTexto 16"/>
        <xdr:cNvSpPr txBox="1"/>
      </xdr:nvSpPr>
      <xdr:spPr>
        <a:xfrm>
          <a:off x="1691203" y="8501463"/>
          <a:ext cx="1591823" cy="9780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</a:t>
          </a:r>
          <a:r>
            <a:rPr lang="es-ES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ascarilla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anti-polvo 1 cartucho.</a:t>
          </a:r>
          <a:endParaRPr lang="es-ES" sz="800">
            <a:effectLst/>
          </a:endParaRPr>
        </a:p>
        <a:p>
          <a:pPr algn="l"/>
          <a:r>
            <a:rPr lang="es-ES" sz="800" b="1"/>
            <a:t>MA</a:t>
          </a:r>
          <a:r>
            <a:rPr lang="es-ES" sz="800" b="0"/>
            <a:t>-</a:t>
          </a:r>
          <a:r>
            <a:rPr lang="es-ES" sz="800" b="0" baseline="0"/>
            <a:t> </a:t>
          </a:r>
          <a:r>
            <a:rPr lang="es-ES" sz="800" b="0"/>
            <a:t>Mascarilla anti-polvo 1 cartucho.</a:t>
          </a:r>
        </a:p>
        <a:p>
          <a:pPr algn="l"/>
          <a:r>
            <a:rPr lang="es-ES" sz="800" b="1"/>
            <a:t>L</a:t>
          </a:r>
          <a:r>
            <a:rPr lang="es-ES" sz="800" b="0"/>
            <a:t>-</a:t>
          </a:r>
          <a:r>
            <a:rPr lang="es-ES" sz="800" b="0" baseline="0"/>
            <a:t> </a:t>
          </a:r>
          <a:r>
            <a:rPr lang="es-ES" sz="800" b="0"/>
            <a:t>Lentes de seguridad</a:t>
          </a:r>
        </a:p>
        <a:p>
          <a:pPr algn="l"/>
          <a:r>
            <a:rPr lang="es-ES" sz="800" b="1"/>
            <a:t>PA</a:t>
          </a:r>
          <a:r>
            <a:rPr lang="es-ES" sz="800" b="0"/>
            <a:t>-Protectores auditivos</a:t>
          </a:r>
        </a:p>
        <a:p>
          <a:pPr algn="l"/>
          <a:r>
            <a:rPr lang="es-ES" sz="800" b="1"/>
            <a:t>BS</a:t>
          </a:r>
          <a:r>
            <a:rPr lang="es-ES" sz="800" b="0"/>
            <a:t>-</a:t>
          </a:r>
          <a:r>
            <a:rPr lang="es-ES" sz="800" b="0" baseline="0"/>
            <a:t> </a:t>
          </a:r>
          <a:r>
            <a:rPr lang="es-ES" sz="800" b="0"/>
            <a:t>Botas de seguridad</a:t>
          </a:r>
        </a:p>
      </xdr:txBody>
    </xdr:sp>
    <xdr:clientData/>
  </xdr:twoCellAnchor>
  <xdr:twoCellAnchor>
    <xdr:from>
      <xdr:col>2</xdr:col>
      <xdr:colOff>438149</xdr:colOff>
      <xdr:row>44</xdr:row>
      <xdr:rowOff>19048</xdr:rowOff>
    </xdr:from>
    <xdr:to>
      <xdr:col>2</xdr:col>
      <xdr:colOff>1952624</xdr:colOff>
      <xdr:row>49</xdr:row>
      <xdr:rowOff>28575</xdr:rowOff>
    </xdr:to>
    <xdr:sp macro="" textlink="">
      <xdr:nvSpPr>
        <xdr:cNvPr id="18" name="CuadroTexto 17"/>
        <xdr:cNvSpPr txBox="1"/>
      </xdr:nvSpPr>
      <xdr:spPr>
        <a:xfrm>
          <a:off x="1685924" y="9239248"/>
          <a:ext cx="1514475" cy="962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800" b="1"/>
            <a:t>DT-</a:t>
          </a:r>
          <a:r>
            <a:rPr lang="es-ES" sz="800" b="0" baseline="0"/>
            <a:t> </a:t>
          </a:r>
          <a:r>
            <a:rPr lang="es-ES" sz="800" b="0"/>
            <a:t>Delantales</a:t>
          </a:r>
          <a:r>
            <a:rPr lang="es-ES" sz="800" b="0" baseline="0"/>
            <a:t> de tela</a:t>
          </a:r>
        </a:p>
        <a:p>
          <a:pPr algn="l"/>
          <a:r>
            <a:rPr lang="es-ES" sz="800" b="1" baseline="0"/>
            <a:t>GT-</a:t>
          </a:r>
          <a:r>
            <a:rPr lang="es-ES" sz="800" b="0" baseline="0"/>
            <a:t> Guantes de tela</a:t>
          </a:r>
        </a:p>
        <a:p>
          <a:pPr algn="l"/>
          <a:r>
            <a:rPr lang="es-ES" sz="800" b="1" baseline="0"/>
            <a:t>FC</a:t>
          </a:r>
          <a:r>
            <a:rPr lang="es-ES" sz="800" b="0" baseline="0"/>
            <a:t>- Franela chs+-</a:t>
          </a:r>
        </a:p>
        <a:p>
          <a:pPr algn="l"/>
          <a:r>
            <a:rPr lang="es-ES" sz="8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es-ES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s-ES" sz="800" b="0" baseline="0"/>
            <a:t>Tapabocas chs+</a:t>
          </a:r>
        </a:p>
        <a:p>
          <a:pPr algn="l"/>
          <a:r>
            <a:rPr lang="es-ES" sz="800" b="1" baseline="0"/>
            <a:t>TN</a:t>
          </a:r>
          <a:r>
            <a:rPr lang="es-ES" sz="800" b="0" baseline="0"/>
            <a:t>+Tapabocas negros</a:t>
          </a:r>
        </a:p>
        <a:p>
          <a:pPr algn="l"/>
          <a:r>
            <a:rPr lang="es-ES" sz="800" b="1" baseline="0"/>
            <a:t>CM</a:t>
          </a:r>
          <a:r>
            <a:rPr lang="es-ES" sz="800" b="0" baseline="0"/>
            <a:t>+Cartuchos de mascarilla</a:t>
          </a:r>
        </a:p>
      </xdr:txBody>
    </xdr:sp>
    <xdr:clientData/>
  </xdr:twoCellAnchor>
  <xdr:twoCellAnchor>
    <xdr:from>
      <xdr:col>2</xdr:col>
      <xdr:colOff>466725</xdr:colOff>
      <xdr:row>39</xdr:row>
      <xdr:rowOff>0</xdr:rowOff>
    </xdr:from>
    <xdr:to>
      <xdr:col>2</xdr:col>
      <xdr:colOff>1971675</xdr:colOff>
      <xdr:row>39</xdr:row>
      <xdr:rowOff>9525</xdr:rowOff>
    </xdr:to>
    <xdr:cxnSp macro="">
      <xdr:nvCxnSpPr>
        <xdr:cNvPr id="20" name="Conector recto 19"/>
        <xdr:cNvCxnSpPr/>
      </xdr:nvCxnSpPr>
      <xdr:spPr>
        <a:xfrm flipV="1">
          <a:off x="1714500" y="8267700"/>
          <a:ext cx="1504950" cy="9525"/>
        </a:xfrm>
        <a:prstGeom prst="line">
          <a:avLst/>
        </a:prstGeom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2</xdr:col>
      <xdr:colOff>2067727</xdr:colOff>
      <xdr:row>0</xdr:row>
      <xdr:rowOff>986400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0"/>
          <a:ext cx="2048677" cy="98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topLeftCell="A54" zoomScale="110" zoomScaleNormal="110" workbookViewId="0">
      <selection activeCell="M77" sqref="M77"/>
    </sheetView>
  </sheetViews>
  <sheetFormatPr baseColWidth="10" defaultRowHeight="15" x14ac:dyDescent="0.25"/>
  <cols>
    <col min="1" max="1" width="4.28515625" style="12" bestFit="1" customWidth="1"/>
    <col min="2" max="2" width="44.42578125" customWidth="1"/>
    <col min="3" max="3" width="35.140625" customWidth="1"/>
    <col min="4" max="4" width="7" style="12" customWidth="1"/>
    <col min="5" max="5" width="7.28515625" style="12" customWidth="1"/>
    <col min="6" max="6" width="9.5703125" style="12" customWidth="1"/>
    <col min="7" max="7" width="12.7109375" style="13" customWidth="1"/>
    <col min="8" max="8" width="7.28515625" style="13" customWidth="1"/>
    <col min="9" max="9" width="13.140625" style="13" customWidth="1"/>
    <col min="10" max="10" width="9.5703125" customWidth="1"/>
  </cols>
  <sheetData>
    <row r="1" spans="1:13" ht="6.75" customHeight="1" x14ac:dyDescent="0.25"/>
    <row r="2" spans="1:13" hidden="1" x14ac:dyDescent="0.25"/>
    <row r="3" spans="1:13" ht="60.75" customHeight="1" x14ac:dyDescent="0.25">
      <c r="A3" s="446"/>
      <c r="B3" s="8"/>
      <c r="C3" s="8"/>
      <c r="D3" s="446"/>
      <c r="E3" s="447"/>
      <c r="F3" s="447"/>
      <c r="G3" s="8"/>
      <c r="H3" s="448"/>
      <c r="I3" s="448"/>
      <c r="J3" s="448"/>
    </row>
    <row r="4" spans="1:13" ht="26.25" x14ac:dyDescent="0.25">
      <c r="A4" s="14"/>
      <c r="B4" s="9"/>
      <c r="C4" s="9" t="s">
        <v>748</v>
      </c>
      <c r="D4" s="14"/>
      <c r="E4" s="9"/>
      <c r="F4" s="9"/>
      <c r="G4" s="9"/>
      <c r="H4" s="14"/>
      <c r="I4" s="14"/>
      <c r="J4" s="14"/>
    </row>
    <row r="5" spans="1:13" ht="40.5" customHeight="1" thickBot="1" x14ac:dyDescent="0.3">
      <c r="B5" s="228">
        <v>44809</v>
      </c>
      <c r="D5" s="772" t="s">
        <v>749</v>
      </c>
      <c r="E5" s="772"/>
      <c r="G5" s="449"/>
      <c r="I5" s="773" t="s">
        <v>750</v>
      </c>
      <c r="J5" s="773"/>
      <c r="L5">
        <v>7.5</v>
      </c>
    </row>
    <row r="6" spans="1:13" ht="27" thickBot="1" x14ac:dyDescent="0.3">
      <c r="B6" s="15" t="s">
        <v>35</v>
      </c>
      <c r="C6" s="450" t="s">
        <v>751</v>
      </c>
      <c r="D6" s="451" t="s">
        <v>36</v>
      </c>
      <c r="E6" s="452" t="s">
        <v>22</v>
      </c>
      <c r="F6" s="453" t="s">
        <v>259</v>
      </c>
      <c r="G6" s="774" t="s">
        <v>752</v>
      </c>
      <c r="H6" s="775"/>
      <c r="I6" s="454" t="s">
        <v>583</v>
      </c>
      <c r="J6" s="454" t="s">
        <v>753</v>
      </c>
    </row>
    <row r="7" spans="1:13" ht="15.75" thickBot="1" x14ac:dyDescent="0.3">
      <c r="A7" s="455">
        <v>1</v>
      </c>
      <c r="B7" s="16" t="s">
        <v>249</v>
      </c>
      <c r="C7" s="456" t="s">
        <v>251</v>
      </c>
      <c r="D7" s="457" t="s">
        <v>37</v>
      </c>
      <c r="E7" s="458">
        <v>10</v>
      </c>
      <c r="F7" s="459">
        <v>10</v>
      </c>
      <c r="G7" s="776" t="s">
        <v>754</v>
      </c>
      <c r="H7" s="777"/>
      <c r="I7" s="460">
        <f>8*200</f>
        <v>1600</v>
      </c>
      <c r="J7" s="461">
        <f>+I7/$L$5</f>
        <v>213.33333333333334</v>
      </c>
    </row>
    <row r="8" spans="1:13" ht="15.75" thickBot="1" x14ac:dyDescent="0.3">
      <c r="A8" s="663">
        <v>2</v>
      </c>
      <c r="B8" s="675" t="s">
        <v>250</v>
      </c>
      <c r="C8" s="463" t="s">
        <v>252</v>
      </c>
      <c r="D8" s="464" t="s">
        <v>37</v>
      </c>
      <c r="E8" s="465">
        <v>10</v>
      </c>
      <c r="F8" s="672">
        <v>10</v>
      </c>
      <c r="G8" s="778" t="s">
        <v>755</v>
      </c>
      <c r="H8" s="779"/>
      <c r="I8" s="467">
        <f>8*200</f>
        <v>1600</v>
      </c>
      <c r="J8" s="666">
        <f>+I8/$L$5</f>
        <v>213.33333333333334</v>
      </c>
    </row>
    <row r="9" spans="1:13" ht="15" customHeight="1" x14ac:dyDescent="0.25">
      <c r="A9" s="701">
        <v>3</v>
      </c>
      <c r="B9" s="726" t="s">
        <v>554</v>
      </c>
      <c r="C9" s="469" t="s">
        <v>253</v>
      </c>
      <c r="D9" s="470" t="s">
        <v>37</v>
      </c>
      <c r="E9" s="471">
        <v>40</v>
      </c>
      <c r="F9" s="769">
        <f>SUM(E9:E12)</f>
        <v>75.185000000000002</v>
      </c>
      <c r="G9" s="472" t="s">
        <v>756</v>
      </c>
      <c r="H9" s="473">
        <f>+F9/0.75</f>
        <v>100.24666666666667</v>
      </c>
      <c r="I9" s="474">
        <f>2*3.5*H9</f>
        <v>701.72666666666669</v>
      </c>
      <c r="J9" s="475">
        <f>+I9/$L$5</f>
        <v>93.563555555555553</v>
      </c>
    </row>
    <row r="10" spans="1:13" x14ac:dyDescent="0.25">
      <c r="A10" s="725"/>
      <c r="B10" s="727"/>
      <c r="C10" s="476" t="s">
        <v>254</v>
      </c>
      <c r="D10" s="477" t="s">
        <v>37</v>
      </c>
      <c r="E10" s="478">
        <v>15</v>
      </c>
      <c r="F10" s="770"/>
      <c r="G10" s="479"/>
      <c r="H10" s="480"/>
      <c r="I10" s="481"/>
      <c r="J10" s="482"/>
    </row>
    <row r="11" spans="1:13" x14ac:dyDescent="0.25">
      <c r="A11" s="725"/>
      <c r="B11" s="737"/>
      <c r="C11" s="483" t="s">
        <v>255</v>
      </c>
      <c r="D11" s="484" t="s">
        <v>37</v>
      </c>
      <c r="E11" s="485">
        <v>20</v>
      </c>
      <c r="F11" s="770"/>
      <c r="G11" s="486" t="s">
        <v>757</v>
      </c>
      <c r="H11" s="487">
        <f>+F9/3</f>
        <v>25.061666666666667</v>
      </c>
      <c r="I11" s="488">
        <f>2*5*H11</f>
        <v>250.61666666666667</v>
      </c>
      <c r="J11" s="489">
        <f>+I11/$L$5</f>
        <v>33.415555555555557</v>
      </c>
      <c r="M11" s="64"/>
    </row>
    <row r="12" spans="1:13" x14ac:dyDescent="0.25">
      <c r="A12" s="725"/>
      <c r="B12" s="737"/>
      <c r="C12" s="483" t="s">
        <v>256</v>
      </c>
      <c r="D12" s="484" t="s">
        <v>37</v>
      </c>
      <c r="E12" s="485">
        <v>0.185</v>
      </c>
      <c r="F12" s="770"/>
      <c r="G12" s="479"/>
      <c r="H12" s="480"/>
      <c r="I12" s="481"/>
      <c r="J12" s="482"/>
    </row>
    <row r="13" spans="1:13" ht="15.75" thickBot="1" x14ac:dyDescent="0.3">
      <c r="A13" s="704"/>
      <c r="B13" s="737"/>
      <c r="C13" s="483" t="s">
        <v>257</v>
      </c>
      <c r="D13" s="484" t="s">
        <v>38</v>
      </c>
      <c r="E13" s="485">
        <v>60</v>
      </c>
      <c r="F13" s="771"/>
      <c r="G13" s="490" t="s">
        <v>758</v>
      </c>
      <c r="H13" s="491">
        <f>+F9/8</f>
        <v>9.3981250000000003</v>
      </c>
      <c r="I13" s="492">
        <f>2*5*H13</f>
        <v>93.981250000000003</v>
      </c>
      <c r="J13" s="493">
        <f>+I13/$L$5</f>
        <v>12.530833333333334</v>
      </c>
      <c r="M13" s="494"/>
    </row>
    <row r="14" spans="1:13" x14ac:dyDescent="0.25">
      <c r="A14" s="702">
        <v>4</v>
      </c>
      <c r="B14" s="756" t="s">
        <v>258</v>
      </c>
      <c r="C14" s="495" t="s">
        <v>260</v>
      </c>
      <c r="D14" s="496" t="s">
        <v>37</v>
      </c>
      <c r="E14" s="497">
        <v>40</v>
      </c>
      <c r="F14" s="766">
        <f>SUM(E14:E21)</f>
        <v>119.15</v>
      </c>
      <c r="G14" s="498"/>
      <c r="H14" s="499"/>
      <c r="I14" s="500"/>
      <c r="J14" s="501"/>
      <c r="L14" s="7"/>
    </row>
    <row r="15" spans="1:13" x14ac:dyDescent="0.25">
      <c r="A15" s="702"/>
      <c r="B15" s="754"/>
      <c r="C15" s="502" t="s">
        <v>261</v>
      </c>
      <c r="D15" s="503" t="s">
        <v>37</v>
      </c>
      <c r="E15" s="504">
        <v>10</v>
      </c>
      <c r="F15" s="767"/>
      <c r="G15" s="505"/>
      <c r="H15" s="499"/>
      <c r="I15" s="500"/>
      <c r="J15" s="501"/>
    </row>
    <row r="16" spans="1:13" x14ac:dyDescent="0.25">
      <c r="A16" s="702"/>
      <c r="B16" s="754"/>
      <c r="C16" s="506" t="s">
        <v>267</v>
      </c>
      <c r="D16" s="503" t="s">
        <v>37</v>
      </c>
      <c r="E16" s="507">
        <v>10</v>
      </c>
      <c r="F16" s="767"/>
      <c r="G16" s="508" t="s">
        <v>759</v>
      </c>
      <c r="H16" s="509">
        <f>+F14/6</f>
        <v>19.858333333333334</v>
      </c>
      <c r="I16" s="510">
        <f>2*8.5*H16</f>
        <v>337.5916666666667</v>
      </c>
      <c r="J16" s="489">
        <f>+I16/$L$5</f>
        <v>45.012222222222228</v>
      </c>
    </row>
    <row r="17" spans="1:14" x14ac:dyDescent="0.25">
      <c r="A17" s="725"/>
      <c r="B17" s="754"/>
      <c r="C17" s="506" t="s">
        <v>262</v>
      </c>
      <c r="D17" s="503" t="s">
        <v>37</v>
      </c>
      <c r="E17" s="507">
        <v>23</v>
      </c>
      <c r="F17" s="767"/>
      <c r="G17" s="505"/>
      <c r="H17" s="511"/>
      <c r="I17" s="669"/>
      <c r="J17" s="501"/>
    </row>
    <row r="18" spans="1:14" x14ac:dyDescent="0.25">
      <c r="A18" s="725"/>
      <c r="B18" s="754"/>
      <c r="C18" s="506" t="s">
        <v>263</v>
      </c>
      <c r="D18" s="503" t="s">
        <v>37</v>
      </c>
      <c r="E18" s="507">
        <v>0.15</v>
      </c>
      <c r="F18" s="767"/>
      <c r="G18" s="505"/>
      <c r="H18" s="511"/>
      <c r="I18" s="669"/>
      <c r="J18" s="501"/>
      <c r="L18" s="494"/>
    </row>
    <row r="19" spans="1:14" x14ac:dyDescent="0.25">
      <c r="A19" s="725"/>
      <c r="B19" s="754"/>
      <c r="C19" s="506" t="s">
        <v>264</v>
      </c>
      <c r="D19" s="503" t="s">
        <v>37</v>
      </c>
      <c r="E19" s="507">
        <v>4</v>
      </c>
      <c r="F19" s="767"/>
      <c r="G19" s="505"/>
      <c r="H19" s="511"/>
      <c r="I19" s="669"/>
      <c r="J19" s="501"/>
    </row>
    <row r="20" spans="1:14" x14ac:dyDescent="0.25">
      <c r="A20" s="725"/>
      <c r="B20" s="754"/>
      <c r="C20" s="506" t="s">
        <v>265</v>
      </c>
      <c r="D20" s="503" t="s">
        <v>37</v>
      </c>
      <c r="E20" s="507">
        <v>16</v>
      </c>
      <c r="F20" s="767"/>
      <c r="G20" s="508" t="s">
        <v>760</v>
      </c>
      <c r="H20" s="509">
        <f>+F14/15</f>
        <v>7.9433333333333334</v>
      </c>
      <c r="I20" s="510">
        <f>2*8.5*H20</f>
        <v>135.03666666666666</v>
      </c>
      <c r="J20" s="489">
        <f>+I20/$L$5</f>
        <v>18.004888888888889</v>
      </c>
      <c r="N20" s="64"/>
    </row>
    <row r="21" spans="1:14" ht="15.75" thickBot="1" x14ac:dyDescent="0.3">
      <c r="A21" s="736"/>
      <c r="B21" s="754"/>
      <c r="C21" s="513" t="s">
        <v>266</v>
      </c>
      <c r="D21" s="514" t="s">
        <v>37</v>
      </c>
      <c r="E21" s="515">
        <v>16</v>
      </c>
      <c r="F21" s="768"/>
      <c r="G21" s="516"/>
      <c r="H21" s="499"/>
      <c r="I21" s="500"/>
      <c r="J21" s="482"/>
    </row>
    <row r="22" spans="1:14" x14ac:dyDescent="0.25">
      <c r="A22" s="701">
        <v>5</v>
      </c>
      <c r="B22" s="764" t="s">
        <v>555</v>
      </c>
      <c r="C22" s="517" t="s">
        <v>260</v>
      </c>
      <c r="D22" s="518" t="s">
        <v>37</v>
      </c>
      <c r="E22" s="497">
        <v>40</v>
      </c>
      <c r="F22" s="729">
        <f>SUM(E22:E28)</f>
        <v>103.12</v>
      </c>
      <c r="G22" s="519" t="s">
        <v>556</v>
      </c>
      <c r="H22" s="520">
        <f>+F22/7</f>
        <v>14.731428571428571</v>
      </c>
      <c r="I22" s="521">
        <f>2*10*H22</f>
        <v>294.62857142857143</v>
      </c>
      <c r="J22" s="475">
        <f>+I22/$L$5</f>
        <v>39.283809523809524</v>
      </c>
      <c r="K22" s="64"/>
      <c r="L22" s="522"/>
      <c r="M22" s="64"/>
      <c r="N22" s="64"/>
    </row>
    <row r="23" spans="1:14" x14ac:dyDescent="0.25">
      <c r="A23" s="702"/>
      <c r="B23" s="706"/>
      <c r="C23" s="523" t="s">
        <v>261</v>
      </c>
      <c r="D23" s="524" t="s">
        <v>37</v>
      </c>
      <c r="E23" s="504">
        <v>10</v>
      </c>
      <c r="F23" s="730"/>
      <c r="G23" s="525"/>
      <c r="H23" s="668"/>
      <c r="I23" s="527"/>
      <c r="J23" s="482"/>
      <c r="K23" s="64"/>
      <c r="L23" s="64"/>
      <c r="M23" s="64"/>
      <c r="N23" s="64"/>
    </row>
    <row r="24" spans="1:14" x14ac:dyDescent="0.25">
      <c r="A24" s="702"/>
      <c r="B24" s="706"/>
      <c r="C24" s="528" t="s">
        <v>267</v>
      </c>
      <c r="D24" s="524" t="s">
        <v>37</v>
      </c>
      <c r="E24" s="507">
        <v>10</v>
      </c>
      <c r="F24" s="730"/>
      <c r="G24" s="525"/>
      <c r="H24" s="668"/>
      <c r="I24" s="527"/>
      <c r="J24" s="482"/>
      <c r="L24" s="64"/>
      <c r="M24" s="64"/>
    </row>
    <row r="25" spans="1:14" x14ac:dyDescent="0.25">
      <c r="A25" s="725"/>
      <c r="B25" s="706"/>
      <c r="C25" s="528" t="s">
        <v>262</v>
      </c>
      <c r="D25" s="524" t="s">
        <v>37</v>
      </c>
      <c r="E25" s="507">
        <v>23</v>
      </c>
      <c r="F25" s="730"/>
      <c r="G25" s="529" t="s">
        <v>557</v>
      </c>
      <c r="H25" s="530">
        <f>+F22/10</f>
        <v>10.312000000000001</v>
      </c>
      <c r="I25" s="510">
        <f>2*10*H25</f>
        <v>206.24</v>
      </c>
      <c r="J25" s="489">
        <f>+I25/$L$5</f>
        <v>27.498666666666669</v>
      </c>
      <c r="L25" s="522"/>
      <c r="M25" s="64"/>
      <c r="N25" s="64"/>
    </row>
    <row r="26" spans="1:14" x14ac:dyDescent="0.25">
      <c r="A26" s="725"/>
      <c r="B26" s="706"/>
      <c r="C26" s="531" t="s">
        <v>263</v>
      </c>
      <c r="D26" s="532" t="s">
        <v>37</v>
      </c>
      <c r="E26" s="507">
        <v>0.12</v>
      </c>
      <c r="F26" s="730"/>
      <c r="G26" s="525"/>
      <c r="H26" s="668"/>
      <c r="I26" s="533"/>
      <c r="J26" s="482"/>
      <c r="L26" s="522"/>
    </row>
    <row r="27" spans="1:14" x14ac:dyDescent="0.25">
      <c r="A27" s="736"/>
      <c r="B27" s="706"/>
      <c r="C27" s="528" t="s">
        <v>761</v>
      </c>
      <c r="D27" s="524" t="s">
        <v>37</v>
      </c>
      <c r="E27" s="507">
        <v>4</v>
      </c>
      <c r="F27" s="730"/>
      <c r="G27" s="529" t="s">
        <v>558</v>
      </c>
      <c r="H27" s="530">
        <f>+F22/15</f>
        <v>6.8746666666666671</v>
      </c>
      <c r="I27" s="510">
        <f>2*10*H27</f>
        <v>137.49333333333334</v>
      </c>
      <c r="J27" s="489">
        <f>+I27/$L$5</f>
        <v>18.332444444444445</v>
      </c>
      <c r="L27" s="522"/>
      <c r="M27" s="64"/>
      <c r="N27" s="64"/>
    </row>
    <row r="28" spans="1:14" ht="15.75" thickBot="1" x14ac:dyDescent="0.3">
      <c r="A28" s="704"/>
      <c r="B28" s="707"/>
      <c r="C28" s="528" t="s">
        <v>265</v>
      </c>
      <c r="D28" s="534" t="s">
        <v>37</v>
      </c>
      <c r="E28" s="515">
        <v>16</v>
      </c>
      <c r="F28" s="731"/>
      <c r="G28" s="535"/>
      <c r="H28" s="536"/>
      <c r="I28" s="537"/>
      <c r="J28" s="538"/>
      <c r="M28" s="522"/>
    </row>
    <row r="29" spans="1:14" x14ac:dyDescent="0.25">
      <c r="A29" s="701">
        <v>6</v>
      </c>
      <c r="B29" s="764" t="s">
        <v>561</v>
      </c>
      <c r="C29" s="517" t="s">
        <v>260</v>
      </c>
      <c r="D29" s="539" t="s">
        <v>37</v>
      </c>
      <c r="E29" s="540">
        <v>40</v>
      </c>
      <c r="F29" s="722">
        <f>SUM(E29:E35)</f>
        <v>103.12</v>
      </c>
      <c r="G29" s="541"/>
      <c r="H29" s="542"/>
      <c r="I29" s="714">
        <f>2*10*H32</f>
        <v>137.49333333333334</v>
      </c>
      <c r="J29" s="715">
        <f>+I29/$L$5</f>
        <v>18.332444444444445</v>
      </c>
    </row>
    <row r="30" spans="1:14" x14ac:dyDescent="0.25">
      <c r="A30" s="702"/>
      <c r="B30" s="706"/>
      <c r="C30" s="523" t="s">
        <v>261</v>
      </c>
      <c r="D30" s="524" t="s">
        <v>37</v>
      </c>
      <c r="E30" s="540">
        <v>10</v>
      </c>
      <c r="F30" s="723"/>
      <c r="G30" s="543"/>
      <c r="H30" s="544"/>
      <c r="I30" s="714"/>
      <c r="J30" s="716"/>
      <c r="L30" s="64"/>
      <c r="M30" s="64"/>
    </row>
    <row r="31" spans="1:14" x14ac:dyDescent="0.25">
      <c r="A31" s="725"/>
      <c r="B31" s="706"/>
      <c r="C31" s="528" t="s">
        <v>267</v>
      </c>
      <c r="D31" s="524" t="s">
        <v>37</v>
      </c>
      <c r="E31" s="545">
        <v>10</v>
      </c>
      <c r="F31" s="723"/>
      <c r="G31" s="543"/>
      <c r="H31" s="544"/>
      <c r="I31" s="714"/>
      <c r="J31" s="716"/>
    </row>
    <row r="32" spans="1:14" x14ac:dyDescent="0.25">
      <c r="A32" s="725"/>
      <c r="B32" s="706"/>
      <c r="C32" s="528" t="s">
        <v>280</v>
      </c>
      <c r="D32" s="524" t="s">
        <v>37</v>
      </c>
      <c r="E32" s="545">
        <v>23</v>
      </c>
      <c r="F32" s="723"/>
      <c r="G32" s="525" t="s">
        <v>559</v>
      </c>
      <c r="H32" s="546">
        <f>+F29/15</f>
        <v>6.8746666666666671</v>
      </c>
      <c r="I32" s="714"/>
      <c r="J32" s="716"/>
      <c r="L32" s="1"/>
      <c r="M32" s="64"/>
      <c r="N32" s="64"/>
    </row>
    <row r="33" spans="1:12" x14ac:dyDescent="0.25">
      <c r="A33" s="736"/>
      <c r="B33" s="706"/>
      <c r="C33" s="531" t="s">
        <v>263</v>
      </c>
      <c r="D33" s="532" t="s">
        <v>37</v>
      </c>
      <c r="E33" s="545">
        <v>0.12</v>
      </c>
      <c r="F33" s="723"/>
      <c r="G33" s="543"/>
      <c r="H33" s="544"/>
      <c r="I33" s="714"/>
      <c r="J33" s="716"/>
      <c r="L33" s="7"/>
    </row>
    <row r="34" spans="1:12" x14ac:dyDescent="0.25">
      <c r="A34" s="736"/>
      <c r="B34" s="706"/>
      <c r="C34" s="528" t="s">
        <v>761</v>
      </c>
      <c r="D34" s="524" t="s">
        <v>37</v>
      </c>
      <c r="E34" s="545">
        <v>4</v>
      </c>
      <c r="F34" s="723"/>
      <c r="G34" s="543"/>
      <c r="H34" s="544"/>
      <c r="I34" s="714"/>
      <c r="J34" s="716"/>
      <c r="L34" s="64"/>
    </row>
    <row r="35" spans="1:12" ht="15.75" thickBot="1" x14ac:dyDescent="0.3">
      <c r="A35" s="736"/>
      <c r="B35" s="706"/>
      <c r="C35" s="528" t="s">
        <v>265</v>
      </c>
      <c r="D35" s="524" t="s">
        <v>37</v>
      </c>
      <c r="E35" s="545">
        <v>16</v>
      </c>
      <c r="F35" s="723"/>
      <c r="G35" s="543"/>
      <c r="H35" s="544"/>
      <c r="I35" s="765"/>
      <c r="J35" s="735"/>
    </row>
    <row r="36" spans="1:12" x14ac:dyDescent="0.25">
      <c r="A36" s="701">
        <v>7</v>
      </c>
      <c r="B36" s="764" t="s">
        <v>560</v>
      </c>
      <c r="C36" s="517" t="s">
        <v>260</v>
      </c>
      <c r="D36" s="524" t="s">
        <v>37</v>
      </c>
      <c r="E36" s="547">
        <v>40</v>
      </c>
      <c r="F36" s="722">
        <f>SUM(E36:E42)</f>
        <v>103.1</v>
      </c>
      <c r="G36" s="548"/>
      <c r="H36" s="549"/>
      <c r="I36" s="713">
        <f>2*10*H38</f>
        <v>294.57142857142856</v>
      </c>
      <c r="J36" s="715">
        <f>+I36/$L$5</f>
        <v>39.276190476190472</v>
      </c>
    </row>
    <row r="37" spans="1:12" x14ac:dyDescent="0.25">
      <c r="A37" s="702"/>
      <c r="B37" s="706"/>
      <c r="C37" s="523" t="s">
        <v>261</v>
      </c>
      <c r="D37" s="524" t="s">
        <v>37</v>
      </c>
      <c r="E37" s="540">
        <v>10</v>
      </c>
      <c r="F37" s="723"/>
      <c r="G37" s="550"/>
      <c r="H37" s="551"/>
      <c r="I37" s="714"/>
      <c r="J37" s="716"/>
    </row>
    <row r="38" spans="1:12" x14ac:dyDescent="0.25">
      <c r="A38" s="725"/>
      <c r="B38" s="706"/>
      <c r="C38" s="528" t="s">
        <v>267</v>
      </c>
      <c r="D38" s="524" t="s">
        <v>37</v>
      </c>
      <c r="E38" s="545">
        <v>10</v>
      </c>
      <c r="F38" s="723"/>
      <c r="G38" s="525" t="s">
        <v>762</v>
      </c>
      <c r="H38" s="551">
        <f>+F36/7</f>
        <v>14.728571428571428</v>
      </c>
      <c r="I38" s="714"/>
      <c r="J38" s="716"/>
    </row>
    <row r="39" spans="1:12" x14ac:dyDescent="0.25">
      <c r="A39" s="725"/>
      <c r="B39" s="706"/>
      <c r="C39" s="528" t="s">
        <v>262</v>
      </c>
      <c r="D39" s="524" t="s">
        <v>37</v>
      </c>
      <c r="E39" s="545">
        <v>23</v>
      </c>
      <c r="F39" s="723"/>
      <c r="G39" s="525"/>
      <c r="H39" s="551"/>
      <c r="I39" s="714"/>
      <c r="J39" s="716"/>
    </row>
    <row r="40" spans="1:12" x14ac:dyDescent="0.25">
      <c r="A40" s="736"/>
      <c r="B40" s="706"/>
      <c r="C40" s="531" t="s">
        <v>263</v>
      </c>
      <c r="D40" s="532" t="s">
        <v>37</v>
      </c>
      <c r="E40" s="545">
        <v>0.1</v>
      </c>
      <c r="F40" s="723"/>
      <c r="G40" s="550"/>
      <c r="H40" s="551"/>
      <c r="I40" s="714"/>
      <c r="J40" s="716"/>
    </row>
    <row r="41" spans="1:12" x14ac:dyDescent="0.25">
      <c r="A41" s="736"/>
      <c r="B41" s="706"/>
      <c r="C41" s="528" t="s">
        <v>761</v>
      </c>
      <c r="D41" s="524" t="s">
        <v>37</v>
      </c>
      <c r="E41" s="545">
        <v>4</v>
      </c>
      <c r="F41" s="723"/>
      <c r="G41" s="550"/>
      <c r="H41" s="551"/>
      <c r="I41" s="714"/>
      <c r="J41" s="716"/>
    </row>
    <row r="42" spans="1:12" ht="15.75" thickBot="1" x14ac:dyDescent="0.3">
      <c r="A42" s="736"/>
      <c r="B42" s="706"/>
      <c r="C42" s="528" t="s">
        <v>265</v>
      </c>
      <c r="D42" s="524" t="s">
        <v>37</v>
      </c>
      <c r="E42" s="545">
        <v>16</v>
      </c>
      <c r="F42" s="723"/>
      <c r="G42" s="550"/>
      <c r="H42" s="551"/>
      <c r="I42" s="765"/>
      <c r="J42" s="735"/>
    </row>
    <row r="43" spans="1:12" x14ac:dyDescent="0.25">
      <c r="A43" s="701">
        <v>8</v>
      </c>
      <c r="B43" s="756" t="s">
        <v>562</v>
      </c>
      <c r="C43" s="552" t="s">
        <v>281</v>
      </c>
      <c r="D43" s="553" t="s">
        <v>37</v>
      </c>
      <c r="E43" s="471">
        <v>40</v>
      </c>
      <c r="F43" s="722">
        <f>SUM(E43:E45)</f>
        <v>105</v>
      </c>
      <c r="G43" s="554"/>
      <c r="H43" s="673"/>
      <c r="I43" s="757">
        <f>2*14*H44</f>
        <v>196</v>
      </c>
      <c r="J43" s="715">
        <f>+I43/$L$5</f>
        <v>26.133333333333333</v>
      </c>
    </row>
    <row r="44" spans="1:12" x14ac:dyDescent="0.25">
      <c r="A44" s="725"/>
      <c r="B44" s="754"/>
      <c r="C44" s="556" t="s">
        <v>282</v>
      </c>
      <c r="D44" s="557" t="s">
        <v>37</v>
      </c>
      <c r="E44" s="478">
        <v>20</v>
      </c>
      <c r="F44" s="723"/>
      <c r="G44" s="525" t="s">
        <v>763</v>
      </c>
      <c r="H44" s="558">
        <f>+F43/15</f>
        <v>7</v>
      </c>
      <c r="I44" s="758"/>
      <c r="J44" s="716"/>
    </row>
    <row r="45" spans="1:12" ht="15.75" thickBot="1" x14ac:dyDescent="0.3">
      <c r="A45" s="704"/>
      <c r="B45" s="755"/>
      <c r="C45" s="559" t="s">
        <v>283</v>
      </c>
      <c r="D45" s="560" t="s">
        <v>37</v>
      </c>
      <c r="E45" s="561">
        <v>45</v>
      </c>
      <c r="F45" s="724"/>
      <c r="G45" s="677"/>
      <c r="H45" s="563"/>
      <c r="I45" s="759"/>
      <c r="J45" s="735"/>
    </row>
    <row r="46" spans="1:12" x14ac:dyDescent="0.25">
      <c r="A46" s="701">
        <v>9</v>
      </c>
      <c r="B46" s="756" t="s">
        <v>563</v>
      </c>
      <c r="C46" s="564" t="s">
        <v>284</v>
      </c>
      <c r="D46" s="553" t="s">
        <v>37</v>
      </c>
      <c r="E46" s="471">
        <v>35</v>
      </c>
      <c r="F46" s="722">
        <f>SUM(E46:E49)</f>
        <v>95.1</v>
      </c>
      <c r="G46" s="554"/>
      <c r="H46" s="673"/>
      <c r="I46" s="757">
        <f>2*14*H47</f>
        <v>177.51999999999998</v>
      </c>
      <c r="J46" s="715">
        <f>+I46/$L$5</f>
        <v>23.669333333333331</v>
      </c>
    </row>
    <row r="47" spans="1:12" x14ac:dyDescent="0.25">
      <c r="A47" s="725"/>
      <c r="B47" s="754"/>
      <c r="C47" s="556" t="s">
        <v>285</v>
      </c>
      <c r="D47" s="557" t="s">
        <v>37</v>
      </c>
      <c r="E47" s="478">
        <v>40</v>
      </c>
      <c r="F47" s="723"/>
      <c r="G47" s="525" t="s">
        <v>565</v>
      </c>
      <c r="H47" s="565">
        <f>+F46/15</f>
        <v>6.34</v>
      </c>
      <c r="I47" s="758"/>
      <c r="J47" s="716"/>
    </row>
    <row r="48" spans="1:12" x14ac:dyDescent="0.25">
      <c r="A48" s="736"/>
      <c r="B48" s="754"/>
      <c r="C48" s="556" t="s">
        <v>286</v>
      </c>
      <c r="D48" s="557" t="s">
        <v>37</v>
      </c>
      <c r="E48" s="485">
        <v>0.1</v>
      </c>
      <c r="F48" s="723"/>
      <c r="G48" s="525"/>
      <c r="H48" s="565"/>
      <c r="I48" s="758"/>
      <c r="J48" s="716"/>
    </row>
    <row r="49" spans="1:10" ht="15.75" thickBot="1" x14ac:dyDescent="0.3">
      <c r="A49" s="704"/>
      <c r="B49" s="755"/>
      <c r="C49" s="559" t="s">
        <v>287</v>
      </c>
      <c r="D49" s="560" t="s">
        <v>37</v>
      </c>
      <c r="E49" s="561">
        <v>20</v>
      </c>
      <c r="F49" s="724"/>
      <c r="G49" s="677"/>
      <c r="H49" s="563"/>
      <c r="I49" s="759"/>
      <c r="J49" s="735"/>
    </row>
    <row r="50" spans="1:10" ht="15.75" thickBot="1" x14ac:dyDescent="0.3">
      <c r="A50" s="663">
        <v>10</v>
      </c>
      <c r="B50" s="676" t="s">
        <v>564</v>
      </c>
      <c r="C50" s="567" t="s">
        <v>764</v>
      </c>
      <c r="D50" s="568" t="s">
        <v>37</v>
      </c>
      <c r="E50" s="459">
        <v>10</v>
      </c>
      <c r="F50" s="664">
        <v>10</v>
      </c>
      <c r="G50" s="570" t="s">
        <v>765</v>
      </c>
      <c r="H50" s="571">
        <f>+F50/0.085</f>
        <v>117.64705882352941</v>
      </c>
      <c r="I50" s="572">
        <f>90*8</f>
        <v>720</v>
      </c>
      <c r="J50" s="666">
        <f>+I50/$L$5</f>
        <v>96</v>
      </c>
    </row>
    <row r="51" spans="1:10" ht="15.75" thickBot="1" x14ac:dyDescent="0.3">
      <c r="A51" s="455">
        <v>11</v>
      </c>
      <c r="B51" s="573" t="s">
        <v>566</v>
      </c>
      <c r="C51" s="574" t="s">
        <v>288</v>
      </c>
      <c r="D51" s="575" t="s">
        <v>37</v>
      </c>
      <c r="E51" s="671">
        <v>10</v>
      </c>
      <c r="F51" s="459">
        <v>10</v>
      </c>
      <c r="G51" s="570" t="s">
        <v>766</v>
      </c>
      <c r="H51" s="571">
        <f>+F51/0.05</f>
        <v>200</v>
      </c>
      <c r="I51" s="670">
        <f>90*8</f>
        <v>720</v>
      </c>
      <c r="J51" s="666">
        <f>+I51/$L$5</f>
        <v>96</v>
      </c>
    </row>
    <row r="52" spans="1:10" x14ac:dyDescent="0.25">
      <c r="A52" s="717">
        <v>12</v>
      </c>
      <c r="B52" s="675"/>
      <c r="C52" s="517" t="s">
        <v>289</v>
      </c>
      <c r="D52" s="518" t="s">
        <v>37</v>
      </c>
      <c r="E52" s="547">
        <v>50</v>
      </c>
      <c r="F52" s="717">
        <f>SUM(E52:E54)</f>
        <v>56.25</v>
      </c>
      <c r="G52" s="760" t="s">
        <v>767</v>
      </c>
      <c r="H52" s="749">
        <f>+F52/1.25</f>
        <v>45</v>
      </c>
      <c r="I52" s="719">
        <f>8*80</f>
        <v>640</v>
      </c>
      <c r="J52" s="715">
        <f>+I52/$L$5</f>
        <v>85.333333333333329</v>
      </c>
    </row>
    <row r="53" spans="1:10" x14ac:dyDescent="0.25">
      <c r="A53" s="703"/>
      <c r="B53" s="754" t="s">
        <v>567</v>
      </c>
      <c r="C53" s="528" t="s">
        <v>290</v>
      </c>
      <c r="D53" s="524" t="s">
        <v>37</v>
      </c>
      <c r="E53" s="578">
        <v>6</v>
      </c>
      <c r="F53" s="703"/>
      <c r="G53" s="761"/>
      <c r="H53" s="763"/>
      <c r="I53" s="720"/>
      <c r="J53" s="716"/>
    </row>
    <row r="54" spans="1:10" ht="15.75" thickBot="1" x14ac:dyDescent="0.3">
      <c r="A54" s="718"/>
      <c r="B54" s="755"/>
      <c r="C54" s="579" t="s">
        <v>291</v>
      </c>
      <c r="D54" s="534" t="s">
        <v>37</v>
      </c>
      <c r="E54" s="580">
        <v>0.25</v>
      </c>
      <c r="F54" s="718"/>
      <c r="G54" s="762"/>
      <c r="H54" s="750"/>
      <c r="I54" s="721"/>
      <c r="J54" s="735"/>
    </row>
    <row r="55" spans="1:10" x14ac:dyDescent="0.25">
      <c r="A55" s="717">
        <v>13</v>
      </c>
      <c r="B55" s="751" t="s">
        <v>568</v>
      </c>
      <c r="C55" s="581" t="s">
        <v>292</v>
      </c>
      <c r="D55" s="582" t="s">
        <v>37</v>
      </c>
      <c r="E55" s="540">
        <v>42.5</v>
      </c>
      <c r="F55" s="722">
        <f>SUM(E55:E57)</f>
        <v>92.5</v>
      </c>
      <c r="G55" s="554"/>
      <c r="H55" s="673"/>
      <c r="I55" s="719">
        <f>8*80</f>
        <v>640</v>
      </c>
      <c r="J55" s="715">
        <f>+I55/$L$5</f>
        <v>85.333333333333329</v>
      </c>
    </row>
    <row r="56" spans="1:10" x14ac:dyDescent="0.25">
      <c r="A56" s="703"/>
      <c r="B56" s="752"/>
      <c r="C56" s="531" t="s">
        <v>293</v>
      </c>
      <c r="D56" s="532" t="s">
        <v>37</v>
      </c>
      <c r="E56" s="545">
        <v>20</v>
      </c>
      <c r="F56" s="723"/>
      <c r="G56" s="525" t="s">
        <v>569</v>
      </c>
      <c r="H56" s="678">
        <f>+F55/1</f>
        <v>92.5</v>
      </c>
      <c r="I56" s="720"/>
      <c r="J56" s="716"/>
    </row>
    <row r="57" spans="1:10" ht="15.75" thickBot="1" x14ac:dyDescent="0.3">
      <c r="A57" s="718"/>
      <c r="B57" s="753"/>
      <c r="C57" s="579" t="s">
        <v>294</v>
      </c>
      <c r="D57" s="584" t="s">
        <v>37</v>
      </c>
      <c r="E57" s="580">
        <v>30</v>
      </c>
      <c r="F57" s="724"/>
      <c r="G57" s="585"/>
      <c r="H57" s="674"/>
      <c r="I57" s="721"/>
      <c r="J57" s="735"/>
    </row>
    <row r="58" spans="1:10" ht="15.75" thickBot="1" x14ac:dyDescent="0.3">
      <c r="A58" s="455">
        <v>14</v>
      </c>
      <c r="B58" s="587" t="s">
        <v>571</v>
      </c>
      <c r="C58" s="463" t="s">
        <v>295</v>
      </c>
      <c r="D58" s="464" t="s">
        <v>37</v>
      </c>
      <c r="E58" s="465">
        <v>30</v>
      </c>
      <c r="F58" s="459">
        <v>30</v>
      </c>
      <c r="G58" s="588" t="s">
        <v>570</v>
      </c>
      <c r="H58" s="571">
        <f>+F58/1</f>
        <v>30</v>
      </c>
      <c r="I58" s="572">
        <f>8*80</f>
        <v>640</v>
      </c>
      <c r="J58" s="461">
        <f>+I58/$L$5</f>
        <v>85.333333333333329</v>
      </c>
    </row>
    <row r="59" spans="1:10" ht="15.75" thickBot="1" x14ac:dyDescent="0.3">
      <c r="A59" s="455">
        <v>15</v>
      </c>
      <c r="B59" s="587" t="s">
        <v>572</v>
      </c>
      <c r="C59" s="574" t="s">
        <v>296</v>
      </c>
      <c r="D59" s="589" t="s">
        <v>37</v>
      </c>
      <c r="E59" s="590">
        <v>20</v>
      </c>
      <c r="F59" s="459">
        <v>20</v>
      </c>
      <c r="G59" s="525" t="s">
        <v>573</v>
      </c>
      <c r="H59" s="571">
        <f>+F59/1</f>
        <v>20</v>
      </c>
      <c r="I59" s="591">
        <f>8*80</f>
        <v>640</v>
      </c>
      <c r="J59" s="666">
        <f>+I59/$L$5</f>
        <v>85.333333333333329</v>
      </c>
    </row>
    <row r="60" spans="1:10" ht="15.75" thickBot="1" x14ac:dyDescent="0.3">
      <c r="A60" s="717">
        <v>16</v>
      </c>
      <c r="B60" s="745" t="s">
        <v>575</v>
      </c>
      <c r="C60" s="574" t="s">
        <v>297</v>
      </c>
      <c r="D60" s="589" t="s">
        <v>37</v>
      </c>
      <c r="E60" s="590">
        <v>20</v>
      </c>
      <c r="F60" s="722">
        <f>SUM(E60:E61)</f>
        <v>50</v>
      </c>
      <c r="G60" s="747" t="s">
        <v>574</v>
      </c>
      <c r="H60" s="749">
        <f>+F60/5</f>
        <v>10</v>
      </c>
      <c r="I60" s="719">
        <f>8*20</f>
        <v>160</v>
      </c>
      <c r="J60" s="715">
        <f>+I60/$L$5</f>
        <v>21.333333333333332</v>
      </c>
    </row>
    <row r="61" spans="1:10" ht="15.75" thickBot="1" x14ac:dyDescent="0.3">
      <c r="A61" s="718"/>
      <c r="B61" s="746"/>
      <c r="C61" s="574" t="s">
        <v>298</v>
      </c>
      <c r="D61" s="589" t="s">
        <v>156</v>
      </c>
      <c r="E61" s="590">
        <v>30</v>
      </c>
      <c r="F61" s="724"/>
      <c r="G61" s="748"/>
      <c r="H61" s="750"/>
      <c r="I61" s="721"/>
      <c r="J61" s="735"/>
    </row>
    <row r="62" spans="1:10" ht="15.75" thickBot="1" x14ac:dyDescent="0.3">
      <c r="A62" s="663">
        <v>17</v>
      </c>
      <c r="B62" s="587" t="s">
        <v>576</v>
      </c>
      <c r="C62" s="456" t="s">
        <v>299</v>
      </c>
      <c r="D62" s="457" t="s">
        <v>37</v>
      </c>
      <c r="E62" s="458">
        <v>25</v>
      </c>
      <c r="F62" s="459">
        <v>25</v>
      </c>
      <c r="G62" s="570" t="s">
        <v>768</v>
      </c>
      <c r="H62" s="571">
        <f>+F62/5</f>
        <v>5</v>
      </c>
      <c r="I62" s="592">
        <f>8*80</f>
        <v>640</v>
      </c>
      <c r="J62" s="666">
        <f>+I62/$L$5</f>
        <v>85.333333333333329</v>
      </c>
    </row>
    <row r="63" spans="1:10" ht="30" x14ac:dyDescent="0.25">
      <c r="A63" s="701">
        <v>18</v>
      </c>
      <c r="B63" s="706" t="s">
        <v>577</v>
      </c>
      <c r="C63" s="593" t="s">
        <v>769</v>
      </c>
      <c r="D63" s="594" t="s">
        <v>37</v>
      </c>
      <c r="E63" s="595">
        <v>25</v>
      </c>
      <c r="F63" s="729">
        <f>SUM(E63:E65)</f>
        <v>30.1</v>
      </c>
      <c r="G63" s="739" t="s">
        <v>578</v>
      </c>
      <c r="H63" s="596"/>
      <c r="I63" s="742">
        <f>80*4*2</f>
        <v>640</v>
      </c>
      <c r="J63" s="715">
        <f>+I63/$L$5</f>
        <v>85.333333333333329</v>
      </c>
    </row>
    <row r="64" spans="1:10" x14ac:dyDescent="0.25">
      <c r="A64" s="725"/>
      <c r="B64" s="706"/>
      <c r="C64" s="556" t="s">
        <v>300</v>
      </c>
      <c r="D64" s="557" t="s">
        <v>37</v>
      </c>
      <c r="E64" s="478">
        <v>5</v>
      </c>
      <c r="F64" s="730"/>
      <c r="G64" s="740"/>
      <c r="H64" s="597">
        <f>+F63/0.45</f>
        <v>66.888888888888886</v>
      </c>
      <c r="I64" s="743"/>
      <c r="J64" s="716"/>
    </row>
    <row r="65" spans="1:10" ht="15.75" thickBot="1" x14ac:dyDescent="0.3">
      <c r="A65" s="704"/>
      <c r="B65" s="707"/>
      <c r="C65" s="598" t="s">
        <v>301</v>
      </c>
      <c r="D65" s="557" t="s">
        <v>37</v>
      </c>
      <c r="E65" s="485">
        <v>0.1</v>
      </c>
      <c r="F65" s="731"/>
      <c r="G65" s="741"/>
      <c r="H65" s="599"/>
      <c r="I65" s="744"/>
      <c r="J65" s="735"/>
    </row>
    <row r="66" spans="1:10" x14ac:dyDescent="0.25">
      <c r="A66" s="701">
        <v>19</v>
      </c>
      <c r="B66" s="726" t="s">
        <v>579</v>
      </c>
      <c r="C66" s="574" t="s">
        <v>297</v>
      </c>
      <c r="D66" s="600" t="s">
        <v>37</v>
      </c>
      <c r="E66" s="547">
        <v>15</v>
      </c>
      <c r="F66" s="729">
        <f>SUM(E66:E72)</f>
        <v>100.25</v>
      </c>
      <c r="G66" s="601"/>
      <c r="H66" s="602"/>
      <c r="I66" s="732">
        <f>2*9*H68</f>
        <v>180.45000000000002</v>
      </c>
      <c r="J66" s="716">
        <f>+I66/$L$5</f>
        <v>24.060000000000002</v>
      </c>
    </row>
    <row r="67" spans="1:10" x14ac:dyDescent="0.25">
      <c r="A67" s="725"/>
      <c r="B67" s="727" t="s">
        <v>34</v>
      </c>
      <c r="C67" s="531" t="s">
        <v>300</v>
      </c>
      <c r="D67" s="532" t="s">
        <v>37</v>
      </c>
      <c r="E67" s="545">
        <v>60</v>
      </c>
      <c r="F67" s="730"/>
      <c r="G67" s="603"/>
      <c r="H67" s="604"/>
      <c r="I67" s="733"/>
      <c r="J67" s="716"/>
    </row>
    <row r="68" spans="1:10" x14ac:dyDescent="0.25">
      <c r="A68" s="736"/>
      <c r="B68" s="737"/>
      <c r="C68" s="528" t="s">
        <v>302</v>
      </c>
      <c r="D68" s="532" t="s">
        <v>37</v>
      </c>
      <c r="E68" s="545">
        <v>8</v>
      </c>
      <c r="F68" s="730"/>
      <c r="G68" s="738" t="s">
        <v>580</v>
      </c>
      <c r="H68" s="604">
        <f>+F66/10</f>
        <v>10.025</v>
      </c>
      <c r="I68" s="733"/>
      <c r="J68" s="716"/>
    </row>
    <row r="69" spans="1:10" x14ac:dyDescent="0.25">
      <c r="A69" s="736"/>
      <c r="B69" s="737"/>
      <c r="C69" s="605" t="s">
        <v>303</v>
      </c>
      <c r="D69" s="532" t="s">
        <v>37</v>
      </c>
      <c r="E69" s="545">
        <v>12</v>
      </c>
      <c r="F69" s="730"/>
      <c r="G69" s="738"/>
      <c r="H69" s="604"/>
      <c r="I69" s="733"/>
      <c r="J69" s="716"/>
    </row>
    <row r="70" spans="1:10" x14ac:dyDescent="0.25">
      <c r="A70" s="736"/>
      <c r="B70" s="737"/>
      <c r="C70" s="531" t="s">
        <v>841</v>
      </c>
      <c r="D70" s="532" t="s">
        <v>37</v>
      </c>
      <c r="E70" s="545">
        <v>3</v>
      </c>
      <c r="F70" s="730"/>
      <c r="G70" s="603"/>
      <c r="H70" s="604"/>
      <c r="I70" s="733"/>
      <c r="J70" s="716"/>
    </row>
    <row r="71" spans="1:10" x14ac:dyDescent="0.25">
      <c r="A71" s="736"/>
      <c r="B71" s="737"/>
      <c r="C71" s="531" t="s">
        <v>839</v>
      </c>
      <c r="D71" s="532" t="s">
        <v>37</v>
      </c>
      <c r="E71" s="545">
        <v>2</v>
      </c>
      <c r="F71" s="730"/>
      <c r="G71" s="603"/>
      <c r="H71" s="604"/>
      <c r="I71" s="733"/>
      <c r="J71" s="716"/>
    </row>
    <row r="72" spans="1:10" ht="15.75" thickBot="1" x14ac:dyDescent="0.3">
      <c r="A72" s="704"/>
      <c r="B72" s="728"/>
      <c r="C72" s="598" t="s">
        <v>840</v>
      </c>
      <c r="D72" s="584" t="s">
        <v>37</v>
      </c>
      <c r="E72" s="580">
        <v>0.25</v>
      </c>
      <c r="F72" s="731"/>
      <c r="G72" s="606"/>
      <c r="H72" s="607"/>
      <c r="I72" s="734"/>
      <c r="J72" s="716"/>
    </row>
    <row r="73" spans="1:10" x14ac:dyDescent="0.25">
      <c r="A73" s="701">
        <v>20</v>
      </c>
      <c r="B73" s="726" t="s">
        <v>581</v>
      </c>
      <c r="C73" s="574" t="s">
        <v>297</v>
      </c>
      <c r="D73" s="600" t="s">
        <v>37</v>
      </c>
      <c r="E73" s="547">
        <v>24</v>
      </c>
      <c r="F73" s="729">
        <f>SUM(E73:E75)</f>
        <v>84.185000000000002</v>
      </c>
      <c r="G73" s="601"/>
      <c r="H73" s="602"/>
      <c r="I73" s="732">
        <f>2*6*H74</f>
        <v>84.185000000000002</v>
      </c>
      <c r="J73" s="715">
        <f>+I73/$L$5</f>
        <v>11.224666666666668</v>
      </c>
    </row>
    <row r="74" spans="1:10" x14ac:dyDescent="0.25">
      <c r="A74" s="725"/>
      <c r="B74" s="727" t="s">
        <v>34</v>
      </c>
      <c r="C74" s="531" t="s">
        <v>300</v>
      </c>
      <c r="D74" s="532" t="s">
        <v>37</v>
      </c>
      <c r="E74" s="545">
        <v>60</v>
      </c>
      <c r="F74" s="730"/>
      <c r="G74" s="608" t="s">
        <v>582</v>
      </c>
      <c r="H74" s="604">
        <f>+F73/12</f>
        <v>7.0154166666666669</v>
      </c>
      <c r="I74" s="733"/>
      <c r="J74" s="716"/>
    </row>
    <row r="75" spans="1:10" ht="15.75" thickBot="1" x14ac:dyDescent="0.3">
      <c r="A75" s="704"/>
      <c r="B75" s="728"/>
      <c r="C75" s="598" t="s">
        <v>301</v>
      </c>
      <c r="D75" s="584" t="s">
        <v>37</v>
      </c>
      <c r="E75" s="580">
        <v>0.185</v>
      </c>
      <c r="F75" s="731"/>
      <c r="G75" s="606"/>
      <c r="H75" s="607"/>
      <c r="I75" s="734"/>
      <c r="J75" s="735"/>
    </row>
    <row r="76" spans="1:10" x14ac:dyDescent="0.25">
      <c r="A76" s="701">
        <v>21</v>
      </c>
      <c r="B76" s="726" t="s">
        <v>304</v>
      </c>
      <c r="C76" s="574" t="s">
        <v>307</v>
      </c>
      <c r="D76" s="600" t="s">
        <v>37</v>
      </c>
      <c r="E76" s="547">
        <v>20</v>
      </c>
      <c r="F76" s="729">
        <f>SUM(E76:E78)</f>
        <v>30</v>
      </c>
      <c r="G76" s="601"/>
      <c r="H76" s="602"/>
      <c r="I76" s="732">
        <f>30*H77*2</f>
        <v>40</v>
      </c>
      <c r="J76" s="716">
        <f>+I76/$L$5</f>
        <v>5.333333333333333</v>
      </c>
    </row>
    <row r="77" spans="1:10" x14ac:dyDescent="0.25">
      <c r="A77" s="725"/>
      <c r="B77" s="727" t="s">
        <v>34</v>
      </c>
      <c r="C77" s="531" t="s">
        <v>300</v>
      </c>
      <c r="D77" s="532" t="s">
        <v>37</v>
      </c>
      <c r="E77" s="545">
        <v>5</v>
      </c>
      <c r="F77" s="730"/>
      <c r="G77" s="608" t="s">
        <v>770</v>
      </c>
      <c r="H77" s="604">
        <f>20/F76</f>
        <v>0.66666666666666663</v>
      </c>
      <c r="I77" s="733"/>
      <c r="J77" s="716"/>
    </row>
    <row r="78" spans="1:10" ht="15.75" thickBot="1" x14ac:dyDescent="0.3">
      <c r="A78" s="704"/>
      <c r="B78" s="728"/>
      <c r="C78" s="598" t="s">
        <v>302</v>
      </c>
      <c r="D78" s="584" t="s">
        <v>37</v>
      </c>
      <c r="E78" s="580">
        <v>5</v>
      </c>
      <c r="F78" s="731"/>
      <c r="G78" s="606"/>
      <c r="H78" s="607"/>
      <c r="I78" s="734"/>
      <c r="J78" s="735"/>
    </row>
    <row r="79" spans="1:10" x14ac:dyDescent="0.25">
      <c r="A79" s="717">
        <v>22</v>
      </c>
      <c r="B79" s="719" t="s">
        <v>801</v>
      </c>
      <c r="C79" s="574" t="s">
        <v>260</v>
      </c>
      <c r="D79" s="633" t="s">
        <v>37</v>
      </c>
      <c r="E79" s="634">
        <v>41</v>
      </c>
      <c r="F79" s="722">
        <f>SUM(E79:E86)</f>
        <v>120.12</v>
      </c>
      <c r="G79" s="603"/>
      <c r="H79" s="604"/>
      <c r="I79" s="667"/>
      <c r="J79" s="666"/>
    </row>
    <row r="80" spans="1:10" x14ac:dyDescent="0.25">
      <c r="A80" s="703"/>
      <c r="B80" s="720"/>
      <c r="C80" s="463" t="s">
        <v>261</v>
      </c>
      <c r="D80" s="633" t="s">
        <v>37</v>
      </c>
      <c r="E80" s="634">
        <v>10</v>
      </c>
      <c r="F80" s="723"/>
      <c r="G80" s="603"/>
      <c r="H80" s="604"/>
      <c r="I80" s="667"/>
      <c r="J80" s="666"/>
    </row>
    <row r="81" spans="1:14" x14ac:dyDescent="0.25">
      <c r="A81" s="703"/>
      <c r="B81" s="720"/>
      <c r="C81" s="463" t="s">
        <v>267</v>
      </c>
      <c r="D81" s="633" t="s">
        <v>37</v>
      </c>
      <c r="E81" s="634">
        <v>10</v>
      </c>
      <c r="F81" s="723"/>
      <c r="G81" s="603"/>
      <c r="H81" s="604"/>
      <c r="I81" s="667"/>
      <c r="J81" s="666"/>
    </row>
    <row r="82" spans="1:14" ht="16.5" customHeight="1" x14ac:dyDescent="0.25">
      <c r="A82" s="703"/>
      <c r="B82" s="720"/>
      <c r="C82" s="463" t="s">
        <v>262</v>
      </c>
      <c r="D82" s="633" t="s">
        <v>37</v>
      </c>
      <c r="E82" s="634">
        <v>30</v>
      </c>
      <c r="F82" s="723"/>
      <c r="G82" s="603" t="s">
        <v>771</v>
      </c>
      <c r="H82" s="604">
        <f>+F79/15</f>
        <v>8.0080000000000009</v>
      </c>
      <c r="I82" s="667">
        <f>2*10*H82</f>
        <v>160.16000000000003</v>
      </c>
      <c r="J82" s="666">
        <f>+I82/$L$5</f>
        <v>21.35466666666667</v>
      </c>
    </row>
    <row r="83" spans="1:14" x14ac:dyDescent="0.25">
      <c r="A83" s="703"/>
      <c r="B83" s="720"/>
      <c r="C83" s="463" t="s">
        <v>263</v>
      </c>
      <c r="D83" s="633" t="s">
        <v>37</v>
      </c>
      <c r="E83" s="634">
        <v>0.12</v>
      </c>
      <c r="F83" s="723"/>
      <c r="G83" s="603"/>
      <c r="H83" s="604"/>
      <c r="I83" s="667"/>
      <c r="J83" s="666"/>
    </row>
    <row r="84" spans="1:14" x14ac:dyDescent="0.25">
      <c r="A84" s="703"/>
      <c r="B84" s="720"/>
      <c r="C84" s="463" t="s">
        <v>264</v>
      </c>
      <c r="D84" s="633" t="s">
        <v>37</v>
      </c>
      <c r="E84" s="634">
        <v>10</v>
      </c>
      <c r="F84" s="723"/>
      <c r="G84" s="603"/>
      <c r="H84" s="604"/>
      <c r="I84" s="667"/>
      <c r="J84" s="666"/>
    </row>
    <row r="85" spans="1:14" x14ac:dyDescent="0.25">
      <c r="A85" s="703"/>
      <c r="B85" s="720"/>
      <c r="C85" s="463" t="s">
        <v>265</v>
      </c>
      <c r="D85" s="633" t="s">
        <v>37</v>
      </c>
      <c r="E85" s="634">
        <v>16</v>
      </c>
      <c r="F85" s="723"/>
      <c r="G85" s="603"/>
      <c r="H85" s="604"/>
      <c r="I85" s="667"/>
      <c r="J85" s="666"/>
    </row>
    <row r="86" spans="1:14" ht="15.75" thickBot="1" x14ac:dyDescent="0.3">
      <c r="A86" s="718"/>
      <c r="B86" s="721"/>
      <c r="C86" s="635" t="s">
        <v>772</v>
      </c>
      <c r="D86" s="633" t="s">
        <v>37</v>
      </c>
      <c r="E86" s="634">
        <v>3</v>
      </c>
      <c r="F86" s="724"/>
      <c r="G86" s="603"/>
      <c r="H86" s="604"/>
      <c r="I86" s="667"/>
      <c r="J86" s="666"/>
    </row>
    <row r="87" spans="1:14" x14ac:dyDescent="0.25">
      <c r="A87" s="701">
        <v>23</v>
      </c>
      <c r="B87" s="705" t="s">
        <v>814</v>
      </c>
      <c r="C87" s="523" t="s">
        <v>802</v>
      </c>
      <c r="D87" s="518" t="s">
        <v>37</v>
      </c>
      <c r="E87" s="497">
        <f>3*7*2</f>
        <v>42</v>
      </c>
      <c r="F87" s="708">
        <f>SUM(E87:E92)</f>
        <v>102.5</v>
      </c>
      <c r="G87" s="711" t="s">
        <v>813</v>
      </c>
      <c r="H87" s="711"/>
      <c r="I87" s="713"/>
      <c r="J87" s="715"/>
      <c r="L87" s="523" t="s">
        <v>802</v>
      </c>
      <c r="M87" s="518" t="s">
        <v>37</v>
      </c>
      <c r="N87" s="497">
        <f>3*7*2</f>
        <v>42</v>
      </c>
    </row>
    <row r="88" spans="1:14" x14ac:dyDescent="0.25">
      <c r="A88" s="702"/>
      <c r="B88" s="706"/>
      <c r="C88" s="523" t="s">
        <v>808</v>
      </c>
      <c r="D88" s="524" t="s">
        <v>37</v>
      </c>
      <c r="E88" s="507">
        <f>3*1*2</f>
        <v>6</v>
      </c>
      <c r="F88" s="709"/>
      <c r="G88" s="712"/>
      <c r="H88" s="712"/>
      <c r="I88" s="714"/>
      <c r="J88" s="716"/>
      <c r="L88" s="523" t="s">
        <v>808</v>
      </c>
      <c r="M88" s="524" t="s">
        <v>37</v>
      </c>
      <c r="N88" s="507">
        <v>18</v>
      </c>
    </row>
    <row r="89" spans="1:14" x14ac:dyDescent="0.25">
      <c r="A89" s="702"/>
      <c r="B89" s="706"/>
      <c r="C89" s="528" t="s">
        <v>811</v>
      </c>
      <c r="D89" s="524" t="s">
        <v>37</v>
      </c>
      <c r="E89" s="507">
        <f>3*2*2</f>
        <v>12</v>
      </c>
      <c r="F89" s="709"/>
      <c r="G89" s="712"/>
      <c r="H89" s="712"/>
      <c r="I89" s="714"/>
      <c r="J89" s="716"/>
      <c r="L89" s="528" t="s">
        <v>811</v>
      </c>
      <c r="M89" s="524" t="s">
        <v>37</v>
      </c>
      <c r="N89" s="507">
        <v>6</v>
      </c>
    </row>
    <row r="90" spans="1:14" x14ac:dyDescent="0.25">
      <c r="A90" s="703"/>
      <c r="B90" s="706"/>
      <c r="C90" s="528" t="s">
        <v>812</v>
      </c>
      <c r="D90" s="524" t="s">
        <v>37</v>
      </c>
      <c r="E90" s="638">
        <v>15</v>
      </c>
      <c r="F90" s="709"/>
      <c r="G90" s="712"/>
      <c r="H90" s="712"/>
      <c r="I90" s="714"/>
      <c r="J90" s="716"/>
      <c r="L90" s="528" t="s">
        <v>812</v>
      </c>
      <c r="M90" s="524" t="s">
        <v>37</v>
      </c>
      <c r="N90" s="638">
        <v>15</v>
      </c>
    </row>
    <row r="91" spans="1:14" x14ac:dyDescent="0.25">
      <c r="A91" s="703"/>
      <c r="B91" s="706"/>
      <c r="C91" s="528" t="s">
        <v>837</v>
      </c>
      <c r="D91" s="524" t="s">
        <v>37</v>
      </c>
      <c r="E91" s="638">
        <v>15</v>
      </c>
      <c r="F91" s="709"/>
      <c r="G91" s="712"/>
      <c r="H91" s="712"/>
      <c r="I91" s="714"/>
      <c r="J91" s="716"/>
      <c r="L91" s="528" t="s">
        <v>837</v>
      </c>
      <c r="M91" s="524" t="s">
        <v>37</v>
      </c>
      <c r="N91" s="638">
        <v>15</v>
      </c>
    </row>
    <row r="92" spans="1:14" ht="15.75" thickBot="1" x14ac:dyDescent="0.3">
      <c r="A92" s="704"/>
      <c r="B92" s="707"/>
      <c r="C92" s="609" t="s">
        <v>838</v>
      </c>
      <c r="D92" s="534" t="s">
        <v>37</v>
      </c>
      <c r="E92" s="515">
        <v>12.5</v>
      </c>
      <c r="F92" s="710"/>
      <c r="G92" s="712"/>
      <c r="H92" s="712"/>
      <c r="I92" s="714"/>
      <c r="J92" s="716"/>
      <c r="L92" s="609" t="s">
        <v>838</v>
      </c>
      <c r="M92" s="534" t="s">
        <v>37</v>
      </c>
      <c r="N92" s="515">
        <v>12.5</v>
      </c>
    </row>
    <row r="93" spans="1:14" ht="25.5" x14ac:dyDescent="0.25">
      <c r="A93" s="701">
        <v>25</v>
      </c>
      <c r="B93" s="705" t="s">
        <v>804</v>
      </c>
      <c r="C93" s="528" t="s">
        <v>802</v>
      </c>
      <c r="D93" s="518" t="s">
        <v>37</v>
      </c>
      <c r="E93" s="497">
        <v>40</v>
      </c>
      <c r="F93" s="708">
        <f>SUM(E93:E97)</f>
        <v>320</v>
      </c>
      <c r="G93" s="649" t="s">
        <v>832</v>
      </c>
      <c r="H93" s="658">
        <f>+F93/(5.6)</f>
        <v>57.142857142857146</v>
      </c>
      <c r="I93" s="652">
        <v>10</v>
      </c>
      <c r="J93" s="655"/>
      <c r="L93" s="64"/>
      <c r="M93" s="64"/>
      <c r="N93" s="64"/>
    </row>
    <row r="94" spans="1:14" ht="25.5" x14ac:dyDescent="0.25">
      <c r="A94" s="702"/>
      <c r="B94" s="706"/>
      <c r="C94" s="523" t="s">
        <v>805</v>
      </c>
      <c r="D94" s="524" t="s">
        <v>37</v>
      </c>
      <c r="E94" s="507">
        <f>3*30</f>
        <v>90</v>
      </c>
      <c r="F94" s="709"/>
      <c r="G94" s="650" t="s">
        <v>833</v>
      </c>
      <c r="H94" s="659">
        <f>+F93/(3.1)</f>
        <v>103.2258064516129</v>
      </c>
      <c r="I94" s="653">
        <v>10</v>
      </c>
      <c r="J94" s="656"/>
      <c r="M94" s="64"/>
    </row>
    <row r="95" spans="1:14" ht="25.5" x14ac:dyDescent="0.25">
      <c r="A95" s="702"/>
      <c r="B95" s="706"/>
      <c r="C95" s="528" t="s">
        <v>806</v>
      </c>
      <c r="D95" s="524" t="s">
        <v>37</v>
      </c>
      <c r="E95" s="507">
        <f>3*30</f>
        <v>90</v>
      </c>
      <c r="F95" s="709"/>
      <c r="G95" s="650" t="s">
        <v>829</v>
      </c>
      <c r="H95" s="659">
        <f>+F93/23</f>
        <v>13.913043478260869</v>
      </c>
      <c r="I95" s="653">
        <v>3</v>
      </c>
      <c r="J95" s="656"/>
      <c r="M95" s="64"/>
    </row>
    <row r="96" spans="1:14" ht="25.5" x14ac:dyDescent="0.25">
      <c r="A96" s="703"/>
      <c r="B96" s="706"/>
      <c r="C96" s="647"/>
      <c r="D96" s="648"/>
      <c r="E96" s="638"/>
      <c r="F96" s="709"/>
      <c r="G96" s="650" t="s">
        <v>830</v>
      </c>
      <c r="H96" s="659">
        <f>+F93/20</f>
        <v>16</v>
      </c>
      <c r="I96" s="653">
        <v>3</v>
      </c>
      <c r="J96" s="656"/>
      <c r="M96" s="64"/>
    </row>
    <row r="97" spans="1:14" ht="26.25" thickBot="1" x14ac:dyDescent="0.3">
      <c r="A97" s="704"/>
      <c r="B97" s="707"/>
      <c r="C97" s="609" t="s">
        <v>807</v>
      </c>
      <c r="D97" s="534" t="s">
        <v>828</v>
      </c>
      <c r="E97" s="515">
        <v>100</v>
      </c>
      <c r="F97" s="710"/>
      <c r="G97" s="651" t="s">
        <v>831</v>
      </c>
      <c r="H97" s="660">
        <f>+F93/9</f>
        <v>35.555555555555557</v>
      </c>
      <c r="I97" s="654">
        <v>3</v>
      </c>
      <c r="J97" s="657"/>
      <c r="M97" s="64"/>
    </row>
    <row r="98" spans="1:14" ht="25.5" x14ac:dyDescent="0.25">
      <c r="A98" s="701">
        <v>26</v>
      </c>
      <c r="B98" s="705" t="s">
        <v>834</v>
      </c>
      <c r="C98" s="528" t="s">
        <v>802</v>
      </c>
      <c r="D98" s="518" t="s">
        <v>37</v>
      </c>
      <c r="E98" s="497">
        <v>40</v>
      </c>
      <c r="F98" s="708">
        <f>SUM(E98:E102)</f>
        <v>130</v>
      </c>
      <c r="G98" s="649" t="s">
        <v>832</v>
      </c>
      <c r="H98" s="658">
        <f>+F98/(0.5)</f>
        <v>260</v>
      </c>
      <c r="I98" s="652">
        <v>30</v>
      </c>
      <c r="J98" s="655"/>
      <c r="L98" s="64"/>
      <c r="M98" s="64"/>
      <c r="N98" s="64"/>
    </row>
    <row r="99" spans="1:14" ht="25.5" x14ac:dyDescent="0.25">
      <c r="A99" s="702"/>
      <c r="B99" s="706"/>
      <c r="C99" s="523" t="s">
        <v>805</v>
      </c>
      <c r="D99" s="524" t="s">
        <v>37</v>
      </c>
      <c r="E99" s="507">
        <f>3*30</f>
        <v>90</v>
      </c>
      <c r="F99" s="709"/>
      <c r="G99" s="650" t="s">
        <v>833</v>
      </c>
      <c r="H99" s="659">
        <f>+F98/(0.3)</f>
        <v>433.33333333333337</v>
      </c>
      <c r="I99" s="653">
        <v>30</v>
      </c>
      <c r="J99" s="656"/>
      <c r="M99" s="64"/>
    </row>
    <row r="100" spans="1:14" ht="25.5" x14ac:dyDescent="0.25">
      <c r="A100" s="702"/>
      <c r="B100" s="706"/>
      <c r="C100" s="528"/>
      <c r="D100" s="524"/>
      <c r="E100" s="507"/>
      <c r="F100" s="709"/>
      <c r="G100" s="650" t="s">
        <v>829</v>
      </c>
      <c r="H100" s="659">
        <f>+F98/(2)</f>
        <v>65</v>
      </c>
      <c r="I100" s="653">
        <v>15</v>
      </c>
      <c r="J100" s="656"/>
      <c r="M100" s="64"/>
    </row>
    <row r="101" spans="1:14" ht="25.5" x14ac:dyDescent="0.25">
      <c r="A101" s="703"/>
      <c r="B101" s="706"/>
      <c r="C101" s="647"/>
      <c r="D101" s="648"/>
      <c r="E101" s="638"/>
      <c r="F101" s="709"/>
      <c r="G101" s="650" t="s">
        <v>830</v>
      </c>
      <c r="H101" s="659">
        <f>+F98/1.5</f>
        <v>86.666666666666671</v>
      </c>
      <c r="I101" s="653">
        <v>15</v>
      </c>
      <c r="J101" s="656"/>
      <c r="M101" s="64"/>
    </row>
    <row r="102" spans="1:14" ht="26.25" thickBot="1" x14ac:dyDescent="0.3">
      <c r="A102" s="704"/>
      <c r="B102" s="707"/>
      <c r="C102" s="609"/>
      <c r="D102" s="534"/>
      <c r="E102" s="515"/>
      <c r="F102" s="710"/>
      <c r="G102" s="651" t="s">
        <v>831</v>
      </c>
      <c r="H102" s="660">
        <f>+F98/(1)</f>
        <v>130</v>
      </c>
      <c r="I102" s="654">
        <v>17</v>
      </c>
      <c r="J102" s="657"/>
      <c r="M102" s="64"/>
    </row>
    <row r="103" spans="1:14" ht="25.5" x14ac:dyDescent="0.25">
      <c r="A103" s="701">
        <v>27</v>
      </c>
      <c r="B103" s="705" t="s">
        <v>835</v>
      </c>
      <c r="C103" s="528" t="s">
        <v>836</v>
      </c>
      <c r="D103" s="518" t="s">
        <v>37</v>
      </c>
      <c r="E103" s="497">
        <v>15</v>
      </c>
      <c r="F103" s="708">
        <f>SUM(E103:E107)</f>
        <v>15</v>
      </c>
      <c r="G103" s="649" t="s">
        <v>832</v>
      </c>
      <c r="H103" s="658">
        <f>+F103/(0.5)</f>
        <v>30</v>
      </c>
      <c r="I103" s="652">
        <v>30</v>
      </c>
      <c r="J103" s="655"/>
      <c r="L103" s="64"/>
      <c r="M103" s="64"/>
      <c r="N103" s="64"/>
    </row>
    <row r="104" spans="1:14" ht="25.5" x14ac:dyDescent="0.25">
      <c r="A104" s="702"/>
      <c r="B104" s="706"/>
      <c r="C104" s="523"/>
      <c r="D104" s="524"/>
      <c r="E104" s="507"/>
      <c r="F104" s="709"/>
      <c r="G104" s="650" t="s">
        <v>833</v>
      </c>
      <c r="H104" s="659">
        <f>+F103/(0.3)</f>
        <v>50</v>
      </c>
      <c r="I104" s="653">
        <v>30</v>
      </c>
      <c r="J104" s="656"/>
      <c r="M104" s="64"/>
    </row>
    <row r="105" spans="1:14" ht="25.5" x14ac:dyDescent="0.25">
      <c r="A105" s="702"/>
      <c r="B105" s="706"/>
      <c r="C105" s="528"/>
      <c r="D105" s="524"/>
      <c r="E105" s="507"/>
      <c r="F105" s="709"/>
      <c r="G105" s="650" t="s">
        <v>829</v>
      </c>
      <c r="H105" s="659">
        <f>+F103/(2.3)</f>
        <v>6.5217391304347831</v>
      </c>
      <c r="I105" s="653">
        <v>15</v>
      </c>
      <c r="J105" s="656"/>
      <c r="M105" s="64"/>
    </row>
    <row r="106" spans="1:14" ht="25.5" x14ac:dyDescent="0.25">
      <c r="A106" s="703"/>
      <c r="B106" s="706"/>
      <c r="C106" s="647"/>
      <c r="D106" s="648"/>
      <c r="E106" s="638"/>
      <c r="F106" s="709"/>
      <c r="G106" s="650" t="s">
        <v>830</v>
      </c>
      <c r="H106" s="659">
        <f>+F103/2</f>
        <v>7.5</v>
      </c>
      <c r="I106" s="653">
        <v>15</v>
      </c>
      <c r="J106" s="656"/>
      <c r="M106" s="64"/>
    </row>
    <row r="107" spans="1:14" ht="26.25" thickBot="1" x14ac:dyDescent="0.3">
      <c r="A107" s="704"/>
      <c r="B107" s="707"/>
      <c r="C107" s="609"/>
      <c r="D107" s="534"/>
      <c r="E107" s="515"/>
      <c r="F107" s="710"/>
      <c r="G107" s="651" t="s">
        <v>831</v>
      </c>
      <c r="H107" s="660">
        <f>+F103/(1.2)</f>
        <v>12.5</v>
      </c>
      <c r="I107" s="654">
        <v>17</v>
      </c>
      <c r="J107" s="657"/>
      <c r="M107" s="64"/>
    </row>
    <row r="109" spans="1:14" x14ac:dyDescent="0.25">
      <c r="A109" s="610"/>
      <c r="B109" s="675"/>
      <c r="C109" s="400"/>
      <c r="D109" s="611"/>
      <c r="E109" s="679"/>
      <c r="F109" s="665"/>
      <c r="G109" s="614"/>
      <c r="H109" s="615"/>
      <c r="I109" s="616"/>
      <c r="J109" s="617"/>
      <c r="M109" s="64"/>
    </row>
    <row r="110" spans="1:14" x14ac:dyDescent="0.25">
      <c r="A110" s="610"/>
      <c r="B110" s="675"/>
      <c r="C110" s="400"/>
      <c r="D110" s="611"/>
      <c r="E110" s="679"/>
      <c r="F110" s="665"/>
      <c r="G110" s="614"/>
      <c r="H110" s="615"/>
      <c r="I110" s="616"/>
      <c r="J110" s="617"/>
      <c r="M110" s="64"/>
    </row>
    <row r="111" spans="1:14" x14ac:dyDescent="0.25">
      <c r="A111" s="610"/>
      <c r="B111" s="675"/>
      <c r="C111" s="400"/>
      <c r="D111" s="611"/>
      <c r="E111" s="679"/>
      <c r="F111" s="665"/>
      <c r="G111" s="614"/>
      <c r="H111" s="615"/>
      <c r="I111" s="616"/>
      <c r="J111" s="617"/>
      <c r="M111" s="64"/>
    </row>
    <row r="112" spans="1:14" x14ac:dyDescent="0.25">
      <c r="A112" s="610"/>
      <c r="B112" s="675"/>
      <c r="C112" s="400"/>
      <c r="D112" s="611"/>
      <c r="E112" s="679"/>
      <c r="F112" s="665"/>
      <c r="G112" s="614"/>
      <c r="H112" s="615"/>
      <c r="I112" s="616"/>
      <c r="J112" s="617"/>
      <c r="M112" s="64"/>
    </row>
    <row r="113" spans="1:13" x14ac:dyDescent="0.25">
      <c r="A113" s="610"/>
      <c r="B113" s="675"/>
      <c r="C113" s="400"/>
      <c r="D113" s="611"/>
      <c r="E113" s="679"/>
      <c r="F113" s="665"/>
      <c r="G113" s="614"/>
      <c r="H113" s="615"/>
      <c r="I113" s="616"/>
      <c r="J113" s="617"/>
      <c r="M113" s="64"/>
    </row>
    <row r="114" spans="1:13" x14ac:dyDescent="0.25">
      <c r="A114" s="610"/>
      <c r="B114" s="675"/>
      <c r="C114" s="400"/>
      <c r="D114" s="611"/>
      <c r="E114" s="679"/>
      <c r="F114" s="665"/>
      <c r="G114" s="614"/>
      <c r="H114" s="615"/>
      <c r="I114" s="616"/>
      <c r="J114" s="617"/>
      <c r="M114" s="64"/>
    </row>
    <row r="115" spans="1:13" x14ac:dyDescent="0.25">
      <c r="A115" s="610"/>
      <c r="B115" s="675"/>
      <c r="C115" s="400"/>
      <c r="D115" s="611"/>
      <c r="E115" s="679"/>
      <c r="F115" s="665"/>
      <c r="G115" s="614"/>
      <c r="H115" s="615"/>
      <c r="I115" s="616"/>
      <c r="J115" s="617"/>
      <c r="M115" s="64"/>
    </row>
    <row r="116" spans="1:13" x14ac:dyDescent="0.25">
      <c r="A116" s="610"/>
      <c r="B116" s="675"/>
      <c r="C116" s="400"/>
      <c r="D116" s="611"/>
      <c r="E116" s="679"/>
      <c r="F116" s="665"/>
      <c r="G116" s="614"/>
      <c r="H116" s="615"/>
      <c r="I116" s="616"/>
      <c r="J116" s="617"/>
      <c r="M116" s="64"/>
    </row>
    <row r="117" spans="1:13" x14ac:dyDescent="0.25">
      <c r="A117" s="610"/>
      <c r="B117" s="675"/>
      <c r="C117" s="400"/>
      <c r="D117" s="611"/>
      <c r="E117" s="679"/>
      <c r="F117" s="665"/>
      <c r="G117" s="614"/>
      <c r="H117" s="615"/>
      <c r="I117" s="616"/>
      <c r="J117" s="617"/>
      <c r="M117" s="64"/>
    </row>
    <row r="118" spans="1:13" x14ac:dyDescent="0.25">
      <c r="A118" s="610"/>
      <c r="B118" s="675"/>
      <c r="C118" s="400"/>
      <c r="D118" s="611"/>
      <c r="E118" s="679"/>
      <c r="F118" s="665"/>
      <c r="G118" s="614"/>
      <c r="H118" s="615"/>
      <c r="I118" s="616"/>
      <c r="J118" s="617"/>
      <c r="M118" s="64"/>
    </row>
    <row r="123" spans="1:13" ht="15.75" thickBot="1" x14ac:dyDescent="0.3"/>
    <row r="124" spans="1:13" ht="15.75" thickBot="1" x14ac:dyDescent="0.3">
      <c r="B124" s="699" t="s">
        <v>773</v>
      </c>
      <c r="C124" s="700"/>
    </row>
    <row r="125" spans="1:13" s="13" customFormat="1" ht="15.75" thickBot="1" x14ac:dyDescent="0.3">
      <c r="A125" s="12"/>
      <c r="B125" s="618" t="s">
        <v>774</v>
      </c>
      <c r="C125" s="619" t="s">
        <v>775</v>
      </c>
      <c r="D125" s="12"/>
      <c r="E125" s="13" t="s">
        <v>776</v>
      </c>
      <c r="G125" t="s">
        <v>777</v>
      </c>
      <c r="J125"/>
    </row>
    <row r="126" spans="1:13" s="13" customFormat="1" x14ac:dyDescent="0.25">
      <c r="A126" s="12"/>
      <c r="B126" s="581">
        <v>280</v>
      </c>
      <c r="C126" s="620" t="s">
        <v>778</v>
      </c>
      <c r="D126" s="12"/>
      <c r="E126" s="13">
        <v>18</v>
      </c>
      <c r="G126">
        <f>+E126*2</f>
        <v>36</v>
      </c>
      <c r="J126"/>
    </row>
    <row r="127" spans="1:13" s="13" customFormat="1" x14ac:dyDescent="0.25">
      <c r="A127" s="12"/>
      <c r="B127" s="531">
        <v>249</v>
      </c>
      <c r="C127" s="621" t="s">
        <v>779</v>
      </c>
      <c r="D127" s="12"/>
      <c r="E127" s="13">
        <v>15</v>
      </c>
      <c r="G127">
        <f>+E127*2</f>
        <v>30</v>
      </c>
      <c r="J127"/>
    </row>
    <row r="128" spans="1:13" s="13" customFormat="1" x14ac:dyDescent="0.25">
      <c r="A128" s="12"/>
      <c r="B128" s="531">
        <v>226</v>
      </c>
      <c r="C128" s="621" t="s">
        <v>780</v>
      </c>
      <c r="D128" s="12"/>
      <c r="E128" s="13">
        <v>15</v>
      </c>
      <c r="G128">
        <f>+E128*2</f>
        <v>30</v>
      </c>
      <c r="J128"/>
    </row>
    <row r="129" spans="1:10" s="13" customFormat="1" x14ac:dyDescent="0.25">
      <c r="A129" s="12"/>
      <c r="B129" s="531">
        <v>210</v>
      </c>
      <c r="C129" s="621" t="s">
        <v>781</v>
      </c>
      <c r="D129" s="12"/>
      <c r="E129" s="13">
        <v>15</v>
      </c>
      <c r="G129">
        <f>+E129*2</f>
        <v>30</v>
      </c>
      <c r="J129"/>
    </row>
    <row r="130" spans="1:10" s="13" customFormat="1" x14ac:dyDescent="0.25">
      <c r="A130" s="12"/>
      <c r="B130" s="531">
        <v>200</v>
      </c>
      <c r="C130" s="621" t="s">
        <v>782</v>
      </c>
      <c r="D130" s="12"/>
      <c r="E130" s="13">
        <v>15</v>
      </c>
      <c r="G130">
        <f>+E130*2</f>
        <v>30</v>
      </c>
      <c r="J130"/>
    </row>
    <row r="131" spans="1:10" s="13" customFormat="1" x14ac:dyDescent="0.25">
      <c r="A131" s="12"/>
      <c r="B131" s="531">
        <v>189</v>
      </c>
      <c r="C131" s="621" t="s">
        <v>783</v>
      </c>
      <c r="D131" s="12"/>
      <c r="E131" s="13">
        <v>15</v>
      </c>
      <c r="G131">
        <f>+E131*2.5</f>
        <v>37.5</v>
      </c>
      <c r="J131"/>
    </row>
    <row r="132" spans="1:10" s="13" customFormat="1" x14ac:dyDescent="0.25">
      <c r="A132" s="12"/>
      <c r="B132" s="531">
        <v>179</v>
      </c>
      <c r="C132" s="621" t="s">
        <v>784</v>
      </c>
      <c r="D132" s="12"/>
      <c r="E132" s="13">
        <v>15</v>
      </c>
      <c r="G132">
        <f>+E132*2.5</f>
        <v>37.5</v>
      </c>
      <c r="J132"/>
    </row>
    <row r="133" spans="1:10" s="13" customFormat="1" x14ac:dyDescent="0.25">
      <c r="A133" s="12"/>
      <c r="B133" s="531">
        <v>168</v>
      </c>
      <c r="C133" s="621" t="s">
        <v>785</v>
      </c>
      <c r="D133" s="12"/>
      <c r="E133" s="13">
        <v>15</v>
      </c>
      <c r="G133">
        <f>+E133*3</f>
        <v>45</v>
      </c>
      <c r="J133"/>
    </row>
    <row r="134" spans="1:10" s="13" customFormat="1" x14ac:dyDescent="0.25">
      <c r="A134" s="12"/>
      <c r="B134" s="531">
        <v>159</v>
      </c>
      <c r="C134" s="621" t="s">
        <v>786</v>
      </c>
      <c r="D134" s="12"/>
      <c r="E134" s="13">
        <v>15</v>
      </c>
      <c r="G134">
        <f>+E134*3</f>
        <v>45</v>
      </c>
      <c r="J134"/>
    </row>
    <row r="135" spans="1:10" s="13" customFormat="1" x14ac:dyDescent="0.25">
      <c r="A135" s="12"/>
      <c r="B135" s="531">
        <v>140</v>
      </c>
      <c r="C135" s="621" t="s">
        <v>787</v>
      </c>
      <c r="D135" s="12"/>
      <c r="E135" s="13">
        <v>15</v>
      </c>
      <c r="G135">
        <f>+E135*3</f>
        <v>45</v>
      </c>
      <c r="J135"/>
    </row>
    <row r="136" spans="1:10" s="13" customFormat="1" x14ac:dyDescent="0.25">
      <c r="A136" s="12"/>
      <c r="B136" s="531">
        <v>119</v>
      </c>
      <c r="C136" s="621" t="s">
        <v>788</v>
      </c>
      <c r="D136" s="12"/>
      <c r="E136" s="13">
        <v>15</v>
      </c>
      <c r="G136">
        <f>+E136*3</f>
        <v>45</v>
      </c>
      <c r="J136"/>
    </row>
    <row r="137" spans="1:10" s="13" customFormat="1" x14ac:dyDescent="0.25">
      <c r="A137" s="12"/>
      <c r="B137" s="531">
        <v>109</v>
      </c>
      <c r="C137" s="621" t="s">
        <v>789</v>
      </c>
      <c r="D137" s="12"/>
      <c r="E137" s="13">
        <v>15</v>
      </c>
      <c r="G137">
        <f>+E137*4</f>
        <v>60</v>
      </c>
      <c r="J137"/>
    </row>
    <row r="138" spans="1:10" s="13" customFormat="1" ht="15.75" thickBot="1" x14ac:dyDescent="0.3">
      <c r="A138" s="12"/>
      <c r="B138" s="579">
        <v>99</v>
      </c>
      <c r="C138" s="622" t="s">
        <v>790</v>
      </c>
      <c r="D138" s="12"/>
      <c r="E138" s="13">
        <v>15</v>
      </c>
      <c r="G138">
        <f>+E138*4</f>
        <v>60</v>
      </c>
      <c r="J138"/>
    </row>
    <row r="140" spans="1:10" s="13" customFormat="1" ht="15.75" thickBot="1" x14ac:dyDescent="0.3">
      <c r="A140" s="12"/>
      <c r="B140"/>
      <c r="C140"/>
      <c r="D140" s="12"/>
      <c r="E140" s="12"/>
      <c r="F140" s="12"/>
      <c r="J140"/>
    </row>
    <row r="141" spans="1:10" s="13" customFormat="1" ht="15.75" thickBot="1" x14ac:dyDescent="0.3">
      <c r="A141" s="12"/>
      <c r="B141" s="699" t="s">
        <v>791</v>
      </c>
      <c r="C141" s="700"/>
      <c r="D141" s="12"/>
      <c r="E141" s="12"/>
      <c r="F141" s="12"/>
      <c r="J141"/>
    </row>
    <row r="142" spans="1:10" s="13" customFormat="1" ht="15.75" thickBot="1" x14ac:dyDescent="0.3">
      <c r="A142" s="12"/>
      <c r="B142" s="623" t="s">
        <v>774</v>
      </c>
      <c r="C142" s="624" t="s">
        <v>792</v>
      </c>
      <c r="D142" s="12"/>
      <c r="E142" s="12" t="s">
        <v>776</v>
      </c>
      <c r="F142" s="12"/>
      <c r="G142" s="13" t="s">
        <v>777</v>
      </c>
      <c r="J142"/>
    </row>
    <row r="143" spans="1:10" s="13" customFormat="1" x14ac:dyDescent="0.25">
      <c r="A143" s="12"/>
      <c r="B143" s="625">
        <v>310</v>
      </c>
      <c r="C143" s="626" t="s">
        <v>793</v>
      </c>
      <c r="D143" s="12"/>
      <c r="E143" s="12">
        <v>23</v>
      </c>
      <c r="F143" s="12"/>
      <c r="G143" s="13">
        <f>+E143*2</f>
        <v>46</v>
      </c>
      <c r="J143"/>
    </row>
    <row r="144" spans="1:10" s="13" customFormat="1" x14ac:dyDescent="0.25">
      <c r="A144" s="12"/>
      <c r="B144" s="531">
        <v>280</v>
      </c>
      <c r="C144" s="627" t="s">
        <v>794</v>
      </c>
      <c r="D144" s="12"/>
      <c r="E144" s="12">
        <v>25</v>
      </c>
      <c r="F144" s="12"/>
      <c r="G144" s="13">
        <f>+E144*3</f>
        <v>75</v>
      </c>
      <c r="J144"/>
    </row>
    <row r="145" spans="1:10" s="13" customFormat="1" x14ac:dyDescent="0.25">
      <c r="A145" s="12"/>
      <c r="B145" s="531">
        <v>240</v>
      </c>
      <c r="C145" s="627" t="s">
        <v>795</v>
      </c>
      <c r="D145" s="12"/>
      <c r="E145" s="12">
        <v>15</v>
      </c>
      <c r="F145" s="12"/>
      <c r="G145" s="13">
        <f>+E145*4</f>
        <v>60</v>
      </c>
      <c r="I145" s="13">
        <v>25</v>
      </c>
      <c r="J145"/>
    </row>
    <row r="146" spans="1:10" s="13" customFormat="1" x14ac:dyDescent="0.25">
      <c r="A146" s="12"/>
      <c r="B146" s="531">
        <v>200</v>
      </c>
      <c r="C146" s="627" t="s">
        <v>796</v>
      </c>
      <c r="D146" s="12"/>
      <c r="E146" s="12">
        <v>15</v>
      </c>
      <c r="F146" s="12"/>
      <c r="G146" s="13">
        <f>+E146*5</f>
        <v>75</v>
      </c>
      <c r="I146" s="13">
        <f>10+40+20</f>
        <v>70</v>
      </c>
      <c r="J146"/>
    </row>
    <row r="147" spans="1:10" s="13" customFormat="1" x14ac:dyDescent="0.25">
      <c r="A147" s="12"/>
      <c r="B147" s="531">
        <v>160</v>
      </c>
      <c r="C147" s="627" t="s">
        <v>797</v>
      </c>
      <c r="D147" s="12"/>
      <c r="E147" s="12">
        <v>15</v>
      </c>
      <c r="F147" s="12"/>
      <c r="G147" s="13">
        <f>+E147*6</f>
        <v>90</v>
      </c>
      <c r="I147" s="13">
        <f>+I146/I145</f>
        <v>2.8</v>
      </c>
      <c r="J147"/>
    </row>
    <row r="148" spans="1:10" s="13" customFormat="1" ht="15.75" thickBot="1" x14ac:dyDescent="0.3">
      <c r="A148" s="12"/>
      <c r="B148" s="579">
        <v>120</v>
      </c>
      <c r="C148" s="628" t="s">
        <v>798</v>
      </c>
      <c r="D148" s="12"/>
      <c r="E148" s="12">
        <v>15</v>
      </c>
      <c r="F148" s="12"/>
      <c r="G148" s="13">
        <f>+E148*7</f>
        <v>105</v>
      </c>
      <c r="I148" s="13">
        <f>10/I145</f>
        <v>0.4</v>
      </c>
      <c r="J148"/>
    </row>
  </sheetData>
  <mergeCells count="96">
    <mergeCell ref="A9:A13"/>
    <mergeCell ref="B9:B13"/>
    <mergeCell ref="F9:F13"/>
    <mergeCell ref="D5:E5"/>
    <mergeCell ref="I5:J5"/>
    <mergeCell ref="G6:H6"/>
    <mergeCell ref="G7:H7"/>
    <mergeCell ref="G8:H8"/>
    <mergeCell ref="A14:A21"/>
    <mergeCell ref="B14:B21"/>
    <mergeCell ref="F14:F21"/>
    <mergeCell ref="A22:A28"/>
    <mergeCell ref="B22:B28"/>
    <mergeCell ref="F22:F28"/>
    <mergeCell ref="A36:A42"/>
    <mergeCell ref="B36:B42"/>
    <mergeCell ref="F36:F42"/>
    <mergeCell ref="I36:I42"/>
    <mergeCell ref="J36:J42"/>
    <mergeCell ref="A29:A35"/>
    <mergeCell ref="B29:B35"/>
    <mergeCell ref="F29:F35"/>
    <mergeCell ref="I29:I35"/>
    <mergeCell ref="J29:J35"/>
    <mergeCell ref="J52:J54"/>
    <mergeCell ref="B53:B54"/>
    <mergeCell ref="A43:A45"/>
    <mergeCell ref="B43:B45"/>
    <mergeCell ref="F43:F45"/>
    <mergeCell ref="I43:I45"/>
    <mergeCell ref="J43:J45"/>
    <mergeCell ref="A46:A49"/>
    <mergeCell ref="B46:B49"/>
    <mergeCell ref="F46:F49"/>
    <mergeCell ref="I46:I49"/>
    <mergeCell ref="J46:J49"/>
    <mergeCell ref="A52:A54"/>
    <mergeCell ref="F52:F54"/>
    <mergeCell ref="G52:G54"/>
    <mergeCell ref="H52:H54"/>
    <mergeCell ref="I52:I54"/>
    <mergeCell ref="A55:A57"/>
    <mergeCell ref="B55:B57"/>
    <mergeCell ref="F55:F57"/>
    <mergeCell ref="I55:I57"/>
    <mergeCell ref="J55:J57"/>
    <mergeCell ref="I60:I61"/>
    <mergeCell ref="J60:J61"/>
    <mergeCell ref="A63:A65"/>
    <mergeCell ref="B63:B65"/>
    <mergeCell ref="F63:F65"/>
    <mergeCell ref="G63:G65"/>
    <mergeCell ref="I63:I65"/>
    <mergeCell ref="J63:J65"/>
    <mergeCell ref="A60:A61"/>
    <mergeCell ref="B60:B61"/>
    <mergeCell ref="F60:F61"/>
    <mergeCell ref="G60:G61"/>
    <mergeCell ref="H60:H61"/>
    <mergeCell ref="A66:A72"/>
    <mergeCell ref="B66:B72"/>
    <mergeCell ref="F66:F72"/>
    <mergeCell ref="I66:I72"/>
    <mergeCell ref="J66:J72"/>
    <mergeCell ref="G68:G69"/>
    <mergeCell ref="A76:A78"/>
    <mergeCell ref="B76:B78"/>
    <mergeCell ref="F76:F78"/>
    <mergeCell ref="I76:I78"/>
    <mergeCell ref="J76:J78"/>
    <mergeCell ref="A73:A75"/>
    <mergeCell ref="B73:B75"/>
    <mergeCell ref="F73:F75"/>
    <mergeCell ref="I73:I75"/>
    <mergeCell ref="J73:J75"/>
    <mergeCell ref="A79:A86"/>
    <mergeCell ref="B79:B86"/>
    <mergeCell ref="F79:F86"/>
    <mergeCell ref="A87:A92"/>
    <mergeCell ref="B87:B92"/>
    <mergeCell ref="F87:F92"/>
    <mergeCell ref="G87:G92"/>
    <mergeCell ref="H87:H92"/>
    <mergeCell ref="I87:I92"/>
    <mergeCell ref="J87:J92"/>
    <mergeCell ref="A93:A97"/>
    <mergeCell ref="B93:B97"/>
    <mergeCell ref="F93:F97"/>
    <mergeCell ref="B124:C124"/>
    <mergeCell ref="B141:C141"/>
    <mergeCell ref="A98:A102"/>
    <mergeCell ref="B98:B102"/>
    <mergeCell ref="F98:F102"/>
    <mergeCell ref="A103:A107"/>
    <mergeCell ref="B103:B107"/>
    <mergeCell ref="F103:F107"/>
  </mergeCells>
  <printOptions horizontalCentered="1"/>
  <pageMargins left="0" right="0" top="0" bottom="0" header="0" footer="0"/>
  <pageSetup scale="5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94"/>
  <sheetViews>
    <sheetView showGridLines="0" workbookViewId="0">
      <pane xSplit="4" ySplit="5" topLeftCell="E72" activePane="bottomRight" state="frozen"/>
      <selection pane="topRight" activeCell="F1" sqref="F1"/>
      <selection pane="bottomLeft" activeCell="A6" sqref="A6"/>
      <selection pane="bottomRight" activeCell="E87" sqref="E87"/>
    </sheetView>
  </sheetViews>
  <sheetFormatPr baseColWidth="10" defaultRowHeight="15" x14ac:dyDescent="0.25"/>
  <cols>
    <col min="1" max="1" width="4.7109375" customWidth="1"/>
    <col min="2" max="2" width="19.140625" customWidth="1"/>
    <col min="3" max="3" width="55.7109375" customWidth="1"/>
    <col min="4" max="4" width="22.140625" customWidth="1"/>
    <col min="5" max="5" width="20.42578125" customWidth="1"/>
    <col min="7" max="7" width="3.28515625" customWidth="1"/>
    <col min="8" max="8" width="16.85546875" customWidth="1"/>
    <col min="9" max="11" width="11.42578125" customWidth="1"/>
  </cols>
  <sheetData>
    <row r="1" spans="1:5" ht="80.099999999999994" customHeight="1" x14ac:dyDescent="0.25">
      <c r="A1" s="8"/>
      <c r="B1" s="8"/>
      <c r="C1" s="8"/>
      <c r="D1" s="8"/>
      <c r="E1" s="8"/>
    </row>
    <row r="2" spans="1:5" ht="26.25" x14ac:dyDescent="0.25">
      <c r="A2" s="9"/>
      <c r="B2" s="9"/>
      <c r="C2" s="9" t="s">
        <v>340</v>
      </c>
      <c r="D2" s="9"/>
      <c r="E2" s="9"/>
    </row>
    <row r="4" spans="1:5" x14ac:dyDescent="0.25">
      <c r="A4" s="57" t="s">
        <v>470</v>
      </c>
    </row>
    <row r="5" spans="1:5" ht="30" x14ac:dyDescent="0.25">
      <c r="A5" s="11" t="s">
        <v>6</v>
      </c>
      <c r="B5" s="11" t="s">
        <v>41</v>
      </c>
      <c r="C5" s="11" t="s">
        <v>7</v>
      </c>
      <c r="D5" s="11" t="s">
        <v>100</v>
      </c>
      <c r="E5" s="11" t="s">
        <v>0</v>
      </c>
    </row>
    <row r="6" spans="1:5" x14ac:dyDescent="0.25">
      <c r="A6" s="129">
        <v>1</v>
      </c>
      <c r="B6" s="207" t="s">
        <v>471</v>
      </c>
      <c r="C6" s="208" t="s">
        <v>469</v>
      </c>
      <c r="D6" s="207"/>
      <c r="E6" s="207"/>
    </row>
    <row r="7" spans="1:5" x14ac:dyDescent="0.25">
      <c r="A7" s="129">
        <v>2</v>
      </c>
      <c r="B7" s="147" t="s">
        <v>471</v>
      </c>
      <c r="C7" s="148" t="s">
        <v>472</v>
      </c>
      <c r="D7" s="147"/>
      <c r="E7" s="147"/>
    </row>
    <row r="8" spans="1:5" x14ac:dyDescent="0.25">
      <c r="A8" s="129">
        <v>3</v>
      </c>
      <c r="B8" s="158" t="s">
        <v>475</v>
      </c>
      <c r="C8" s="127" t="s">
        <v>473</v>
      </c>
      <c r="D8" s="170" t="s">
        <v>474</v>
      </c>
      <c r="E8" s="145">
        <v>12</v>
      </c>
    </row>
    <row r="9" spans="1:5" x14ac:dyDescent="0.25">
      <c r="A9" s="129">
        <v>4</v>
      </c>
      <c r="B9" s="158" t="s">
        <v>476</v>
      </c>
      <c r="C9" s="3" t="s">
        <v>477</v>
      </c>
      <c r="D9" s="170" t="s">
        <v>101</v>
      </c>
      <c r="E9" s="145">
        <v>1</v>
      </c>
    </row>
    <row r="10" spans="1:5" x14ac:dyDescent="0.25">
      <c r="A10" s="129">
        <v>5</v>
      </c>
      <c r="B10" s="158" t="s">
        <v>479</v>
      </c>
      <c r="C10" s="209" t="s">
        <v>478</v>
      </c>
      <c r="D10" s="171" t="s">
        <v>101</v>
      </c>
      <c r="E10" s="145">
        <v>5</v>
      </c>
    </row>
    <row r="11" spans="1:5" x14ac:dyDescent="0.25">
      <c r="A11" s="129">
        <v>6</v>
      </c>
      <c r="B11" s="158" t="s">
        <v>481</v>
      </c>
      <c r="C11" s="3" t="s">
        <v>322</v>
      </c>
      <c r="D11" s="171" t="s">
        <v>101</v>
      </c>
      <c r="E11" s="145">
        <v>2</v>
      </c>
    </row>
    <row r="12" spans="1:5" x14ac:dyDescent="0.25">
      <c r="A12" s="129">
        <v>7</v>
      </c>
      <c r="B12" s="158" t="s">
        <v>482</v>
      </c>
      <c r="C12" s="3" t="s">
        <v>342</v>
      </c>
      <c r="D12" s="171" t="s">
        <v>101</v>
      </c>
      <c r="E12" s="145">
        <v>2</v>
      </c>
    </row>
    <row r="13" spans="1:5" x14ac:dyDescent="0.25">
      <c r="A13" s="129">
        <v>8</v>
      </c>
      <c r="B13" s="43" t="s">
        <v>483</v>
      </c>
      <c r="C13" s="193" t="s">
        <v>343</v>
      </c>
      <c r="D13" s="171" t="s">
        <v>101</v>
      </c>
      <c r="E13" s="145"/>
    </row>
    <row r="14" spans="1:5" x14ac:dyDescent="0.25">
      <c r="A14" s="129">
        <v>9</v>
      </c>
      <c r="B14" s="43" t="s">
        <v>490</v>
      </c>
      <c r="C14" s="193" t="s">
        <v>491</v>
      </c>
      <c r="D14" s="171" t="s">
        <v>101</v>
      </c>
      <c r="E14" s="146">
        <v>15</v>
      </c>
    </row>
    <row r="15" spans="1:5" ht="14.25" customHeight="1" x14ac:dyDescent="0.25">
      <c r="A15" s="129">
        <v>10</v>
      </c>
      <c r="B15" s="43" t="s">
        <v>484</v>
      </c>
      <c r="C15" s="27" t="s">
        <v>480</v>
      </c>
      <c r="D15" s="171" t="s">
        <v>101</v>
      </c>
      <c r="E15" s="146">
        <v>1</v>
      </c>
    </row>
    <row r="16" spans="1:5" ht="14.25" customHeight="1" x14ac:dyDescent="0.25">
      <c r="A16" s="129">
        <v>11</v>
      </c>
      <c r="B16" s="147" t="s">
        <v>499</v>
      </c>
      <c r="C16" s="128" t="s">
        <v>548</v>
      </c>
      <c r="D16" s="166"/>
      <c r="E16" s="147"/>
    </row>
    <row r="17" spans="1:12" x14ac:dyDescent="0.25">
      <c r="A17" s="129">
        <v>12</v>
      </c>
      <c r="B17" s="43" t="s">
        <v>492</v>
      </c>
      <c r="C17" s="27" t="s">
        <v>323</v>
      </c>
      <c r="D17" s="171" t="s">
        <v>101</v>
      </c>
      <c r="E17" s="145">
        <v>1</v>
      </c>
    </row>
    <row r="18" spans="1:12" x14ac:dyDescent="0.25">
      <c r="A18" s="129">
        <v>13</v>
      </c>
      <c r="B18" s="43" t="s">
        <v>493</v>
      </c>
      <c r="C18" s="27" t="s">
        <v>324</v>
      </c>
      <c r="D18" s="171" t="s">
        <v>101</v>
      </c>
      <c r="E18" s="145">
        <v>1</v>
      </c>
    </row>
    <row r="19" spans="1:12" x14ac:dyDescent="0.25">
      <c r="A19" s="129">
        <v>14</v>
      </c>
      <c r="B19" s="43" t="s">
        <v>494</v>
      </c>
      <c r="C19" s="27" t="s">
        <v>325</v>
      </c>
      <c r="D19" s="171" t="s">
        <v>101</v>
      </c>
      <c r="E19" s="145">
        <v>1</v>
      </c>
    </row>
    <row r="20" spans="1:12" x14ac:dyDescent="0.25">
      <c r="A20" s="129">
        <v>15</v>
      </c>
      <c r="B20" s="43" t="s">
        <v>495</v>
      </c>
      <c r="C20" s="27" t="s">
        <v>326</v>
      </c>
      <c r="D20" s="171" t="s">
        <v>101</v>
      </c>
      <c r="E20" s="145">
        <v>1</v>
      </c>
      <c r="H20" s="130"/>
      <c r="I20" s="133"/>
      <c r="J20" s="197"/>
      <c r="K20" s="133"/>
      <c r="L20" s="132"/>
    </row>
    <row r="21" spans="1:12" x14ac:dyDescent="0.25">
      <c r="A21" s="129">
        <v>16</v>
      </c>
      <c r="B21" s="43" t="s">
        <v>496</v>
      </c>
      <c r="C21" s="27" t="s">
        <v>327</v>
      </c>
      <c r="D21" s="171" t="s">
        <v>101</v>
      </c>
      <c r="E21" s="145">
        <v>1</v>
      </c>
      <c r="H21" s="130"/>
      <c r="I21" s="198"/>
      <c r="J21" s="131"/>
      <c r="K21" s="199"/>
      <c r="L21" s="132"/>
    </row>
    <row r="22" spans="1:12" x14ac:dyDescent="0.25">
      <c r="A22" s="129">
        <v>17</v>
      </c>
      <c r="B22" s="158" t="s">
        <v>485</v>
      </c>
      <c r="C22" s="3" t="s">
        <v>319</v>
      </c>
      <c r="D22" s="171" t="s">
        <v>101</v>
      </c>
      <c r="E22" s="145">
        <v>1</v>
      </c>
      <c r="H22" s="130"/>
      <c r="I22" s="198"/>
      <c r="J22" s="200"/>
      <c r="K22" s="199"/>
      <c r="L22" s="132"/>
    </row>
    <row r="23" spans="1:12" x14ac:dyDescent="0.25">
      <c r="A23" s="129">
        <v>18</v>
      </c>
      <c r="B23" s="158" t="s">
        <v>486</v>
      </c>
      <c r="C23" s="3" t="s">
        <v>454</v>
      </c>
      <c r="D23" s="171" t="s">
        <v>101</v>
      </c>
      <c r="E23" s="145">
        <v>1</v>
      </c>
      <c r="H23" s="130"/>
      <c r="I23" s="198"/>
      <c r="J23" s="131"/>
      <c r="K23" s="199"/>
      <c r="L23" s="132"/>
    </row>
    <row r="24" spans="1:12" x14ac:dyDescent="0.25">
      <c r="A24" s="129">
        <v>19</v>
      </c>
      <c r="B24" s="158" t="s">
        <v>487</v>
      </c>
      <c r="C24" s="3" t="s">
        <v>453</v>
      </c>
      <c r="D24" s="171" t="s">
        <v>101</v>
      </c>
      <c r="E24" s="146">
        <v>1</v>
      </c>
      <c r="H24" s="130"/>
      <c r="I24" s="133"/>
      <c r="J24" s="197"/>
      <c r="K24" s="201"/>
      <c r="L24" s="132"/>
    </row>
    <row r="25" spans="1:12" x14ac:dyDescent="0.25">
      <c r="A25" s="129">
        <v>20</v>
      </c>
      <c r="B25" s="158" t="s">
        <v>488</v>
      </c>
      <c r="C25" s="3" t="s">
        <v>336</v>
      </c>
      <c r="D25" s="171" t="s">
        <v>101</v>
      </c>
      <c r="E25" s="145">
        <v>1</v>
      </c>
      <c r="H25" s="130"/>
      <c r="I25" s="198"/>
      <c r="J25" s="131"/>
      <c r="K25" s="201"/>
      <c r="L25" s="132"/>
    </row>
    <row r="26" spans="1:12" x14ac:dyDescent="0.25">
      <c r="A26" s="129">
        <v>21</v>
      </c>
      <c r="B26" s="158" t="s">
        <v>489</v>
      </c>
      <c r="C26" s="3" t="s">
        <v>337</v>
      </c>
      <c r="D26" s="171" t="s">
        <v>101</v>
      </c>
      <c r="E26" s="145">
        <v>1</v>
      </c>
      <c r="H26" s="130"/>
      <c r="I26" s="202"/>
      <c r="J26" s="131"/>
      <c r="K26" s="201"/>
      <c r="L26" s="132"/>
    </row>
    <row r="27" spans="1:12" x14ac:dyDescent="0.25">
      <c r="A27" s="129">
        <v>22</v>
      </c>
      <c r="B27" s="158" t="s">
        <v>497</v>
      </c>
      <c r="C27" s="3" t="s">
        <v>498</v>
      </c>
      <c r="D27" s="171" t="s">
        <v>101</v>
      </c>
      <c r="E27" s="145">
        <v>1</v>
      </c>
      <c r="H27" s="130"/>
      <c r="I27" s="198"/>
      <c r="J27" s="200"/>
      <c r="K27" s="201"/>
      <c r="L27" s="132"/>
    </row>
    <row r="28" spans="1:12" x14ac:dyDescent="0.25">
      <c r="A28" s="129">
        <v>23</v>
      </c>
      <c r="B28" s="169" t="s">
        <v>500</v>
      </c>
      <c r="C28" s="213" t="s">
        <v>549</v>
      </c>
      <c r="D28" s="214"/>
      <c r="E28" s="215">
        <v>0</v>
      </c>
      <c r="H28" s="130"/>
      <c r="I28" s="198"/>
      <c r="J28" s="131"/>
      <c r="K28" s="201"/>
      <c r="L28" s="132"/>
    </row>
    <row r="29" spans="1:12" x14ac:dyDescent="0.25">
      <c r="A29" s="129">
        <v>24</v>
      </c>
      <c r="B29" s="165" t="s">
        <v>501</v>
      </c>
      <c r="C29" s="3" t="s">
        <v>328</v>
      </c>
      <c r="D29" s="171" t="s">
        <v>101</v>
      </c>
      <c r="E29" s="145">
        <v>1</v>
      </c>
      <c r="H29" s="130"/>
      <c r="I29" s="198"/>
      <c r="J29" s="131"/>
      <c r="K29" s="201"/>
      <c r="L29" s="132"/>
    </row>
    <row r="30" spans="1:12" x14ac:dyDescent="0.25">
      <c r="A30" s="129">
        <v>25</v>
      </c>
      <c r="B30" s="165" t="s">
        <v>502</v>
      </c>
      <c r="C30" s="22" t="s">
        <v>458</v>
      </c>
      <c r="D30" s="171" t="s">
        <v>101</v>
      </c>
      <c r="E30" s="156">
        <v>1</v>
      </c>
      <c r="H30" s="130"/>
      <c r="I30" s="202"/>
      <c r="J30" s="131"/>
      <c r="K30" s="201"/>
      <c r="L30" s="132"/>
    </row>
    <row r="31" spans="1:12" x14ac:dyDescent="0.25">
      <c r="A31" s="129">
        <v>26</v>
      </c>
      <c r="B31" s="165" t="s">
        <v>503</v>
      </c>
      <c r="C31" s="22" t="s">
        <v>459</v>
      </c>
      <c r="D31" s="171" t="s">
        <v>101</v>
      </c>
      <c r="E31" s="156">
        <v>1</v>
      </c>
      <c r="H31" s="130"/>
      <c r="I31" s="202"/>
      <c r="J31" s="131"/>
      <c r="K31" s="201"/>
      <c r="L31" s="132"/>
    </row>
    <row r="32" spans="1:12" x14ac:dyDescent="0.25">
      <c r="A32" s="129">
        <v>27</v>
      </c>
      <c r="B32" s="165" t="s">
        <v>504</v>
      </c>
      <c r="C32" s="22" t="s">
        <v>124</v>
      </c>
      <c r="D32" s="171" t="s">
        <v>101</v>
      </c>
      <c r="E32" s="156">
        <v>1</v>
      </c>
      <c r="H32" s="130"/>
      <c r="I32" s="202"/>
      <c r="J32" s="131"/>
      <c r="K32" s="201"/>
      <c r="L32" s="132"/>
    </row>
    <row r="33" spans="1:12" x14ac:dyDescent="0.25">
      <c r="A33" s="129">
        <v>28</v>
      </c>
      <c r="B33" s="165" t="s">
        <v>505</v>
      </c>
      <c r="C33" s="22" t="s">
        <v>125</v>
      </c>
      <c r="D33" s="171" t="s">
        <v>101</v>
      </c>
      <c r="E33" s="156">
        <v>1</v>
      </c>
      <c r="H33" s="130"/>
      <c r="I33" s="202"/>
      <c r="J33" s="131"/>
      <c r="K33" s="201"/>
      <c r="L33" s="132"/>
    </row>
    <row r="34" spans="1:12" x14ac:dyDescent="0.25">
      <c r="A34" s="129">
        <v>29</v>
      </c>
      <c r="B34" s="165" t="s">
        <v>506</v>
      </c>
      <c r="C34" s="22" t="s">
        <v>460</v>
      </c>
      <c r="D34" s="171" t="s">
        <v>101</v>
      </c>
      <c r="E34" s="156">
        <v>1</v>
      </c>
      <c r="H34" s="130"/>
      <c r="I34" s="198"/>
      <c r="J34" s="131"/>
      <c r="K34" s="201"/>
      <c r="L34" s="132"/>
    </row>
    <row r="35" spans="1:12" x14ac:dyDescent="0.25">
      <c r="A35" s="129">
        <v>30</v>
      </c>
      <c r="B35" s="165" t="s">
        <v>507</v>
      </c>
      <c r="C35" s="22" t="s">
        <v>126</v>
      </c>
      <c r="D35" s="171" t="s">
        <v>101</v>
      </c>
      <c r="E35" s="156">
        <v>1</v>
      </c>
      <c r="H35" s="130"/>
      <c r="I35" s="198"/>
      <c r="J35" s="131"/>
      <c r="K35" s="201"/>
      <c r="L35" s="132"/>
    </row>
    <row r="36" spans="1:12" x14ac:dyDescent="0.25">
      <c r="A36" s="129">
        <v>31</v>
      </c>
      <c r="B36" s="165" t="s">
        <v>508</v>
      </c>
      <c r="C36" s="22" t="s">
        <v>461</v>
      </c>
      <c r="D36" s="171" t="s">
        <v>101</v>
      </c>
      <c r="E36" s="156">
        <v>1</v>
      </c>
      <c r="H36" s="130"/>
      <c r="I36" s="198"/>
      <c r="J36" s="131"/>
      <c r="K36" s="201"/>
      <c r="L36" s="132"/>
    </row>
    <row r="37" spans="1:12" x14ac:dyDescent="0.25">
      <c r="A37" s="129">
        <v>32</v>
      </c>
      <c r="B37" s="165" t="s">
        <v>509</v>
      </c>
      <c r="C37" s="22" t="s">
        <v>127</v>
      </c>
      <c r="D37" s="171" t="s">
        <v>101</v>
      </c>
      <c r="E37" s="156">
        <v>1</v>
      </c>
      <c r="H37" s="130"/>
      <c r="I37" s="198"/>
      <c r="J37" s="131"/>
      <c r="K37" s="201"/>
      <c r="L37" s="132"/>
    </row>
    <row r="38" spans="1:12" x14ac:dyDescent="0.25">
      <c r="A38" s="129">
        <v>33</v>
      </c>
      <c r="B38" s="165" t="s">
        <v>510</v>
      </c>
      <c r="C38" s="22" t="s">
        <v>128</v>
      </c>
      <c r="D38" s="171" t="s">
        <v>101</v>
      </c>
      <c r="E38" s="156">
        <v>1</v>
      </c>
      <c r="H38" s="130"/>
      <c r="I38" s="198"/>
      <c r="J38" s="131"/>
      <c r="K38" s="201"/>
      <c r="L38" s="132"/>
    </row>
    <row r="39" spans="1:12" x14ac:dyDescent="0.25">
      <c r="A39" s="129">
        <v>34</v>
      </c>
      <c r="B39" s="165" t="s">
        <v>511</v>
      </c>
      <c r="C39" s="22" t="s">
        <v>129</v>
      </c>
      <c r="D39" s="171" t="s">
        <v>101</v>
      </c>
      <c r="E39" s="156">
        <v>1</v>
      </c>
      <c r="H39" s="130"/>
      <c r="I39" s="198"/>
      <c r="J39" s="131"/>
      <c r="K39" s="201"/>
      <c r="L39" s="132"/>
    </row>
    <row r="40" spans="1:12" x14ac:dyDescent="0.25">
      <c r="A40" s="129">
        <v>35</v>
      </c>
      <c r="B40" s="165" t="s">
        <v>512</v>
      </c>
      <c r="C40" s="22" t="s">
        <v>130</v>
      </c>
      <c r="D40" s="171" t="s">
        <v>101</v>
      </c>
      <c r="E40" s="156">
        <v>1</v>
      </c>
      <c r="H40" s="130"/>
      <c r="I40" s="133"/>
      <c r="J40" s="197"/>
      <c r="K40" s="201"/>
      <c r="L40" s="132"/>
    </row>
    <row r="41" spans="1:12" x14ac:dyDescent="0.25">
      <c r="A41" s="129">
        <v>36</v>
      </c>
      <c r="B41" s="165" t="s">
        <v>513</v>
      </c>
      <c r="C41" s="22" t="s">
        <v>131</v>
      </c>
      <c r="D41" s="171" t="s">
        <v>101</v>
      </c>
      <c r="E41" s="156">
        <v>1</v>
      </c>
      <c r="H41" s="130"/>
      <c r="I41" s="198"/>
      <c r="J41" s="131"/>
      <c r="K41" s="201"/>
      <c r="L41" s="132"/>
    </row>
    <row r="42" spans="1:12" x14ac:dyDescent="0.25">
      <c r="A42" s="129">
        <v>37</v>
      </c>
      <c r="B42" s="165" t="s">
        <v>514</v>
      </c>
      <c r="C42" s="22" t="s">
        <v>132</v>
      </c>
      <c r="D42" s="171" t="s">
        <v>101</v>
      </c>
      <c r="E42" s="156">
        <v>1</v>
      </c>
      <c r="H42" s="130"/>
      <c r="I42" s="198"/>
      <c r="J42" s="131"/>
      <c r="K42" s="201"/>
      <c r="L42" s="132"/>
    </row>
    <row r="43" spans="1:12" x14ac:dyDescent="0.25">
      <c r="A43" s="129">
        <v>38</v>
      </c>
      <c r="B43" s="216" t="s">
        <v>443</v>
      </c>
      <c r="C43" s="217" t="s">
        <v>550</v>
      </c>
      <c r="D43" s="214"/>
      <c r="E43" s="218"/>
      <c r="H43" s="130"/>
      <c r="I43" s="198"/>
      <c r="J43" s="131"/>
      <c r="K43" s="201"/>
      <c r="L43" s="132"/>
    </row>
    <row r="44" spans="1:12" x14ac:dyDescent="0.25">
      <c r="A44" s="129">
        <v>39</v>
      </c>
      <c r="B44" s="195" t="s">
        <v>520</v>
      </c>
      <c r="C44" s="22" t="s">
        <v>320</v>
      </c>
      <c r="D44" s="171" t="s">
        <v>101</v>
      </c>
      <c r="E44" s="210">
        <v>1</v>
      </c>
      <c r="H44" s="130"/>
      <c r="I44" s="198"/>
      <c r="J44" s="131"/>
      <c r="K44" s="201"/>
      <c r="L44" s="132"/>
    </row>
    <row r="45" spans="1:12" x14ac:dyDescent="0.25">
      <c r="A45" s="129">
        <v>40</v>
      </c>
      <c r="B45" s="195" t="s">
        <v>521</v>
      </c>
      <c r="C45" s="22" t="s">
        <v>516</v>
      </c>
      <c r="D45" s="171" t="s">
        <v>101</v>
      </c>
      <c r="E45" s="210">
        <v>1</v>
      </c>
      <c r="H45" s="130"/>
      <c r="I45" s="198"/>
      <c r="J45" s="131"/>
      <c r="K45" s="201"/>
      <c r="L45" s="132"/>
    </row>
    <row r="46" spans="1:12" x14ac:dyDescent="0.25">
      <c r="A46" s="129">
        <v>41</v>
      </c>
      <c r="B46" s="195" t="s">
        <v>522</v>
      </c>
      <c r="C46" s="22" t="s">
        <v>329</v>
      </c>
      <c r="D46" s="171" t="s">
        <v>101</v>
      </c>
      <c r="E46" s="210">
        <v>1</v>
      </c>
      <c r="H46" s="130"/>
      <c r="I46" s="198"/>
      <c r="J46" s="131"/>
      <c r="K46" s="201"/>
      <c r="L46" s="132"/>
    </row>
    <row r="47" spans="1:12" x14ac:dyDescent="0.25">
      <c r="A47" s="129">
        <v>42</v>
      </c>
      <c r="B47" s="195" t="s">
        <v>523</v>
      </c>
      <c r="C47" s="22" t="s">
        <v>330</v>
      </c>
      <c r="D47" s="171" t="s">
        <v>101</v>
      </c>
      <c r="E47" s="210">
        <v>1</v>
      </c>
      <c r="H47" s="130"/>
      <c r="I47" s="198"/>
      <c r="J47" s="131"/>
      <c r="K47" s="201"/>
      <c r="L47" s="132"/>
    </row>
    <row r="48" spans="1:12" x14ac:dyDescent="0.25">
      <c r="A48" s="129">
        <v>43</v>
      </c>
      <c r="B48" s="195" t="s">
        <v>524</v>
      </c>
      <c r="C48" s="22" t="s">
        <v>525</v>
      </c>
      <c r="D48" s="171" t="s">
        <v>101</v>
      </c>
      <c r="E48" s="210">
        <v>1</v>
      </c>
      <c r="H48" s="130"/>
      <c r="I48" s="198"/>
      <c r="J48" s="131"/>
      <c r="K48" s="201"/>
      <c r="L48" s="132"/>
    </row>
    <row r="49" spans="1:12" x14ac:dyDescent="0.25">
      <c r="A49" s="129">
        <v>44</v>
      </c>
      <c r="B49" s="195" t="s">
        <v>526</v>
      </c>
      <c r="C49" s="22" t="s">
        <v>515</v>
      </c>
      <c r="D49" s="171" t="s">
        <v>101</v>
      </c>
      <c r="E49" s="210">
        <v>1</v>
      </c>
      <c r="H49" s="130"/>
      <c r="I49" s="198"/>
      <c r="J49" s="131"/>
      <c r="K49" s="201"/>
      <c r="L49" s="132"/>
    </row>
    <row r="50" spans="1:12" x14ac:dyDescent="0.25">
      <c r="A50" s="129">
        <v>45</v>
      </c>
      <c r="B50" s="195" t="s">
        <v>527</v>
      </c>
      <c r="C50" s="22" t="s">
        <v>518</v>
      </c>
      <c r="D50" s="171" t="s">
        <v>101</v>
      </c>
      <c r="E50" s="210">
        <v>1</v>
      </c>
      <c r="H50" s="130"/>
      <c r="I50" s="198"/>
      <c r="J50" s="131"/>
      <c r="K50" s="201"/>
      <c r="L50" s="132"/>
    </row>
    <row r="51" spans="1:12" x14ac:dyDescent="0.25">
      <c r="A51" s="129">
        <v>46</v>
      </c>
      <c r="B51" s="195" t="s">
        <v>528</v>
      </c>
      <c r="C51" s="22" t="s">
        <v>517</v>
      </c>
      <c r="D51" s="171" t="s">
        <v>101</v>
      </c>
      <c r="E51" s="210">
        <v>1</v>
      </c>
      <c r="H51" s="130"/>
      <c r="I51" s="198"/>
      <c r="J51" s="131"/>
      <c r="K51" s="201"/>
      <c r="L51" s="132"/>
    </row>
    <row r="52" spans="1:12" x14ac:dyDescent="0.25">
      <c r="A52" s="129">
        <v>47</v>
      </c>
      <c r="B52" s="195" t="s">
        <v>529</v>
      </c>
      <c r="C52" s="22" t="s">
        <v>519</v>
      </c>
      <c r="D52" s="171" t="s">
        <v>101</v>
      </c>
      <c r="E52" s="210">
        <v>1</v>
      </c>
      <c r="H52" s="130"/>
      <c r="I52" s="198"/>
      <c r="J52" s="131"/>
      <c r="K52" s="201"/>
      <c r="L52" s="132"/>
    </row>
    <row r="53" spans="1:12" x14ac:dyDescent="0.25">
      <c r="A53" s="129">
        <v>48</v>
      </c>
      <c r="B53" s="169" t="s">
        <v>530</v>
      </c>
      <c r="C53" s="213" t="s">
        <v>551</v>
      </c>
      <c r="D53" s="214"/>
      <c r="E53" s="219"/>
      <c r="H53" s="130"/>
      <c r="I53" s="198"/>
      <c r="J53" s="131"/>
      <c r="K53" s="201"/>
      <c r="L53" s="132"/>
    </row>
    <row r="54" spans="1:12" x14ac:dyDescent="0.25">
      <c r="A54" s="129">
        <v>49</v>
      </c>
      <c r="B54" s="194" t="s">
        <v>530</v>
      </c>
      <c r="C54" s="3" t="s">
        <v>531</v>
      </c>
      <c r="D54" s="171" t="s">
        <v>101</v>
      </c>
      <c r="E54" s="145">
        <v>1</v>
      </c>
      <c r="H54" s="130"/>
      <c r="I54" s="198"/>
      <c r="J54" s="131"/>
      <c r="K54" s="201"/>
      <c r="L54" s="132"/>
    </row>
    <row r="55" spans="1:12" x14ac:dyDescent="0.25">
      <c r="A55" s="129">
        <v>50</v>
      </c>
      <c r="B55" s="43" t="s">
        <v>542</v>
      </c>
      <c r="C55" s="3" t="s">
        <v>547</v>
      </c>
      <c r="D55" s="171" t="s">
        <v>101</v>
      </c>
      <c r="E55" s="145">
        <v>1</v>
      </c>
      <c r="H55" s="130"/>
      <c r="I55" s="198"/>
      <c r="J55" s="131"/>
      <c r="K55" s="201"/>
      <c r="L55" s="132"/>
    </row>
    <row r="56" spans="1:12" x14ac:dyDescent="0.25">
      <c r="A56" s="129">
        <v>51</v>
      </c>
      <c r="B56" s="43" t="s">
        <v>536</v>
      </c>
      <c r="C56" s="3" t="s">
        <v>534</v>
      </c>
      <c r="D56" s="171" t="s">
        <v>101</v>
      </c>
      <c r="E56" s="155">
        <v>1</v>
      </c>
      <c r="H56" s="130"/>
      <c r="I56" s="198"/>
      <c r="J56" s="131"/>
      <c r="K56" s="201"/>
      <c r="L56" s="132"/>
    </row>
    <row r="57" spans="1:12" x14ac:dyDescent="0.25">
      <c r="A57" s="129">
        <v>52</v>
      </c>
      <c r="B57" s="43" t="s">
        <v>537</v>
      </c>
      <c r="C57" s="3" t="s">
        <v>546</v>
      </c>
      <c r="D57" s="171" t="s">
        <v>101</v>
      </c>
      <c r="E57" s="155">
        <v>1</v>
      </c>
      <c r="H57" s="130"/>
      <c r="I57" s="198"/>
      <c r="J57" s="131"/>
      <c r="K57" s="201"/>
      <c r="L57" s="132"/>
    </row>
    <row r="58" spans="1:12" x14ac:dyDescent="0.25">
      <c r="A58" s="129">
        <v>53</v>
      </c>
      <c r="B58" s="43" t="s">
        <v>538</v>
      </c>
      <c r="C58" s="3" t="s">
        <v>545</v>
      </c>
      <c r="D58" s="171" t="s">
        <v>101</v>
      </c>
      <c r="E58" s="155">
        <v>1</v>
      </c>
      <c r="H58" s="130"/>
      <c r="I58" s="198"/>
      <c r="J58" s="131"/>
      <c r="K58" s="201"/>
      <c r="L58" s="132"/>
    </row>
    <row r="59" spans="1:12" x14ac:dyDescent="0.25">
      <c r="A59" s="129">
        <v>54</v>
      </c>
      <c r="B59" s="43" t="s">
        <v>539</v>
      </c>
      <c r="C59" s="3" t="s">
        <v>544</v>
      </c>
      <c r="D59" s="171" t="s">
        <v>101</v>
      </c>
      <c r="E59" s="155">
        <v>1</v>
      </c>
      <c r="H59" s="130"/>
      <c r="I59" s="198"/>
      <c r="J59" s="131"/>
      <c r="K59" s="201"/>
      <c r="L59" s="132"/>
    </row>
    <row r="60" spans="1:12" x14ac:dyDescent="0.25">
      <c r="A60" s="129">
        <v>55</v>
      </c>
      <c r="B60" s="43" t="s">
        <v>540</v>
      </c>
      <c r="C60" s="3" t="s">
        <v>543</v>
      </c>
      <c r="D60" s="171" t="s">
        <v>101</v>
      </c>
      <c r="E60" s="155">
        <v>1</v>
      </c>
      <c r="H60" s="130"/>
      <c r="I60" s="198"/>
      <c r="J60" s="131"/>
      <c r="K60" s="201"/>
      <c r="L60" s="132"/>
    </row>
    <row r="61" spans="1:12" x14ac:dyDescent="0.25">
      <c r="A61" s="129">
        <v>56</v>
      </c>
      <c r="B61" s="43" t="s">
        <v>541</v>
      </c>
      <c r="C61" s="3" t="s">
        <v>535</v>
      </c>
      <c r="D61" s="171" t="s">
        <v>101</v>
      </c>
      <c r="E61" s="155">
        <v>1</v>
      </c>
      <c r="H61" s="130"/>
      <c r="I61" s="198"/>
      <c r="J61" s="131"/>
      <c r="K61" s="201"/>
      <c r="L61" s="132"/>
    </row>
    <row r="62" spans="1:12" x14ac:dyDescent="0.25">
      <c r="A62" s="129">
        <v>57</v>
      </c>
      <c r="B62" s="169" t="s">
        <v>445</v>
      </c>
      <c r="C62" s="213" t="s">
        <v>552</v>
      </c>
      <c r="D62" s="214"/>
      <c r="E62" s="219">
        <v>0</v>
      </c>
      <c r="H62" s="130"/>
      <c r="I62" s="198"/>
      <c r="J62" s="131"/>
      <c r="K62" s="201"/>
      <c r="L62" s="132"/>
    </row>
    <row r="63" spans="1:12" x14ac:dyDescent="0.25">
      <c r="A63" s="129">
        <v>58</v>
      </c>
      <c r="B63" s="157" t="s">
        <v>444</v>
      </c>
      <c r="C63" s="3" t="s">
        <v>392</v>
      </c>
      <c r="D63" s="171" t="s">
        <v>101</v>
      </c>
      <c r="E63" s="145">
        <v>1</v>
      </c>
      <c r="H63" s="130"/>
      <c r="I63" s="198"/>
      <c r="J63" s="131"/>
      <c r="K63" s="201"/>
      <c r="L63" s="132"/>
    </row>
    <row r="64" spans="1:12" x14ac:dyDescent="0.25">
      <c r="A64" s="129">
        <v>59</v>
      </c>
      <c r="B64" s="157" t="s">
        <v>446</v>
      </c>
      <c r="C64" s="3" t="s">
        <v>393</v>
      </c>
      <c r="D64" s="171" t="s">
        <v>101</v>
      </c>
      <c r="E64" s="145">
        <v>1</v>
      </c>
      <c r="H64" s="130"/>
      <c r="I64" s="198"/>
      <c r="J64" s="131"/>
      <c r="K64" s="201"/>
      <c r="L64" s="132"/>
    </row>
    <row r="65" spans="1:12 16383:16383" x14ac:dyDescent="0.25">
      <c r="A65" s="129">
        <v>60</v>
      </c>
      <c r="B65" s="157" t="s">
        <v>447</v>
      </c>
      <c r="C65" s="3" t="s">
        <v>394</v>
      </c>
      <c r="D65" s="171" t="s">
        <v>101</v>
      </c>
      <c r="E65" s="155">
        <v>1</v>
      </c>
      <c r="H65" s="130"/>
      <c r="I65" s="198"/>
      <c r="J65" s="131"/>
      <c r="K65" s="201"/>
      <c r="L65" s="132"/>
    </row>
    <row r="66" spans="1:12 16383:16383" x14ac:dyDescent="0.25">
      <c r="A66" s="129">
        <v>61</v>
      </c>
      <c r="B66" s="157" t="s">
        <v>533</v>
      </c>
      <c r="C66" s="3" t="s">
        <v>532</v>
      </c>
      <c r="D66" s="171" t="s">
        <v>101</v>
      </c>
      <c r="E66" s="155">
        <v>1</v>
      </c>
      <c r="H66" s="130"/>
      <c r="I66" s="198"/>
      <c r="J66" s="131"/>
      <c r="K66" s="201"/>
      <c r="L66" s="132"/>
    </row>
    <row r="67" spans="1:12 16383:16383" x14ac:dyDescent="0.25">
      <c r="A67" s="129">
        <v>62</v>
      </c>
      <c r="B67" s="220" t="s">
        <v>321</v>
      </c>
      <c r="C67" s="221" t="s">
        <v>331</v>
      </c>
      <c r="D67" s="222"/>
      <c r="E67" s="223"/>
      <c r="H67" s="130"/>
      <c r="I67" s="198"/>
      <c r="J67" s="131"/>
      <c r="K67" s="201"/>
      <c r="L67" s="132"/>
    </row>
    <row r="68" spans="1:12 16383:16383" x14ac:dyDescent="0.25">
      <c r="A68" s="129">
        <v>63</v>
      </c>
      <c r="B68" s="157" t="s">
        <v>448</v>
      </c>
      <c r="C68" s="3" t="s">
        <v>332</v>
      </c>
      <c r="D68" s="171" t="s">
        <v>101</v>
      </c>
      <c r="E68" s="156">
        <v>1</v>
      </c>
      <c r="H68" s="130"/>
      <c r="I68" s="198"/>
      <c r="J68" s="131"/>
      <c r="K68" s="201"/>
      <c r="L68" s="132"/>
    </row>
    <row r="69" spans="1:12 16383:16383" x14ac:dyDescent="0.25">
      <c r="A69" s="129">
        <v>64</v>
      </c>
      <c r="B69" s="157" t="s">
        <v>449</v>
      </c>
      <c r="C69" s="3" t="s">
        <v>333</v>
      </c>
      <c r="D69" s="171" t="s">
        <v>101</v>
      </c>
      <c r="E69" s="156">
        <v>1</v>
      </c>
      <c r="H69" s="130"/>
      <c r="I69" s="198"/>
      <c r="J69" s="196"/>
      <c r="K69" s="201"/>
      <c r="L69" s="132"/>
    </row>
    <row r="70" spans="1:12 16383:16383" x14ac:dyDescent="0.25">
      <c r="A70" s="129">
        <v>65</v>
      </c>
      <c r="B70" s="157" t="s">
        <v>450</v>
      </c>
      <c r="C70" s="3" t="s">
        <v>334</v>
      </c>
      <c r="D70" s="171" t="s">
        <v>101</v>
      </c>
      <c r="E70" s="156">
        <v>1</v>
      </c>
      <c r="H70" s="130"/>
      <c r="I70" s="198"/>
      <c r="J70" s="196"/>
      <c r="K70" s="201"/>
      <c r="L70" s="132"/>
    </row>
    <row r="71" spans="1:12 16383:16383" x14ac:dyDescent="0.25">
      <c r="A71" s="129">
        <v>66</v>
      </c>
      <c r="B71" s="157" t="s">
        <v>451</v>
      </c>
      <c r="C71" s="150" t="s">
        <v>335</v>
      </c>
      <c r="D71" s="171" t="s">
        <v>101</v>
      </c>
      <c r="E71" s="156">
        <v>5</v>
      </c>
      <c r="H71" s="130"/>
      <c r="I71" s="198"/>
      <c r="J71" s="131"/>
      <c r="K71" s="201"/>
      <c r="L71" s="132"/>
    </row>
    <row r="72" spans="1:12 16383:16383" x14ac:dyDescent="0.25">
      <c r="A72" s="129">
        <v>67</v>
      </c>
      <c r="B72" s="157" t="s">
        <v>452</v>
      </c>
      <c r="C72" s="149" t="s">
        <v>341</v>
      </c>
      <c r="D72" s="171" t="s">
        <v>101</v>
      </c>
      <c r="E72" s="156">
        <v>7</v>
      </c>
      <c r="H72" s="130"/>
      <c r="I72" s="133"/>
      <c r="J72" s="131"/>
      <c r="K72" s="201"/>
      <c r="L72" s="132"/>
    </row>
    <row r="73" spans="1:12 16383:16383" x14ac:dyDescent="0.25">
      <c r="A73" s="129">
        <v>68</v>
      </c>
      <c r="B73" s="4"/>
      <c r="C73" s="3"/>
      <c r="D73" s="171"/>
      <c r="E73" s="156">
        <v>0</v>
      </c>
      <c r="H73" s="130"/>
      <c r="I73" s="133"/>
      <c r="J73" s="197"/>
      <c r="K73" s="203"/>
      <c r="L73" s="132"/>
    </row>
    <row r="74" spans="1:12 16383:16383" x14ac:dyDescent="0.25">
      <c r="A74" s="129">
        <v>69</v>
      </c>
      <c r="B74" s="4"/>
      <c r="C74" s="3"/>
      <c r="D74" s="171"/>
      <c r="E74" s="156">
        <v>0</v>
      </c>
      <c r="H74" s="130"/>
      <c r="I74" s="198"/>
      <c r="J74" s="131"/>
      <c r="K74" s="201"/>
      <c r="L74" s="132"/>
    </row>
    <row r="75" spans="1:12 16383:16383" x14ac:dyDescent="0.25">
      <c r="A75" s="129">
        <v>70</v>
      </c>
      <c r="B75" s="22"/>
      <c r="C75" s="22"/>
      <c r="D75" s="211"/>
      <c r="E75" s="156">
        <v>0</v>
      </c>
      <c r="H75" s="130"/>
      <c r="I75" s="133"/>
      <c r="J75" s="197"/>
      <c r="K75" s="201"/>
      <c r="L75" s="132"/>
    </row>
    <row r="76" spans="1:12 16383:16383" x14ac:dyDescent="0.25">
      <c r="A76" s="129">
        <v>71</v>
      </c>
      <c r="B76" s="154"/>
      <c r="C76" s="134"/>
      <c r="D76" s="212"/>
      <c r="E76" s="156">
        <v>0</v>
      </c>
      <c r="H76" s="130"/>
      <c r="I76" s="198"/>
      <c r="J76" s="131"/>
      <c r="K76" s="204"/>
      <c r="L76" s="132"/>
    </row>
    <row r="77" spans="1:12 16383:16383" x14ac:dyDescent="0.25">
      <c r="H77" s="130"/>
      <c r="I77" s="198"/>
      <c r="J77" s="131"/>
      <c r="K77" s="204"/>
      <c r="L77" s="132"/>
    </row>
    <row r="78" spans="1:12 16383:16383" x14ac:dyDescent="0.25">
      <c r="H78" s="130"/>
      <c r="I78" s="198"/>
      <c r="J78" s="131"/>
      <c r="K78" s="204"/>
      <c r="L78" s="132"/>
    </row>
    <row r="79" spans="1:12 16383:16383" ht="26.25" x14ac:dyDescent="0.25">
      <c r="A79" s="17"/>
      <c r="B79" s="9" t="s">
        <v>122</v>
      </c>
      <c r="C79" s="9"/>
      <c r="D79" s="9"/>
      <c r="E79" s="9"/>
      <c r="G79" s="167"/>
      <c r="H79" s="130"/>
      <c r="I79" s="133"/>
      <c r="J79" s="131"/>
      <c r="K79" s="201"/>
      <c r="L79" s="132"/>
    </row>
    <row r="80" spans="1:12 16383:16383" ht="26.25" x14ac:dyDescent="0.25">
      <c r="A80" s="9"/>
      <c r="B80" s="9"/>
      <c r="C80" s="9"/>
      <c r="D80" s="9"/>
      <c r="E80" s="9"/>
      <c r="G80" s="34"/>
      <c r="H80" s="130"/>
      <c r="I80" s="198"/>
      <c r="J80" s="131"/>
      <c r="K80" s="201"/>
      <c r="L80" s="132"/>
      <c r="XFC80" s="9"/>
    </row>
    <row r="81" spans="1:12" x14ac:dyDescent="0.25">
      <c r="A81">
        <v>1</v>
      </c>
      <c r="B81" s="22" t="s">
        <v>123</v>
      </c>
      <c r="C81" s="22" t="s">
        <v>458</v>
      </c>
      <c r="D81" s="168" t="s">
        <v>101</v>
      </c>
      <c r="E81" s="156">
        <v>1</v>
      </c>
      <c r="G81" s="34"/>
      <c r="H81" s="130"/>
      <c r="I81" s="198"/>
      <c r="J81" s="131"/>
      <c r="K81" s="201"/>
      <c r="L81" s="132"/>
    </row>
    <row r="82" spans="1:12" x14ac:dyDescent="0.25">
      <c r="A82">
        <v>2</v>
      </c>
      <c r="B82" s="22" t="s">
        <v>142</v>
      </c>
      <c r="C82" s="22" t="s">
        <v>459</v>
      </c>
      <c r="D82" s="168" t="s">
        <v>101</v>
      </c>
      <c r="E82" s="156">
        <v>1</v>
      </c>
      <c r="G82" s="34"/>
      <c r="H82" s="130"/>
      <c r="I82" s="198"/>
      <c r="J82" s="131"/>
      <c r="K82" s="201"/>
      <c r="L82" s="132"/>
    </row>
    <row r="83" spans="1:12" x14ac:dyDescent="0.25">
      <c r="A83">
        <v>3</v>
      </c>
      <c r="B83" s="22" t="s">
        <v>456</v>
      </c>
      <c r="C83" s="22" t="s">
        <v>124</v>
      </c>
      <c r="D83" s="168" t="s">
        <v>101</v>
      </c>
      <c r="E83" s="156">
        <v>1</v>
      </c>
      <c r="G83" s="34"/>
      <c r="H83" s="130"/>
      <c r="I83" s="198"/>
      <c r="J83" s="131"/>
      <c r="K83" s="201"/>
      <c r="L83" s="132"/>
    </row>
    <row r="84" spans="1:12" x14ac:dyDescent="0.25">
      <c r="A84">
        <v>4</v>
      </c>
      <c r="B84" s="22" t="s">
        <v>141</v>
      </c>
      <c r="C84" s="22" t="s">
        <v>125</v>
      </c>
      <c r="D84" s="168" t="s">
        <v>101</v>
      </c>
      <c r="E84" s="156">
        <v>1</v>
      </c>
      <c r="G84" s="34"/>
      <c r="H84" s="130"/>
      <c r="I84" s="198"/>
      <c r="J84" s="205"/>
      <c r="K84" s="201"/>
      <c r="L84" s="132"/>
    </row>
    <row r="85" spans="1:12" x14ac:dyDescent="0.25">
      <c r="A85">
        <v>5</v>
      </c>
      <c r="B85" s="22" t="s">
        <v>457</v>
      </c>
      <c r="C85" s="22" t="s">
        <v>460</v>
      </c>
      <c r="D85" s="168" t="s">
        <v>101</v>
      </c>
      <c r="E85" s="156">
        <v>1</v>
      </c>
      <c r="G85" s="34"/>
      <c r="H85" s="130"/>
      <c r="I85" s="133"/>
      <c r="J85" s="131"/>
      <c r="K85" s="201"/>
      <c r="L85" s="132"/>
    </row>
    <row r="86" spans="1:12" x14ac:dyDescent="0.25">
      <c r="A86">
        <v>6</v>
      </c>
      <c r="B86" s="22" t="s">
        <v>140</v>
      </c>
      <c r="C86" s="22" t="s">
        <v>126</v>
      </c>
      <c r="D86" s="168" t="s">
        <v>101</v>
      </c>
      <c r="E86" s="156">
        <v>1</v>
      </c>
      <c r="G86" s="34"/>
      <c r="H86" s="130"/>
      <c r="I86" s="133"/>
      <c r="J86" s="131"/>
      <c r="K86" s="201"/>
      <c r="L86" s="132"/>
    </row>
    <row r="87" spans="1:12" x14ac:dyDescent="0.25">
      <c r="A87">
        <v>7</v>
      </c>
      <c r="B87" s="22" t="s">
        <v>139</v>
      </c>
      <c r="C87" s="22" t="s">
        <v>461</v>
      </c>
      <c r="D87" s="168" t="s">
        <v>101</v>
      </c>
      <c r="E87" s="156">
        <v>1</v>
      </c>
      <c r="G87" s="34"/>
      <c r="H87" s="130"/>
      <c r="I87" s="205"/>
      <c r="J87" s="205"/>
      <c r="K87" s="206"/>
      <c r="L87" s="132"/>
    </row>
    <row r="88" spans="1:12" x14ac:dyDescent="0.25">
      <c r="A88">
        <v>8</v>
      </c>
      <c r="B88" s="22" t="s">
        <v>138</v>
      </c>
      <c r="C88" s="22" t="s">
        <v>127</v>
      </c>
      <c r="D88" s="168" t="s">
        <v>101</v>
      </c>
      <c r="E88" s="156">
        <v>1</v>
      </c>
      <c r="G88" s="34"/>
      <c r="H88" s="130"/>
      <c r="I88" s="205"/>
      <c r="J88" s="205"/>
      <c r="K88" s="206"/>
      <c r="L88" s="132"/>
    </row>
    <row r="89" spans="1:12" x14ac:dyDescent="0.25">
      <c r="A89">
        <v>9</v>
      </c>
      <c r="B89" s="22" t="s">
        <v>137</v>
      </c>
      <c r="C89" s="22" t="s">
        <v>128</v>
      </c>
      <c r="D89" s="168" t="s">
        <v>101</v>
      </c>
      <c r="E89" s="156">
        <v>1</v>
      </c>
      <c r="G89" s="34"/>
      <c r="H89" s="34"/>
      <c r="I89" s="34"/>
      <c r="J89" s="34"/>
      <c r="K89" s="34"/>
    </row>
    <row r="90" spans="1:12" x14ac:dyDescent="0.25">
      <c r="A90">
        <v>10</v>
      </c>
      <c r="B90" s="22" t="s">
        <v>133</v>
      </c>
      <c r="C90" s="22" t="s">
        <v>129</v>
      </c>
      <c r="D90" s="168" t="s">
        <v>101</v>
      </c>
      <c r="E90" s="156">
        <v>1</v>
      </c>
      <c r="G90" s="34"/>
      <c r="H90" s="34"/>
      <c r="I90" s="34"/>
      <c r="J90" s="34"/>
      <c r="K90" s="34"/>
    </row>
    <row r="91" spans="1:12" x14ac:dyDescent="0.25">
      <c r="A91">
        <v>11</v>
      </c>
      <c r="B91" s="22" t="s">
        <v>134</v>
      </c>
      <c r="C91" s="22" t="s">
        <v>130</v>
      </c>
      <c r="D91" s="168" t="s">
        <v>101</v>
      </c>
      <c r="E91" s="156">
        <v>1</v>
      </c>
      <c r="G91" s="34"/>
      <c r="H91" s="34"/>
      <c r="I91" s="34"/>
      <c r="J91" s="34"/>
      <c r="K91" s="34"/>
    </row>
    <row r="92" spans="1:12" x14ac:dyDescent="0.25">
      <c r="A92">
        <v>12</v>
      </c>
      <c r="B92" s="22" t="s">
        <v>135</v>
      </c>
      <c r="C92" s="22" t="s">
        <v>131</v>
      </c>
      <c r="D92" s="168" t="s">
        <v>101</v>
      </c>
      <c r="E92" s="156">
        <v>1</v>
      </c>
      <c r="G92" s="34"/>
      <c r="H92" s="34"/>
      <c r="I92" s="34"/>
      <c r="J92" s="34"/>
      <c r="K92" s="34"/>
    </row>
    <row r="93" spans="1:12" x14ac:dyDescent="0.25">
      <c r="A93">
        <v>13</v>
      </c>
      <c r="B93" s="22" t="s">
        <v>136</v>
      </c>
      <c r="C93" s="22" t="s">
        <v>132</v>
      </c>
      <c r="D93" s="168" t="s">
        <v>101</v>
      </c>
      <c r="E93" s="156">
        <v>1</v>
      </c>
      <c r="G93" s="34"/>
      <c r="H93" s="34"/>
      <c r="I93" s="34"/>
      <c r="J93" s="34"/>
      <c r="K93" s="34"/>
    </row>
    <row r="94" spans="1:12" x14ac:dyDescent="0.25">
      <c r="A94">
        <v>14</v>
      </c>
      <c r="B94" s="22" t="s">
        <v>455</v>
      </c>
      <c r="C94" s="22"/>
      <c r="D94" s="22"/>
      <c r="E94" s="156">
        <v>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C3" sqref="C3"/>
    </sheetView>
  </sheetViews>
  <sheetFormatPr baseColWidth="10" defaultRowHeight="15" x14ac:dyDescent="0.25"/>
  <cols>
    <col min="1" max="1" width="4.7109375" customWidth="1"/>
    <col min="2" max="2" width="15.7109375" customWidth="1"/>
    <col min="3" max="3" width="55.7109375" customWidth="1"/>
    <col min="4" max="4" width="22.140625" customWidth="1"/>
    <col min="5" max="5" width="20.42578125" customWidth="1"/>
  </cols>
  <sheetData>
    <row r="1" spans="1:5" ht="80.099999999999994" customHeight="1" x14ac:dyDescent="0.25">
      <c r="A1" s="8"/>
      <c r="B1" s="8"/>
      <c r="C1" s="8"/>
      <c r="D1" s="8"/>
      <c r="E1" s="8"/>
    </row>
    <row r="2" spans="1:5" ht="26.25" x14ac:dyDescent="0.25">
      <c r="A2" s="9"/>
      <c r="B2" s="9"/>
      <c r="C2" s="9" t="s">
        <v>746</v>
      </c>
      <c r="D2" s="9"/>
      <c r="E2" s="9"/>
    </row>
    <row r="5" spans="1:5" ht="30" x14ac:dyDescent="0.25">
      <c r="A5" s="11" t="s">
        <v>6</v>
      </c>
      <c r="B5" s="11" t="s">
        <v>41</v>
      </c>
      <c r="C5" s="11" t="s">
        <v>7</v>
      </c>
      <c r="D5" s="11" t="s">
        <v>0</v>
      </c>
      <c r="E5" s="11" t="s">
        <v>100</v>
      </c>
    </row>
    <row r="6" spans="1:5" x14ac:dyDescent="0.25">
      <c r="A6" s="444">
        <v>1</v>
      </c>
      <c r="B6" s="441" t="s">
        <v>86</v>
      </c>
      <c r="C6" s="140" t="s">
        <v>374</v>
      </c>
      <c r="D6" s="438">
        <v>1</v>
      </c>
      <c r="E6" s="439" t="s">
        <v>101</v>
      </c>
    </row>
    <row r="7" spans="1:5" x14ac:dyDescent="0.25">
      <c r="A7" s="444">
        <v>2</v>
      </c>
      <c r="B7" s="441" t="s">
        <v>87</v>
      </c>
      <c r="C7" s="140" t="s">
        <v>375</v>
      </c>
      <c r="D7" s="438">
        <v>1</v>
      </c>
      <c r="E7" s="439" t="s">
        <v>102</v>
      </c>
    </row>
    <row r="8" spans="1:5" x14ac:dyDescent="0.25">
      <c r="A8" s="444">
        <v>3</v>
      </c>
      <c r="B8" s="441" t="s">
        <v>87</v>
      </c>
      <c r="C8" s="140" t="s">
        <v>375</v>
      </c>
      <c r="D8" s="438">
        <v>1</v>
      </c>
      <c r="E8" s="439" t="s">
        <v>102</v>
      </c>
    </row>
    <row r="9" spans="1:5" x14ac:dyDescent="0.25">
      <c r="A9" s="444">
        <v>4</v>
      </c>
      <c r="B9" s="441" t="s">
        <v>98</v>
      </c>
      <c r="C9" s="140" t="s">
        <v>103</v>
      </c>
      <c r="D9" s="438">
        <v>1</v>
      </c>
      <c r="E9" s="439" t="s">
        <v>102</v>
      </c>
    </row>
    <row r="10" spans="1:5" x14ac:dyDescent="0.25">
      <c r="A10" s="444">
        <v>5</v>
      </c>
      <c r="B10" s="441" t="s">
        <v>388</v>
      </c>
      <c r="C10" s="140" t="s">
        <v>88</v>
      </c>
      <c r="D10" s="438">
        <v>1</v>
      </c>
      <c r="E10" s="439" t="s">
        <v>102</v>
      </c>
    </row>
    <row r="11" spans="1:5" x14ac:dyDescent="0.25">
      <c r="A11" s="444">
        <v>6</v>
      </c>
      <c r="B11" s="441" t="s">
        <v>89</v>
      </c>
      <c r="C11" s="140" t="s">
        <v>376</v>
      </c>
      <c r="D11" s="438">
        <v>1</v>
      </c>
      <c r="E11" s="439" t="s">
        <v>101</v>
      </c>
    </row>
    <row r="12" spans="1:5" x14ac:dyDescent="0.25">
      <c r="A12" s="444">
        <v>7</v>
      </c>
      <c r="B12" s="441" t="s">
        <v>90</v>
      </c>
      <c r="C12" s="140" t="s">
        <v>377</v>
      </c>
      <c r="D12" s="438">
        <v>1</v>
      </c>
      <c r="E12" s="439" t="s">
        <v>101</v>
      </c>
    </row>
    <row r="13" spans="1:5" x14ac:dyDescent="0.25">
      <c r="A13" s="444">
        <v>8</v>
      </c>
      <c r="B13" s="441" t="s">
        <v>91</v>
      </c>
      <c r="C13" s="140" t="s">
        <v>378</v>
      </c>
      <c r="D13" s="438">
        <v>1</v>
      </c>
      <c r="E13" s="439" t="s">
        <v>101</v>
      </c>
    </row>
    <row r="14" spans="1:5" x14ac:dyDescent="0.25">
      <c r="A14" s="444">
        <v>9</v>
      </c>
      <c r="B14" s="441" t="s">
        <v>99</v>
      </c>
      <c r="C14" s="140" t="s">
        <v>379</v>
      </c>
      <c r="D14" s="438">
        <v>1</v>
      </c>
      <c r="E14" s="439" t="s">
        <v>101</v>
      </c>
    </row>
    <row r="15" spans="1:5" x14ac:dyDescent="0.25">
      <c r="A15" s="444">
        <v>10</v>
      </c>
      <c r="B15" s="441" t="s">
        <v>389</v>
      </c>
      <c r="C15" s="140" t="s">
        <v>380</v>
      </c>
      <c r="D15" s="438">
        <v>1</v>
      </c>
      <c r="E15" s="439" t="s">
        <v>101</v>
      </c>
    </row>
    <row r="16" spans="1:5" x14ac:dyDescent="0.25">
      <c r="A16" s="444">
        <v>11</v>
      </c>
      <c r="B16" s="441" t="s">
        <v>107</v>
      </c>
      <c r="C16" s="140" t="s">
        <v>108</v>
      </c>
      <c r="D16" s="438">
        <v>1</v>
      </c>
      <c r="E16" s="439" t="s">
        <v>101</v>
      </c>
    </row>
    <row r="17" spans="1:5" x14ac:dyDescent="0.25">
      <c r="A17" s="444">
        <v>12</v>
      </c>
      <c r="B17" s="441" t="s">
        <v>106</v>
      </c>
      <c r="C17" s="140" t="s">
        <v>105</v>
      </c>
      <c r="D17" s="438">
        <v>2</v>
      </c>
      <c r="E17" s="439" t="s">
        <v>101</v>
      </c>
    </row>
    <row r="18" spans="1:5" x14ac:dyDescent="0.25">
      <c r="A18" s="444">
        <v>13</v>
      </c>
      <c r="B18" s="441" t="s">
        <v>165</v>
      </c>
      <c r="C18" s="140" t="s">
        <v>381</v>
      </c>
      <c r="D18" s="438">
        <v>1</v>
      </c>
      <c r="E18" s="439" t="s">
        <v>101</v>
      </c>
    </row>
    <row r="19" spans="1:5" x14ac:dyDescent="0.25">
      <c r="A19" s="444">
        <v>14</v>
      </c>
      <c r="B19" s="441" t="s">
        <v>166</v>
      </c>
      <c r="C19" s="140" t="s">
        <v>382</v>
      </c>
      <c r="D19" s="438">
        <v>1</v>
      </c>
      <c r="E19" s="439" t="s">
        <v>101</v>
      </c>
    </row>
    <row r="20" spans="1:5" x14ac:dyDescent="0.25">
      <c r="A20" s="444">
        <v>15</v>
      </c>
      <c r="B20" s="441" t="s">
        <v>92</v>
      </c>
      <c r="C20" s="140" t="s">
        <v>104</v>
      </c>
      <c r="D20" s="438">
        <v>3</v>
      </c>
      <c r="E20" s="439" t="s">
        <v>101</v>
      </c>
    </row>
    <row r="21" spans="1:5" x14ac:dyDescent="0.25">
      <c r="A21" s="444">
        <v>16</v>
      </c>
      <c r="B21" s="441" t="s">
        <v>390</v>
      </c>
      <c r="C21" s="140" t="s">
        <v>164</v>
      </c>
      <c r="D21" s="438">
        <v>1</v>
      </c>
      <c r="E21" s="439" t="s">
        <v>101</v>
      </c>
    </row>
    <row r="22" spans="1:5" x14ac:dyDescent="0.25">
      <c r="A22" s="444">
        <v>17</v>
      </c>
      <c r="B22" s="441" t="s">
        <v>93</v>
      </c>
      <c r="C22" s="141" t="s">
        <v>94</v>
      </c>
      <c r="D22" s="438">
        <v>1</v>
      </c>
      <c r="E22" s="439" t="s">
        <v>101</v>
      </c>
    </row>
    <row r="23" spans="1:5" x14ac:dyDescent="0.25">
      <c r="A23" s="444">
        <v>18</v>
      </c>
      <c r="B23" s="441" t="s">
        <v>95</v>
      </c>
      <c r="C23" s="140" t="s">
        <v>383</v>
      </c>
      <c r="D23" s="438">
        <v>1</v>
      </c>
      <c r="E23" s="439" t="s">
        <v>101</v>
      </c>
    </row>
    <row r="24" spans="1:5" x14ac:dyDescent="0.25">
      <c r="A24" s="444">
        <v>19</v>
      </c>
      <c r="B24" s="441" t="s">
        <v>96</v>
      </c>
      <c r="C24" s="140" t="s">
        <v>384</v>
      </c>
      <c r="D24" s="438">
        <v>1</v>
      </c>
      <c r="E24" s="439" t="s">
        <v>101</v>
      </c>
    </row>
    <row r="25" spans="1:5" x14ac:dyDescent="0.25">
      <c r="A25" s="444">
        <v>20</v>
      </c>
      <c r="B25" s="441" t="s">
        <v>97</v>
      </c>
      <c r="C25" s="140" t="s">
        <v>386</v>
      </c>
      <c r="D25" s="438">
        <v>1</v>
      </c>
      <c r="E25" s="439" t="s">
        <v>101</v>
      </c>
    </row>
    <row r="26" spans="1:5" x14ac:dyDescent="0.25">
      <c r="A26" s="444">
        <v>21</v>
      </c>
      <c r="B26" s="441" t="s">
        <v>391</v>
      </c>
      <c r="C26" s="140" t="s">
        <v>385</v>
      </c>
      <c r="D26" s="438">
        <v>1</v>
      </c>
      <c r="E26" s="439" t="s">
        <v>101</v>
      </c>
    </row>
    <row r="27" spans="1:5" x14ac:dyDescent="0.25">
      <c r="A27" s="444">
        <v>22</v>
      </c>
      <c r="B27" s="442" t="s">
        <v>163</v>
      </c>
      <c r="C27" s="135" t="s">
        <v>387</v>
      </c>
      <c r="D27" s="438">
        <v>0</v>
      </c>
      <c r="E27" s="439">
        <v>0</v>
      </c>
    </row>
    <row r="28" spans="1:5" x14ac:dyDescent="0.25">
      <c r="A28" s="444">
        <v>23</v>
      </c>
      <c r="B28" s="442" t="s">
        <v>167</v>
      </c>
      <c r="C28" s="134" t="s">
        <v>168</v>
      </c>
      <c r="D28" s="438">
        <v>1</v>
      </c>
      <c r="E28" s="439" t="s">
        <v>101</v>
      </c>
    </row>
    <row r="29" spans="1:5" x14ac:dyDescent="0.25">
      <c r="A29" s="444">
        <v>24</v>
      </c>
      <c r="B29" s="443"/>
      <c r="C29" s="134"/>
      <c r="D29" s="438"/>
      <c r="E29" s="44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opLeftCell="A4" zoomScaleNormal="100" workbookViewId="0">
      <selection activeCell="C10" sqref="C10"/>
    </sheetView>
  </sheetViews>
  <sheetFormatPr baseColWidth="10" defaultRowHeight="15" x14ac:dyDescent="0.25"/>
  <cols>
    <col min="1" max="1" width="4.28515625" style="12" bestFit="1" customWidth="1"/>
    <col min="2" max="2" width="44.42578125" customWidth="1"/>
    <col min="3" max="3" width="35.140625" customWidth="1"/>
    <col min="4" max="4" width="7" style="12" customWidth="1"/>
    <col min="5" max="5" width="7.28515625" style="12" customWidth="1"/>
    <col min="6" max="6" width="9.5703125" style="12" customWidth="1"/>
    <col min="7" max="7" width="12.7109375" style="13" customWidth="1"/>
    <col min="8" max="8" width="7.28515625" style="13" customWidth="1"/>
    <col min="9" max="9" width="13.140625" style="13" customWidth="1"/>
    <col min="10" max="10" width="9.5703125" customWidth="1"/>
  </cols>
  <sheetData>
    <row r="1" spans="1:17" ht="6.75" customHeight="1" x14ac:dyDescent="0.25"/>
    <row r="2" spans="1:17" hidden="1" x14ac:dyDescent="0.25"/>
    <row r="3" spans="1:17" ht="60.75" customHeight="1" x14ac:dyDescent="0.25">
      <c r="A3" s="446"/>
      <c r="B3" s="8"/>
      <c r="C3" s="8"/>
      <c r="D3" s="446"/>
      <c r="E3" s="447"/>
      <c r="F3" s="447"/>
      <c r="G3" s="8"/>
      <c r="H3" s="448"/>
      <c r="I3" s="448"/>
      <c r="J3" s="448"/>
    </row>
    <row r="4" spans="1:17" ht="26.25" x14ac:dyDescent="0.25">
      <c r="A4" s="14"/>
      <c r="B4" s="9"/>
      <c r="C4" s="9" t="s">
        <v>748</v>
      </c>
      <c r="D4" s="14"/>
      <c r="E4" s="9"/>
      <c r="F4" s="9"/>
      <c r="G4" s="9"/>
      <c r="H4" s="14"/>
      <c r="I4" s="14"/>
      <c r="J4" s="14"/>
    </row>
    <row r="5" spans="1:17" ht="40.5" customHeight="1" thickBot="1" x14ac:dyDescent="0.3">
      <c r="B5" s="228">
        <v>44809</v>
      </c>
      <c r="D5" s="772" t="s">
        <v>749</v>
      </c>
      <c r="E5" s="772"/>
      <c r="G5" s="449"/>
      <c r="I5" s="773" t="s">
        <v>750</v>
      </c>
      <c r="J5" s="773"/>
    </row>
    <row r="6" spans="1:17" ht="27" thickBot="1" x14ac:dyDescent="0.3">
      <c r="B6" s="15" t="s">
        <v>35</v>
      </c>
      <c r="C6" s="450" t="s">
        <v>751</v>
      </c>
      <c r="D6" s="451" t="s">
        <v>36</v>
      </c>
      <c r="E6" s="452" t="s">
        <v>22</v>
      </c>
      <c r="F6" s="453" t="s">
        <v>259</v>
      </c>
      <c r="G6" s="774" t="s">
        <v>752</v>
      </c>
      <c r="H6" s="775"/>
      <c r="I6" s="454" t="s">
        <v>583</v>
      </c>
      <c r="J6" s="454" t="s">
        <v>753</v>
      </c>
    </row>
    <row r="7" spans="1:17" ht="15.75" thickBot="1" x14ac:dyDescent="0.3">
      <c r="A7" s="455">
        <v>1</v>
      </c>
      <c r="B7" s="16" t="s">
        <v>249</v>
      </c>
      <c r="C7" s="456" t="s">
        <v>251</v>
      </c>
      <c r="D7" s="457" t="s">
        <v>37</v>
      </c>
      <c r="E7" s="458">
        <v>10</v>
      </c>
      <c r="F7" s="459">
        <v>10</v>
      </c>
      <c r="G7" s="776" t="s">
        <v>754</v>
      </c>
      <c r="H7" s="777"/>
      <c r="I7" s="460">
        <f>8*200</f>
        <v>1600</v>
      </c>
      <c r="J7" s="461" t="e">
        <f>+I7/$L$5</f>
        <v>#DIV/0!</v>
      </c>
    </row>
    <row r="8" spans="1:17" ht="15.75" thickBot="1" x14ac:dyDescent="0.3">
      <c r="A8" s="462">
        <v>2</v>
      </c>
      <c r="B8" s="231" t="s">
        <v>250</v>
      </c>
      <c r="C8" s="463" t="s">
        <v>252</v>
      </c>
      <c r="D8" s="464" t="s">
        <v>37</v>
      </c>
      <c r="E8" s="465">
        <v>10</v>
      </c>
      <c r="F8" s="466">
        <v>10</v>
      </c>
      <c r="G8" s="778" t="s">
        <v>755</v>
      </c>
      <c r="H8" s="779"/>
      <c r="I8" s="467">
        <f>8*200</f>
        <v>1600</v>
      </c>
      <c r="J8" s="468" t="e">
        <f>+I8/$L$5</f>
        <v>#DIV/0!</v>
      </c>
    </row>
    <row r="9" spans="1:17" ht="24" customHeight="1" x14ac:dyDescent="0.25">
      <c r="A9" s="701">
        <v>3</v>
      </c>
      <c r="B9" s="726" t="s">
        <v>554</v>
      </c>
      <c r="C9" s="469" t="s">
        <v>253</v>
      </c>
      <c r="D9" s="470" t="s">
        <v>37</v>
      </c>
      <c r="E9" s="471">
        <v>40</v>
      </c>
      <c r="F9" s="769">
        <f>SUM(E9:E12)</f>
        <v>75.185000000000002</v>
      </c>
      <c r="G9" s="472" t="s">
        <v>756</v>
      </c>
      <c r="H9" s="473">
        <f>+F9/0.75</f>
        <v>100.24666666666667</v>
      </c>
      <c r="I9" s="474">
        <f>2*3.5*H9</f>
        <v>701.72666666666669</v>
      </c>
      <c r="J9" s="475" t="e">
        <f>+I9/$L$5</f>
        <v>#DIV/0!</v>
      </c>
      <c r="O9">
        <f>25/H11+18/H13</f>
        <v>2.9128150561947197</v>
      </c>
    </row>
    <row r="10" spans="1:17" x14ac:dyDescent="0.25">
      <c r="A10" s="725"/>
      <c r="B10" s="727"/>
      <c r="C10" s="476" t="s">
        <v>254</v>
      </c>
      <c r="D10" s="477" t="s">
        <v>37</v>
      </c>
      <c r="E10" s="478">
        <v>15</v>
      </c>
      <c r="F10" s="770"/>
      <c r="G10" s="479"/>
      <c r="H10" s="480"/>
      <c r="I10" s="481"/>
      <c r="J10" s="482"/>
      <c r="N10">
        <f>40/H11+30/H13</f>
        <v>4.7881891334707714</v>
      </c>
    </row>
    <row r="11" spans="1:17" x14ac:dyDescent="0.25">
      <c r="A11" s="725"/>
      <c r="B11" s="737"/>
      <c r="C11" s="483" t="s">
        <v>255</v>
      </c>
      <c r="D11" s="484" t="s">
        <v>37</v>
      </c>
      <c r="E11" s="485">
        <v>20</v>
      </c>
      <c r="F11" s="770"/>
      <c r="G11" s="486" t="s">
        <v>757</v>
      </c>
      <c r="H11" s="487">
        <f>+F9/3</f>
        <v>25.061666666666667</v>
      </c>
      <c r="I11" s="488">
        <f>2*5*H11</f>
        <v>250.61666666666667</v>
      </c>
      <c r="J11" s="489" t="e">
        <f>+I11/$L$5</f>
        <v>#DIV/0!</v>
      </c>
      <c r="M11" s="64"/>
    </row>
    <row r="12" spans="1:17" x14ac:dyDescent="0.25">
      <c r="A12" s="725"/>
      <c r="B12" s="737"/>
      <c r="C12" s="483" t="s">
        <v>256</v>
      </c>
      <c r="D12" s="484" t="s">
        <v>37</v>
      </c>
      <c r="E12" s="485">
        <v>0.185</v>
      </c>
      <c r="F12" s="770"/>
      <c r="G12" s="479"/>
      <c r="H12" s="480"/>
      <c r="I12" s="481"/>
      <c r="J12" s="482"/>
      <c r="L12" s="494"/>
      <c r="M12" s="64"/>
    </row>
    <row r="13" spans="1:17" ht="15.75" thickBot="1" x14ac:dyDescent="0.3">
      <c r="A13" s="704"/>
      <c r="B13" s="737"/>
      <c r="C13" s="483" t="s">
        <v>257</v>
      </c>
      <c r="D13" s="484" t="s">
        <v>38</v>
      </c>
      <c r="E13" s="485">
        <v>60</v>
      </c>
      <c r="F13" s="771"/>
      <c r="G13" s="490" t="s">
        <v>758</v>
      </c>
      <c r="H13" s="491">
        <f>+F9/8</f>
        <v>9.3981250000000003</v>
      </c>
      <c r="I13" s="492">
        <f>2*5*H13</f>
        <v>93.981250000000003</v>
      </c>
      <c r="J13" s="493" t="e">
        <f>+I13/$L$5</f>
        <v>#DIV/0!</v>
      </c>
      <c r="M13" s="494"/>
    </row>
    <row r="14" spans="1:17" x14ac:dyDescent="0.25">
      <c r="A14" s="702">
        <v>4</v>
      </c>
      <c r="B14" s="756" t="s">
        <v>258</v>
      </c>
      <c r="C14" s="495" t="s">
        <v>260</v>
      </c>
      <c r="D14" s="496" t="s">
        <v>37</v>
      </c>
      <c r="E14" s="497">
        <v>40</v>
      </c>
      <c r="F14" s="766">
        <f>SUM(E14:E21)</f>
        <v>119.15</v>
      </c>
      <c r="G14" s="498"/>
      <c r="H14" s="499"/>
      <c r="I14" s="500"/>
      <c r="J14" s="501"/>
      <c r="L14" s="7"/>
    </row>
    <row r="15" spans="1:17" x14ac:dyDescent="0.25">
      <c r="A15" s="702"/>
      <c r="B15" s="754"/>
      <c r="C15" s="502" t="s">
        <v>261</v>
      </c>
      <c r="D15" s="503" t="s">
        <v>37</v>
      </c>
      <c r="E15" s="504">
        <v>10</v>
      </c>
      <c r="F15" s="767"/>
      <c r="G15" s="505"/>
      <c r="H15" s="499"/>
      <c r="I15" s="500"/>
      <c r="J15" s="501"/>
      <c r="L15" s="7"/>
      <c r="Q15">
        <f>+N10+O9</f>
        <v>7.7010041896654915</v>
      </c>
    </row>
    <row r="16" spans="1:17" x14ac:dyDescent="0.25">
      <c r="A16" s="702"/>
      <c r="B16" s="754"/>
      <c r="C16" s="506" t="s">
        <v>267</v>
      </c>
      <c r="D16" s="503" t="s">
        <v>37</v>
      </c>
      <c r="E16" s="507">
        <v>10</v>
      </c>
      <c r="F16" s="767"/>
      <c r="G16" s="508" t="s">
        <v>759</v>
      </c>
      <c r="H16" s="509">
        <f>+F14/6</f>
        <v>19.858333333333334</v>
      </c>
      <c r="I16" s="510">
        <f>2*8.5*H16</f>
        <v>337.5916666666667</v>
      </c>
      <c r="J16" s="489" t="e">
        <f>+I16/$L$5</f>
        <v>#DIV/0!</v>
      </c>
      <c r="Q16" t="s">
        <v>862</v>
      </c>
    </row>
    <row r="17" spans="1:15" x14ac:dyDescent="0.25">
      <c r="A17" s="725"/>
      <c r="B17" s="754"/>
      <c r="C17" s="506" t="s">
        <v>262</v>
      </c>
      <c r="D17" s="503" t="s">
        <v>37</v>
      </c>
      <c r="E17" s="507">
        <v>23</v>
      </c>
      <c r="F17" s="767"/>
      <c r="G17" s="505"/>
      <c r="H17" s="511"/>
      <c r="I17" s="512"/>
      <c r="J17" s="501"/>
      <c r="L17" s="64"/>
    </row>
    <row r="18" spans="1:15" x14ac:dyDescent="0.25">
      <c r="A18" s="725"/>
      <c r="B18" s="754"/>
      <c r="C18" s="506" t="s">
        <v>263</v>
      </c>
      <c r="D18" s="503" t="s">
        <v>37</v>
      </c>
      <c r="E18" s="507">
        <v>0.15</v>
      </c>
      <c r="F18" s="767"/>
      <c r="G18" s="505"/>
      <c r="H18" s="511"/>
      <c r="I18" s="512"/>
      <c r="J18" s="501"/>
      <c r="L18" s="494"/>
    </row>
    <row r="19" spans="1:15" x14ac:dyDescent="0.25">
      <c r="A19" s="725"/>
      <c r="B19" s="754"/>
      <c r="C19" s="506" t="s">
        <v>264</v>
      </c>
      <c r="D19" s="503" t="s">
        <v>37</v>
      </c>
      <c r="E19" s="507">
        <v>4</v>
      </c>
      <c r="F19" s="767"/>
      <c r="G19" s="505"/>
      <c r="H19" s="511"/>
      <c r="I19" s="512"/>
      <c r="J19" s="501"/>
    </row>
    <row r="20" spans="1:15" x14ac:dyDescent="0.25">
      <c r="A20" s="725"/>
      <c r="B20" s="754"/>
      <c r="C20" s="506" t="s">
        <v>265</v>
      </c>
      <c r="D20" s="503" t="s">
        <v>37</v>
      </c>
      <c r="E20" s="507">
        <v>16</v>
      </c>
      <c r="F20" s="767"/>
      <c r="G20" s="508" t="s">
        <v>760</v>
      </c>
      <c r="H20" s="509">
        <f>+F14/15</f>
        <v>7.9433333333333334</v>
      </c>
      <c r="I20" s="510">
        <f>2*8.5*H20</f>
        <v>135.03666666666666</v>
      </c>
      <c r="J20" s="489" t="e">
        <f>+I20/$L$5</f>
        <v>#DIV/0!</v>
      </c>
      <c r="N20" s="64"/>
    </row>
    <row r="21" spans="1:15" ht="15.75" thickBot="1" x14ac:dyDescent="0.3">
      <c r="A21" s="736"/>
      <c r="B21" s="754"/>
      <c r="C21" s="513" t="s">
        <v>266</v>
      </c>
      <c r="D21" s="514" t="s">
        <v>37</v>
      </c>
      <c r="E21" s="515">
        <v>16</v>
      </c>
      <c r="F21" s="768"/>
      <c r="G21" s="516"/>
      <c r="H21" s="499"/>
      <c r="I21" s="500"/>
      <c r="J21" s="482"/>
    </row>
    <row r="22" spans="1:15" x14ac:dyDescent="0.25">
      <c r="A22" s="701">
        <v>5</v>
      </c>
      <c r="B22" s="764" t="s">
        <v>555</v>
      </c>
      <c r="C22" s="517" t="s">
        <v>260</v>
      </c>
      <c r="D22" s="518" t="s">
        <v>37</v>
      </c>
      <c r="E22" s="497">
        <v>40</v>
      </c>
      <c r="F22" s="729">
        <f>SUM(E22:E28)</f>
        <v>103.12</v>
      </c>
      <c r="G22" s="519" t="s">
        <v>556</v>
      </c>
      <c r="H22" s="520">
        <f>+F22/7</f>
        <v>14.731428571428571</v>
      </c>
      <c r="I22" s="521">
        <f>2*10*H22</f>
        <v>294.62857142857143</v>
      </c>
      <c r="J22" s="475" t="e">
        <f>+I22/$L$5</f>
        <v>#DIV/0!</v>
      </c>
      <c r="K22" s="64"/>
      <c r="L22" s="522"/>
      <c r="M22" s="64"/>
      <c r="N22" s="64"/>
    </row>
    <row r="23" spans="1:15" x14ac:dyDescent="0.25">
      <c r="A23" s="702"/>
      <c r="B23" s="706"/>
      <c r="C23" s="523" t="s">
        <v>261</v>
      </c>
      <c r="D23" s="524" t="s">
        <v>37</v>
      </c>
      <c r="E23" s="504">
        <v>10</v>
      </c>
      <c r="F23" s="730"/>
      <c r="G23" s="525"/>
      <c r="H23" s="526"/>
      <c r="I23" s="527"/>
      <c r="J23" s="482"/>
      <c r="L23" s="64"/>
      <c r="M23" s="64"/>
      <c r="N23" s="64"/>
    </row>
    <row r="24" spans="1:15" x14ac:dyDescent="0.25">
      <c r="A24" s="702"/>
      <c r="B24" s="706"/>
      <c r="C24" s="528" t="s">
        <v>267</v>
      </c>
      <c r="D24" s="524" t="s">
        <v>37</v>
      </c>
      <c r="E24" s="507">
        <v>10</v>
      </c>
      <c r="F24" s="730"/>
      <c r="G24" s="525"/>
      <c r="H24" s="526"/>
      <c r="I24" s="527"/>
      <c r="J24" s="482"/>
      <c r="L24" s="64"/>
      <c r="M24" s="64"/>
      <c r="O24" s="64"/>
    </row>
    <row r="25" spans="1:15" x14ac:dyDescent="0.25">
      <c r="A25" s="725"/>
      <c r="B25" s="706"/>
      <c r="C25" s="528" t="s">
        <v>262</v>
      </c>
      <c r="D25" s="524" t="s">
        <v>37</v>
      </c>
      <c r="E25" s="507">
        <v>23</v>
      </c>
      <c r="F25" s="730"/>
      <c r="G25" s="529" t="s">
        <v>557</v>
      </c>
      <c r="H25" s="530">
        <f>+F22/10</f>
        <v>10.312000000000001</v>
      </c>
      <c r="I25" s="510">
        <f>2*10*H25</f>
        <v>206.24</v>
      </c>
      <c r="J25" s="489" t="e">
        <f>+I25/$L$5</f>
        <v>#DIV/0!</v>
      </c>
      <c r="L25" s="522"/>
      <c r="M25" s="64"/>
      <c r="N25" s="64"/>
    </row>
    <row r="26" spans="1:15" x14ac:dyDescent="0.25">
      <c r="A26" s="725"/>
      <c r="B26" s="706"/>
      <c r="C26" s="531" t="s">
        <v>263</v>
      </c>
      <c r="D26" s="532" t="s">
        <v>37</v>
      </c>
      <c r="E26" s="507">
        <v>0.12</v>
      </c>
      <c r="F26" s="730"/>
      <c r="G26" s="525"/>
      <c r="H26" s="526"/>
      <c r="I26" s="533"/>
      <c r="J26" s="482"/>
      <c r="L26" s="522"/>
      <c r="M26" s="64"/>
      <c r="N26" s="64"/>
    </row>
    <row r="27" spans="1:15" x14ac:dyDescent="0.25">
      <c r="A27" s="736"/>
      <c r="B27" s="706"/>
      <c r="C27" s="528" t="s">
        <v>761</v>
      </c>
      <c r="D27" s="524" t="s">
        <v>37</v>
      </c>
      <c r="E27" s="507">
        <v>4</v>
      </c>
      <c r="F27" s="730"/>
      <c r="G27" s="529" t="s">
        <v>558</v>
      </c>
      <c r="H27" s="530">
        <f>+F22/15</f>
        <v>6.8746666666666671</v>
      </c>
      <c r="I27" s="510">
        <f>2*10*H27</f>
        <v>137.49333333333334</v>
      </c>
      <c r="J27" s="489" t="e">
        <f>+I27/$L$5</f>
        <v>#DIV/0!</v>
      </c>
      <c r="L27" s="64"/>
      <c r="M27" s="64"/>
      <c r="N27" s="64"/>
    </row>
    <row r="28" spans="1:15" ht="15.75" thickBot="1" x14ac:dyDescent="0.3">
      <c r="A28" s="704"/>
      <c r="B28" s="707"/>
      <c r="C28" s="528" t="s">
        <v>265</v>
      </c>
      <c r="D28" s="534" t="s">
        <v>37</v>
      </c>
      <c r="E28" s="515">
        <v>16</v>
      </c>
      <c r="F28" s="731"/>
      <c r="G28" s="535"/>
      <c r="H28" s="536"/>
      <c r="I28" s="537"/>
      <c r="J28" s="538"/>
      <c r="M28" s="522"/>
      <c r="N28" s="64"/>
    </row>
    <row r="29" spans="1:15" x14ac:dyDescent="0.25">
      <c r="A29" s="701">
        <v>6</v>
      </c>
      <c r="B29" s="764" t="s">
        <v>561</v>
      </c>
      <c r="C29" s="517" t="s">
        <v>260</v>
      </c>
      <c r="D29" s="539" t="s">
        <v>37</v>
      </c>
      <c r="E29" s="540">
        <v>40</v>
      </c>
      <c r="F29" s="722">
        <f>SUM(E29:E35)</f>
        <v>103.12</v>
      </c>
      <c r="G29" s="541"/>
      <c r="H29" s="542"/>
      <c r="I29" s="714">
        <f>2*10*H32</f>
        <v>137.49333333333334</v>
      </c>
      <c r="J29" s="715" t="e">
        <f>+I29/$L$5</f>
        <v>#DIV/0!</v>
      </c>
    </row>
    <row r="30" spans="1:15" x14ac:dyDescent="0.25">
      <c r="A30" s="702"/>
      <c r="B30" s="706"/>
      <c r="C30" s="523" t="s">
        <v>261</v>
      </c>
      <c r="D30" s="524" t="s">
        <v>37</v>
      </c>
      <c r="E30" s="540">
        <v>10</v>
      </c>
      <c r="F30" s="723"/>
      <c r="G30" s="543"/>
      <c r="H30" s="544"/>
      <c r="I30" s="714"/>
      <c r="J30" s="716"/>
      <c r="L30" s="64"/>
      <c r="M30" s="64"/>
    </row>
    <row r="31" spans="1:15" x14ac:dyDescent="0.25">
      <c r="A31" s="725"/>
      <c r="B31" s="706"/>
      <c r="C31" s="528" t="s">
        <v>267</v>
      </c>
      <c r="D31" s="524" t="s">
        <v>37</v>
      </c>
      <c r="E31" s="545">
        <v>10</v>
      </c>
      <c r="F31" s="723"/>
      <c r="G31" s="543"/>
      <c r="H31" s="544"/>
      <c r="I31" s="714"/>
      <c r="J31" s="716"/>
    </row>
    <row r="32" spans="1:15" x14ac:dyDescent="0.25">
      <c r="A32" s="725"/>
      <c r="B32" s="706"/>
      <c r="C32" s="528" t="s">
        <v>280</v>
      </c>
      <c r="D32" s="524" t="s">
        <v>37</v>
      </c>
      <c r="E32" s="545">
        <v>23</v>
      </c>
      <c r="F32" s="723"/>
      <c r="G32" s="525" t="s">
        <v>559</v>
      </c>
      <c r="H32" s="546">
        <f>+F29/15</f>
        <v>6.8746666666666671</v>
      </c>
      <c r="I32" s="714"/>
      <c r="J32" s="716"/>
      <c r="L32" s="1"/>
      <c r="M32" s="64"/>
      <c r="N32" s="64"/>
    </row>
    <row r="33" spans="1:12" x14ac:dyDescent="0.25">
      <c r="A33" s="736"/>
      <c r="B33" s="706"/>
      <c r="C33" s="531" t="s">
        <v>263</v>
      </c>
      <c r="D33" s="532" t="s">
        <v>37</v>
      </c>
      <c r="E33" s="545">
        <v>0.12</v>
      </c>
      <c r="F33" s="723"/>
      <c r="G33" s="543"/>
      <c r="H33" s="544"/>
      <c r="I33" s="714"/>
      <c r="J33" s="716"/>
      <c r="L33" s="7"/>
    </row>
    <row r="34" spans="1:12" x14ac:dyDescent="0.25">
      <c r="A34" s="736"/>
      <c r="B34" s="706"/>
      <c r="C34" s="528" t="s">
        <v>761</v>
      </c>
      <c r="D34" s="524" t="s">
        <v>37</v>
      </c>
      <c r="E34" s="545">
        <v>4</v>
      </c>
      <c r="F34" s="723"/>
      <c r="G34" s="543"/>
      <c r="H34" s="544"/>
      <c r="I34" s="714"/>
      <c r="J34" s="716"/>
      <c r="L34" s="64"/>
    </row>
    <row r="35" spans="1:12" ht="15.75" thickBot="1" x14ac:dyDescent="0.3">
      <c r="A35" s="736"/>
      <c r="B35" s="706"/>
      <c r="C35" s="528" t="s">
        <v>265</v>
      </c>
      <c r="D35" s="524" t="s">
        <v>37</v>
      </c>
      <c r="E35" s="545">
        <v>16</v>
      </c>
      <c r="F35" s="723"/>
      <c r="G35" s="543"/>
      <c r="H35" s="544"/>
      <c r="I35" s="765"/>
      <c r="J35" s="735"/>
    </row>
    <row r="36" spans="1:12" x14ac:dyDescent="0.25">
      <c r="A36" s="701">
        <v>7</v>
      </c>
      <c r="B36" s="764" t="s">
        <v>560</v>
      </c>
      <c r="C36" s="517" t="s">
        <v>260</v>
      </c>
      <c r="D36" s="524" t="s">
        <v>37</v>
      </c>
      <c r="E36" s="547">
        <v>40</v>
      </c>
      <c r="F36" s="722">
        <f>SUM(E36:E42)</f>
        <v>103.1</v>
      </c>
      <c r="G36" s="548"/>
      <c r="H36" s="549"/>
      <c r="I36" s="713">
        <f>2*10*H38</f>
        <v>294.57142857142856</v>
      </c>
      <c r="J36" s="715" t="e">
        <f>+I36/$L$5</f>
        <v>#DIV/0!</v>
      </c>
    </row>
    <row r="37" spans="1:12" x14ac:dyDescent="0.25">
      <c r="A37" s="702"/>
      <c r="B37" s="706"/>
      <c r="C37" s="523" t="s">
        <v>261</v>
      </c>
      <c r="D37" s="524" t="s">
        <v>37</v>
      </c>
      <c r="E37" s="540">
        <v>10</v>
      </c>
      <c r="F37" s="723"/>
      <c r="G37" s="550"/>
      <c r="H37" s="551"/>
      <c r="I37" s="714"/>
      <c r="J37" s="716"/>
    </row>
    <row r="38" spans="1:12" x14ac:dyDescent="0.25">
      <c r="A38" s="725"/>
      <c r="B38" s="706"/>
      <c r="C38" s="528" t="s">
        <v>267</v>
      </c>
      <c r="D38" s="524" t="s">
        <v>37</v>
      </c>
      <c r="E38" s="545">
        <v>10</v>
      </c>
      <c r="F38" s="723"/>
      <c r="G38" s="525" t="s">
        <v>762</v>
      </c>
      <c r="H38" s="551">
        <f>+F36/7</f>
        <v>14.728571428571428</v>
      </c>
      <c r="I38" s="714"/>
      <c r="J38" s="716"/>
    </row>
    <row r="39" spans="1:12" x14ac:dyDescent="0.25">
      <c r="A39" s="725"/>
      <c r="B39" s="706"/>
      <c r="C39" s="528" t="s">
        <v>262</v>
      </c>
      <c r="D39" s="524" t="s">
        <v>37</v>
      </c>
      <c r="E39" s="545">
        <v>23</v>
      </c>
      <c r="F39" s="723"/>
      <c r="G39" s="525"/>
      <c r="H39" s="551"/>
      <c r="I39" s="714"/>
      <c r="J39" s="716"/>
    </row>
    <row r="40" spans="1:12" x14ac:dyDescent="0.25">
      <c r="A40" s="736"/>
      <c r="B40" s="706"/>
      <c r="C40" s="531" t="s">
        <v>263</v>
      </c>
      <c r="D40" s="532" t="s">
        <v>37</v>
      </c>
      <c r="E40" s="545">
        <v>0.1</v>
      </c>
      <c r="F40" s="723"/>
      <c r="G40" s="550"/>
      <c r="H40" s="551"/>
      <c r="I40" s="714"/>
      <c r="J40" s="716"/>
    </row>
    <row r="41" spans="1:12" x14ac:dyDescent="0.25">
      <c r="A41" s="736"/>
      <c r="B41" s="706"/>
      <c r="C41" s="528" t="s">
        <v>761</v>
      </c>
      <c r="D41" s="524" t="s">
        <v>37</v>
      </c>
      <c r="E41" s="545">
        <v>4</v>
      </c>
      <c r="F41" s="723"/>
      <c r="G41" s="550"/>
      <c r="H41" s="551"/>
      <c r="I41" s="714"/>
      <c r="J41" s="716"/>
    </row>
    <row r="42" spans="1:12" ht="15.75" thickBot="1" x14ac:dyDescent="0.3">
      <c r="A42" s="736"/>
      <c r="B42" s="706"/>
      <c r="C42" s="528" t="s">
        <v>265</v>
      </c>
      <c r="D42" s="524" t="s">
        <v>37</v>
      </c>
      <c r="E42" s="545">
        <v>16</v>
      </c>
      <c r="F42" s="723"/>
      <c r="G42" s="550"/>
      <c r="H42" s="551"/>
      <c r="I42" s="765"/>
      <c r="J42" s="735"/>
    </row>
    <row r="43" spans="1:12" x14ac:dyDescent="0.25">
      <c r="A43" s="701">
        <v>8</v>
      </c>
      <c r="B43" s="756" t="s">
        <v>562</v>
      </c>
      <c r="C43" s="552" t="s">
        <v>281</v>
      </c>
      <c r="D43" s="553" t="s">
        <v>37</v>
      </c>
      <c r="E43" s="471">
        <v>40</v>
      </c>
      <c r="F43" s="722">
        <f>SUM(E43:E45)</f>
        <v>105</v>
      </c>
      <c r="G43" s="554"/>
      <c r="H43" s="555"/>
      <c r="I43" s="757">
        <f>2*14*H44</f>
        <v>196</v>
      </c>
      <c r="J43" s="715" t="e">
        <f>+I43/$L$5</f>
        <v>#DIV/0!</v>
      </c>
    </row>
    <row r="44" spans="1:12" x14ac:dyDescent="0.25">
      <c r="A44" s="725"/>
      <c r="B44" s="754"/>
      <c r="C44" s="556" t="s">
        <v>282</v>
      </c>
      <c r="D44" s="557" t="s">
        <v>37</v>
      </c>
      <c r="E44" s="478">
        <v>20</v>
      </c>
      <c r="F44" s="723"/>
      <c r="G44" s="525" t="s">
        <v>763</v>
      </c>
      <c r="H44" s="558">
        <f>+F43/15</f>
        <v>7</v>
      </c>
      <c r="I44" s="758"/>
      <c r="J44" s="716"/>
    </row>
    <row r="45" spans="1:12" ht="15.75" thickBot="1" x14ac:dyDescent="0.3">
      <c r="A45" s="704"/>
      <c r="B45" s="755"/>
      <c r="C45" s="559" t="s">
        <v>283</v>
      </c>
      <c r="D45" s="560" t="s">
        <v>37</v>
      </c>
      <c r="E45" s="561">
        <v>45</v>
      </c>
      <c r="F45" s="724"/>
      <c r="G45" s="562"/>
      <c r="H45" s="563"/>
      <c r="I45" s="759"/>
      <c r="J45" s="735"/>
    </row>
    <row r="46" spans="1:12" x14ac:dyDescent="0.25">
      <c r="A46" s="701">
        <v>9</v>
      </c>
      <c r="B46" s="756" t="s">
        <v>563</v>
      </c>
      <c r="C46" s="564" t="s">
        <v>284</v>
      </c>
      <c r="D46" s="553" t="s">
        <v>37</v>
      </c>
      <c r="E46" s="471">
        <v>36</v>
      </c>
      <c r="F46" s="722">
        <f>SUM(E46:E49)</f>
        <v>101.1</v>
      </c>
      <c r="G46" s="554"/>
      <c r="H46" s="555"/>
      <c r="I46" s="757">
        <f>2*14*H47</f>
        <v>188.71999999999997</v>
      </c>
      <c r="J46" s="715" t="e">
        <f>+I46/$L$5</f>
        <v>#DIV/0!</v>
      </c>
    </row>
    <row r="47" spans="1:12" x14ac:dyDescent="0.25">
      <c r="A47" s="725"/>
      <c r="B47" s="754"/>
      <c r="C47" s="556" t="s">
        <v>285</v>
      </c>
      <c r="D47" s="557" t="s">
        <v>37</v>
      </c>
      <c r="E47" s="478">
        <v>42</v>
      </c>
      <c r="F47" s="723"/>
      <c r="G47" s="525" t="s">
        <v>565</v>
      </c>
      <c r="H47" s="565">
        <f>+F46/15</f>
        <v>6.7399999999999993</v>
      </c>
      <c r="I47" s="758"/>
      <c r="J47" s="716"/>
    </row>
    <row r="48" spans="1:12" x14ac:dyDescent="0.25">
      <c r="A48" s="736"/>
      <c r="B48" s="754"/>
      <c r="C48" s="556" t="s">
        <v>286</v>
      </c>
      <c r="D48" s="557" t="s">
        <v>37</v>
      </c>
      <c r="E48" s="485">
        <v>0.1</v>
      </c>
      <c r="F48" s="723"/>
      <c r="G48" s="525"/>
      <c r="H48" s="565"/>
      <c r="I48" s="758"/>
      <c r="J48" s="716"/>
    </row>
    <row r="49" spans="1:10" ht="15.75" thickBot="1" x14ac:dyDescent="0.3">
      <c r="A49" s="704"/>
      <c r="B49" s="755"/>
      <c r="C49" s="559" t="s">
        <v>287</v>
      </c>
      <c r="D49" s="560" t="s">
        <v>37</v>
      </c>
      <c r="E49" s="561">
        <v>23</v>
      </c>
      <c r="F49" s="724"/>
      <c r="G49" s="562"/>
      <c r="H49" s="563"/>
      <c r="I49" s="759"/>
      <c r="J49" s="735"/>
    </row>
    <row r="50" spans="1:10" ht="15.75" thickBot="1" x14ac:dyDescent="0.3">
      <c r="A50" s="462">
        <v>10</v>
      </c>
      <c r="B50" s="566" t="s">
        <v>564</v>
      </c>
      <c r="C50" s="567" t="s">
        <v>764</v>
      </c>
      <c r="D50" s="568" t="s">
        <v>37</v>
      </c>
      <c r="E50" s="459">
        <v>10</v>
      </c>
      <c r="F50" s="569">
        <v>10</v>
      </c>
      <c r="G50" s="570" t="s">
        <v>765</v>
      </c>
      <c r="H50" s="571">
        <f>+F50/0.085</f>
        <v>117.64705882352941</v>
      </c>
      <c r="I50" s="572">
        <f>90*8</f>
        <v>720</v>
      </c>
      <c r="J50" s="468" t="e">
        <f>+I50/$L$5</f>
        <v>#DIV/0!</v>
      </c>
    </row>
    <row r="51" spans="1:10" ht="15.75" thickBot="1" x14ac:dyDescent="0.3">
      <c r="A51" s="455">
        <v>11</v>
      </c>
      <c r="B51" s="573" t="s">
        <v>566</v>
      </c>
      <c r="C51" s="574" t="s">
        <v>288</v>
      </c>
      <c r="D51" s="575" t="s">
        <v>37</v>
      </c>
      <c r="E51" s="576">
        <v>10</v>
      </c>
      <c r="F51" s="459">
        <v>10</v>
      </c>
      <c r="G51" s="570" t="s">
        <v>766</v>
      </c>
      <c r="H51" s="571">
        <f>+F51/0.05</f>
        <v>200</v>
      </c>
      <c r="I51" s="577">
        <f>90*8</f>
        <v>720</v>
      </c>
      <c r="J51" s="468" t="e">
        <f>+I51/$L$5</f>
        <v>#DIV/0!</v>
      </c>
    </row>
    <row r="52" spans="1:10" x14ac:dyDescent="0.25">
      <c r="A52" s="717">
        <v>12</v>
      </c>
      <c r="B52" s="231"/>
      <c r="C52" s="517" t="s">
        <v>289</v>
      </c>
      <c r="D52" s="518" t="s">
        <v>37</v>
      </c>
      <c r="E52" s="547">
        <v>50</v>
      </c>
      <c r="F52" s="717">
        <f>SUM(E52:E54)</f>
        <v>56.25</v>
      </c>
      <c r="G52" s="760" t="s">
        <v>767</v>
      </c>
      <c r="H52" s="749">
        <f>+F52/1.25</f>
        <v>45</v>
      </c>
      <c r="I52" s="719">
        <f>8*80</f>
        <v>640</v>
      </c>
      <c r="J52" s="715" t="e">
        <f>+I52/$L$5</f>
        <v>#DIV/0!</v>
      </c>
    </row>
    <row r="53" spans="1:10" x14ac:dyDescent="0.25">
      <c r="A53" s="703"/>
      <c r="B53" s="754" t="s">
        <v>567</v>
      </c>
      <c r="C53" s="528" t="s">
        <v>290</v>
      </c>
      <c r="D53" s="524" t="s">
        <v>37</v>
      </c>
      <c r="E53" s="578">
        <v>6</v>
      </c>
      <c r="F53" s="703"/>
      <c r="G53" s="761"/>
      <c r="H53" s="763"/>
      <c r="I53" s="720"/>
      <c r="J53" s="716"/>
    </row>
    <row r="54" spans="1:10" ht="15.75" thickBot="1" x14ac:dyDescent="0.3">
      <c r="A54" s="718"/>
      <c r="B54" s="755"/>
      <c r="C54" s="579" t="s">
        <v>291</v>
      </c>
      <c r="D54" s="534" t="s">
        <v>37</v>
      </c>
      <c r="E54" s="580">
        <v>0.25</v>
      </c>
      <c r="F54" s="718"/>
      <c r="G54" s="762"/>
      <c r="H54" s="750"/>
      <c r="I54" s="721"/>
      <c r="J54" s="735"/>
    </row>
    <row r="55" spans="1:10" x14ac:dyDescent="0.25">
      <c r="A55" s="717">
        <v>13</v>
      </c>
      <c r="B55" s="751" t="s">
        <v>568</v>
      </c>
      <c r="C55" s="581" t="s">
        <v>292</v>
      </c>
      <c r="D55" s="582" t="s">
        <v>37</v>
      </c>
      <c r="E55" s="540">
        <v>42.5</v>
      </c>
      <c r="F55" s="722">
        <f>SUM(E55:E57)</f>
        <v>92.5</v>
      </c>
      <c r="G55" s="554"/>
      <c r="H55" s="555"/>
      <c r="I55" s="719">
        <f>8*80</f>
        <v>640</v>
      </c>
      <c r="J55" s="715" t="e">
        <f>+I55/$L$5</f>
        <v>#DIV/0!</v>
      </c>
    </row>
    <row r="56" spans="1:10" x14ac:dyDescent="0.25">
      <c r="A56" s="703"/>
      <c r="B56" s="752"/>
      <c r="C56" s="531" t="s">
        <v>293</v>
      </c>
      <c r="D56" s="532" t="s">
        <v>37</v>
      </c>
      <c r="E56" s="545">
        <v>20</v>
      </c>
      <c r="F56" s="723"/>
      <c r="G56" s="525" t="s">
        <v>569</v>
      </c>
      <c r="H56" s="583">
        <f>+F55/1</f>
        <v>92.5</v>
      </c>
      <c r="I56" s="720"/>
      <c r="J56" s="716"/>
    </row>
    <row r="57" spans="1:10" ht="15.75" thickBot="1" x14ac:dyDescent="0.3">
      <c r="A57" s="718"/>
      <c r="B57" s="753"/>
      <c r="C57" s="579" t="s">
        <v>294</v>
      </c>
      <c r="D57" s="584" t="s">
        <v>37</v>
      </c>
      <c r="E57" s="580">
        <v>30</v>
      </c>
      <c r="F57" s="724"/>
      <c r="G57" s="585"/>
      <c r="H57" s="586"/>
      <c r="I57" s="721"/>
      <c r="J57" s="735"/>
    </row>
    <row r="58" spans="1:10" ht="15.75" thickBot="1" x14ac:dyDescent="0.3">
      <c r="A58" s="455">
        <v>14</v>
      </c>
      <c r="B58" s="587" t="s">
        <v>571</v>
      </c>
      <c r="C58" s="463" t="s">
        <v>295</v>
      </c>
      <c r="D58" s="464" t="s">
        <v>37</v>
      </c>
      <c r="E58" s="465">
        <v>30</v>
      </c>
      <c r="F58" s="459">
        <v>30</v>
      </c>
      <c r="G58" s="588" t="s">
        <v>570</v>
      </c>
      <c r="H58" s="571">
        <f>+F58/1</f>
        <v>30</v>
      </c>
      <c r="I58" s="572">
        <f>8*80</f>
        <v>640</v>
      </c>
      <c r="J58" s="461" t="e">
        <f>+I58/$L$5</f>
        <v>#DIV/0!</v>
      </c>
    </row>
    <row r="59" spans="1:10" ht="15.75" thickBot="1" x14ac:dyDescent="0.3">
      <c r="A59" s="455">
        <v>15</v>
      </c>
      <c r="B59" s="587" t="s">
        <v>572</v>
      </c>
      <c r="C59" s="574" t="s">
        <v>296</v>
      </c>
      <c r="D59" s="589" t="s">
        <v>37</v>
      </c>
      <c r="E59" s="590">
        <v>20</v>
      </c>
      <c r="F59" s="459">
        <v>20</v>
      </c>
      <c r="G59" s="525" t="s">
        <v>573</v>
      </c>
      <c r="H59" s="571">
        <f>+F59/1</f>
        <v>20</v>
      </c>
      <c r="I59" s="591">
        <f>8*80</f>
        <v>640</v>
      </c>
      <c r="J59" s="468" t="e">
        <f>+I59/$L$5</f>
        <v>#DIV/0!</v>
      </c>
    </row>
    <row r="60" spans="1:10" ht="15.75" thickBot="1" x14ac:dyDescent="0.3">
      <c r="A60" s="717">
        <v>16</v>
      </c>
      <c r="B60" s="745" t="s">
        <v>575</v>
      </c>
      <c r="C60" s="574" t="s">
        <v>297</v>
      </c>
      <c r="D60" s="589" t="s">
        <v>37</v>
      </c>
      <c r="E60" s="590">
        <v>20</v>
      </c>
      <c r="F60" s="722">
        <f>SUM(E60:E61)</f>
        <v>50</v>
      </c>
      <c r="G60" s="747" t="s">
        <v>574</v>
      </c>
      <c r="H60" s="749">
        <f>+F60/5</f>
        <v>10</v>
      </c>
      <c r="I60" s="719">
        <f>8*20</f>
        <v>160</v>
      </c>
      <c r="J60" s="715" t="e">
        <f>+I60/$L$5</f>
        <v>#DIV/0!</v>
      </c>
    </row>
    <row r="61" spans="1:10" ht="15.75" thickBot="1" x14ac:dyDescent="0.3">
      <c r="A61" s="718"/>
      <c r="B61" s="746"/>
      <c r="C61" s="574" t="s">
        <v>298</v>
      </c>
      <c r="D61" s="589" t="s">
        <v>156</v>
      </c>
      <c r="E61" s="590">
        <v>30</v>
      </c>
      <c r="F61" s="724"/>
      <c r="G61" s="748"/>
      <c r="H61" s="750"/>
      <c r="I61" s="721"/>
      <c r="J61" s="735"/>
    </row>
    <row r="62" spans="1:10" ht="15.75" thickBot="1" x14ac:dyDescent="0.3">
      <c r="A62" s="462">
        <v>17</v>
      </c>
      <c r="B62" s="587" t="s">
        <v>576</v>
      </c>
      <c r="C62" s="456" t="s">
        <v>299</v>
      </c>
      <c r="D62" s="457" t="s">
        <v>37</v>
      </c>
      <c r="E62" s="458">
        <v>25</v>
      </c>
      <c r="F62" s="459">
        <v>25</v>
      </c>
      <c r="G62" s="570" t="s">
        <v>768</v>
      </c>
      <c r="H62" s="571">
        <f>+F62/5</f>
        <v>5</v>
      </c>
      <c r="I62" s="592">
        <f>8*80</f>
        <v>640</v>
      </c>
      <c r="J62" s="468" t="e">
        <f>+I62/$L$5</f>
        <v>#DIV/0!</v>
      </c>
    </row>
    <row r="63" spans="1:10" ht="30" x14ac:dyDescent="0.25">
      <c r="A63" s="701">
        <v>18</v>
      </c>
      <c r="B63" s="706" t="s">
        <v>577</v>
      </c>
      <c r="C63" s="593" t="s">
        <v>769</v>
      </c>
      <c r="D63" s="594" t="s">
        <v>37</v>
      </c>
      <c r="E63" s="595">
        <v>25</v>
      </c>
      <c r="F63" s="729">
        <f>SUM(E63:E65)</f>
        <v>30.1</v>
      </c>
      <c r="G63" s="739" t="s">
        <v>578</v>
      </c>
      <c r="H63" s="596"/>
      <c r="I63" s="742">
        <f>80*4*2</f>
        <v>640</v>
      </c>
      <c r="J63" s="715" t="e">
        <f>+I63/$L$5</f>
        <v>#DIV/0!</v>
      </c>
    </row>
    <row r="64" spans="1:10" x14ac:dyDescent="0.25">
      <c r="A64" s="725"/>
      <c r="B64" s="706"/>
      <c r="C64" s="556" t="s">
        <v>300</v>
      </c>
      <c r="D64" s="557" t="s">
        <v>37</v>
      </c>
      <c r="E64" s="478">
        <v>5</v>
      </c>
      <c r="F64" s="730"/>
      <c r="G64" s="740"/>
      <c r="H64" s="597">
        <f>+F63/0.45</f>
        <v>66.888888888888886</v>
      </c>
      <c r="I64" s="743"/>
      <c r="J64" s="716"/>
    </row>
    <row r="65" spans="1:10" ht="15.75" thickBot="1" x14ac:dyDescent="0.3">
      <c r="A65" s="704"/>
      <c r="B65" s="707"/>
      <c r="C65" s="598" t="s">
        <v>301</v>
      </c>
      <c r="D65" s="557" t="s">
        <v>37</v>
      </c>
      <c r="E65" s="485">
        <v>0.1</v>
      </c>
      <c r="F65" s="731"/>
      <c r="G65" s="741"/>
      <c r="H65" s="599"/>
      <c r="I65" s="744"/>
      <c r="J65" s="735"/>
    </row>
    <row r="66" spans="1:10" x14ac:dyDescent="0.25">
      <c r="A66" s="701">
        <v>19</v>
      </c>
      <c r="B66" s="726" t="s">
        <v>579</v>
      </c>
      <c r="C66" s="574" t="s">
        <v>297</v>
      </c>
      <c r="D66" s="600" t="s">
        <v>37</v>
      </c>
      <c r="E66" s="547">
        <v>15</v>
      </c>
      <c r="F66" s="729">
        <f>SUM(E66:E72)</f>
        <v>100.25</v>
      </c>
      <c r="G66" s="601"/>
      <c r="H66" s="602"/>
      <c r="I66" s="732">
        <f>2*9*H68</f>
        <v>180.45000000000002</v>
      </c>
      <c r="J66" s="716" t="e">
        <f>+I66/$L$5</f>
        <v>#DIV/0!</v>
      </c>
    </row>
    <row r="67" spans="1:10" x14ac:dyDescent="0.25">
      <c r="A67" s="725"/>
      <c r="B67" s="727" t="s">
        <v>34</v>
      </c>
      <c r="C67" s="531" t="s">
        <v>300</v>
      </c>
      <c r="D67" s="532" t="s">
        <v>37</v>
      </c>
      <c r="E67" s="545">
        <v>60</v>
      </c>
      <c r="F67" s="730"/>
      <c r="G67" s="603"/>
      <c r="H67" s="604"/>
      <c r="I67" s="733"/>
      <c r="J67" s="716"/>
    </row>
    <row r="68" spans="1:10" x14ac:dyDescent="0.25">
      <c r="A68" s="736"/>
      <c r="B68" s="737"/>
      <c r="C68" s="528" t="s">
        <v>302</v>
      </c>
      <c r="D68" s="532" t="s">
        <v>37</v>
      </c>
      <c r="E68" s="545">
        <v>7</v>
      </c>
      <c r="F68" s="730"/>
      <c r="G68" s="738" t="s">
        <v>580</v>
      </c>
      <c r="H68" s="604">
        <f>+F66/10</f>
        <v>10.025</v>
      </c>
      <c r="I68" s="733"/>
      <c r="J68" s="716"/>
    </row>
    <row r="69" spans="1:10" x14ac:dyDescent="0.25">
      <c r="A69" s="736"/>
      <c r="B69" s="737"/>
      <c r="C69" s="605" t="s">
        <v>303</v>
      </c>
      <c r="D69" s="532" t="s">
        <v>37</v>
      </c>
      <c r="E69" s="545">
        <v>9</v>
      </c>
      <c r="F69" s="730"/>
      <c r="G69" s="738"/>
      <c r="H69" s="604"/>
      <c r="I69" s="733"/>
      <c r="J69" s="716"/>
    </row>
    <row r="70" spans="1:10" x14ac:dyDescent="0.25">
      <c r="A70" s="736"/>
      <c r="B70" s="737"/>
      <c r="C70" s="605" t="s">
        <v>860</v>
      </c>
      <c r="D70" s="532" t="s">
        <v>37</v>
      </c>
      <c r="E70" s="545">
        <v>7</v>
      </c>
      <c r="F70" s="730"/>
      <c r="G70" s="692"/>
      <c r="H70" s="604"/>
      <c r="I70" s="733"/>
      <c r="J70" s="716"/>
    </row>
    <row r="71" spans="1:10" x14ac:dyDescent="0.25">
      <c r="A71" s="736"/>
      <c r="B71" s="737"/>
      <c r="C71" s="531" t="s">
        <v>839</v>
      </c>
      <c r="D71" s="532" t="s">
        <v>37</v>
      </c>
      <c r="E71" s="545">
        <v>2</v>
      </c>
      <c r="F71" s="730"/>
      <c r="G71" s="603"/>
      <c r="H71" s="604"/>
      <c r="I71" s="733"/>
      <c r="J71" s="716"/>
    </row>
    <row r="72" spans="1:10" ht="15.75" thickBot="1" x14ac:dyDescent="0.3">
      <c r="A72" s="704"/>
      <c r="B72" s="728"/>
      <c r="C72" s="598" t="s">
        <v>840</v>
      </c>
      <c r="D72" s="584" t="s">
        <v>37</v>
      </c>
      <c r="E72" s="580">
        <v>0.25</v>
      </c>
      <c r="F72" s="731"/>
      <c r="G72" s="606"/>
      <c r="H72" s="607"/>
      <c r="I72" s="734"/>
      <c r="J72" s="716"/>
    </row>
    <row r="73" spans="1:10" x14ac:dyDescent="0.25">
      <c r="A73" s="701">
        <v>20</v>
      </c>
      <c r="B73" s="726" t="s">
        <v>581</v>
      </c>
      <c r="C73" s="574" t="s">
        <v>297</v>
      </c>
      <c r="D73" s="600" t="s">
        <v>37</v>
      </c>
      <c r="E73" s="547">
        <v>24</v>
      </c>
      <c r="F73" s="729">
        <f>SUM(E73:E75)</f>
        <v>84.185000000000002</v>
      </c>
      <c r="G73" s="601"/>
      <c r="H73" s="602"/>
      <c r="I73" s="732">
        <f>2*6*H74</f>
        <v>84.185000000000002</v>
      </c>
      <c r="J73" s="715" t="e">
        <f>+I73/$L$5</f>
        <v>#DIV/0!</v>
      </c>
    </row>
    <row r="74" spans="1:10" x14ac:dyDescent="0.25">
      <c r="A74" s="725"/>
      <c r="B74" s="727" t="s">
        <v>34</v>
      </c>
      <c r="C74" s="531" t="s">
        <v>300</v>
      </c>
      <c r="D74" s="532" t="s">
        <v>37</v>
      </c>
      <c r="E74" s="545">
        <v>60</v>
      </c>
      <c r="F74" s="730"/>
      <c r="G74" s="608" t="s">
        <v>582</v>
      </c>
      <c r="H74" s="604">
        <f>+F73/12</f>
        <v>7.0154166666666669</v>
      </c>
      <c r="I74" s="733"/>
      <c r="J74" s="716"/>
    </row>
    <row r="75" spans="1:10" ht="15.75" thickBot="1" x14ac:dyDescent="0.3">
      <c r="A75" s="704"/>
      <c r="B75" s="728"/>
      <c r="C75" s="598" t="s">
        <v>301</v>
      </c>
      <c r="D75" s="584" t="s">
        <v>37</v>
      </c>
      <c r="E75" s="580">
        <v>0.185</v>
      </c>
      <c r="F75" s="731"/>
      <c r="G75" s="606"/>
      <c r="H75" s="607"/>
      <c r="I75" s="734"/>
      <c r="J75" s="735"/>
    </row>
    <row r="76" spans="1:10" x14ac:dyDescent="0.25">
      <c r="A76" s="701">
        <v>21</v>
      </c>
      <c r="B76" s="726" t="s">
        <v>304</v>
      </c>
      <c r="C76" s="574" t="s">
        <v>307</v>
      </c>
      <c r="D76" s="600" t="s">
        <v>37</v>
      </c>
      <c r="E76" s="547">
        <v>20</v>
      </c>
      <c r="F76" s="729">
        <f>SUM(E76:E78)</f>
        <v>30</v>
      </c>
      <c r="G76" s="601"/>
      <c r="H76" s="602"/>
      <c r="I76" s="732">
        <f>30*H77*2</f>
        <v>40</v>
      </c>
      <c r="J76" s="716" t="e">
        <f>+I76/$L$5</f>
        <v>#DIV/0!</v>
      </c>
    </row>
    <row r="77" spans="1:10" x14ac:dyDescent="0.25">
      <c r="A77" s="725"/>
      <c r="B77" s="727" t="s">
        <v>34</v>
      </c>
      <c r="C77" s="531" t="s">
        <v>300</v>
      </c>
      <c r="D77" s="532" t="s">
        <v>37</v>
      </c>
      <c r="E77" s="545">
        <v>5</v>
      </c>
      <c r="F77" s="730"/>
      <c r="G77" s="608" t="s">
        <v>770</v>
      </c>
      <c r="H77" s="604">
        <f>20/F76</f>
        <v>0.66666666666666663</v>
      </c>
      <c r="I77" s="733"/>
      <c r="J77" s="716"/>
    </row>
    <row r="78" spans="1:10" ht="15.75" thickBot="1" x14ac:dyDescent="0.3">
      <c r="A78" s="704"/>
      <c r="B78" s="728"/>
      <c r="C78" s="598" t="s">
        <v>302</v>
      </c>
      <c r="D78" s="684" t="s">
        <v>37</v>
      </c>
      <c r="E78" s="685">
        <v>5</v>
      </c>
      <c r="F78" s="731"/>
      <c r="G78" s="606"/>
      <c r="H78" s="607"/>
      <c r="I78" s="734"/>
      <c r="J78" s="735"/>
    </row>
    <row r="79" spans="1:10" x14ac:dyDescent="0.25">
      <c r="A79" s="717">
        <v>22</v>
      </c>
      <c r="B79" s="719" t="s">
        <v>801</v>
      </c>
      <c r="C79" s="574" t="s">
        <v>260</v>
      </c>
      <c r="D79" s="686" t="s">
        <v>37</v>
      </c>
      <c r="E79" s="687">
        <v>41</v>
      </c>
      <c r="F79" s="722">
        <f>SUM(E79:E86)</f>
        <v>120.12</v>
      </c>
      <c r="G79" s="603"/>
      <c r="H79" s="604"/>
      <c r="I79" s="630"/>
      <c r="J79" s="629"/>
    </row>
    <row r="80" spans="1:10" x14ac:dyDescent="0.25">
      <c r="A80" s="703"/>
      <c r="B80" s="720"/>
      <c r="C80" s="463" t="s">
        <v>261</v>
      </c>
      <c r="D80" s="633" t="s">
        <v>37</v>
      </c>
      <c r="E80" s="634">
        <v>10</v>
      </c>
      <c r="F80" s="723"/>
      <c r="G80" s="603"/>
      <c r="H80" s="604"/>
      <c r="I80" s="630"/>
      <c r="J80" s="629"/>
    </row>
    <row r="81" spans="1:14" x14ac:dyDescent="0.25">
      <c r="A81" s="703"/>
      <c r="B81" s="720"/>
      <c r="C81" s="463" t="s">
        <v>267</v>
      </c>
      <c r="D81" s="633" t="s">
        <v>37</v>
      </c>
      <c r="E81" s="634">
        <v>10</v>
      </c>
      <c r="F81" s="723"/>
      <c r="G81" s="603"/>
      <c r="H81" s="604"/>
      <c r="I81" s="630"/>
      <c r="J81" s="629"/>
    </row>
    <row r="82" spans="1:14" ht="16.5" customHeight="1" x14ac:dyDescent="0.25">
      <c r="A82" s="703"/>
      <c r="B82" s="720"/>
      <c r="C82" s="463" t="s">
        <v>262</v>
      </c>
      <c r="D82" s="633" t="s">
        <v>37</v>
      </c>
      <c r="E82" s="634">
        <v>30</v>
      </c>
      <c r="F82" s="723"/>
      <c r="G82" s="603" t="s">
        <v>771</v>
      </c>
      <c r="H82" s="604">
        <f>+F79/15</f>
        <v>8.0080000000000009</v>
      </c>
      <c r="I82" s="630">
        <f>2*10*H82</f>
        <v>160.16000000000003</v>
      </c>
      <c r="J82" s="629" t="e">
        <f>+I82/$L$5</f>
        <v>#DIV/0!</v>
      </c>
    </row>
    <row r="83" spans="1:14" x14ac:dyDescent="0.25">
      <c r="A83" s="703"/>
      <c r="B83" s="720"/>
      <c r="C83" s="463" t="s">
        <v>263</v>
      </c>
      <c r="D83" s="633" t="s">
        <v>37</v>
      </c>
      <c r="E83" s="634">
        <v>0.12</v>
      </c>
      <c r="F83" s="723"/>
      <c r="G83" s="603"/>
      <c r="H83" s="604"/>
      <c r="I83" s="630"/>
      <c r="J83" s="629"/>
    </row>
    <row r="84" spans="1:14" x14ac:dyDescent="0.25">
      <c r="A84" s="703"/>
      <c r="B84" s="720"/>
      <c r="C84" s="463" t="s">
        <v>264</v>
      </c>
      <c r="D84" s="633" t="s">
        <v>37</v>
      </c>
      <c r="E84" s="634">
        <v>10</v>
      </c>
      <c r="F84" s="723"/>
      <c r="G84" s="603"/>
      <c r="H84" s="604"/>
      <c r="I84" s="630"/>
      <c r="J84" s="629"/>
    </row>
    <row r="85" spans="1:14" x14ac:dyDescent="0.25">
      <c r="A85" s="703"/>
      <c r="B85" s="720"/>
      <c r="C85" s="463" t="s">
        <v>265</v>
      </c>
      <c r="D85" s="633" t="s">
        <v>37</v>
      </c>
      <c r="E85" s="634">
        <v>16</v>
      </c>
      <c r="F85" s="723"/>
      <c r="G85" s="603"/>
      <c r="H85" s="604"/>
      <c r="I85" s="630"/>
      <c r="J85" s="629"/>
    </row>
    <row r="86" spans="1:14" ht="15.75" thickBot="1" x14ac:dyDescent="0.3">
      <c r="A86" s="718"/>
      <c r="B86" s="721"/>
      <c r="C86" s="635" t="s">
        <v>772</v>
      </c>
      <c r="D86" s="688" t="s">
        <v>37</v>
      </c>
      <c r="E86" s="689">
        <v>3</v>
      </c>
      <c r="F86" s="724"/>
      <c r="G86" s="603"/>
      <c r="H86" s="604"/>
      <c r="I86" s="630"/>
      <c r="J86" s="629"/>
    </row>
    <row r="87" spans="1:14" x14ac:dyDescent="0.25">
      <c r="A87" s="701">
        <v>23</v>
      </c>
      <c r="B87" s="705" t="s">
        <v>814</v>
      </c>
      <c r="C87" s="523" t="s">
        <v>802</v>
      </c>
      <c r="D87" s="518" t="s">
        <v>37</v>
      </c>
      <c r="E87" s="497">
        <f>3*7</f>
        <v>21</v>
      </c>
      <c r="F87" s="708">
        <f>SUM(E87:E91)</f>
        <v>51</v>
      </c>
      <c r="G87" s="711" t="s">
        <v>813</v>
      </c>
      <c r="H87" s="711">
        <v>9</v>
      </c>
      <c r="I87" s="713"/>
      <c r="J87" s="715"/>
      <c r="L87" s="64"/>
      <c r="M87" s="64"/>
      <c r="N87" s="64"/>
    </row>
    <row r="88" spans="1:14" x14ac:dyDescent="0.25">
      <c r="A88" s="702"/>
      <c r="B88" s="706"/>
      <c r="C88" s="523" t="s">
        <v>808</v>
      </c>
      <c r="D88" s="524" t="s">
        <v>37</v>
      </c>
      <c r="E88" s="507">
        <f>3*1</f>
        <v>3</v>
      </c>
      <c r="F88" s="709"/>
      <c r="G88" s="712"/>
      <c r="H88" s="712"/>
      <c r="I88" s="714"/>
      <c r="J88" s="716"/>
      <c r="M88" s="64"/>
    </row>
    <row r="89" spans="1:14" x14ac:dyDescent="0.25">
      <c r="A89" s="702"/>
      <c r="B89" s="706"/>
      <c r="C89" s="528" t="s">
        <v>811</v>
      </c>
      <c r="D89" s="524" t="s">
        <v>37</v>
      </c>
      <c r="E89" s="507">
        <f>3*2</f>
        <v>6</v>
      </c>
      <c r="F89" s="709"/>
      <c r="G89" s="712"/>
      <c r="H89" s="712"/>
      <c r="I89" s="714"/>
      <c r="J89" s="716"/>
      <c r="M89" s="64"/>
    </row>
    <row r="90" spans="1:14" x14ac:dyDescent="0.25">
      <c r="A90" s="703"/>
      <c r="B90" s="706"/>
      <c r="C90" s="528" t="s">
        <v>812</v>
      </c>
      <c r="D90" s="524" t="s">
        <v>37</v>
      </c>
      <c r="E90" s="638">
        <f>3*5</f>
        <v>15</v>
      </c>
      <c r="F90" s="709"/>
      <c r="G90" s="712"/>
      <c r="H90" s="712"/>
      <c r="I90" s="714"/>
      <c r="J90" s="716"/>
      <c r="M90" s="64"/>
    </row>
    <row r="91" spans="1:14" ht="15.75" thickBot="1" x14ac:dyDescent="0.3">
      <c r="A91" s="704"/>
      <c r="B91" s="707"/>
      <c r="C91" s="609" t="s">
        <v>803</v>
      </c>
      <c r="D91" s="534" t="s">
        <v>37</v>
      </c>
      <c r="E91" s="515">
        <f>3*2</f>
        <v>6</v>
      </c>
      <c r="F91" s="710"/>
      <c r="G91" s="712"/>
      <c r="H91" s="712"/>
      <c r="I91" s="714"/>
      <c r="J91" s="716"/>
      <c r="M91" s="64"/>
    </row>
    <row r="92" spans="1:14" ht="25.5" x14ac:dyDescent="0.25">
      <c r="A92" s="701">
        <v>25</v>
      </c>
      <c r="B92" s="705" t="s">
        <v>804</v>
      </c>
      <c r="C92" s="528" t="s">
        <v>802</v>
      </c>
      <c r="D92" s="518" t="s">
        <v>37</v>
      </c>
      <c r="E92" s="497">
        <v>40</v>
      </c>
      <c r="F92" s="708">
        <f>SUM(E92:E96)</f>
        <v>320</v>
      </c>
      <c r="G92" s="649" t="s">
        <v>832</v>
      </c>
      <c r="H92" s="658">
        <f>+F92/(5.6)</f>
        <v>57.142857142857146</v>
      </c>
      <c r="I92" s="652">
        <v>10</v>
      </c>
      <c r="J92" s="655"/>
      <c r="L92" s="64"/>
      <c r="M92" s="64"/>
      <c r="N92" s="64"/>
    </row>
    <row r="93" spans="1:14" ht="25.5" x14ac:dyDescent="0.25">
      <c r="A93" s="702"/>
      <c r="B93" s="706"/>
      <c r="C93" s="523" t="s">
        <v>805</v>
      </c>
      <c r="D93" s="524" t="s">
        <v>37</v>
      </c>
      <c r="E93" s="507">
        <f>3*30</f>
        <v>90</v>
      </c>
      <c r="F93" s="709"/>
      <c r="G93" s="650" t="s">
        <v>833</v>
      </c>
      <c r="H93" s="659">
        <f>+F92/(3.1)</f>
        <v>103.2258064516129</v>
      </c>
      <c r="I93" s="653">
        <v>10</v>
      </c>
      <c r="J93" s="656"/>
      <c r="M93" s="64"/>
    </row>
    <row r="94" spans="1:14" ht="25.5" x14ac:dyDescent="0.25">
      <c r="A94" s="702"/>
      <c r="B94" s="706"/>
      <c r="C94" s="528" t="s">
        <v>806</v>
      </c>
      <c r="D94" s="524" t="s">
        <v>37</v>
      </c>
      <c r="E94" s="507">
        <f>3*30</f>
        <v>90</v>
      </c>
      <c r="F94" s="709"/>
      <c r="G94" s="650" t="s">
        <v>829</v>
      </c>
      <c r="H94" s="659">
        <f>+F92/23</f>
        <v>13.913043478260869</v>
      </c>
      <c r="I94" s="653">
        <v>3</v>
      </c>
      <c r="J94" s="656"/>
      <c r="M94" s="64"/>
    </row>
    <row r="95" spans="1:14" ht="25.5" x14ac:dyDescent="0.25">
      <c r="A95" s="703"/>
      <c r="B95" s="706"/>
      <c r="C95" s="647"/>
      <c r="D95" s="648"/>
      <c r="E95" s="638"/>
      <c r="F95" s="709"/>
      <c r="G95" s="650" t="s">
        <v>830</v>
      </c>
      <c r="H95" s="659">
        <f>+F92/20</f>
        <v>16</v>
      </c>
      <c r="I95" s="653">
        <v>3</v>
      </c>
      <c r="J95" s="656"/>
      <c r="M95" s="64"/>
    </row>
    <row r="96" spans="1:14" ht="26.25" thickBot="1" x14ac:dyDescent="0.3">
      <c r="A96" s="704"/>
      <c r="B96" s="707"/>
      <c r="C96" s="609" t="s">
        <v>807</v>
      </c>
      <c r="D96" s="534" t="s">
        <v>828</v>
      </c>
      <c r="E96" s="515">
        <v>100</v>
      </c>
      <c r="F96" s="710"/>
      <c r="G96" s="651" t="s">
        <v>831</v>
      </c>
      <c r="H96" s="660">
        <f>+F92/9</f>
        <v>35.555555555555557</v>
      </c>
      <c r="I96" s="654">
        <v>3</v>
      </c>
      <c r="J96" s="657"/>
      <c r="M96" s="64"/>
    </row>
    <row r="97" spans="1:14" ht="25.5" x14ac:dyDescent="0.25">
      <c r="A97" s="701">
        <v>26</v>
      </c>
      <c r="B97" s="705" t="s">
        <v>834</v>
      </c>
      <c r="C97" s="528" t="s">
        <v>802</v>
      </c>
      <c r="D97" s="518" t="s">
        <v>37</v>
      </c>
      <c r="E97" s="497">
        <v>40</v>
      </c>
      <c r="F97" s="708">
        <f>SUM(E97:E101)</f>
        <v>130</v>
      </c>
      <c r="G97" s="649" t="s">
        <v>832</v>
      </c>
      <c r="H97" s="658">
        <f>+F97/(0.5)</f>
        <v>260</v>
      </c>
      <c r="I97" s="652">
        <v>30</v>
      </c>
      <c r="J97" s="655"/>
      <c r="L97" s="64"/>
      <c r="M97" s="64"/>
      <c r="N97" s="64"/>
    </row>
    <row r="98" spans="1:14" ht="25.5" x14ac:dyDescent="0.25">
      <c r="A98" s="702"/>
      <c r="B98" s="706"/>
      <c r="C98" s="523" t="s">
        <v>805</v>
      </c>
      <c r="D98" s="524" t="s">
        <v>37</v>
      </c>
      <c r="E98" s="507">
        <f>3*30</f>
        <v>90</v>
      </c>
      <c r="F98" s="709"/>
      <c r="G98" s="650" t="s">
        <v>833</v>
      </c>
      <c r="H98" s="659">
        <f>+F97/(0.3)</f>
        <v>433.33333333333337</v>
      </c>
      <c r="I98" s="653">
        <v>30</v>
      </c>
      <c r="J98" s="656"/>
      <c r="M98" s="64"/>
    </row>
    <row r="99" spans="1:14" ht="25.5" x14ac:dyDescent="0.25">
      <c r="A99" s="702"/>
      <c r="B99" s="706"/>
      <c r="C99" s="528"/>
      <c r="D99" s="524"/>
      <c r="E99" s="507"/>
      <c r="F99" s="709"/>
      <c r="G99" s="650" t="s">
        <v>829</v>
      </c>
      <c r="H99" s="659">
        <f>+F97/(2)</f>
        <v>65</v>
      </c>
      <c r="I99" s="653">
        <v>15</v>
      </c>
      <c r="J99" s="656"/>
      <c r="M99" s="64"/>
    </row>
    <row r="100" spans="1:14" ht="25.5" x14ac:dyDescent="0.25">
      <c r="A100" s="703"/>
      <c r="B100" s="706"/>
      <c r="C100" s="647"/>
      <c r="D100" s="648"/>
      <c r="E100" s="638"/>
      <c r="F100" s="709"/>
      <c r="G100" s="650" t="s">
        <v>830</v>
      </c>
      <c r="H100" s="659">
        <f>+F97/1.5</f>
        <v>86.666666666666671</v>
      </c>
      <c r="I100" s="653">
        <v>15</v>
      </c>
      <c r="J100" s="656"/>
      <c r="M100" s="64"/>
    </row>
    <row r="101" spans="1:14" ht="26.25" thickBot="1" x14ac:dyDescent="0.3">
      <c r="A101" s="704"/>
      <c r="B101" s="707"/>
      <c r="C101" s="609"/>
      <c r="D101" s="534"/>
      <c r="E101" s="515"/>
      <c r="F101" s="710"/>
      <c r="G101" s="651" t="s">
        <v>831</v>
      </c>
      <c r="H101" s="660">
        <f>+F97/(1)</f>
        <v>130</v>
      </c>
      <c r="I101" s="654">
        <v>17</v>
      </c>
      <c r="J101" s="657"/>
      <c r="M101" s="64"/>
    </row>
    <row r="102" spans="1:14" ht="25.5" x14ac:dyDescent="0.25">
      <c r="A102" s="701">
        <v>27</v>
      </c>
      <c r="B102" s="705" t="s">
        <v>835</v>
      </c>
      <c r="C102" s="528" t="s">
        <v>836</v>
      </c>
      <c r="D102" s="518" t="s">
        <v>37</v>
      </c>
      <c r="E102" s="497">
        <v>15</v>
      </c>
      <c r="F102" s="708">
        <f>SUM(E102:E106)</f>
        <v>15</v>
      </c>
      <c r="G102" s="649" t="s">
        <v>832</v>
      </c>
      <c r="H102" s="658">
        <f>+F102/(0.5)</f>
        <v>30</v>
      </c>
      <c r="I102" s="652">
        <v>30</v>
      </c>
      <c r="J102" s="655"/>
      <c r="L102" s="64"/>
      <c r="M102" s="64"/>
      <c r="N102" s="64"/>
    </row>
    <row r="103" spans="1:14" ht="25.5" x14ac:dyDescent="0.25">
      <c r="A103" s="702"/>
      <c r="B103" s="706"/>
      <c r="C103" s="523"/>
      <c r="D103" s="524"/>
      <c r="E103" s="507"/>
      <c r="F103" s="709"/>
      <c r="G103" s="650" t="s">
        <v>833</v>
      </c>
      <c r="H103" s="659">
        <f>+F102/(0.3)</f>
        <v>50</v>
      </c>
      <c r="I103" s="653">
        <v>30</v>
      </c>
      <c r="J103" s="656"/>
      <c r="M103" s="64"/>
    </row>
    <row r="104" spans="1:14" ht="25.5" x14ac:dyDescent="0.25">
      <c r="A104" s="702"/>
      <c r="B104" s="706"/>
      <c r="C104" s="528"/>
      <c r="D104" s="524"/>
      <c r="E104" s="507"/>
      <c r="F104" s="709"/>
      <c r="G104" s="650" t="s">
        <v>829</v>
      </c>
      <c r="H104" s="659">
        <f>+F102/(2.3)</f>
        <v>6.5217391304347831</v>
      </c>
      <c r="I104" s="653">
        <v>15</v>
      </c>
      <c r="J104" s="656"/>
      <c r="M104" s="64"/>
    </row>
    <row r="105" spans="1:14" ht="25.5" x14ac:dyDescent="0.25">
      <c r="A105" s="703"/>
      <c r="B105" s="706"/>
      <c r="C105" s="647"/>
      <c r="D105" s="648"/>
      <c r="E105" s="638"/>
      <c r="F105" s="709"/>
      <c r="G105" s="650" t="s">
        <v>830</v>
      </c>
      <c r="H105" s="659">
        <f>+F102/2</f>
        <v>7.5</v>
      </c>
      <c r="I105" s="653">
        <v>15</v>
      </c>
      <c r="J105" s="656"/>
      <c r="M105" s="64"/>
    </row>
    <row r="106" spans="1:14" ht="26.25" thickBot="1" x14ac:dyDescent="0.3">
      <c r="A106" s="704"/>
      <c r="B106" s="707"/>
      <c r="C106" s="609"/>
      <c r="D106" s="534"/>
      <c r="E106" s="515"/>
      <c r="F106" s="710"/>
      <c r="G106" s="651" t="s">
        <v>831</v>
      </c>
      <c r="H106" s="660">
        <f>+F102/(1.2)</f>
        <v>12.5</v>
      </c>
      <c r="I106" s="654">
        <v>17</v>
      </c>
      <c r="J106" s="657"/>
      <c r="M106" s="64"/>
    </row>
    <row r="108" spans="1:14" x14ac:dyDescent="0.25">
      <c r="A108" s="610"/>
      <c r="B108" s="231"/>
      <c r="C108" s="400"/>
      <c r="D108" s="611"/>
      <c r="E108" s="612"/>
      <c r="F108" s="613"/>
      <c r="G108" s="614"/>
      <c r="H108" s="615"/>
      <c r="I108" s="616"/>
      <c r="J108" s="617"/>
      <c r="M108" s="64"/>
    </row>
    <row r="109" spans="1:14" x14ac:dyDescent="0.25">
      <c r="A109" s="610"/>
      <c r="B109" s="231"/>
      <c r="C109" s="400"/>
      <c r="D109" s="611"/>
      <c r="E109" s="612"/>
      <c r="F109" s="613"/>
      <c r="G109" s="614"/>
      <c r="H109" s="615"/>
      <c r="I109" s="616"/>
      <c r="J109" s="617"/>
      <c r="M109" s="64"/>
    </row>
    <row r="110" spans="1:14" x14ac:dyDescent="0.25">
      <c r="A110" s="610"/>
      <c r="B110" s="231"/>
      <c r="C110" s="400"/>
      <c r="D110" s="611"/>
      <c r="E110" s="612"/>
      <c r="F110" s="613"/>
      <c r="G110" s="614"/>
      <c r="H110" s="615"/>
      <c r="I110" s="616"/>
      <c r="J110" s="617"/>
      <c r="M110" s="64"/>
    </row>
    <row r="111" spans="1:14" x14ac:dyDescent="0.25">
      <c r="A111" s="610"/>
      <c r="B111" s="231"/>
      <c r="C111" s="400"/>
      <c r="D111" s="611"/>
      <c r="E111" s="612"/>
      <c r="F111" s="613"/>
      <c r="G111" s="614"/>
      <c r="H111" s="615"/>
      <c r="I111" s="616"/>
      <c r="J111" s="617"/>
      <c r="M111" s="64"/>
    </row>
    <row r="112" spans="1:14" x14ac:dyDescent="0.25">
      <c r="A112" s="610"/>
      <c r="B112" s="231"/>
      <c r="C112" s="400"/>
      <c r="D112" s="611"/>
      <c r="E112" s="612"/>
      <c r="F112" s="613"/>
      <c r="G112" s="614"/>
      <c r="H112" s="615"/>
      <c r="I112" s="616"/>
      <c r="J112" s="617"/>
      <c r="M112" s="64"/>
    </row>
    <row r="113" spans="1:13" x14ac:dyDescent="0.25">
      <c r="A113" s="610"/>
      <c r="B113" s="231"/>
      <c r="C113" s="400"/>
      <c r="D113" s="611"/>
      <c r="E113" s="612"/>
      <c r="F113" s="613"/>
      <c r="G113" s="614"/>
      <c r="H113" s="615"/>
      <c r="I113" s="616"/>
      <c r="J113" s="617"/>
      <c r="M113" s="64"/>
    </row>
    <row r="114" spans="1:13" x14ac:dyDescent="0.25">
      <c r="A114" s="610"/>
      <c r="B114" s="231"/>
      <c r="C114" s="400"/>
      <c r="D114" s="611"/>
      <c r="E114" s="612"/>
      <c r="F114" s="613"/>
      <c r="G114" s="614"/>
      <c r="H114" s="615"/>
      <c r="I114" s="616"/>
      <c r="J114" s="617"/>
      <c r="M114" s="64"/>
    </row>
    <row r="115" spans="1:13" x14ac:dyDescent="0.25">
      <c r="A115" s="610"/>
      <c r="B115" s="231"/>
      <c r="C115" s="400"/>
      <c r="D115" s="611"/>
      <c r="E115" s="612"/>
      <c r="F115" s="613"/>
      <c r="G115" s="614"/>
      <c r="H115" s="615"/>
      <c r="I115" s="616"/>
      <c r="J115" s="617"/>
      <c r="M115" s="64"/>
    </row>
    <row r="116" spans="1:13" x14ac:dyDescent="0.25">
      <c r="A116" s="610"/>
      <c r="B116" s="231"/>
      <c r="C116" s="400"/>
      <c r="D116" s="611"/>
      <c r="E116" s="612"/>
      <c r="F116" s="613"/>
      <c r="G116" s="614"/>
      <c r="H116" s="615"/>
      <c r="I116" s="616"/>
      <c r="J116" s="617"/>
      <c r="M116" s="64"/>
    </row>
    <row r="117" spans="1:13" x14ac:dyDescent="0.25">
      <c r="A117" s="610"/>
      <c r="B117" s="231"/>
      <c r="C117" s="400"/>
      <c r="D117" s="611"/>
      <c r="E117" s="612"/>
      <c r="F117" s="613"/>
      <c r="G117" s="614"/>
      <c r="H117" s="615"/>
      <c r="I117" s="616"/>
      <c r="J117" s="617"/>
      <c r="M117" s="64"/>
    </row>
    <row r="122" spans="1:13" ht="15.75" thickBot="1" x14ac:dyDescent="0.3"/>
    <row r="123" spans="1:13" ht="15.75" thickBot="1" x14ac:dyDescent="0.3">
      <c r="B123" s="699" t="s">
        <v>773</v>
      </c>
      <c r="C123" s="700"/>
    </row>
    <row r="124" spans="1:13" s="13" customFormat="1" ht="15.75" thickBot="1" x14ac:dyDescent="0.3">
      <c r="A124" s="12"/>
      <c r="B124" s="618" t="s">
        <v>774</v>
      </c>
      <c r="C124" s="619" t="s">
        <v>775</v>
      </c>
      <c r="D124" s="12"/>
      <c r="E124" s="13" t="s">
        <v>776</v>
      </c>
      <c r="G124" t="s">
        <v>777</v>
      </c>
      <c r="J124"/>
    </row>
    <row r="125" spans="1:13" s="13" customFormat="1" x14ac:dyDescent="0.25">
      <c r="A125" s="12"/>
      <c r="B125" s="581">
        <v>280</v>
      </c>
      <c r="C125" s="620" t="s">
        <v>778</v>
      </c>
      <c r="D125" s="12"/>
      <c r="E125" s="13">
        <v>18</v>
      </c>
      <c r="G125">
        <f>+E125*2</f>
        <v>36</v>
      </c>
      <c r="J125"/>
    </row>
    <row r="126" spans="1:13" s="13" customFormat="1" x14ac:dyDescent="0.25">
      <c r="A126" s="12"/>
      <c r="B126" s="531">
        <v>249</v>
      </c>
      <c r="C126" s="621" t="s">
        <v>779</v>
      </c>
      <c r="D126" s="12"/>
      <c r="E126" s="13">
        <v>15</v>
      </c>
      <c r="G126">
        <f>+E126*2</f>
        <v>30</v>
      </c>
      <c r="J126"/>
    </row>
    <row r="127" spans="1:13" s="13" customFormat="1" x14ac:dyDescent="0.25">
      <c r="A127" s="12"/>
      <c r="B127" s="531">
        <v>226</v>
      </c>
      <c r="C127" s="621" t="s">
        <v>780</v>
      </c>
      <c r="D127" s="12"/>
      <c r="E127" s="13">
        <v>15</v>
      </c>
      <c r="G127">
        <f>+E127*2</f>
        <v>30</v>
      </c>
      <c r="J127"/>
    </row>
    <row r="128" spans="1:13" s="13" customFormat="1" x14ac:dyDescent="0.25">
      <c r="A128" s="12"/>
      <c r="B128" s="531">
        <v>210</v>
      </c>
      <c r="C128" s="621" t="s">
        <v>781</v>
      </c>
      <c r="D128" s="12"/>
      <c r="E128" s="13">
        <v>15</v>
      </c>
      <c r="G128">
        <f>+E128*2</f>
        <v>30</v>
      </c>
      <c r="J128"/>
    </row>
    <row r="129" spans="1:10" s="13" customFormat="1" x14ac:dyDescent="0.25">
      <c r="A129" s="12"/>
      <c r="B129" s="531">
        <v>200</v>
      </c>
      <c r="C129" s="621" t="s">
        <v>782</v>
      </c>
      <c r="D129" s="12"/>
      <c r="E129" s="13">
        <v>15</v>
      </c>
      <c r="G129">
        <f>+E129*2</f>
        <v>30</v>
      </c>
      <c r="J129"/>
    </row>
    <row r="130" spans="1:10" s="13" customFormat="1" x14ac:dyDescent="0.25">
      <c r="A130" s="12"/>
      <c r="B130" s="531">
        <v>189</v>
      </c>
      <c r="C130" s="621" t="s">
        <v>783</v>
      </c>
      <c r="D130" s="12"/>
      <c r="E130" s="13">
        <v>15</v>
      </c>
      <c r="G130">
        <f>+E130*2.5</f>
        <v>37.5</v>
      </c>
      <c r="J130"/>
    </row>
    <row r="131" spans="1:10" s="13" customFormat="1" x14ac:dyDescent="0.25">
      <c r="A131" s="12"/>
      <c r="B131" s="531">
        <v>179</v>
      </c>
      <c r="C131" s="621" t="s">
        <v>784</v>
      </c>
      <c r="D131" s="12"/>
      <c r="E131" s="13">
        <v>15</v>
      </c>
      <c r="G131">
        <f>+E131*2.5</f>
        <v>37.5</v>
      </c>
      <c r="J131"/>
    </row>
    <row r="132" spans="1:10" s="13" customFormat="1" x14ac:dyDescent="0.25">
      <c r="A132" s="12"/>
      <c r="B132" s="531">
        <v>168</v>
      </c>
      <c r="C132" s="621" t="s">
        <v>785</v>
      </c>
      <c r="D132" s="12"/>
      <c r="E132" s="13">
        <v>15</v>
      </c>
      <c r="G132">
        <f>+E132*3</f>
        <v>45</v>
      </c>
      <c r="J132"/>
    </row>
    <row r="133" spans="1:10" s="13" customFormat="1" x14ac:dyDescent="0.25">
      <c r="A133" s="12"/>
      <c r="B133" s="531">
        <v>159</v>
      </c>
      <c r="C133" s="621" t="s">
        <v>786</v>
      </c>
      <c r="D133" s="12"/>
      <c r="E133" s="13">
        <v>15</v>
      </c>
      <c r="G133">
        <f>+E133*3</f>
        <v>45</v>
      </c>
      <c r="J133"/>
    </row>
    <row r="134" spans="1:10" s="13" customFormat="1" x14ac:dyDescent="0.25">
      <c r="A134" s="12"/>
      <c r="B134" s="531">
        <v>140</v>
      </c>
      <c r="C134" s="621" t="s">
        <v>787</v>
      </c>
      <c r="D134" s="12"/>
      <c r="E134" s="13">
        <v>15</v>
      </c>
      <c r="G134">
        <f>+E134*3</f>
        <v>45</v>
      </c>
      <c r="J134"/>
    </row>
    <row r="135" spans="1:10" s="13" customFormat="1" x14ac:dyDescent="0.25">
      <c r="A135" s="12"/>
      <c r="B135" s="531">
        <v>119</v>
      </c>
      <c r="C135" s="621" t="s">
        <v>788</v>
      </c>
      <c r="D135" s="12"/>
      <c r="E135" s="13">
        <v>15</v>
      </c>
      <c r="G135">
        <f>+E135*3</f>
        <v>45</v>
      </c>
      <c r="J135"/>
    </row>
    <row r="136" spans="1:10" s="13" customFormat="1" x14ac:dyDescent="0.25">
      <c r="A136" s="12"/>
      <c r="B136" s="531">
        <v>109</v>
      </c>
      <c r="C136" s="621" t="s">
        <v>789</v>
      </c>
      <c r="D136" s="12"/>
      <c r="E136" s="13">
        <v>15</v>
      </c>
      <c r="G136">
        <f>+E136*4</f>
        <v>60</v>
      </c>
      <c r="J136"/>
    </row>
    <row r="137" spans="1:10" s="13" customFormat="1" ht="15.75" thickBot="1" x14ac:dyDescent="0.3">
      <c r="A137" s="12"/>
      <c r="B137" s="579">
        <v>99</v>
      </c>
      <c r="C137" s="622" t="s">
        <v>790</v>
      </c>
      <c r="D137" s="12"/>
      <c r="E137" s="13">
        <v>15</v>
      </c>
      <c r="G137">
        <f>+E137*4</f>
        <v>60</v>
      </c>
      <c r="J137"/>
    </row>
    <row r="139" spans="1:10" s="13" customFormat="1" ht="15.75" thickBot="1" x14ac:dyDescent="0.3">
      <c r="A139" s="12"/>
      <c r="B139"/>
      <c r="C139"/>
      <c r="D139" s="12"/>
      <c r="E139" s="12"/>
      <c r="F139" s="12"/>
      <c r="J139"/>
    </row>
    <row r="140" spans="1:10" s="13" customFormat="1" ht="15.75" thickBot="1" x14ac:dyDescent="0.3">
      <c r="A140" s="12"/>
      <c r="B140" s="699" t="s">
        <v>791</v>
      </c>
      <c r="C140" s="700"/>
      <c r="D140" s="12"/>
      <c r="E140" s="12"/>
      <c r="F140" s="12"/>
      <c r="J140"/>
    </row>
    <row r="141" spans="1:10" s="13" customFormat="1" ht="15.75" thickBot="1" x14ac:dyDescent="0.3">
      <c r="A141" s="12"/>
      <c r="B141" s="623" t="s">
        <v>774</v>
      </c>
      <c r="C141" s="624" t="s">
        <v>792</v>
      </c>
      <c r="D141" s="12"/>
      <c r="E141" s="12" t="s">
        <v>776</v>
      </c>
      <c r="F141" s="12"/>
      <c r="G141" s="13" t="s">
        <v>777</v>
      </c>
      <c r="J141"/>
    </row>
    <row r="142" spans="1:10" s="13" customFormat="1" x14ac:dyDescent="0.25">
      <c r="A142" s="12"/>
      <c r="B142" s="625">
        <v>310</v>
      </c>
      <c r="C142" s="626" t="s">
        <v>793</v>
      </c>
      <c r="D142" s="12"/>
      <c r="E142" s="12">
        <v>23</v>
      </c>
      <c r="F142" s="12"/>
      <c r="G142" s="13">
        <f>+E142*2</f>
        <v>46</v>
      </c>
      <c r="J142"/>
    </row>
    <row r="143" spans="1:10" s="13" customFormat="1" x14ac:dyDescent="0.25">
      <c r="A143" s="12"/>
      <c r="B143" s="531">
        <v>280</v>
      </c>
      <c r="C143" s="627" t="s">
        <v>794</v>
      </c>
      <c r="D143" s="12"/>
      <c r="E143" s="12">
        <v>25</v>
      </c>
      <c r="F143" s="12"/>
      <c r="G143" s="13">
        <f>+E143*3</f>
        <v>75</v>
      </c>
      <c r="J143"/>
    </row>
    <row r="144" spans="1:10" s="13" customFormat="1" x14ac:dyDescent="0.25">
      <c r="A144" s="12"/>
      <c r="B144" s="531">
        <v>240</v>
      </c>
      <c r="C144" s="627" t="s">
        <v>795</v>
      </c>
      <c r="D144" s="12"/>
      <c r="E144" s="12">
        <v>15</v>
      </c>
      <c r="F144" s="12"/>
      <c r="G144" s="13">
        <f>+E144*4</f>
        <v>60</v>
      </c>
      <c r="I144" s="13">
        <v>25</v>
      </c>
      <c r="J144"/>
    </row>
    <row r="145" spans="1:10" s="13" customFormat="1" x14ac:dyDescent="0.25">
      <c r="A145" s="12"/>
      <c r="B145" s="531">
        <v>200</v>
      </c>
      <c r="C145" s="627" t="s">
        <v>796</v>
      </c>
      <c r="D145" s="12"/>
      <c r="E145" s="12">
        <v>15</v>
      </c>
      <c r="F145" s="12"/>
      <c r="G145" s="13">
        <f>+E145*5</f>
        <v>75</v>
      </c>
      <c r="I145" s="13">
        <f>10+40+20</f>
        <v>70</v>
      </c>
      <c r="J145"/>
    </row>
    <row r="146" spans="1:10" s="13" customFormat="1" x14ac:dyDescent="0.25">
      <c r="A146" s="12"/>
      <c r="B146" s="531">
        <v>160</v>
      </c>
      <c r="C146" s="627" t="s">
        <v>797</v>
      </c>
      <c r="D146" s="12"/>
      <c r="E146" s="12">
        <v>15</v>
      </c>
      <c r="F146" s="12"/>
      <c r="G146" s="13">
        <f>+E146*6</f>
        <v>90</v>
      </c>
      <c r="I146" s="13">
        <f>+I145/I144</f>
        <v>2.8</v>
      </c>
      <c r="J146"/>
    </row>
    <row r="147" spans="1:10" s="13" customFormat="1" ht="15.75" thickBot="1" x14ac:dyDescent="0.3">
      <c r="A147" s="12"/>
      <c r="B147" s="579">
        <v>120</v>
      </c>
      <c r="C147" s="628" t="s">
        <v>798</v>
      </c>
      <c r="D147" s="12"/>
      <c r="E147" s="12">
        <v>15</v>
      </c>
      <c r="F147" s="12"/>
      <c r="G147" s="13">
        <f>+E147*7</f>
        <v>105</v>
      </c>
      <c r="I147" s="13">
        <f>10/I144</f>
        <v>0.4</v>
      </c>
      <c r="J147"/>
    </row>
  </sheetData>
  <mergeCells count="96">
    <mergeCell ref="J87:J91"/>
    <mergeCell ref="B55:B57"/>
    <mergeCell ref="F55:F57"/>
    <mergeCell ref="A66:A72"/>
    <mergeCell ref="B66:B72"/>
    <mergeCell ref="F66:F72"/>
    <mergeCell ref="I55:I57"/>
    <mergeCell ref="J55:J57"/>
    <mergeCell ref="I60:I61"/>
    <mergeCell ref="J60:J61"/>
    <mergeCell ref="A63:A65"/>
    <mergeCell ref="B63:B65"/>
    <mergeCell ref="F63:F65"/>
    <mergeCell ref="G63:G65"/>
    <mergeCell ref="I63:I65"/>
    <mergeCell ref="J63:J65"/>
    <mergeCell ref="A9:A13"/>
    <mergeCell ref="B9:B13"/>
    <mergeCell ref="F9:F13"/>
    <mergeCell ref="D5:E5"/>
    <mergeCell ref="A36:A42"/>
    <mergeCell ref="B36:B42"/>
    <mergeCell ref="F36:F42"/>
    <mergeCell ref="A14:A21"/>
    <mergeCell ref="B14:B21"/>
    <mergeCell ref="F14:F21"/>
    <mergeCell ref="A22:A28"/>
    <mergeCell ref="B22:B28"/>
    <mergeCell ref="F22:F28"/>
    <mergeCell ref="A29:A35"/>
    <mergeCell ref="B29:B35"/>
    <mergeCell ref="F29:F35"/>
    <mergeCell ref="I5:J5"/>
    <mergeCell ref="G6:H6"/>
    <mergeCell ref="G7:H7"/>
    <mergeCell ref="G8:H8"/>
    <mergeCell ref="J52:J54"/>
    <mergeCell ref="J43:J45"/>
    <mergeCell ref="J46:J49"/>
    <mergeCell ref="I36:I42"/>
    <mergeCell ref="J36:J42"/>
    <mergeCell ref="I29:I35"/>
    <mergeCell ref="J29:J35"/>
    <mergeCell ref="I43:I45"/>
    <mergeCell ref="I46:I49"/>
    <mergeCell ref="H60:H61"/>
    <mergeCell ref="B53:B54"/>
    <mergeCell ref="G52:G54"/>
    <mergeCell ref="H52:H54"/>
    <mergeCell ref="I52:I54"/>
    <mergeCell ref="A60:A61"/>
    <mergeCell ref="B60:B61"/>
    <mergeCell ref="F60:F61"/>
    <mergeCell ref="G60:G61"/>
    <mergeCell ref="A43:A45"/>
    <mergeCell ref="B43:B45"/>
    <mergeCell ref="F43:F45"/>
    <mergeCell ref="A52:A54"/>
    <mergeCell ref="F52:F54"/>
    <mergeCell ref="A46:A49"/>
    <mergeCell ref="B46:B49"/>
    <mergeCell ref="F46:F49"/>
    <mergeCell ref="A55:A57"/>
    <mergeCell ref="H87:H91"/>
    <mergeCell ref="A87:A91"/>
    <mergeCell ref="B87:B91"/>
    <mergeCell ref="F87:F91"/>
    <mergeCell ref="I66:I72"/>
    <mergeCell ref="I87:I91"/>
    <mergeCell ref="B79:B86"/>
    <mergeCell ref="A79:A86"/>
    <mergeCell ref="F79:F86"/>
    <mergeCell ref="G87:G91"/>
    <mergeCell ref="J66:J72"/>
    <mergeCell ref="G68:G69"/>
    <mergeCell ref="A76:A78"/>
    <mergeCell ref="B76:B78"/>
    <mergeCell ref="F76:F78"/>
    <mergeCell ref="I76:I78"/>
    <mergeCell ref="J76:J78"/>
    <mergeCell ref="A73:A75"/>
    <mergeCell ref="B73:B75"/>
    <mergeCell ref="F73:F75"/>
    <mergeCell ref="I73:I75"/>
    <mergeCell ref="J73:J75"/>
    <mergeCell ref="B123:C123"/>
    <mergeCell ref="B140:C140"/>
    <mergeCell ref="A92:A96"/>
    <mergeCell ref="B92:B96"/>
    <mergeCell ref="F92:F96"/>
    <mergeCell ref="A97:A101"/>
    <mergeCell ref="B97:B101"/>
    <mergeCell ref="F97:F101"/>
    <mergeCell ref="A102:A106"/>
    <mergeCell ref="B102:B106"/>
    <mergeCell ref="F102:F106"/>
  </mergeCells>
  <printOptions horizontalCentered="1"/>
  <pageMargins left="0" right="0" top="0" bottom="0" header="0" footer="0"/>
  <pageSetup scale="59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1"/>
  <sheetViews>
    <sheetView topLeftCell="A29" zoomScale="78" zoomScaleNormal="78" workbookViewId="0">
      <selection activeCell="C73" sqref="C73"/>
    </sheetView>
  </sheetViews>
  <sheetFormatPr baseColWidth="10" defaultRowHeight="15" x14ac:dyDescent="0.25"/>
  <cols>
    <col min="1" max="1" width="14.5703125" style="12" customWidth="1"/>
    <col min="2" max="2" width="44.42578125" hidden="1" customWidth="1"/>
    <col min="3" max="3" width="35.28515625" customWidth="1"/>
    <col min="4" max="4" width="5.7109375" style="12" customWidth="1"/>
    <col min="5" max="5" width="6.42578125" style="12" customWidth="1"/>
    <col min="6" max="6" width="9.5703125" style="12" hidden="1" customWidth="1"/>
    <col min="7" max="7" width="23.42578125" style="12" customWidth="1"/>
    <col min="8" max="8" width="1.5703125" style="12" customWidth="1"/>
    <col min="9" max="9" width="13.42578125" style="13" customWidth="1"/>
    <col min="10" max="10" width="7.28515625" style="13" customWidth="1"/>
    <col min="11" max="11" width="13.140625" style="13" hidden="1" customWidth="1"/>
    <col min="12" max="12" width="10.140625" customWidth="1"/>
  </cols>
  <sheetData>
    <row r="1" spans="1:12" ht="6.75" customHeight="1" x14ac:dyDescent="0.25"/>
    <row r="2" spans="1:12" hidden="1" x14ac:dyDescent="0.25"/>
    <row r="3" spans="1:12" ht="33.75" x14ac:dyDescent="0.25">
      <c r="A3" s="14"/>
      <c r="B3" s="9"/>
      <c r="C3" s="232" t="s">
        <v>585</v>
      </c>
      <c r="D3" s="14"/>
      <c r="E3" s="9"/>
      <c r="F3" s="9"/>
      <c r="G3" s="9"/>
      <c r="H3" s="9"/>
      <c r="I3" s="9"/>
      <c r="J3" s="14"/>
      <c r="K3" s="14"/>
      <c r="L3" s="14"/>
    </row>
    <row r="4" spans="1:12" ht="27" thickBot="1" x14ac:dyDescent="0.3">
      <c r="A4" s="14"/>
      <c r="B4" s="9"/>
      <c r="C4" s="9"/>
      <c r="D4" s="9" t="s">
        <v>586</v>
      </c>
      <c r="E4" s="9"/>
      <c r="F4" s="9"/>
      <c r="G4" s="9"/>
      <c r="H4" s="9"/>
      <c r="I4" s="9"/>
      <c r="J4" s="14"/>
      <c r="K4" s="14"/>
      <c r="L4" s="233">
        <v>44669</v>
      </c>
    </row>
    <row r="5" spans="1:12" ht="23.25" customHeight="1" thickBot="1" x14ac:dyDescent="0.4">
      <c r="A5" s="234"/>
      <c r="B5" s="228">
        <v>44659</v>
      </c>
      <c r="C5" s="780" t="s">
        <v>587</v>
      </c>
      <c r="D5" s="781"/>
      <c r="E5" s="781"/>
      <c r="F5" s="781"/>
      <c r="G5" s="782"/>
      <c r="H5" s="235"/>
      <c r="I5" s="783" t="s">
        <v>588</v>
      </c>
      <c r="J5" s="784"/>
      <c r="K5" s="784"/>
      <c r="L5" s="785"/>
    </row>
    <row r="6" spans="1:12" ht="24.75" customHeight="1" thickTop="1" thickBot="1" x14ac:dyDescent="0.3">
      <c r="A6" s="236" t="s">
        <v>589</v>
      </c>
      <c r="B6" s="15" t="s">
        <v>35</v>
      </c>
      <c r="C6" s="237" t="s">
        <v>590</v>
      </c>
      <c r="D6" s="238" t="s">
        <v>36</v>
      </c>
      <c r="E6" s="239" t="s">
        <v>22</v>
      </c>
      <c r="F6" s="240" t="s">
        <v>259</v>
      </c>
      <c r="G6" s="240" t="s">
        <v>591</v>
      </c>
      <c r="H6" s="241"/>
      <c r="I6" s="786" t="s">
        <v>592</v>
      </c>
      <c r="J6" s="787"/>
      <c r="K6" s="242" t="s">
        <v>583</v>
      </c>
      <c r="L6" s="243" t="s">
        <v>593</v>
      </c>
    </row>
    <row r="7" spans="1:12" ht="49.5" thickTop="1" thickBot="1" x14ac:dyDescent="0.3">
      <c r="A7" s="244" t="s">
        <v>594</v>
      </c>
      <c r="B7" s="16" t="s">
        <v>249</v>
      </c>
      <c r="C7" s="245" t="s">
        <v>251</v>
      </c>
      <c r="D7" s="246" t="s">
        <v>37</v>
      </c>
      <c r="E7" s="247">
        <v>10</v>
      </c>
      <c r="F7" s="248">
        <v>10</v>
      </c>
      <c r="G7" s="249" t="s">
        <v>595</v>
      </c>
      <c r="H7" s="250"/>
      <c r="I7" s="788" t="s">
        <v>596</v>
      </c>
      <c r="J7" s="789"/>
      <c r="K7" s="251">
        <f>8*200</f>
        <v>1600</v>
      </c>
      <c r="L7" s="252">
        <v>200</v>
      </c>
    </row>
    <row r="8" spans="1:12" ht="49.5" thickTop="1" thickBot="1" x14ac:dyDescent="0.3">
      <c r="A8" s="253" t="s">
        <v>597</v>
      </c>
      <c r="B8" s="231" t="s">
        <v>250</v>
      </c>
      <c r="C8" s="254" t="s">
        <v>252</v>
      </c>
      <c r="D8" s="255" t="s">
        <v>37</v>
      </c>
      <c r="E8" s="256">
        <v>10</v>
      </c>
      <c r="F8" s="257">
        <v>10</v>
      </c>
      <c r="G8" s="249" t="s">
        <v>598</v>
      </c>
      <c r="H8" s="250"/>
      <c r="I8" s="790" t="s">
        <v>599</v>
      </c>
      <c r="J8" s="789"/>
      <c r="K8" s="251">
        <f>8*200</f>
        <v>1600</v>
      </c>
      <c r="L8" s="252">
        <v>215</v>
      </c>
    </row>
    <row r="9" spans="1:12" ht="24" customHeight="1" thickTop="1" thickBot="1" x14ac:dyDescent="0.3">
      <c r="A9" s="258" t="s">
        <v>600</v>
      </c>
      <c r="B9" s="259" t="s">
        <v>564</v>
      </c>
      <c r="C9" s="260" t="s">
        <v>601</v>
      </c>
      <c r="D9" s="261" t="s">
        <v>37</v>
      </c>
      <c r="E9" s="262">
        <v>10</v>
      </c>
      <c r="F9" s="263">
        <v>10</v>
      </c>
      <c r="G9" s="791" t="s">
        <v>602</v>
      </c>
      <c r="H9" s="250"/>
      <c r="I9" s="264" t="s">
        <v>603</v>
      </c>
      <c r="J9" s="265">
        <f>+F9/0.085</f>
        <v>117.64705882352941</v>
      </c>
      <c r="K9" s="266">
        <f>90*8</f>
        <v>720</v>
      </c>
      <c r="L9" s="252">
        <v>220</v>
      </c>
    </row>
    <row r="10" spans="1:12" ht="22.5" customHeight="1" thickTop="1" thickBot="1" x14ac:dyDescent="0.3">
      <c r="A10" s="267" t="s">
        <v>604</v>
      </c>
      <c r="B10" s="268" t="s">
        <v>566</v>
      </c>
      <c r="C10" s="269" t="s">
        <v>288</v>
      </c>
      <c r="D10" s="261" t="s">
        <v>37</v>
      </c>
      <c r="E10" s="262">
        <v>10</v>
      </c>
      <c r="F10" s="270">
        <v>10</v>
      </c>
      <c r="G10" s="792"/>
      <c r="H10" s="250"/>
      <c r="I10" s="264" t="s">
        <v>605</v>
      </c>
      <c r="J10" s="265">
        <f>+F10/0.05</f>
        <v>200</v>
      </c>
      <c r="K10" s="266">
        <f>90*8</f>
        <v>720</v>
      </c>
      <c r="L10" s="252">
        <v>220</v>
      </c>
    </row>
    <row r="11" spans="1:12" ht="62.25" customHeight="1" thickTop="1" thickBot="1" x14ac:dyDescent="0.3">
      <c r="A11" s="271" t="s">
        <v>606</v>
      </c>
      <c r="B11" s="272" t="s">
        <v>571</v>
      </c>
      <c r="C11" s="273" t="s">
        <v>295</v>
      </c>
      <c r="D11" s="274" t="s">
        <v>37</v>
      </c>
      <c r="E11" s="275">
        <v>30</v>
      </c>
      <c r="F11" s="276">
        <v>30</v>
      </c>
      <c r="G11" s="277" t="s">
        <v>607</v>
      </c>
      <c r="H11" s="250"/>
      <c r="I11" s="278" t="s">
        <v>570</v>
      </c>
      <c r="J11" s="265">
        <f>+F11/1</f>
        <v>30</v>
      </c>
      <c r="K11" s="266">
        <f>8*80</f>
        <v>640</v>
      </c>
      <c r="L11" s="252">
        <v>85</v>
      </c>
    </row>
    <row r="12" spans="1:12" ht="50.25" customHeight="1" thickTop="1" thickBot="1" x14ac:dyDescent="0.3">
      <c r="A12" s="279" t="s">
        <v>608</v>
      </c>
      <c r="B12" s="280" t="s">
        <v>572</v>
      </c>
      <c r="C12" s="281" t="s">
        <v>296</v>
      </c>
      <c r="D12" s="282" t="s">
        <v>37</v>
      </c>
      <c r="E12" s="283">
        <v>20</v>
      </c>
      <c r="F12" s="276">
        <v>20</v>
      </c>
      <c r="G12" s="277" t="s">
        <v>609</v>
      </c>
      <c r="H12" s="250"/>
      <c r="I12" s="278" t="s">
        <v>573</v>
      </c>
      <c r="J12" s="265">
        <f>+F12/1</f>
        <v>20</v>
      </c>
      <c r="K12" s="266">
        <f>8*80</f>
        <v>640</v>
      </c>
      <c r="L12" s="252">
        <v>95</v>
      </c>
    </row>
    <row r="13" spans="1:12" ht="16.5" thickTop="1" thickBot="1" x14ac:dyDescent="0.3">
      <c r="A13" s="807" t="s">
        <v>610</v>
      </c>
      <c r="B13" s="810" t="s">
        <v>568</v>
      </c>
      <c r="C13" s="260" t="s">
        <v>292</v>
      </c>
      <c r="D13" s="284" t="s">
        <v>37</v>
      </c>
      <c r="E13" s="285">
        <v>40</v>
      </c>
      <c r="F13" s="813">
        <f>SUM(E13:E15)</f>
        <v>90</v>
      </c>
      <c r="G13" s="816" t="s">
        <v>611</v>
      </c>
      <c r="H13" s="250"/>
      <c r="I13" s="819" t="s">
        <v>569</v>
      </c>
      <c r="J13" s="822">
        <f>+F13/1</f>
        <v>90</v>
      </c>
      <c r="K13" s="803">
        <f>8*80</f>
        <v>640</v>
      </c>
      <c r="L13" s="793">
        <v>95</v>
      </c>
    </row>
    <row r="14" spans="1:12" ht="16.5" thickTop="1" thickBot="1" x14ac:dyDescent="0.3">
      <c r="A14" s="808"/>
      <c r="B14" s="811"/>
      <c r="C14" s="286" t="s">
        <v>293</v>
      </c>
      <c r="D14" s="287" t="s">
        <v>37</v>
      </c>
      <c r="E14" s="288">
        <v>20</v>
      </c>
      <c r="F14" s="814"/>
      <c r="G14" s="817"/>
      <c r="H14" s="250"/>
      <c r="I14" s="820"/>
      <c r="J14" s="823"/>
      <c r="K14" s="803"/>
      <c r="L14" s="793"/>
    </row>
    <row r="15" spans="1:12" ht="18" customHeight="1" thickTop="1" thickBot="1" x14ac:dyDescent="0.3">
      <c r="A15" s="809"/>
      <c r="B15" s="812"/>
      <c r="C15" s="289" t="s">
        <v>294</v>
      </c>
      <c r="D15" s="290" t="s">
        <v>37</v>
      </c>
      <c r="E15" s="291">
        <v>30</v>
      </c>
      <c r="F15" s="815"/>
      <c r="G15" s="818"/>
      <c r="H15" s="250"/>
      <c r="I15" s="821"/>
      <c r="J15" s="824"/>
      <c r="K15" s="803"/>
      <c r="L15" s="793"/>
    </row>
    <row r="16" spans="1:12" ht="14.25" customHeight="1" thickTop="1" thickBot="1" x14ac:dyDescent="0.3">
      <c r="A16" s="794" t="s">
        <v>612</v>
      </c>
      <c r="B16" s="292"/>
      <c r="C16" s="260" t="s">
        <v>289</v>
      </c>
      <c r="D16" s="284" t="s">
        <v>37</v>
      </c>
      <c r="E16" s="285">
        <v>50</v>
      </c>
      <c r="F16" s="797">
        <f>SUM(E16:E18)</f>
        <v>56.25</v>
      </c>
      <c r="G16" s="800" t="s">
        <v>613</v>
      </c>
      <c r="H16" s="293"/>
      <c r="I16" s="803" t="s">
        <v>614</v>
      </c>
      <c r="J16" s="804">
        <f>+F16/1.25</f>
        <v>45</v>
      </c>
      <c r="K16" s="803">
        <f>8*80</f>
        <v>640</v>
      </c>
      <c r="L16" s="793">
        <v>90</v>
      </c>
    </row>
    <row r="17" spans="1:12" ht="12" customHeight="1" thickTop="1" thickBot="1" x14ac:dyDescent="0.3">
      <c r="A17" s="795"/>
      <c r="B17" s="805" t="s">
        <v>567</v>
      </c>
      <c r="C17" s="286" t="s">
        <v>290</v>
      </c>
      <c r="D17" s="287" t="s">
        <v>37</v>
      </c>
      <c r="E17" s="294">
        <v>6</v>
      </c>
      <c r="F17" s="798"/>
      <c r="G17" s="801"/>
      <c r="H17" s="293"/>
      <c r="I17" s="803"/>
      <c r="J17" s="804"/>
      <c r="K17" s="803"/>
      <c r="L17" s="793"/>
    </row>
    <row r="18" spans="1:12" ht="14.25" customHeight="1" thickTop="1" thickBot="1" x14ac:dyDescent="0.3">
      <c r="A18" s="796"/>
      <c r="B18" s="806"/>
      <c r="C18" s="289" t="s">
        <v>291</v>
      </c>
      <c r="D18" s="290" t="s">
        <v>37</v>
      </c>
      <c r="E18" s="291">
        <v>0.25</v>
      </c>
      <c r="F18" s="799"/>
      <c r="G18" s="802"/>
      <c r="H18" s="293"/>
      <c r="I18" s="803"/>
      <c r="J18" s="804"/>
      <c r="K18" s="803"/>
      <c r="L18" s="793"/>
    </row>
    <row r="19" spans="1:12" ht="44.25" customHeight="1" thickTop="1" thickBot="1" x14ac:dyDescent="0.3">
      <c r="A19" s="295" t="s">
        <v>615</v>
      </c>
      <c r="B19" s="280" t="s">
        <v>576</v>
      </c>
      <c r="C19" s="296" t="s">
        <v>299</v>
      </c>
      <c r="D19" s="297" t="s">
        <v>37</v>
      </c>
      <c r="E19" s="298">
        <v>25</v>
      </c>
      <c r="F19" s="276">
        <v>25</v>
      </c>
      <c r="G19" s="299" t="s">
        <v>616</v>
      </c>
      <c r="H19" s="250"/>
      <c r="I19" s="264" t="s">
        <v>617</v>
      </c>
      <c r="J19" s="265">
        <f>+F19/5</f>
        <v>5</v>
      </c>
      <c r="K19" s="266">
        <f>8*80</f>
        <v>640</v>
      </c>
      <c r="L19" s="252">
        <v>85</v>
      </c>
    </row>
    <row r="20" spans="1:12" ht="15" customHeight="1" thickTop="1" x14ac:dyDescent="0.25">
      <c r="A20" s="825" t="s">
        <v>618</v>
      </c>
      <c r="B20" s="828" t="s">
        <v>554</v>
      </c>
      <c r="C20" s="300" t="s">
        <v>253</v>
      </c>
      <c r="D20" s="301" t="s">
        <v>37</v>
      </c>
      <c r="E20" s="302">
        <v>40</v>
      </c>
      <c r="F20" s="831">
        <f>SUM(E20:E23)</f>
        <v>75.185000000000002</v>
      </c>
      <c r="G20" s="834" t="s">
        <v>619</v>
      </c>
      <c r="H20" s="303"/>
      <c r="I20" s="304" t="s">
        <v>620</v>
      </c>
      <c r="J20" s="305">
        <f>+F20/0.75</f>
        <v>100.24666666666667</v>
      </c>
      <c r="K20" s="306">
        <f>2*3.5*J20</f>
        <v>701.72666666666669</v>
      </c>
      <c r="L20" s="307">
        <v>100</v>
      </c>
    </row>
    <row r="21" spans="1:12" ht="15" customHeight="1" x14ac:dyDescent="0.25">
      <c r="A21" s="826"/>
      <c r="B21" s="829"/>
      <c r="C21" s="308" t="s">
        <v>254</v>
      </c>
      <c r="D21" s="309" t="s">
        <v>37</v>
      </c>
      <c r="E21" s="310">
        <v>15</v>
      </c>
      <c r="F21" s="832"/>
      <c r="G21" s="835"/>
      <c r="H21" s="303"/>
      <c r="I21" s="311"/>
      <c r="J21" s="312"/>
      <c r="K21" s="313"/>
      <c r="L21" s="314"/>
    </row>
    <row r="22" spans="1:12" ht="12.75" customHeight="1" x14ac:dyDescent="0.25">
      <c r="A22" s="826"/>
      <c r="B22" s="830"/>
      <c r="C22" s="315" t="s">
        <v>255</v>
      </c>
      <c r="D22" s="316" t="s">
        <v>37</v>
      </c>
      <c r="E22" s="317">
        <v>20</v>
      </c>
      <c r="F22" s="832"/>
      <c r="G22" s="835"/>
      <c r="H22" s="303"/>
      <c r="I22" s="311" t="s">
        <v>621</v>
      </c>
      <c r="J22" s="318">
        <f>+F20/3</f>
        <v>25.061666666666667</v>
      </c>
      <c r="K22" s="319">
        <f>2*5*J22</f>
        <v>250.61666666666667</v>
      </c>
      <c r="L22" s="320">
        <f>3*J22</f>
        <v>75.185000000000002</v>
      </c>
    </row>
    <row r="23" spans="1:12" ht="12" customHeight="1" x14ac:dyDescent="0.25">
      <c r="A23" s="826"/>
      <c r="B23" s="830"/>
      <c r="C23" s="315" t="s">
        <v>256</v>
      </c>
      <c r="D23" s="316" t="s">
        <v>37</v>
      </c>
      <c r="E23" s="317">
        <v>0.185</v>
      </c>
      <c r="F23" s="832"/>
      <c r="G23" s="835"/>
      <c r="H23" s="303"/>
      <c r="I23" s="311"/>
      <c r="J23" s="312"/>
      <c r="K23" s="313"/>
      <c r="L23" s="314"/>
    </row>
    <row r="24" spans="1:12" ht="13.5" customHeight="1" thickBot="1" x14ac:dyDescent="0.3">
      <c r="A24" s="827"/>
      <c r="B24" s="830"/>
      <c r="C24" s="315" t="s">
        <v>257</v>
      </c>
      <c r="D24" s="316" t="s">
        <v>38</v>
      </c>
      <c r="E24" s="317">
        <v>60</v>
      </c>
      <c r="F24" s="833"/>
      <c r="G24" s="836"/>
      <c r="H24" s="303"/>
      <c r="I24" s="321" t="s">
        <v>622</v>
      </c>
      <c r="J24" s="322">
        <f>+F20/8</f>
        <v>9.3981250000000003</v>
      </c>
      <c r="K24" s="323">
        <f>2*5*J24</f>
        <v>93.981250000000003</v>
      </c>
      <c r="L24" s="324">
        <f>3*J24+2</f>
        <v>30.194375000000001</v>
      </c>
    </row>
    <row r="25" spans="1:12" ht="20.25" customHeight="1" thickTop="1" thickBot="1" x14ac:dyDescent="0.3">
      <c r="A25" s="825" t="s">
        <v>623</v>
      </c>
      <c r="B25" s="828" t="s">
        <v>581</v>
      </c>
      <c r="C25" s="281" t="s">
        <v>297</v>
      </c>
      <c r="D25" s="284" t="s">
        <v>37</v>
      </c>
      <c r="E25" s="285">
        <v>24</v>
      </c>
      <c r="F25" s="838">
        <f>SUM(E25:E27)</f>
        <v>84.185000000000002</v>
      </c>
      <c r="G25" s="816" t="s">
        <v>624</v>
      </c>
      <c r="H25" s="250"/>
      <c r="I25" s="841" t="s">
        <v>582</v>
      </c>
      <c r="J25" s="844">
        <f>+F25/12</f>
        <v>7.0154166666666669</v>
      </c>
      <c r="K25" s="847">
        <f>2*6*J25</f>
        <v>84.185000000000002</v>
      </c>
      <c r="L25" s="793">
        <f>3*J25+4</f>
        <v>25.046250000000001</v>
      </c>
    </row>
    <row r="26" spans="1:12" ht="18.75" customHeight="1" thickTop="1" thickBot="1" x14ac:dyDescent="0.3">
      <c r="A26" s="826"/>
      <c r="B26" s="829" t="s">
        <v>34</v>
      </c>
      <c r="C26" s="286" t="s">
        <v>300</v>
      </c>
      <c r="D26" s="287" t="s">
        <v>37</v>
      </c>
      <c r="E26" s="288">
        <v>60</v>
      </c>
      <c r="F26" s="839"/>
      <c r="G26" s="817"/>
      <c r="H26" s="250"/>
      <c r="I26" s="842"/>
      <c r="J26" s="845"/>
      <c r="K26" s="847"/>
      <c r="L26" s="793"/>
    </row>
    <row r="27" spans="1:12" ht="16.5" thickTop="1" thickBot="1" x14ac:dyDescent="0.3">
      <c r="A27" s="827"/>
      <c r="B27" s="837"/>
      <c r="C27" s="325" t="s">
        <v>301</v>
      </c>
      <c r="D27" s="290" t="s">
        <v>37</v>
      </c>
      <c r="E27" s="291">
        <v>0.185</v>
      </c>
      <c r="F27" s="840"/>
      <c r="G27" s="818"/>
      <c r="H27" s="250"/>
      <c r="I27" s="843"/>
      <c r="J27" s="846"/>
      <c r="K27" s="847"/>
      <c r="L27" s="793"/>
    </row>
    <row r="28" spans="1:12" ht="19.5" customHeight="1" thickTop="1" thickBot="1" x14ac:dyDescent="0.3">
      <c r="A28" s="848" t="s">
        <v>625</v>
      </c>
      <c r="B28" s="851" t="s">
        <v>304</v>
      </c>
      <c r="C28" s="326" t="s">
        <v>307</v>
      </c>
      <c r="D28" s="327" t="s">
        <v>37</v>
      </c>
      <c r="E28" s="328">
        <v>20</v>
      </c>
      <c r="F28" s="854">
        <f>SUM(E28:E30)</f>
        <v>30</v>
      </c>
      <c r="G28" s="857" t="s">
        <v>626</v>
      </c>
      <c r="H28" s="250"/>
      <c r="I28" s="841" t="s">
        <v>627</v>
      </c>
      <c r="J28" s="844">
        <f>20/F28</f>
        <v>0.66666666666666663</v>
      </c>
      <c r="K28" s="847">
        <f>30*J28*2</f>
        <v>40</v>
      </c>
      <c r="L28" s="793">
        <v>10</v>
      </c>
    </row>
    <row r="29" spans="1:12" ht="12.75" customHeight="1" thickTop="1" thickBot="1" x14ac:dyDescent="0.3">
      <c r="A29" s="849"/>
      <c r="B29" s="852" t="s">
        <v>34</v>
      </c>
      <c r="C29" s="329" t="s">
        <v>300</v>
      </c>
      <c r="D29" s="330" t="s">
        <v>37</v>
      </c>
      <c r="E29" s="331">
        <v>5</v>
      </c>
      <c r="F29" s="855"/>
      <c r="G29" s="858"/>
      <c r="H29" s="250"/>
      <c r="I29" s="842"/>
      <c r="J29" s="845"/>
      <c r="K29" s="847"/>
      <c r="L29" s="793"/>
    </row>
    <row r="30" spans="1:12" ht="16.5" thickTop="1" thickBot="1" x14ac:dyDescent="0.3">
      <c r="A30" s="850"/>
      <c r="B30" s="853"/>
      <c r="C30" s="332" t="s">
        <v>302</v>
      </c>
      <c r="D30" s="333" t="s">
        <v>37</v>
      </c>
      <c r="E30" s="334">
        <v>5</v>
      </c>
      <c r="F30" s="856"/>
      <c r="G30" s="859"/>
      <c r="H30" s="250"/>
      <c r="I30" s="843"/>
      <c r="J30" s="846"/>
      <c r="K30" s="847"/>
      <c r="L30" s="793"/>
    </row>
    <row r="31" spans="1:12" ht="13.5" customHeight="1" thickTop="1" thickBot="1" x14ac:dyDescent="0.3">
      <c r="A31" s="848" t="s">
        <v>628</v>
      </c>
      <c r="B31" s="860" t="s">
        <v>577</v>
      </c>
      <c r="C31" s="335" t="s">
        <v>629</v>
      </c>
      <c r="D31" s="336" t="s">
        <v>37</v>
      </c>
      <c r="E31" s="337">
        <v>25</v>
      </c>
      <c r="F31" s="854">
        <f>SUM(E31:E33)</f>
        <v>30.1</v>
      </c>
      <c r="G31" s="857" t="s">
        <v>630</v>
      </c>
      <c r="H31" s="250"/>
      <c r="I31" s="862" t="s">
        <v>578</v>
      </c>
      <c r="J31" s="844">
        <f>+F31/0.45</f>
        <v>66.888888888888886</v>
      </c>
      <c r="K31" s="847">
        <f>80*4*2</f>
        <v>640</v>
      </c>
      <c r="L31" s="793">
        <v>100</v>
      </c>
    </row>
    <row r="32" spans="1:12" ht="12.75" customHeight="1" thickTop="1" thickBot="1" x14ac:dyDescent="0.3">
      <c r="A32" s="849"/>
      <c r="B32" s="860"/>
      <c r="C32" s="338" t="s">
        <v>300</v>
      </c>
      <c r="D32" s="339" t="s">
        <v>37</v>
      </c>
      <c r="E32" s="340">
        <v>5</v>
      </c>
      <c r="F32" s="855"/>
      <c r="G32" s="858"/>
      <c r="H32" s="250"/>
      <c r="I32" s="862"/>
      <c r="J32" s="845"/>
      <c r="K32" s="847"/>
      <c r="L32" s="793"/>
    </row>
    <row r="33" spans="1:14" ht="16.5" thickTop="1" thickBot="1" x14ac:dyDescent="0.3">
      <c r="A33" s="850"/>
      <c r="B33" s="861"/>
      <c r="C33" s="332" t="s">
        <v>301</v>
      </c>
      <c r="D33" s="339" t="s">
        <v>37</v>
      </c>
      <c r="E33" s="341">
        <v>0.1</v>
      </c>
      <c r="F33" s="856"/>
      <c r="G33" s="859"/>
      <c r="H33" s="250"/>
      <c r="I33" s="862"/>
      <c r="J33" s="846"/>
      <c r="K33" s="847"/>
      <c r="L33" s="793"/>
    </row>
    <row r="34" spans="1:14" ht="12" customHeight="1" thickTop="1" thickBot="1" x14ac:dyDescent="0.3">
      <c r="A34" s="848" t="s">
        <v>631</v>
      </c>
      <c r="B34" s="851" t="s">
        <v>579</v>
      </c>
      <c r="C34" s="326" t="s">
        <v>297</v>
      </c>
      <c r="D34" s="327" t="s">
        <v>37</v>
      </c>
      <c r="E34" s="328">
        <v>18</v>
      </c>
      <c r="F34" s="854">
        <f>SUM(E34:E39)</f>
        <v>92.75</v>
      </c>
      <c r="G34" s="857" t="s">
        <v>632</v>
      </c>
      <c r="H34" s="250"/>
      <c r="I34" s="882" t="s">
        <v>580</v>
      </c>
      <c r="J34" s="844">
        <f>+F34/10</f>
        <v>9.2750000000000004</v>
      </c>
      <c r="K34" s="847">
        <f>2*9*J34</f>
        <v>166.95000000000002</v>
      </c>
      <c r="L34" s="793">
        <v>30</v>
      </c>
    </row>
    <row r="35" spans="1:14" ht="12" customHeight="1" thickTop="1" thickBot="1" x14ac:dyDescent="0.3">
      <c r="A35" s="849"/>
      <c r="B35" s="852" t="s">
        <v>34</v>
      </c>
      <c r="C35" s="329" t="s">
        <v>300</v>
      </c>
      <c r="D35" s="330" t="s">
        <v>37</v>
      </c>
      <c r="E35" s="331">
        <v>55</v>
      </c>
      <c r="F35" s="855"/>
      <c r="G35" s="858"/>
      <c r="H35" s="250"/>
      <c r="I35" s="883"/>
      <c r="J35" s="845"/>
      <c r="K35" s="847"/>
      <c r="L35" s="793"/>
    </row>
    <row r="36" spans="1:14" ht="12" customHeight="1" thickTop="1" thickBot="1" x14ac:dyDescent="0.3">
      <c r="A36" s="880"/>
      <c r="B36" s="881"/>
      <c r="C36" s="329" t="s">
        <v>302</v>
      </c>
      <c r="D36" s="330" t="s">
        <v>37</v>
      </c>
      <c r="E36" s="331">
        <v>14</v>
      </c>
      <c r="F36" s="855"/>
      <c r="G36" s="858"/>
      <c r="H36" s="250"/>
      <c r="I36" s="883"/>
      <c r="J36" s="845"/>
      <c r="K36" s="847"/>
      <c r="L36" s="793"/>
    </row>
    <row r="37" spans="1:14" ht="12.75" customHeight="1" thickTop="1" thickBot="1" x14ac:dyDescent="0.3">
      <c r="A37" s="880"/>
      <c r="B37" s="881"/>
      <c r="C37" s="342" t="s">
        <v>303</v>
      </c>
      <c r="D37" s="330" t="s">
        <v>37</v>
      </c>
      <c r="E37" s="331">
        <v>4</v>
      </c>
      <c r="F37" s="855"/>
      <c r="G37" s="858"/>
      <c r="H37" s="250"/>
      <c r="I37" s="883"/>
      <c r="J37" s="845"/>
      <c r="K37" s="847"/>
      <c r="L37" s="793"/>
    </row>
    <row r="38" spans="1:14" ht="10.5" customHeight="1" thickTop="1" thickBot="1" x14ac:dyDescent="0.3">
      <c r="A38" s="880"/>
      <c r="B38" s="881"/>
      <c r="C38" s="329" t="s">
        <v>305</v>
      </c>
      <c r="D38" s="330" t="s">
        <v>37</v>
      </c>
      <c r="E38" s="331">
        <v>1.5</v>
      </c>
      <c r="F38" s="855"/>
      <c r="G38" s="858"/>
      <c r="H38" s="250"/>
      <c r="I38" s="883"/>
      <c r="J38" s="845"/>
      <c r="K38" s="847"/>
      <c r="L38" s="793"/>
    </row>
    <row r="39" spans="1:14" ht="15" customHeight="1" thickTop="1" thickBot="1" x14ac:dyDescent="0.3">
      <c r="A39" s="850"/>
      <c r="B39" s="853"/>
      <c r="C39" s="332" t="s">
        <v>306</v>
      </c>
      <c r="D39" s="333" t="s">
        <v>37</v>
      </c>
      <c r="E39" s="334">
        <v>0.25</v>
      </c>
      <c r="F39" s="856"/>
      <c r="G39" s="859"/>
      <c r="H39" s="250"/>
      <c r="I39" s="884"/>
      <c r="J39" s="885"/>
      <c r="K39" s="847"/>
      <c r="L39" s="793"/>
    </row>
    <row r="40" spans="1:14" ht="16.5" thickTop="1" thickBot="1" x14ac:dyDescent="0.3">
      <c r="A40" s="863" t="s">
        <v>633</v>
      </c>
      <c r="B40" s="867" t="s">
        <v>561</v>
      </c>
      <c r="C40" s="343" t="s">
        <v>260</v>
      </c>
      <c r="D40" s="344" t="s">
        <v>37</v>
      </c>
      <c r="E40" s="345">
        <v>40</v>
      </c>
      <c r="F40" s="868">
        <f>SUM(E40:E46)</f>
        <v>103.12</v>
      </c>
      <c r="G40" s="870" t="s">
        <v>634</v>
      </c>
      <c r="H40" s="303"/>
      <c r="I40" s="873" t="s">
        <v>559</v>
      </c>
      <c r="J40" s="876">
        <f>+F40/15</f>
        <v>6.8746666666666671</v>
      </c>
      <c r="K40" s="879">
        <f>2*10*J40</f>
        <v>137.49333333333334</v>
      </c>
      <c r="L40" s="793">
        <f>4*7+2</f>
        <v>30</v>
      </c>
    </row>
    <row r="41" spans="1:14" ht="12.75" customHeight="1" thickTop="1" thickBot="1" x14ac:dyDescent="0.3">
      <c r="A41" s="864"/>
      <c r="B41" s="860"/>
      <c r="C41" s="346" t="s">
        <v>261</v>
      </c>
      <c r="D41" s="330" t="s">
        <v>37</v>
      </c>
      <c r="E41" s="345">
        <v>10</v>
      </c>
      <c r="F41" s="869"/>
      <c r="G41" s="871"/>
      <c r="H41" s="303"/>
      <c r="I41" s="874"/>
      <c r="J41" s="877"/>
      <c r="K41" s="879"/>
      <c r="L41" s="793"/>
    </row>
    <row r="42" spans="1:14" ht="12.75" customHeight="1" thickTop="1" thickBot="1" x14ac:dyDescent="0.3">
      <c r="A42" s="865"/>
      <c r="B42" s="860"/>
      <c r="C42" s="329" t="s">
        <v>267</v>
      </c>
      <c r="D42" s="330" t="s">
        <v>37</v>
      </c>
      <c r="E42" s="331">
        <v>10</v>
      </c>
      <c r="F42" s="869"/>
      <c r="G42" s="871"/>
      <c r="H42" s="303"/>
      <c r="I42" s="874"/>
      <c r="J42" s="877"/>
      <c r="K42" s="879"/>
      <c r="L42" s="793"/>
    </row>
    <row r="43" spans="1:14" ht="13.5" customHeight="1" thickTop="1" thickBot="1" x14ac:dyDescent="0.3">
      <c r="A43" s="865"/>
      <c r="B43" s="860"/>
      <c r="C43" s="329" t="s">
        <v>280</v>
      </c>
      <c r="D43" s="330" t="s">
        <v>37</v>
      </c>
      <c r="E43" s="331">
        <v>23</v>
      </c>
      <c r="F43" s="869"/>
      <c r="G43" s="871"/>
      <c r="H43" s="303"/>
      <c r="I43" s="874"/>
      <c r="J43" s="877"/>
      <c r="K43" s="879"/>
      <c r="L43" s="793"/>
    </row>
    <row r="44" spans="1:14" ht="12" customHeight="1" thickTop="1" thickBot="1" x14ac:dyDescent="0.3">
      <c r="A44" s="866"/>
      <c r="B44" s="860"/>
      <c r="C44" s="329" t="s">
        <v>263</v>
      </c>
      <c r="D44" s="330" t="s">
        <v>37</v>
      </c>
      <c r="E44" s="331">
        <v>0.12</v>
      </c>
      <c r="F44" s="869"/>
      <c r="G44" s="871"/>
      <c r="H44" s="303"/>
      <c r="I44" s="874"/>
      <c r="J44" s="877"/>
      <c r="K44" s="879"/>
      <c r="L44" s="793"/>
    </row>
    <row r="45" spans="1:14" ht="12" customHeight="1" thickTop="1" thickBot="1" x14ac:dyDescent="0.3">
      <c r="A45" s="866"/>
      <c r="B45" s="860"/>
      <c r="C45" s="329" t="s">
        <v>264</v>
      </c>
      <c r="D45" s="330" t="s">
        <v>37</v>
      </c>
      <c r="E45" s="331">
        <v>4</v>
      </c>
      <c r="F45" s="869"/>
      <c r="G45" s="871"/>
      <c r="H45" s="303"/>
      <c r="I45" s="874"/>
      <c r="J45" s="877"/>
      <c r="K45" s="879"/>
      <c r="L45" s="793"/>
    </row>
    <row r="46" spans="1:14" ht="14.25" customHeight="1" thickTop="1" thickBot="1" x14ac:dyDescent="0.3">
      <c r="A46" s="866"/>
      <c r="B46" s="860"/>
      <c r="C46" s="329" t="s">
        <v>265</v>
      </c>
      <c r="D46" s="330" t="s">
        <v>37</v>
      </c>
      <c r="E46" s="331">
        <v>16</v>
      </c>
      <c r="F46" s="869"/>
      <c r="G46" s="872"/>
      <c r="H46" s="303"/>
      <c r="I46" s="875"/>
      <c r="J46" s="878"/>
      <c r="K46" s="879"/>
      <c r="L46" s="793"/>
    </row>
    <row r="47" spans="1:14" ht="15" customHeight="1" thickTop="1" x14ac:dyDescent="0.25">
      <c r="A47" s="863" t="s">
        <v>635</v>
      </c>
      <c r="B47" s="867" t="s">
        <v>555</v>
      </c>
      <c r="C47" s="343" t="s">
        <v>260</v>
      </c>
      <c r="D47" s="327" t="s">
        <v>37</v>
      </c>
      <c r="E47" s="328">
        <v>40</v>
      </c>
      <c r="F47" s="854">
        <f>SUM(E47:E53)</f>
        <v>103.12</v>
      </c>
      <c r="G47" s="870" t="s">
        <v>636</v>
      </c>
      <c r="H47" s="303"/>
      <c r="I47" s="347" t="s">
        <v>556</v>
      </c>
      <c r="J47" s="348">
        <f>+F47/7</f>
        <v>14.731428571428571</v>
      </c>
      <c r="K47" s="349">
        <f>2*10*J47</f>
        <v>294.62857142857143</v>
      </c>
      <c r="L47" s="307">
        <f>4*J47+1</f>
        <v>59.925714285714285</v>
      </c>
      <c r="N47" s="64"/>
    </row>
    <row r="48" spans="1:14" ht="13.5" customHeight="1" thickBot="1" x14ac:dyDescent="0.3">
      <c r="A48" s="864"/>
      <c r="B48" s="860"/>
      <c r="C48" s="346" t="s">
        <v>261</v>
      </c>
      <c r="D48" s="330" t="s">
        <v>37</v>
      </c>
      <c r="E48" s="345">
        <v>10</v>
      </c>
      <c r="F48" s="855"/>
      <c r="G48" s="871"/>
      <c r="H48" s="303"/>
      <c r="I48" s="893"/>
      <c r="J48" s="895"/>
      <c r="K48" s="350"/>
      <c r="L48" s="886"/>
    </row>
    <row r="49" spans="1:12" ht="13.5" customHeight="1" thickTop="1" x14ac:dyDescent="0.25">
      <c r="A49" s="864"/>
      <c r="B49" s="860"/>
      <c r="C49" s="329" t="s">
        <v>267</v>
      </c>
      <c r="D49" s="330" t="s">
        <v>37</v>
      </c>
      <c r="E49" s="331">
        <v>10</v>
      </c>
      <c r="F49" s="855"/>
      <c r="G49" s="871"/>
      <c r="H49" s="303"/>
      <c r="I49" s="894"/>
      <c r="J49" s="896"/>
      <c r="K49" s="351"/>
      <c r="L49" s="887"/>
    </row>
    <row r="50" spans="1:12" ht="14.25" customHeight="1" x14ac:dyDescent="0.25">
      <c r="A50" s="865"/>
      <c r="B50" s="860"/>
      <c r="C50" s="329" t="s">
        <v>262</v>
      </c>
      <c r="D50" s="330" t="s">
        <v>37</v>
      </c>
      <c r="E50" s="331">
        <v>23</v>
      </c>
      <c r="F50" s="855"/>
      <c r="G50" s="871"/>
      <c r="H50" s="303"/>
      <c r="I50" s="352" t="s">
        <v>557</v>
      </c>
      <c r="J50" s="353">
        <f>+F47/10</f>
        <v>10.312000000000001</v>
      </c>
      <c r="K50" s="319">
        <f>2*10*J50</f>
        <v>206.24</v>
      </c>
      <c r="L50" s="320">
        <f>4*J50-1</f>
        <v>40.248000000000005</v>
      </c>
    </row>
    <row r="51" spans="1:12" ht="12" customHeight="1" x14ac:dyDescent="0.25">
      <c r="A51" s="865"/>
      <c r="B51" s="860"/>
      <c r="C51" s="329" t="s">
        <v>263</v>
      </c>
      <c r="D51" s="330" t="s">
        <v>37</v>
      </c>
      <c r="E51" s="331">
        <v>0.12</v>
      </c>
      <c r="F51" s="855"/>
      <c r="G51" s="871"/>
      <c r="H51" s="303"/>
      <c r="I51" s="352"/>
      <c r="J51" s="353"/>
      <c r="K51" s="352"/>
      <c r="L51" s="314"/>
    </row>
    <row r="52" spans="1:12" ht="12" customHeight="1" x14ac:dyDescent="0.25">
      <c r="A52" s="866"/>
      <c r="B52" s="860"/>
      <c r="C52" s="329" t="s">
        <v>264</v>
      </c>
      <c r="D52" s="330" t="s">
        <v>37</v>
      </c>
      <c r="E52" s="331">
        <v>4</v>
      </c>
      <c r="F52" s="855"/>
      <c r="G52" s="871"/>
      <c r="H52" s="303"/>
      <c r="I52" s="352" t="s">
        <v>558</v>
      </c>
      <c r="J52" s="353">
        <f>+F47/15</f>
        <v>6.8746666666666671</v>
      </c>
      <c r="K52" s="319">
        <f>2*10*J52</f>
        <v>137.49333333333334</v>
      </c>
      <c r="L52" s="320">
        <f>4*J52+3</f>
        <v>30.498666666666669</v>
      </c>
    </row>
    <row r="53" spans="1:12" ht="12" customHeight="1" thickBot="1" x14ac:dyDescent="0.3">
      <c r="A53" s="892"/>
      <c r="B53" s="861"/>
      <c r="C53" s="329" t="s">
        <v>265</v>
      </c>
      <c r="D53" s="333" t="s">
        <v>37</v>
      </c>
      <c r="E53" s="334">
        <v>16</v>
      </c>
      <c r="F53" s="856"/>
      <c r="G53" s="872"/>
      <c r="H53" s="303"/>
      <c r="I53" s="354"/>
      <c r="J53" s="355"/>
      <c r="K53" s="354"/>
      <c r="L53" s="356"/>
    </row>
    <row r="54" spans="1:12" ht="12" customHeight="1" thickTop="1" thickBot="1" x14ac:dyDescent="0.3">
      <c r="A54" s="863" t="s">
        <v>637</v>
      </c>
      <c r="B54" s="867" t="s">
        <v>560</v>
      </c>
      <c r="C54" s="343" t="s">
        <v>260</v>
      </c>
      <c r="D54" s="330" t="s">
        <v>37</v>
      </c>
      <c r="E54" s="328">
        <v>40</v>
      </c>
      <c r="F54" s="868">
        <f>SUM(E54:E60)</f>
        <v>103.1</v>
      </c>
      <c r="G54" s="870" t="s">
        <v>638</v>
      </c>
      <c r="H54" s="303"/>
      <c r="I54" s="819" t="s">
        <v>639</v>
      </c>
      <c r="J54" s="888">
        <f>+F54/7</f>
        <v>14.728571428571428</v>
      </c>
      <c r="K54" s="891">
        <f>2*10*J54</f>
        <v>294.57142857142856</v>
      </c>
      <c r="L54" s="793">
        <v>60</v>
      </c>
    </row>
    <row r="55" spans="1:12" ht="12" customHeight="1" thickTop="1" thickBot="1" x14ac:dyDescent="0.3">
      <c r="A55" s="864"/>
      <c r="B55" s="860"/>
      <c r="C55" s="346" t="s">
        <v>261</v>
      </c>
      <c r="D55" s="330" t="s">
        <v>37</v>
      </c>
      <c r="E55" s="345">
        <v>10</v>
      </c>
      <c r="F55" s="869"/>
      <c r="G55" s="871"/>
      <c r="H55" s="303"/>
      <c r="I55" s="820"/>
      <c r="J55" s="889"/>
      <c r="K55" s="891"/>
      <c r="L55" s="793"/>
    </row>
    <row r="56" spans="1:12" ht="13.5" customHeight="1" thickTop="1" thickBot="1" x14ac:dyDescent="0.3">
      <c r="A56" s="865"/>
      <c r="B56" s="860"/>
      <c r="C56" s="329" t="s">
        <v>267</v>
      </c>
      <c r="D56" s="330" t="s">
        <v>37</v>
      </c>
      <c r="E56" s="331">
        <v>10</v>
      </c>
      <c r="F56" s="869"/>
      <c r="G56" s="871"/>
      <c r="H56" s="303"/>
      <c r="I56" s="820"/>
      <c r="J56" s="889"/>
      <c r="K56" s="891"/>
      <c r="L56" s="793"/>
    </row>
    <row r="57" spans="1:12" ht="12" customHeight="1" thickTop="1" thickBot="1" x14ac:dyDescent="0.3">
      <c r="A57" s="865"/>
      <c r="B57" s="860"/>
      <c r="C57" s="329" t="s">
        <v>262</v>
      </c>
      <c r="D57" s="330" t="s">
        <v>37</v>
      </c>
      <c r="E57" s="331">
        <v>23</v>
      </c>
      <c r="F57" s="869"/>
      <c r="G57" s="871"/>
      <c r="H57" s="303"/>
      <c r="I57" s="820"/>
      <c r="J57" s="889"/>
      <c r="K57" s="891"/>
      <c r="L57" s="793"/>
    </row>
    <row r="58" spans="1:12" ht="13.5" customHeight="1" thickTop="1" thickBot="1" x14ac:dyDescent="0.3">
      <c r="A58" s="866"/>
      <c r="B58" s="860"/>
      <c r="C58" s="329" t="s">
        <v>263</v>
      </c>
      <c r="D58" s="330" t="s">
        <v>37</v>
      </c>
      <c r="E58" s="331">
        <v>0.1</v>
      </c>
      <c r="F58" s="869"/>
      <c r="G58" s="871"/>
      <c r="H58" s="303"/>
      <c r="I58" s="820"/>
      <c r="J58" s="889"/>
      <c r="K58" s="891"/>
      <c r="L58" s="793"/>
    </row>
    <row r="59" spans="1:12" ht="12" customHeight="1" thickTop="1" thickBot="1" x14ac:dyDescent="0.3">
      <c r="A59" s="866"/>
      <c r="B59" s="860"/>
      <c r="C59" s="329" t="s">
        <v>264</v>
      </c>
      <c r="D59" s="330" t="s">
        <v>37</v>
      </c>
      <c r="E59" s="331">
        <v>4</v>
      </c>
      <c r="F59" s="869"/>
      <c r="G59" s="871"/>
      <c r="H59" s="303"/>
      <c r="I59" s="820"/>
      <c r="J59" s="889"/>
      <c r="K59" s="891"/>
      <c r="L59" s="793"/>
    </row>
    <row r="60" spans="1:12" ht="12" customHeight="1" thickTop="1" thickBot="1" x14ac:dyDescent="0.3">
      <c r="A60" s="866"/>
      <c r="B60" s="860"/>
      <c r="C60" s="329" t="s">
        <v>265</v>
      </c>
      <c r="D60" s="330" t="s">
        <v>37</v>
      </c>
      <c r="E60" s="331">
        <v>16</v>
      </c>
      <c r="F60" s="869"/>
      <c r="G60" s="872"/>
      <c r="H60" s="303"/>
      <c r="I60" s="821"/>
      <c r="J60" s="890"/>
      <c r="K60" s="891"/>
      <c r="L60" s="793"/>
    </row>
    <row r="61" spans="1:12" ht="24.75" customHeight="1" thickTop="1" thickBot="1" x14ac:dyDescent="0.3">
      <c r="A61" s="915" t="s">
        <v>640</v>
      </c>
      <c r="B61" s="917" t="s">
        <v>575</v>
      </c>
      <c r="C61" s="343" t="s">
        <v>297</v>
      </c>
      <c r="D61" s="327" t="s">
        <v>37</v>
      </c>
      <c r="E61" s="328">
        <v>20</v>
      </c>
      <c r="F61" s="919">
        <f>SUM(E61:E62)</f>
        <v>50</v>
      </c>
      <c r="G61" s="857" t="s">
        <v>641</v>
      </c>
      <c r="H61" s="250"/>
      <c r="I61" s="921" t="s">
        <v>574</v>
      </c>
      <c r="J61" s="804">
        <f>+F61/5</f>
        <v>10</v>
      </c>
      <c r="K61" s="803">
        <f>8*20</f>
        <v>160</v>
      </c>
      <c r="L61" s="793">
        <v>40</v>
      </c>
    </row>
    <row r="62" spans="1:12" ht="21" customHeight="1" thickTop="1" thickBot="1" x14ac:dyDescent="0.3">
      <c r="A62" s="916"/>
      <c r="B62" s="918"/>
      <c r="C62" s="357" t="s">
        <v>298</v>
      </c>
      <c r="D62" s="333" t="s">
        <v>156</v>
      </c>
      <c r="E62" s="334">
        <v>30</v>
      </c>
      <c r="F62" s="920"/>
      <c r="G62" s="859"/>
      <c r="H62" s="250"/>
      <c r="I62" s="921"/>
      <c r="J62" s="804"/>
      <c r="K62" s="803"/>
      <c r="L62" s="793"/>
    </row>
    <row r="63" spans="1:12" ht="15" customHeight="1" thickTop="1" thickBot="1" x14ac:dyDescent="0.3">
      <c r="A63" s="897" t="s">
        <v>642</v>
      </c>
      <c r="B63" s="900" t="s">
        <v>258</v>
      </c>
      <c r="C63" s="358" t="s">
        <v>260</v>
      </c>
      <c r="D63" s="359" t="s">
        <v>37</v>
      </c>
      <c r="E63" s="360">
        <v>40</v>
      </c>
      <c r="F63" s="902">
        <f>SUM(E63:E70)</f>
        <v>119.15</v>
      </c>
      <c r="G63" s="905" t="s">
        <v>643</v>
      </c>
      <c r="H63" s="303"/>
      <c r="I63" s="908"/>
      <c r="J63" s="910"/>
      <c r="K63" s="361"/>
      <c r="L63" s="912"/>
    </row>
    <row r="64" spans="1:12" ht="14.25" customHeight="1" thickTop="1" thickBot="1" x14ac:dyDescent="0.3">
      <c r="A64" s="897"/>
      <c r="B64" s="901"/>
      <c r="C64" s="362" t="s">
        <v>261</v>
      </c>
      <c r="D64" s="363" t="s">
        <v>37</v>
      </c>
      <c r="E64" s="364">
        <v>10</v>
      </c>
      <c r="F64" s="903"/>
      <c r="G64" s="906"/>
      <c r="H64" s="303"/>
      <c r="I64" s="909"/>
      <c r="J64" s="911"/>
      <c r="K64" s="361"/>
      <c r="L64" s="913"/>
    </row>
    <row r="65" spans="1:12" ht="12.75" customHeight="1" thickTop="1" thickBot="1" x14ac:dyDescent="0.3">
      <c r="A65" s="897"/>
      <c r="B65" s="901"/>
      <c r="C65" s="365" t="s">
        <v>267</v>
      </c>
      <c r="D65" s="363" t="s">
        <v>37</v>
      </c>
      <c r="E65" s="366">
        <v>10</v>
      </c>
      <c r="F65" s="903"/>
      <c r="G65" s="906"/>
      <c r="H65" s="303"/>
      <c r="I65" s="367" t="s">
        <v>644</v>
      </c>
      <c r="J65" s="368">
        <f>+F63/6</f>
        <v>19.858333333333334</v>
      </c>
      <c r="K65" s="369">
        <f>2*8.5*J65</f>
        <v>337.5916666666667</v>
      </c>
      <c r="L65" s="252">
        <f>3.5*J65</f>
        <v>69.504166666666663</v>
      </c>
    </row>
    <row r="66" spans="1:12" ht="14.25" customHeight="1" thickTop="1" thickBot="1" x14ac:dyDescent="0.3">
      <c r="A66" s="898"/>
      <c r="B66" s="901"/>
      <c r="C66" s="365" t="s">
        <v>262</v>
      </c>
      <c r="D66" s="363" t="s">
        <v>37</v>
      </c>
      <c r="E66" s="366">
        <v>23</v>
      </c>
      <c r="F66" s="903"/>
      <c r="G66" s="906"/>
      <c r="H66" s="303"/>
      <c r="I66" s="908"/>
      <c r="J66" s="922"/>
      <c r="K66" s="369"/>
      <c r="L66" s="912"/>
    </row>
    <row r="67" spans="1:12" ht="14.25" customHeight="1" thickTop="1" thickBot="1" x14ac:dyDescent="0.3">
      <c r="A67" s="898"/>
      <c r="B67" s="901"/>
      <c r="C67" s="365" t="s">
        <v>263</v>
      </c>
      <c r="D67" s="363" t="s">
        <v>37</v>
      </c>
      <c r="E67" s="366">
        <v>0.15</v>
      </c>
      <c r="F67" s="903"/>
      <c r="G67" s="906"/>
      <c r="H67" s="303"/>
      <c r="I67" s="914"/>
      <c r="J67" s="923"/>
      <c r="K67" s="369"/>
      <c r="L67" s="925"/>
    </row>
    <row r="68" spans="1:12" ht="12" customHeight="1" thickTop="1" thickBot="1" x14ac:dyDescent="0.3">
      <c r="A68" s="898"/>
      <c r="B68" s="901"/>
      <c r="C68" s="365" t="s">
        <v>264</v>
      </c>
      <c r="D68" s="363" t="s">
        <v>37</v>
      </c>
      <c r="E68" s="366">
        <v>4</v>
      </c>
      <c r="F68" s="903"/>
      <c r="G68" s="906"/>
      <c r="H68" s="303"/>
      <c r="I68" s="909"/>
      <c r="J68" s="924"/>
      <c r="K68" s="369"/>
      <c r="L68" s="913"/>
    </row>
    <row r="69" spans="1:12" ht="12" customHeight="1" thickTop="1" thickBot="1" x14ac:dyDescent="0.3">
      <c r="A69" s="898"/>
      <c r="B69" s="901"/>
      <c r="C69" s="365" t="s">
        <v>265</v>
      </c>
      <c r="D69" s="363" t="s">
        <v>37</v>
      </c>
      <c r="E69" s="366">
        <v>16</v>
      </c>
      <c r="F69" s="903"/>
      <c r="G69" s="906"/>
      <c r="H69" s="303"/>
      <c r="I69" s="367" t="s">
        <v>645</v>
      </c>
      <c r="J69" s="368">
        <f>+F63/15</f>
        <v>7.9433333333333334</v>
      </c>
      <c r="K69" s="369">
        <f>2*8.5*J69</f>
        <v>135.03666666666666</v>
      </c>
      <c r="L69" s="252">
        <f>3.5*J69+2</f>
        <v>29.801666666666666</v>
      </c>
    </row>
    <row r="70" spans="1:12" ht="12" customHeight="1" thickTop="1" thickBot="1" x14ac:dyDescent="0.3">
      <c r="A70" s="899"/>
      <c r="B70" s="901"/>
      <c r="C70" s="370" t="s">
        <v>266</v>
      </c>
      <c r="D70" s="371" t="s">
        <v>37</v>
      </c>
      <c r="E70" s="372">
        <v>16</v>
      </c>
      <c r="F70" s="904"/>
      <c r="G70" s="907"/>
      <c r="H70" s="303"/>
      <c r="I70" s="361"/>
      <c r="J70" s="373"/>
      <c r="K70" s="361"/>
      <c r="L70" s="374"/>
    </row>
    <row r="71" spans="1:12" ht="16.5" thickTop="1" thickBot="1" x14ac:dyDescent="0.3">
      <c r="A71" s="942" t="s">
        <v>646</v>
      </c>
      <c r="B71" s="900" t="s">
        <v>562</v>
      </c>
      <c r="C71" s="375" t="s">
        <v>281</v>
      </c>
      <c r="D71" s="376" t="s">
        <v>37</v>
      </c>
      <c r="E71" s="377">
        <v>40</v>
      </c>
      <c r="F71" s="946">
        <f>SUM(E71:E73)</f>
        <v>95</v>
      </c>
      <c r="G71" s="949" t="s">
        <v>647</v>
      </c>
      <c r="H71" s="303"/>
      <c r="I71" s="819" t="s">
        <v>648</v>
      </c>
      <c r="J71" s="951">
        <f>+F71/15</f>
        <v>6.333333333333333</v>
      </c>
      <c r="K71" s="954">
        <f>2*14*J71</f>
        <v>177.33333333333331</v>
      </c>
      <c r="L71" s="793">
        <f>4*J71</f>
        <v>25.333333333333332</v>
      </c>
    </row>
    <row r="72" spans="1:12" ht="16.5" thickTop="1" thickBot="1" x14ac:dyDescent="0.3">
      <c r="A72" s="943"/>
      <c r="B72" s="901"/>
      <c r="C72" s="378" t="s">
        <v>282</v>
      </c>
      <c r="D72" s="379" t="s">
        <v>37</v>
      </c>
      <c r="E72" s="380">
        <v>20</v>
      </c>
      <c r="F72" s="947"/>
      <c r="G72" s="949"/>
      <c r="H72" s="303"/>
      <c r="I72" s="820"/>
      <c r="J72" s="952"/>
      <c r="K72" s="954"/>
      <c r="L72" s="793"/>
    </row>
    <row r="73" spans="1:12" ht="12" customHeight="1" thickTop="1" thickBot="1" x14ac:dyDescent="0.3">
      <c r="A73" s="944"/>
      <c r="B73" s="945"/>
      <c r="C73" s="381" t="s">
        <v>283</v>
      </c>
      <c r="D73" s="382" t="s">
        <v>37</v>
      </c>
      <c r="E73" s="383">
        <v>35</v>
      </c>
      <c r="F73" s="948"/>
      <c r="G73" s="950"/>
      <c r="H73" s="303"/>
      <c r="I73" s="821"/>
      <c r="J73" s="953"/>
      <c r="K73" s="954"/>
      <c r="L73" s="793"/>
    </row>
    <row r="74" spans="1:12" ht="12" customHeight="1" thickTop="1" thickBot="1" x14ac:dyDescent="0.3">
      <c r="A74" s="927" t="s">
        <v>649</v>
      </c>
      <c r="B74" s="931" t="s">
        <v>563</v>
      </c>
      <c r="C74" s="384" t="s">
        <v>284</v>
      </c>
      <c r="D74" s="385" t="s">
        <v>37</v>
      </c>
      <c r="E74" s="386">
        <v>35</v>
      </c>
      <c r="F74" s="934">
        <f>SUM(E74:E77)</f>
        <v>95.1</v>
      </c>
      <c r="G74" s="937" t="s">
        <v>650</v>
      </c>
      <c r="H74" s="250"/>
      <c r="I74" s="819" t="s">
        <v>565</v>
      </c>
      <c r="J74" s="822">
        <f>+F74/15</f>
        <v>6.34</v>
      </c>
      <c r="K74" s="954">
        <f>2*14*J74</f>
        <v>177.51999999999998</v>
      </c>
      <c r="L74" s="793">
        <f>4*J74</f>
        <v>25.36</v>
      </c>
    </row>
    <row r="75" spans="1:12" ht="14.25" customHeight="1" thickTop="1" thickBot="1" x14ac:dyDescent="0.3">
      <c r="A75" s="928"/>
      <c r="B75" s="932"/>
      <c r="C75" s="387" t="s">
        <v>285</v>
      </c>
      <c r="D75" s="388" t="s">
        <v>37</v>
      </c>
      <c r="E75" s="389">
        <v>40</v>
      </c>
      <c r="F75" s="935"/>
      <c r="G75" s="938"/>
      <c r="H75" s="250"/>
      <c r="I75" s="820"/>
      <c r="J75" s="823"/>
      <c r="K75" s="954"/>
      <c r="L75" s="793"/>
    </row>
    <row r="76" spans="1:12" ht="12" customHeight="1" thickTop="1" thickBot="1" x14ac:dyDescent="0.3">
      <c r="A76" s="929"/>
      <c r="B76" s="932"/>
      <c r="C76" s="387" t="s">
        <v>286</v>
      </c>
      <c r="D76" s="388" t="s">
        <v>37</v>
      </c>
      <c r="E76" s="390">
        <v>0.1</v>
      </c>
      <c r="F76" s="935"/>
      <c r="G76" s="938"/>
      <c r="H76" s="250"/>
      <c r="I76" s="820"/>
      <c r="J76" s="823"/>
      <c r="K76" s="954"/>
      <c r="L76" s="793"/>
    </row>
    <row r="77" spans="1:12" ht="12.75" customHeight="1" thickTop="1" thickBot="1" x14ac:dyDescent="0.3">
      <c r="A77" s="930"/>
      <c r="B77" s="933"/>
      <c r="C77" s="391" t="s">
        <v>287</v>
      </c>
      <c r="D77" s="392" t="s">
        <v>37</v>
      </c>
      <c r="E77" s="393">
        <v>20</v>
      </c>
      <c r="F77" s="936"/>
      <c r="G77" s="939"/>
      <c r="H77" s="250"/>
      <c r="I77" s="940"/>
      <c r="J77" s="941"/>
      <c r="K77" s="955"/>
      <c r="L77" s="956"/>
    </row>
    <row r="78" spans="1:12" x14ac:dyDescent="0.25">
      <c r="A78" s="926" t="s">
        <v>651</v>
      </c>
      <c r="B78" s="926"/>
      <c r="C78" s="926"/>
      <c r="D78" s="926"/>
      <c r="E78" s="926"/>
      <c r="F78" s="926"/>
      <c r="G78" s="926"/>
      <c r="H78" s="926"/>
      <c r="I78" s="926"/>
      <c r="J78" s="926"/>
      <c r="K78" s="926"/>
      <c r="L78" s="926"/>
    </row>
    <row r="79" spans="1:12" x14ac:dyDescent="0.25">
      <c r="A79" s="394"/>
    </row>
    <row r="80" spans="1:12" x14ac:dyDescent="0.25">
      <c r="A80" s="394"/>
    </row>
    <row r="81" spans="1:1" x14ac:dyDescent="0.25">
      <c r="A81" s="394"/>
    </row>
  </sheetData>
  <mergeCells count="116">
    <mergeCell ref="A78:L78"/>
    <mergeCell ref="A74:A77"/>
    <mergeCell ref="B74:B77"/>
    <mergeCell ref="F74:F77"/>
    <mergeCell ref="G74:G77"/>
    <mergeCell ref="I74:I77"/>
    <mergeCell ref="J74:J77"/>
    <mergeCell ref="A71:A73"/>
    <mergeCell ref="B71:B73"/>
    <mergeCell ref="F71:F73"/>
    <mergeCell ref="G71:G73"/>
    <mergeCell ref="I71:I73"/>
    <mergeCell ref="J71:J73"/>
    <mergeCell ref="K71:K73"/>
    <mergeCell ref="L71:L73"/>
    <mergeCell ref="K74:K77"/>
    <mergeCell ref="L74:L77"/>
    <mergeCell ref="K61:K62"/>
    <mergeCell ref="L61:L62"/>
    <mergeCell ref="A63:A70"/>
    <mergeCell ref="B63:B70"/>
    <mergeCell ref="F63:F70"/>
    <mergeCell ref="G63:G70"/>
    <mergeCell ref="I63:I64"/>
    <mergeCell ref="J63:J64"/>
    <mergeCell ref="L63:L64"/>
    <mergeCell ref="I66:I68"/>
    <mergeCell ref="A61:A62"/>
    <mergeCell ref="B61:B62"/>
    <mergeCell ref="F61:F62"/>
    <mergeCell ref="G61:G62"/>
    <mergeCell ref="I61:I62"/>
    <mergeCell ref="J61:J62"/>
    <mergeCell ref="J66:J68"/>
    <mergeCell ref="L66:L68"/>
    <mergeCell ref="L48:L49"/>
    <mergeCell ref="A54:A60"/>
    <mergeCell ref="B54:B60"/>
    <mergeCell ref="F54:F60"/>
    <mergeCell ref="G54:G60"/>
    <mergeCell ref="I54:I60"/>
    <mergeCell ref="J54:J60"/>
    <mergeCell ref="K54:K60"/>
    <mergeCell ref="L54:L60"/>
    <mergeCell ref="A47:A53"/>
    <mergeCell ref="B47:B53"/>
    <mergeCell ref="F47:F53"/>
    <mergeCell ref="G47:G53"/>
    <mergeCell ref="I48:I49"/>
    <mergeCell ref="J48:J49"/>
    <mergeCell ref="A40:A46"/>
    <mergeCell ref="B40:B46"/>
    <mergeCell ref="F40:F46"/>
    <mergeCell ref="G40:G46"/>
    <mergeCell ref="I40:I46"/>
    <mergeCell ref="J40:J46"/>
    <mergeCell ref="K40:K46"/>
    <mergeCell ref="L40:L46"/>
    <mergeCell ref="A34:A39"/>
    <mergeCell ref="B34:B39"/>
    <mergeCell ref="F34:F39"/>
    <mergeCell ref="G34:G39"/>
    <mergeCell ref="I34:I39"/>
    <mergeCell ref="J34:J39"/>
    <mergeCell ref="A31:A33"/>
    <mergeCell ref="B31:B33"/>
    <mergeCell ref="F31:F33"/>
    <mergeCell ref="G31:G33"/>
    <mergeCell ref="I31:I33"/>
    <mergeCell ref="J31:J33"/>
    <mergeCell ref="K31:K33"/>
    <mergeCell ref="L31:L33"/>
    <mergeCell ref="K34:K39"/>
    <mergeCell ref="L34:L39"/>
    <mergeCell ref="L25:L27"/>
    <mergeCell ref="A28:A30"/>
    <mergeCell ref="B28:B30"/>
    <mergeCell ref="F28:F30"/>
    <mergeCell ref="G28:G30"/>
    <mergeCell ref="I28:I30"/>
    <mergeCell ref="J28:J30"/>
    <mergeCell ref="K28:K30"/>
    <mergeCell ref="L28:L30"/>
    <mergeCell ref="A20:A24"/>
    <mergeCell ref="B20:B24"/>
    <mergeCell ref="F20:F24"/>
    <mergeCell ref="G20:G24"/>
    <mergeCell ref="A25:A27"/>
    <mergeCell ref="B25:B27"/>
    <mergeCell ref="F25:F27"/>
    <mergeCell ref="G25:G27"/>
    <mergeCell ref="K13:K15"/>
    <mergeCell ref="I25:I27"/>
    <mergeCell ref="J25:J27"/>
    <mergeCell ref="K25:K27"/>
    <mergeCell ref="C5:G5"/>
    <mergeCell ref="I5:L5"/>
    <mergeCell ref="I6:J6"/>
    <mergeCell ref="I7:J7"/>
    <mergeCell ref="I8:J8"/>
    <mergeCell ref="G9:G10"/>
    <mergeCell ref="L13:L15"/>
    <mergeCell ref="A16:A18"/>
    <mergeCell ref="F16:F18"/>
    <mergeCell ref="G16:G18"/>
    <mergeCell ref="I16:I18"/>
    <mergeCell ref="J16:J18"/>
    <mergeCell ref="K16:K18"/>
    <mergeCell ref="L16:L18"/>
    <mergeCell ref="B17:B18"/>
    <mergeCell ref="A13:A15"/>
    <mergeCell ref="B13:B15"/>
    <mergeCell ref="F13:F15"/>
    <mergeCell ref="G13:G15"/>
    <mergeCell ref="I13:I15"/>
    <mergeCell ref="J13:J15"/>
  </mergeCells>
  <printOptions horizontalCentered="1"/>
  <pageMargins left="0" right="0" top="0" bottom="0" header="0" footer="0"/>
  <pageSetup scale="94" fitToHeight="2" orientation="landscape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44"/>
  <sheetViews>
    <sheetView showGridLines="0" zoomScale="70" zoomScaleNormal="70" zoomScaleSheetLayoutView="80" workbookViewId="0">
      <pane xSplit="5" ySplit="5" topLeftCell="CA6" activePane="bottomRight" state="frozen"/>
      <selection activeCell="A7" sqref="A7"/>
      <selection pane="topRight" activeCell="A7" sqref="A7"/>
      <selection pane="bottomLeft" activeCell="A7" sqref="A7"/>
      <selection pane="bottomRight" activeCell="CG1" sqref="CG1:CH1048576"/>
    </sheetView>
  </sheetViews>
  <sheetFormatPr baseColWidth="10" defaultRowHeight="15" x14ac:dyDescent="0.25"/>
  <cols>
    <col min="1" max="1" width="4.7109375" customWidth="1"/>
    <col min="2" max="2" width="50.7109375" customWidth="1"/>
    <col min="3" max="3" width="15.85546875" customWidth="1"/>
    <col min="4" max="4" width="14.85546875" customWidth="1"/>
    <col min="5" max="5" width="18.140625" customWidth="1"/>
    <col min="6" max="6" width="13" customWidth="1"/>
    <col min="7" max="7" width="19.7109375" customWidth="1"/>
    <col min="8" max="8" width="24.5703125" bestFit="1" customWidth="1"/>
    <col min="9" max="9" width="12" customWidth="1"/>
    <col min="11" max="11" width="14" customWidth="1"/>
    <col min="12" max="12" width="11.140625" customWidth="1"/>
    <col min="13" max="13" width="13.7109375" customWidth="1"/>
    <col min="14" max="14" width="15.5703125" customWidth="1"/>
    <col min="15" max="15" width="13.140625" customWidth="1"/>
    <col min="16" max="16" width="12.42578125" customWidth="1"/>
    <col min="17" max="17" width="12.42578125" bestFit="1" customWidth="1"/>
    <col min="18" max="18" width="17.85546875" customWidth="1"/>
    <col min="19" max="19" width="18" customWidth="1"/>
    <col min="20" max="20" width="13.28515625" customWidth="1"/>
    <col min="21" max="21" width="20" customWidth="1"/>
    <col min="22" max="22" width="12.28515625" customWidth="1"/>
    <col min="23" max="23" width="11.85546875" customWidth="1"/>
    <col min="25" max="25" width="14.28515625" bestFit="1" customWidth="1"/>
    <col min="27" max="27" width="12.42578125" customWidth="1"/>
    <col min="29" max="29" width="13.28515625" customWidth="1"/>
    <col min="30" max="30" width="15.28515625" customWidth="1"/>
    <col min="31" max="31" width="12" customWidth="1"/>
    <col min="32" max="32" width="11.5703125" customWidth="1"/>
    <col min="33" max="33" width="15.42578125" bestFit="1" customWidth="1"/>
    <col min="34" max="34" width="14.28515625" bestFit="1" customWidth="1"/>
    <col min="35" max="35" width="15.42578125" bestFit="1" customWidth="1"/>
    <col min="36" max="37" width="15.7109375" bestFit="1" customWidth="1"/>
    <col min="38" max="38" width="12.7109375" bestFit="1" customWidth="1"/>
    <col min="39" max="39" width="14" customWidth="1"/>
    <col min="40" max="40" width="12.28515625" bestFit="1" customWidth="1"/>
    <col min="41" max="41" width="14.28515625" customWidth="1"/>
    <col min="42" max="42" width="11.7109375" customWidth="1"/>
    <col min="43" max="43" width="13" customWidth="1"/>
    <col min="44" max="44" width="14.140625" customWidth="1"/>
    <col min="45" max="45" width="12.28515625" customWidth="1"/>
    <col min="46" max="46" width="13.7109375" bestFit="1" customWidth="1"/>
    <col min="47" max="47" width="12.42578125" bestFit="1" customWidth="1"/>
    <col min="49" max="49" width="12.42578125" bestFit="1" customWidth="1"/>
    <col min="51" max="51" width="12.42578125" bestFit="1" customWidth="1"/>
    <col min="53" max="53" width="19.42578125" customWidth="1"/>
    <col min="54" max="54" width="14.28515625" bestFit="1" customWidth="1"/>
    <col min="55" max="55" width="14.42578125" customWidth="1"/>
    <col min="57" max="57" width="12.85546875" customWidth="1"/>
    <col min="59" max="59" width="13" customWidth="1"/>
    <col min="61" max="61" width="12.85546875" customWidth="1"/>
    <col min="66" max="66" width="12.28515625" customWidth="1"/>
    <col min="67" max="67" width="11.7109375" customWidth="1"/>
    <col min="68" max="68" width="12.7109375" customWidth="1"/>
    <col min="69" max="69" width="13.42578125" customWidth="1"/>
    <col min="73" max="73" width="12.42578125" bestFit="1" customWidth="1"/>
    <col min="75" max="75" width="12.42578125" bestFit="1" customWidth="1"/>
    <col min="77" max="77" width="12.42578125" bestFit="1" customWidth="1"/>
    <col min="79" max="79" width="12.42578125" bestFit="1" customWidth="1"/>
    <col min="81" max="81" width="12.42578125" bestFit="1" customWidth="1"/>
    <col min="83" max="83" width="12.42578125" bestFit="1" customWidth="1"/>
    <col min="87" max="87" width="12.42578125" bestFit="1" customWidth="1"/>
  </cols>
  <sheetData>
    <row r="1" spans="1:149" ht="80.099999999999994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149" ht="26.25" x14ac:dyDescent="0.25">
      <c r="A2" s="9"/>
      <c r="B2" s="9" t="s">
        <v>32</v>
      </c>
      <c r="C2" s="9"/>
      <c r="D2" s="9"/>
      <c r="E2" s="9"/>
      <c r="F2" s="42"/>
      <c r="G2" s="9"/>
      <c r="H2" s="42"/>
      <c r="I2" s="42"/>
      <c r="J2" s="9"/>
      <c r="K2" s="42"/>
      <c r="L2" s="42"/>
      <c r="M2" s="66"/>
      <c r="N2" s="66"/>
      <c r="O2" s="445"/>
      <c r="P2" s="639"/>
      <c r="Q2" s="66"/>
      <c r="R2" s="66"/>
      <c r="S2" s="66"/>
      <c r="T2" s="66"/>
      <c r="U2" s="66"/>
      <c r="V2" s="9"/>
      <c r="W2" s="9"/>
      <c r="X2" s="9"/>
      <c r="Y2" s="42"/>
      <c r="Z2" s="9"/>
      <c r="AA2" s="9"/>
      <c r="AB2" s="9"/>
      <c r="AC2" s="9"/>
      <c r="AD2" s="9"/>
      <c r="AE2" s="66"/>
      <c r="AF2" s="42"/>
      <c r="AG2" s="42"/>
      <c r="AH2" s="42"/>
      <c r="AI2" s="42"/>
      <c r="AJ2" s="66"/>
      <c r="AK2" s="66"/>
      <c r="AL2" s="9"/>
      <c r="AM2" s="399"/>
      <c r="AN2" s="42"/>
      <c r="AO2" s="66"/>
      <c r="AP2" s="42"/>
      <c r="AQ2" s="9"/>
      <c r="AR2" s="66"/>
      <c r="AS2" s="9"/>
      <c r="AT2" s="66"/>
      <c r="AU2" s="9"/>
      <c r="AV2" s="9"/>
      <c r="AW2" s="9"/>
      <c r="AX2" s="9"/>
      <c r="AY2" s="9"/>
      <c r="AZ2" s="9"/>
      <c r="BA2" s="66"/>
      <c r="BB2" s="66"/>
      <c r="BC2" s="9"/>
      <c r="BD2" s="9"/>
      <c r="BE2" s="9"/>
      <c r="BF2" s="9"/>
      <c r="BG2" s="9"/>
      <c r="BH2" s="9"/>
      <c r="BI2" s="66"/>
      <c r="BJ2" s="9"/>
      <c r="BK2" s="9"/>
      <c r="BL2" s="9"/>
      <c r="BM2" s="9"/>
      <c r="BN2" s="9"/>
      <c r="BO2" s="9"/>
      <c r="BP2" s="9"/>
      <c r="BW2" s="7"/>
    </row>
    <row r="3" spans="1:149" x14ac:dyDescent="0.25">
      <c r="J3" s="7"/>
      <c r="N3" s="95"/>
      <c r="Q3" s="7"/>
      <c r="R3" s="41"/>
      <c r="S3" s="632" t="s">
        <v>843</v>
      </c>
      <c r="X3" s="63"/>
      <c r="AB3" s="7"/>
      <c r="AF3" s="124"/>
      <c r="AG3" s="398"/>
      <c r="AI3" s="64"/>
      <c r="AO3" s="64"/>
      <c r="AU3" s="26"/>
      <c r="AW3" s="64"/>
      <c r="AX3" s="64"/>
      <c r="BC3" s="57"/>
      <c r="BE3" s="64"/>
      <c r="BI3" s="64"/>
      <c r="BN3" s="640"/>
      <c r="BO3" s="64"/>
      <c r="BS3" s="64"/>
      <c r="BU3" s="64"/>
      <c r="BV3" s="64"/>
      <c r="BX3" s="64"/>
    </row>
    <row r="4" spans="1:149" x14ac:dyDescent="0.25">
      <c r="D4" s="7"/>
      <c r="H4" s="407" t="s">
        <v>842</v>
      </c>
      <c r="I4" s="959">
        <v>44866</v>
      </c>
      <c r="J4" s="960"/>
      <c r="K4" s="957">
        <v>44867</v>
      </c>
      <c r="L4" s="958"/>
      <c r="M4" s="957">
        <v>44868</v>
      </c>
      <c r="N4" s="958"/>
      <c r="O4" s="957">
        <v>44869</v>
      </c>
      <c r="P4" s="958"/>
      <c r="Q4" s="957">
        <v>44872</v>
      </c>
      <c r="R4" s="958"/>
      <c r="S4" s="957">
        <v>44873</v>
      </c>
      <c r="T4" s="958"/>
      <c r="U4" s="957">
        <v>44874</v>
      </c>
      <c r="V4" s="958"/>
      <c r="W4" s="959">
        <v>44876</v>
      </c>
      <c r="X4" s="960"/>
      <c r="Y4" s="959">
        <v>44877</v>
      </c>
      <c r="Z4" s="960"/>
      <c r="AA4" s="957" t="s">
        <v>859</v>
      </c>
      <c r="AB4" s="958"/>
      <c r="AC4" s="957">
        <v>44881</v>
      </c>
      <c r="AD4" s="958"/>
      <c r="AE4" s="957">
        <v>44882</v>
      </c>
      <c r="AF4" s="958"/>
      <c r="AG4" s="957">
        <v>44883</v>
      </c>
      <c r="AH4" s="958"/>
      <c r="AI4" s="957">
        <v>44886</v>
      </c>
      <c r="AJ4" s="958"/>
      <c r="AK4" s="957">
        <v>44887</v>
      </c>
      <c r="AL4" s="958"/>
      <c r="AM4" s="957">
        <v>44888</v>
      </c>
      <c r="AN4" s="958"/>
      <c r="AO4" s="959">
        <v>44889</v>
      </c>
      <c r="AP4" s="960"/>
      <c r="AQ4" s="960">
        <v>44890</v>
      </c>
      <c r="AR4" s="960"/>
      <c r="AS4" s="960">
        <v>44893</v>
      </c>
      <c r="AT4" s="960"/>
      <c r="AU4" s="959">
        <v>44894</v>
      </c>
      <c r="AV4" s="960"/>
      <c r="AW4" s="959">
        <v>44895</v>
      </c>
      <c r="AX4" s="960"/>
      <c r="AY4" s="959">
        <v>44896</v>
      </c>
      <c r="AZ4" s="960"/>
      <c r="BA4" s="959">
        <v>44897</v>
      </c>
      <c r="BB4" s="960"/>
      <c r="BC4" s="957">
        <v>44900</v>
      </c>
      <c r="BD4" s="958"/>
      <c r="BE4" s="957">
        <v>44901</v>
      </c>
      <c r="BF4" s="958"/>
      <c r="BG4" s="957">
        <v>44902</v>
      </c>
      <c r="BH4" s="958"/>
      <c r="BI4" s="957">
        <v>44903</v>
      </c>
      <c r="BJ4" s="958"/>
      <c r="BK4" s="957">
        <v>44904</v>
      </c>
      <c r="BL4" s="958"/>
      <c r="BM4" s="957">
        <v>44905</v>
      </c>
      <c r="BN4" s="958"/>
      <c r="BO4" s="959">
        <v>44907</v>
      </c>
      <c r="BP4" s="960"/>
      <c r="BQ4" s="959">
        <v>44908</v>
      </c>
      <c r="BR4" s="960"/>
      <c r="BS4" s="961">
        <v>44909</v>
      </c>
      <c r="BT4" s="962"/>
      <c r="BU4" s="957">
        <v>44910</v>
      </c>
      <c r="BV4" s="958"/>
      <c r="BW4" s="957">
        <v>44911</v>
      </c>
      <c r="BX4" s="958"/>
      <c r="BY4" s="957">
        <v>44912</v>
      </c>
      <c r="BZ4" s="958"/>
      <c r="CA4" s="957">
        <v>44914</v>
      </c>
      <c r="CB4" s="958"/>
      <c r="CC4" s="957">
        <v>44915</v>
      </c>
      <c r="CD4" s="958"/>
      <c r="CE4" s="959">
        <v>44916</v>
      </c>
      <c r="CF4" s="960"/>
      <c r="CG4" s="961">
        <v>44917</v>
      </c>
      <c r="CH4" s="962"/>
      <c r="CI4" s="959">
        <v>44924</v>
      </c>
      <c r="CJ4" s="960"/>
    </row>
    <row r="5" spans="1:149" s="34" customFormat="1" ht="30" x14ac:dyDescent="0.25">
      <c r="A5" s="11" t="s">
        <v>6</v>
      </c>
      <c r="B5" s="11" t="s">
        <v>7</v>
      </c>
      <c r="C5" s="11" t="s">
        <v>41</v>
      </c>
      <c r="D5" s="11" t="s">
        <v>21</v>
      </c>
      <c r="E5" s="11" t="s">
        <v>20</v>
      </c>
      <c r="F5" s="11" t="s">
        <v>1</v>
      </c>
      <c r="G5" s="11" t="s">
        <v>2</v>
      </c>
      <c r="H5" s="20" t="s">
        <v>244</v>
      </c>
      <c r="I5" s="11" t="s">
        <v>158</v>
      </c>
      <c r="J5" s="11" t="s">
        <v>159</v>
      </c>
      <c r="K5" s="11" t="s">
        <v>158</v>
      </c>
      <c r="L5" s="11" t="s">
        <v>159</v>
      </c>
      <c r="M5" s="11" t="s">
        <v>158</v>
      </c>
      <c r="N5" s="11" t="s">
        <v>159</v>
      </c>
      <c r="O5" s="11" t="s">
        <v>158</v>
      </c>
      <c r="P5" s="11" t="s">
        <v>159</v>
      </c>
      <c r="Q5" s="11" t="s">
        <v>158</v>
      </c>
      <c r="R5" s="11" t="s">
        <v>159</v>
      </c>
      <c r="S5" s="11" t="s">
        <v>158</v>
      </c>
      <c r="T5" s="11" t="s">
        <v>159</v>
      </c>
      <c r="U5" s="11" t="s">
        <v>158</v>
      </c>
      <c r="V5" s="11" t="s">
        <v>159</v>
      </c>
      <c r="W5" s="11" t="s">
        <v>158</v>
      </c>
      <c r="X5" s="11" t="s">
        <v>159</v>
      </c>
      <c r="Y5" s="11" t="s">
        <v>158</v>
      </c>
      <c r="Z5" s="11" t="s">
        <v>159</v>
      </c>
      <c r="AA5" s="11" t="s">
        <v>158</v>
      </c>
      <c r="AB5" s="11" t="s">
        <v>159</v>
      </c>
      <c r="AC5" s="11" t="s">
        <v>158</v>
      </c>
      <c r="AD5" s="11" t="s">
        <v>159</v>
      </c>
      <c r="AE5" s="11" t="s">
        <v>158</v>
      </c>
      <c r="AF5" s="11" t="s">
        <v>159</v>
      </c>
      <c r="AG5" s="11" t="s">
        <v>158</v>
      </c>
      <c r="AH5" s="11" t="s">
        <v>159</v>
      </c>
      <c r="AI5" s="11" t="s">
        <v>158</v>
      </c>
      <c r="AJ5" s="11" t="s">
        <v>159</v>
      </c>
      <c r="AK5" s="11" t="s">
        <v>158</v>
      </c>
      <c r="AL5" s="11" t="s">
        <v>159</v>
      </c>
      <c r="AM5" s="11" t="s">
        <v>158</v>
      </c>
      <c r="AN5" s="11" t="s">
        <v>159</v>
      </c>
      <c r="AO5" s="11" t="s">
        <v>158</v>
      </c>
      <c r="AP5" s="11" t="s">
        <v>159</v>
      </c>
      <c r="AQ5" s="11" t="s">
        <v>158</v>
      </c>
      <c r="AR5" s="11" t="s">
        <v>159</v>
      </c>
      <c r="AS5" s="11" t="s">
        <v>158</v>
      </c>
      <c r="AT5" s="11" t="s">
        <v>159</v>
      </c>
      <c r="AU5" s="11" t="s">
        <v>158</v>
      </c>
      <c r="AV5" s="11" t="s">
        <v>159</v>
      </c>
      <c r="AW5" s="11" t="s">
        <v>158</v>
      </c>
      <c r="AX5" s="11" t="s">
        <v>159</v>
      </c>
      <c r="AY5" s="11" t="s">
        <v>158</v>
      </c>
      <c r="AZ5" s="11" t="s">
        <v>159</v>
      </c>
      <c r="BA5" s="11" t="s">
        <v>158</v>
      </c>
      <c r="BB5" s="11" t="s">
        <v>159</v>
      </c>
      <c r="BC5" s="11" t="s">
        <v>158</v>
      </c>
      <c r="BD5" s="11" t="s">
        <v>159</v>
      </c>
      <c r="BE5" s="11" t="s">
        <v>158</v>
      </c>
      <c r="BF5" s="11" t="s">
        <v>159</v>
      </c>
      <c r="BG5" s="11" t="s">
        <v>158</v>
      </c>
      <c r="BH5" s="11" t="s">
        <v>159</v>
      </c>
      <c r="BI5" s="11" t="s">
        <v>158</v>
      </c>
      <c r="BJ5" s="11" t="s">
        <v>159</v>
      </c>
      <c r="BK5" s="11" t="s">
        <v>158</v>
      </c>
      <c r="BL5" s="11" t="s">
        <v>159</v>
      </c>
      <c r="BM5" s="11" t="s">
        <v>158</v>
      </c>
      <c r="BN5" s="11" t="s">
        <v>159</v>
      </c>
      <c r="BO5" s="11" t="s">
        <v>158</v>
      </c>
      <c r="BP5" s="11" t="s">
        <v>159</v>
      </c>
      <c r="BQ5" s="11" t="s">
        <v>158</v>
      </c>
      <c r="BR5" s="11" t="s">
        <v>159</v>
      </c>
      <c r="BS5" s="11" t="s">
        <v>158</v>
      </c>
      <c r="BT5" s="11" t="s">
        <v>159</v>
      </c>
      <c r="BU5" s="11" t="s">
        <v>158</v>
      </c>
      <c r="BV5" s="11" t="s">
        <v>159</v>
      </c>
      <c r="BW5" s="11" t="s">
        <v>158</v>
      </c>
      <c r="BX5" s="11" t="s">
        <v>159</v>
      </c>
      <c r="BY5" s="11" t="s">
        <v>158</v>
      </c>
      <c r="BZ5" s="11" t="s">
        <v>159</v>
      </c>
      <c r="CA5" s="11" t="s">
        <v>158</v>
      </c>
      <c r="CB5" s="11" t="s">
        <v>159</v>
      </c>
      <c r="CC5" s="11" t="s">
        <v>158</v>
      </c>
      <c r="CD5" s="11" t="s">
        <v>159</v>
      </c>
      <c r="CE5" s="11" t="s">
        <v>158</v>
      </c>
      <c r="CF5" s="11" t="s">
        <v>159</v>
      </c>
      <c r="CG5" s="11" t="s">
        <v>158</v>
      </c>
      <c r="CH5" s="11" t="s">
        <v>159</v>
      </c>
      <c r="CI5" s="11" t="s">
        <v>158</v>
      </c>
      <c r="CJ5" s="11" t="s">
        <v>159</v>
      </c>
    </row>
    <row r="6" spans="1:149" s="34" customFormat="1" x14ac:dyDescent="0.25">
      <c r="A6" s="2">
        <v>1</v>
      </c>
      <c r="B6" s="27" t="s">
        <v>8</v>
      </c>
      <c r="C6" s="31" t="s">
        <v>144</v>
      </c>
      <c r="D6" s="6">
        <f>SUM(H6:CU6)</f>
        <v>1908.5</v>
      </c>
      <c r="E6" s="6">
        <f>+D6/19.1</f>
        <v>99.921465968586375</v>
      </c>
      <c r="F6" s="4">
        <v>400</v>
      </c>
      <c r="G6" s="4">
        <f>D6-F6</f>
        <v>1508.5</v>
      </c>
      <c r="H6" s="93">
        <v>5042</v>
      </c>
      <c r="I6" s="5"/>
      <c r="J6" s="5">
        <f>-7*15 -3*30-2*24-1*40-19*15</f>
        <v>-568</v>
      </c>
      <c r="K6" s="5"/>
      <c r="L6" s="5">
        <f>-10*15 - 5*20-5*20</f>
        <v>-350</v>
      </c>
      <c r="M6" s="5"/>
      <c r="N6" s="5">
        <f>-5*15</f>
        <v>-75</v>
      </c>
      <c r="O6" s="5"/>
      <c r="P6" s="5">
        <f>-7*15</f>
        <v>-105</v>
      </c>
      <c r="Q6" s="5"/>
      <c r="R6" s="30">
        <f>-10*15-7*15-1*160</f>
        <v>-415</v>
      </c>
      <c r="S6" s="5"/>
      <c r="T6" s="5">
        <f>-11*15</f>
        <v>-165</v>
      </c>
      <c r="U6" s="5"/>
      <c r="V6" s="5">
        <f>-13*15-160*1</f>
        <v>-355</v>
      </c>
      <c r="W6" s="48"/>
      <c r="X6" s="30">
        <f>-15*15</f>
        <v>-225</v>
      </c>
      <c r="Y6" s="5"/>
      <c r="Z6" s="5">
        <f>-22*15</f>
        <v>-330</v>
      </c>
      <c r="AA6" s="5"/>
      <c r="AB6" s="5">
        <f>-16*15</f>
        <v>-240</v>
      </c>
      <c r="AC6" s="5"/>
      <c r="AD6" s="5">
        <f>-25*15-3*24-2*40</f>
        <v>-527</v>
      </c>
      <c r="AE6" s="5"/>
      <c r="AF6" s="5">
        <f>-25*15</f>
        <v>-375</v>
      </c>
      <c r="AG6" s="5"/>
      <c r="AH6" s="65">
        <f>-4*40-4*24</f>
        <v>-256</v>
      </c>
      <c r="AI6" s="5"/>
      <c r="AJ6" s="5">
        <f>-14*15</f>
        <v>-210</v>
      </c>
      <c r="AK6" s="5"/>
      <c r="AL6" s="5">
        <f>-25*15</f>
        <v>-375</v>
      </c>
      <c r="AM6" s="5"/>
      <c r="AN6" s="5">
        <f>-1*40</f>
        <v>-40</v>
      </c>
      <c r="AO6" s="5"/>
      <c r="AP6" s="5">
        <f>-12*15</f>
        <v>-180</v>
      </c>
      <c r="AQ6" s="5"/>
      <c r="AR6" s="5">
        <f>-14*15</f>
        <v>-210</v>
      </c>
      <c r="AS6" s="30"/>
      <c r="AT6" s="30">
        <f>-5*20-2*10</f>
        <v>-120</v>
      </c>
      <c r="AU6" s="5"/>
      <c r="AV6" s="5"/>
      <c r="AW6" s="30"/>
      <c r="AX6" s="5">
        <f>-8*15</f>
        <v>-120</v>
      </c>
      <c r="AY6" s="5">
        <f>30*20</f>
        <v>600</v>
      </c>
      <c r="AZ6" s="5">
        <f>-5*15</f>
        <v>-75</v>
      </c>
      <c r="BA6" s="5"/>
      <c r="BB6" s="5">
        <f>-18*15</f>
        <v>-270</v>
      </c>
      <c r="BC6" s="5"/>
      <c r="BD6" s="5">
        <f>-20*8</f>
        <v>-160</v>
      </c>
      <c r="BE6" s="5">
        <v>3600</v>
      </c>
      <c r="BF6" s="5">
        <f>-5.5*12-10-1*45</f>
        <v>-121</v>
      </c>
      <c r="BG6" s="5"/>
      <c r="BH6" s="30">
        <f>-30*15</f>
        <v>-450</v>
      </c>
      <c r="BI6" s="5"/>
      <c r="BJ6" s="5">
        <f>-27*15-4*40-80*1</f>
        <v>-645</v>
      </c>
      <c r="BK6" s="5"/>
      <c r="BL6" s="30">
        <f>-25*15</f>
        <v>-375</v>
      </c>
      <c r="BM6" s="5"/>
      <c r="BN6" s="30">
        <f>-8*15-8*40</f>
        <v>-440</v>
      </c>
      <c r="BO6" s="5"/>
      <c r="BP6" s="5">
        <f>-11*15-2-12</f>
        <v>-179</v>
      </c>
      <c r="BQ6" s="5"/>
      <c r="BR6" s="5">
        <f>-40*15-1*25-1*12</f>
        <v>-637</v>
      </c>
      <c r="BS6" s="5"/>
      <c r="BT6" s="5"/>
      <c r="BU6" s="5">
        <f>3300</f>
        <v>3300</v>
      </c>
      <c r="BV6" s="5">
        <f>-57*15-1*40-1*20</f>
        <v>-915</v>
      </c>
      <c r="BW6" s="5"/>
      <c r="BX6" s="5"/>
      <c r="BY6" s="5"/>
      <c r="BZ6" s="5"/>
      <c r="CA6" s="5"/>
      <c r="CB6" s="5">
        <f>-2*22</f>
        <v>-44</v>
      </c>
      <c r="CC6" s="5"/>
      <c r="CD6" s="5">
        <f>-8*40-2*24-2.5*31-94*1</f>
        <v>-539.5</v>
      </c>
      <c r="CE6" s="5"/>
      <c r="CF6" s="5">
        <f>-18*15</f>
        <v>-270</v>
      </c>
      <c r="CG6" s="5"/>
      <c r="CH6" s="5">
        <f>-5*40-1*24</f>
        <v>-224</v>
      </c>
      <c r="CI6" s="5"/>
      <c r="CJ6" s="5">
        <f>-1*40-4*2</f>
        <v>-48</v>
      </c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  <c r="EK6" s="51"/>
      <c r="EL6" s="51"/>
      <c r="EM6" s="51"/>
      <c r="EN6" s="51"/>
      <c r="EO6" s="51"/>
      <c r="EP6" s="51"/>
      <c r="EQ6" s="51"/>
      <c r="ER6" s="51"/>
      <c r="ES6" s="51"/>
    </row>
    <row r="7" spans="1:149" s="34" customFormat="1" x14ac:dyDescent="0.25">
      <c r="A7" s="2">
        <v>2</v>
      </c>
      <c r="B7" s="3" t="s">
        <v>9</v>
      </c>
      <c r="C7" s="31" t="s">
        <v>147</v>
      </c>
      <c r="D7" s="6">
        <f>SUM(H7:CU7)</f>
        <v>571.89999999999964</v>
      </c>
      <c r="E7" s="6">
        <f>+D7/25</f>
        <v>22.875999999999987</v>
      </c>
      <c r="F7" s="4">
        <v>500</v>
      </c>
      <c r="G7" s="4">
        <f>D7-F7</f>
        <v>71.899999999999636</v>
      </c>
      <c r="H7" s="93">
        <v>1890.3999999999996</v>
      </c>
      <c r="I7" s="5"/>
      <c r="J7" s="5"/>
      <c r="K7" s="5"/>
      <c r="L7" s="5"/>
      <c r="M7" s="5"/>
      <c r="N7" s="5">
        <f>-5*10-9*10</f>
        <v>-140</v>
      </c>
      <c r="O7" s="5"/>
      <c r="P7" s="5"/>
      <c r="Q7" s="5"/>
      <c r="R7" s="5">
        <f>-12*10</f>
        <v>-120</v>
      </c>
      <c r="S7" s="5"/>
      <c r="T7" s="5"/>
      <c r="U7" s="5"/>
      <c r="V7" s="5">
        <f>-11*10-2*10</f>
        <v>-130</v>
      </c>
      <c r="W7" s="5"/>
      <c r="X7" s="30"/>
      <c r="Y7" s="5"/>
      <c r="Z7" s="5">
        <f>-7*10</f>
        <v>-70</v>
      </c>
      <c r="AA7" s="5"/>
      <c r="AB7" s="5"/>
      <c r="AC7" s="5"/>
      <c r="AD7" s="5">
        <f>-3*15</f>
        <v>-45</v>
      </c>
      <c r="AE7" s="5"/>
      <c r="AF7" s="5"/>
      <c r="AG7" s="5"/>
      <c r="AH7" s="5">
        <f>-1*10-1*11.5-4*15</f>
        <v>-81.5</v>
      </c>
      <c r="AI7" s="5"/>
      <c r="AJ7" s="5"/>
      <c r="AK7" s="5"/>
      <c r="AL7" s="5"/>
      <c r="AM7" s="5"/>
      <c r="AN7" s="5">
        <f>-1*15-5*10-2*10</f>
        <v>-85</v>
      </c>
      <c r="AO7" s="5"/>
      <c r="AP7" s="5"/>
      <c r="AQ7" s="5"/>
      <c r="AR7" s="5"/>
      <c r="AS7" s="5"/>
      <c r="AT7" s="5">
        <f>-16*10-5*35-2*14</f>
        <v>-363</v>
      </c>
      <c r="AU7" s="5"/>
      <c r="AV7" s="5">
        <f>-5*15</f>
        <v>-75</v>
      </c>
      <c r="AW7" s="5"/>
      <c r="AX7" s="5">
        <f>-5*15-2*24</f>
        <v>-123</v>
      </c>
      <c r="AY7" s="5"/>
      <c r="AZ7" s="5"/>
      <c r="BA7" s="5"/>
      <c r="BB7" s="5"/>
      <c r="BC7" s="5"/>
      <c r="BD7" s="5">
        <f>-8*10-1*10-1*10</f>
        <v>-100</v>
      </c>
      <c r="BE7" s="5">
        <v>400</v>
      </c>
      <c r="BF7" s="5">
        <f>-5.5*12-1*45</f>
        <v>-111</v>
      </c>
      <c r="BG7" s="5"/>
      <c r="BH7" s="5"/>
      <c r="BI7" s="5"/>
      <c r="BJ7" s="5">
        <f>-4*15</f>
        <v>-60</v>
      </c>
      <c r="BK7" s="5"/>
      <c r="BL7" s="5">
        <f>-4*15</f>
        <v>-60</v>
      </c>
      <c r="BM7" s="5"/>
      <c r="BN7" s="5">
        <f>-8*15-3*10-7*10</f>
        <v>-220</v>
      </c>
      <c r="BO7" s="5"/>
      <c r="BP7" s="5"/>
      <c r="BQ7" s="5"/>
      <c r="BR7" s="5"/>
      <c r="BS7" s="5"/>
      <c r="BT7" s="5"/>
      <c r="BU7" s="5">
        <v>400</v>
      </c>
      <c r="BV7" s="5"/>
      <c r="BW7" s="5"/>
      <c r="BX7" s="5"/>
      <c r="BY7" s="5"/>
      <c r="BZ7" s="5"/>
      <c r="CA7" s="5"/>
      <c r="CB7" s="5">
        <f>-5*10-6.5*10</f>
        <v>-115</v>
      </c>
      <c r="CC7" s="5"/>
      <c r="CD7" s="5">
        <f>-8*10</f>
        <v>-80</v>
      </c>
      <c r="CE7" s="5"/>
      <c r="CF7" s="5">
        <f>-1*10</f>
        <v>-10</v>
      </c>
      <c r="CG7" s="5"/>
      <c r="CH7" s="5">
        <f>-5*15</f>
        <v>-75</v>
      </c>
      <c r="CI7" s="5"/>
      <c r="CJ7" s="5">
        <f>-1*15-4*10</f>
        <v>-55</v>
      </c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</row>
    <row r="8" spans="1:149" s="34" customFormat="1" x14ac:dyDescent="0.25">
      <c r="A8" s="2">
        <v>3</v>
      </c>
      <c r="B8" s="3" t="s">
        <v>11</v>
      </c>
      <c r="C8" s="31" t="s">
        <v>145</v>
      </c>
      <c r="D8" s="6">
        <f>SUM(H8:CU8)</f>
        <v>0</v>
      </c>
      <c r="E8" s="6">
        <f>+D8/(21.25)</f>
        <v>0</v>
      </c>
      <c r="F8" s="4">
        <f>5*21.25</f>
        <v>106.25</v>
      </c>
      <c r="G8" s="4">
        <f>D8-F8</f>
        <v>-106.25</v>
      </c>
      <c r="H8" s="93">
        <v>21.25</v>
      </c>
      <c r="I8" s="5"/>
      <c r="J8" s="5">
        <f>-3*42.5</f>
        <v>-127.5</v>
      </c>
      <c r="K8" s="5"/>
      <c r="L8" s="5"/>
      <c r="M8" s="5"/>
      <c r="N8" s="30"/>
      <c r="O8" s="5"/>
      <c r="P8" s="5"/>
      <c r="Q8" s="5"/>
      <c r="R8" s="5"/>
      <c r="S8" s="5"/>
      <c r="T8" s="5"/>
      <c r="U8" s="5"/>
      <c r="V8" s="5"/>
      <c r="W8" s="5"/>
      <c r="X8" s="30"/>
      <c r="Y8" s="5"/>
      <c r="Z8" s="5"/>
      <c r="AA8" s="5"/>
      <c r="AB8" s="5"/>
      <c r="AC8" s="5"/>
      <c r="AD8" s="5"/>
      <c r="AE8" s="5"/>
      <c r="AF8" s="5"/>
      <c r="AG8" s="5">
        <f>8*21.25</f>
        <v>170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>
        <f>8*20+1.25</f>
        <v>161.25</v>
      </c>
      <c r="BB8" s="5"/>
      <c r="BC8" s="5"/>
      <c r="BD8" s="5"/>
      <c r="BE8" s="5"/>
      <c r="BF8" s="34">
        <f>-1*63</f>
        <v>-63</v>
      </c>
      <c r="BG8" s="5"/>
      <c r="BH8" s="5"/>
      <c r="BI8" s="5"/>
      <c r="BJ8" s="5"/>
      <c r="BK8" s="5"/>
      <c r="BL8" s="5"/>
      <c r="BM8" s="5"/>
      <c r="BN8" s="5">
        <f>-8*20</f>
        <v>-160</v>
      </c>
      <c r="BO8" s="5"/>
      <c r="BP8" s="5"/>
      <c r="BQ8" s="5"/>
      <c r="BR8" s="5">
        <f>-1*7</f>
        <v>-7</v>
      </c>
      <c r="BS8" s="5"/>
      <c r="BT8" s="5"/>
      <c r="BU8" s="5"/>
      <c r="BV8" s="5"/>
      <c r="BW8" s="5"/>
      <c r="BX8" s="5"/>
      <c r="BY8" s="5"/>
      <c r="BZ8" s="5"/>
      <c r="CA8" s="5">
        <f>5*21.25</f>
        <v>106.25</v>
      </c>
      <c r="CB8" s="5"/>
      <c r="CC8" s="5"/>
      <c r="CD8" s="5">
        <f>-2.5*40.5</f>
        <v>-101.25</v>
      </c>
      <c r="CE8" s="5"/>
      <c r="CF8" s="5"/>
      <c r="CG8" s="5"/>
      <c r="CH8" s="5"/>
      <c r="CI8" s="5"/>
      <c r="CJ8" s="5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</row>
    <row r="9" spans="1:149" s="34" customFormat="1" x14ac:dyDescent="0.25">
      <c r="A9" s="2">
        <v>4</v>
      </c>
      <c r="B9" s="27" t="s">
        <v>10</v>
      </c>
      <c r="C9" s="31" t="s">
        <v>146</v>
      </c>
      <c r="D9" s="6">
        <f>SUM(H9:CU9)</f>
        <v>2516.5500000000002</v>
      </c>
      <c r="E9" s="6">
        <f>+D9/42.5</f>
        <v>59.212941176470594</v>
      </c>
      <c r="F9" s="4">
        <v>500</v>
      </c>
      <c r="G9" s="4">
        <f t="shared" ref="G9:G26" si="0">D9-F9</f>
        <v>2016.5500000000002</v>
      </c>
      <c r="H9" s="93">
        <v>927.55000000000018</v>
      </c>
      <c r="I9" s="43">
        <f>75*40</f>
        <v>3000</v>
      </c>
      <c r="J9" s="5">
        <f>-7*60 -19*60-3*20-1*20</f>
        <v>-1640</v>
      </c>
      <c r="K9" s="5"/>
      <c r="L9" s="5">
        <f>-10*60</f>
        <v>-600</v>
      </c>
      <c r="M9" s="5"/>
      <c r="N9" s="30">
        <f>-1*42-5*23-5*23-5*60-3*42-5</f>
        <v>-703</v>
      </c>
      <c r="O9" s="5">
        <f>20*40</f>
        <v>800</v>
      </c>
      <c r="P9" s="5">
        <f>-7*60</f>
        <v>-420</v>
      </c>
      <c r="Q9" s="30">
        <f>50*40</f>
        <v>2000</v>
      </c>
      <c r="R9" s="5">
        <f>-10*60-1*40-7*60</f>
        <v>-1060</v>
      </c>
      <c r="S9" s="631"/>
      <c r="T9" s="5">
        <f>-11*60</f>
        <v>-660</v>
      </c>
      <c r="U9" s="5">
        <f>50*40</f>
        <v>2000</v>
      </c>
      <c r="V9" s="5">
        <f>-11*23-13*60-20*10</f>
        <v>-1233</v>
      </c>
      <c r="W9" s="30"/>
      <c r="X9" s="30">
        <f>-15*60</f>
        <v>-900</v>
      </c>
      <c r="Y9" s="5">
        <f>6*42.5</f>
        <v>255</v>
      </c>
      <c r="Z9" s="30">
        <f>-22*60-4*5</f>
        <v>-1340</v>
      </c>
      <c r="AA9" s="5">
        <f>50*40</f>
        <v>2000</v>
      </c>
      <c r="AB9" s="5">
        <f>-16*60</f>
        <v>-960</v>
      </c>
      <c r="AC9" s="5"/>
      <c r="AD9" s="5">
        <f>-25*60-20*10-3*60-2*5-2*20</f>
        <v>-1930</v>
      </c>
      <c r="AE9" s="5">
        <f>122*40</f>
        <v>4880</v>
      </c>
      <c r="AF9" s="5">
        <f>-25*60</f>
        <v>-1500</v>
      </c>
      <c r="AG9" s="30">
        <f>8*21.25</f>
        <v>170</v>
      </c>
      <c r="AH9" s="5">
        <f>-1*23-1*23-4*20-4*60</f>
        <v>-366</v>
      </c>
      <c r="AI9" s="5"/>
      <c r="AJ9" s="5">
        <f>-14*60-4*5</f>
        <v>-860</v>
      </c>
      <c r="AK9" s="5">
        <f>50*40</f>
        <v>2000</v>
      </c>
      <c r="AL9" s="5">
        <f>-25*60</f>
        <v>-1500</v>
      </c>
      <c r="AM9" s="5"/>
      <c r="AN9" s="5">
        <f>-1*20-5*30-6*20-20*10-2*23-20*10</f>
        <v>-736</v>
      </c>
      <c r="AO9" s="5"/>
      <c r="AP9" s="5">
        <f>-12*60</f>
        <v>-720</v>
      </c>
      <c r="AQ9" s="5">
        <f>83*40</f>
        <v>3320</v>
      </c>
      <c r="AR9" s="30">
        <f>-14*60-3.5*40</f>
        <v>-980</v>
      </c>
      <c r="AS9" s="5"/>
      <c r="AT9" s="5">
        <f>-16*23-5*20-2*60-4*5</f>
        <v>-608</v>
      </c>
      <c r="AU9" s="5"/>
      <c r="AV9" s="30">
        <f>-5*23</f>
        <v>-115</v>
      </c>
      <c r="AW9" s="5"/>
      <c r="AX9" s="30">
        <f>-8*60-5*60-2*60</f>
        <v>-900</v>
      </c>
      <c r="AY9" s="5">
        <f>70*40</f>
        <v>2800</v>
      </c>
      <c r="AZ9" s="5">
        <f>-5*60-1*5</f>
        <v>-305</v>
      </c>
      <c r="BA9" s="5"/>
      <c r="BB9" s="5">
        <f>-18*60</f>
        <v>-1080</v>
      </c>
      <c r="BC9" s="5"/>
      <c r="BD9" s="30">
        <f>-1*23-1*23</f>
        <v>-46</v>
      </c>
      <c r="BE9" s="5"/>
      <c r="BF9" s="5">
        <f>-6*20-5.5*60-6*5-3*23-1*30</f>
        <v>-579</v>
      </c>
      <c r="BG9" s="5">
        <f>70*40</f>
        <v>2800</v>
      </c>
      <c r="BH9" s="5">
        <f>-30*60</f>
        <v>-1800</v>
      </c>
      <c r="BI9" s="5"/>
      <c r="BJ9" s="5">
        <f>-27*60-4*20-30*10</f>
        <v>-2000</v>
      </c>
      <c r="BK9" s="5"/>
      <c r="BL9" s="5">
        <f>-25*60</f>
        <v>-1500</v>
      </c>
      <c r="BM9" s="5"/>
      <c r="BN9" s="5">
        <f>-8*20-3*23-7*23-2*21.5</f>
        <v>-433</v>
      </c>
      <c r="BO9" s="5"/>
      <c r="BP9" s="5">
        <f>-11*60-3</f>
        <v>-663</v>
      </c>
      <c r="BQ9" s="5">
        <f>60*42.5+40*40+40*42.5</f>
        <v>5850</v>
      </c>
      <c r="BR9" s="5">
        <f>-40*60-1*10-1*25-9*5</f>
        <v>-2480</v>
      </c>
      <c r="BS9" s="5"/>
      <c r="BT9" s="5"/>
      <c r="BU9" s="5">
        <f>20*42.5</f>
        <v>850</v>
      </c>
      <c r="BV9" s="5">
        <f>-57*60-4*10-42.5-4*10</f>
        <v>-3542.5</v>
      </c>
      <c r="BW9" s="5">
        <f>20*42.5+40*42.5</f>
        <v>2550</v>
      </c>
      <c r="BX9" s="5"/>
      <c r="BY9" s="5"/>
      <c r="BZ9" s="5"/>
      <c r="CA9" s="5">
        <f>40*42.5</f>
        <v>1700</v>
      </c>
      <c r="CB9" s="5">
        <f>-5*23-2*22-2*13-10*21.25</f>
        <v>-397.5</v>
      </c>
      <c r="CC9" s="5"/>
      <c r="CD9" s="5">
        <f>-8*23-2*60-2.5*21-16*10</f>
        <v>-516.5</v>
      </c>
      <c r="CE9" s="5">
        <f>8*42.5</f>
        <v>340</v>
      </c>
      <c r="CF9" s="5">
        <f>-18*60-1*23</f>
        <v>-1103</v>
      </c>
      <c r="CG9" s="5">
        <f>25*42.5</f>
        <v>1062.5</v>
      </c>
      <c r="CH9" s="5">
        <f>-5*20-1*60-8*42.5</f>
        <v>-500</v>
      </c>
      <c r="CI9" s="5"/>
      <c r="CJ9" s="5">
        <f>-1*20-4*23</f>
        <v>-112</v>
      </c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</row>
    <row r="10" spans="1:149" s="34" customFormat="1" ht="17.25" customHeight="1" x14ac:dyDescent="0.25">
      <c r="A10" s="2">
        <v>5</v>
      </c>
      <c r="B10" s="3" t="s">
        <v>194</v>
      </c>
      <c r="C10" s="31" t="s">
        <v>193</v>
      </c>
      <c r="D10" s="646">
        <f>SUM(H10:CU10)</f>
        <v>24.349999999999994</v>
      </c>
      <c r="E10" s="6">
        <f>+D10/25</f>
        <v>0.97399999999999975</v>
      </c>
      <c r="F10" s="4">
        <v>10</v>
      </c>
      <c r="G10" s="4">
        <f t="shared" si="0"/>
        <v>14.349999999999994</v>
      </c>
      <c r="H10" s="93">
        <v>49.202499999999986</v>
      </c>
      <c r="I10" s="5"/>
      <c r="J10" s="30">
        <f>-7*0.15 - 4*0.05 - 19*0.25-2*0.185-1*0.185</f>
        <v>-6.5549999999999997</v>
      </c>
      <c r="K10" s="5"/>
      <c r="L10" s="30">
        <f>-10*0.25 - 200*0.05</f>
        <v>-12.5</v>
      </c>
      <c r="M10" s="5"/>
      <c r="N10" s="30">
        <f>-5*0.15-5*0.12-5*0.25</f>
        <v>-2.6</v>
      </c>
      <c r="O10" s="5"/>
      <c r="P10" s="5">
        <f>-7*0.25</f>
        <v>-1.75</v>
      </c>
      <c r="Q10" s="5"/>
      <c r="R10" s="30">
        <f>-1*0.25-10*0.25-7*0.2-105*0.05</f>
        <v>-9.4</v>
      </c>
      <c r="S10" s="5"/>
      <c r="T10" s="5">
        <f>-11*0.25</f>
        <v>-2.75</v>
      </c>
      <c r="U10" s="5">
        <f>3*25</f>
        <v>75</v>
      </c>
      <c r="V10" s="5">
        <f>-11*0.12-13*0.25</f>
        <v>-4.57</v>
      </c>
      <c r="W10" s="5"/>
      <c r="X10" s="30">
        <f>-15*0.25-46*0.05</f>
        <v>-6.0500000000000007</v>
      </c>
      <c r="Y10" s="5"/>
      <c r="Z10" s="5">
        <f>-22*0.25</f>
        <v>-5.5</v>
      </c>
      <c r="AA10" s="5"/>
      <c r="AB10" s="5">
        <f>-16*0.25-23*0.12</f>
        <v>-6.76</v>
      </c>
      <c r="AC10" s="5">
        <f>2*25</f>
        <v>50</v>
      </c>
      <c r="AD10" s="5">
        <f>-25*0.25-20*0.1-106*0.05-3*0.185-2*0.185</f>
        <v>-14.475</v>
      </c>
      <c r="AE10" s="5"/>
      <c r="AF10" s="5">
        <f>-25*0.25-89*0.05</f>
        <v>-10.7</v>
      </c>
      <c r="AG10" s="5"/>
      <c r="AH10" s="30">
        <f>-1*0.12-1*0.15-4*0.185-4*0.185-52*0.05</f>
        <v>-4.3499999999999996</v>
      </c>
      <c r="AI10" s="5"/>
      <c r="AJ10" s="30">
        <f>-14*0.25-53*0.05</f>
        <v>-6.15</v>
      </c>
      <c r="AK10" s="5"/>
      <c r="AL10" s="30">
        <f>-25*0.25</f>
        <v>-6.25</v>
      </c>
      <c r="AM10" s="158"/>
      <c r="AN10" s="30">
        <f>-5*0.12-205*0.05-2*0.12-1*0.185</f>
        <v>-11.275</v>
      </c>
      <c r="AO10" s="5"/>
      <c r="AP10" s="5">
        <f>-12*0.25</f>
        <v>-3</v>
      </c>
      <c r="AQ10" s="5">
        <v>25</v>
      </c>
      <c r="AR10" s="5">
        <f>-14*0.25-70*0.05</f>
        <v>-7</v>
      </c>
      <c r="AS10" s="5"/>
      <c r="AT10" s="5">
        <f>-16*0.12-5*0.185-2*0.185</f>
        <v>-3.2149999999999999</v>
      </c>
      <c r="AU10" s="5"/>
      <c r="AV10" s="5">
        <f>-5*0.15-127*0.05</f>
        <v>-7.1000000000000005</v>
      </c>
      <c r="AW10" s="5"/>
      <c r="AX10" s="5">
        <f>-8*0.25-5*0.25-2*0.185</f>
        <v>-3.62</v>
      </c>
      <c r="AY10" s="5"/>
      <c r="AZ10" s="5">
        <f>-5*0.25-1*0.1</f>
        <v>-1.35</v>
      </c>
      <c r="BA10" s="5"/>
      <c r="BB10" s="5">
        <f>-18*0.25</f>
        <v>-4.5</v>
      </c>
      <c r="BC10" s="5"/>
      <c r="BD10" s="30">
        <f>-1*0.15-1*0.12-8*0.12-200*0.05-1*12</f>
        <v>-23.23</v>
      </c>
      <c r="BE10" s="5">
        <f>2*20+5</f>
        <v>45</v>
      </c>
      <c r="BF10" s="30">
        <f>-5.5*0.185-38*0.05</f>
        <v>-2.9175000000000004</v>
      </c>
      <c r="BG10" s="5"/>
      <c r="BH10" s="30">
        <f>-30*0.25-10*0.05</f>
        <v>-8</v>
      </c>
      <c r="BI10" s="5"/>
      <c r="BJ10" s="5">
        <f>-27*0.25-215*0.05-4*0.185</f>
        <v>-18.239999999999998</v>
      </c>
      <c r="BK10" s="5"/>
      <c r="BL10" s="5">
        <f>-25*0.25</f>
        <v>-6.25</v>
      </c>
      <c r="BM10" s="5"/>
      <c r="BN10" s="5">
        <f>-8*0.185-3*0.15-7*0.12-50*0.05</f>
        <v>-5.27</v>
      </c>
      <c r="BO10" s="5"/>
      <c r="BP10" s="5">
        <f>-11*0.25</f>
        <v>-2.75</v>
      </c>
      <c r="BQ10" s="5"/>
      <c r="BR10" s="5">
        <f>-40*0.25-51*0.05</f>
        <v>-12.55</v>
      </c>
      <c r="BS10" s="5"/>
      <c r="BT10" s="5">
        <f>-80*0.05</f>
        <v>-4</v>
      </c>
      <c r="BU10" s="5">
        <f>2*25</f>
        <v>50</v>
      </c>
      <c r="BV10" s="5">
        <f>-57*0.25-100*0.05</f>
        <v>-19.25</v>
      </c>
      <c r="BW10" s="5"/>
      <c r="BX10" s="5">
        <f>-112*0.05</f>
        <v>-5.6000000000000005</v>
      </c>
      <c r="BY10" s="5"/>
      <c r="BZ10" s="5"/>
      <c r="CA10" s="5"/>
      <c r="CB10" s="5">
        <f>-5*0.12-6.5*0.12</f>
        <v>-1.38</v>
      </c>
      <c r="CC10" s="5"/>
      <c r="CD10" s="5">
        <f>-8*0.185-2*0.185-152*0.05</f>
        <v>-9.4500000000000011</v>
      </c>
      <c r="CE10" s="5"/>
      <c r="CF10" s="5">
        <f>-18*0.25-1*0.12</f>
        <v>-4.62</v>
      </c>
      <c r="CG10" s="5"/>
      <c r="CH10" s="5">
        <f>-5*0.185-1*0.185-63*0.05</f>
        <v>-4.2600000000000007</v>
      </c>
      <c r="CI10" s="5"/>
      <c r="CJ10" s="5">
        <f>-1*0.185-4*0.12</f>
        <v>-0.66500000000000004</v>
      </c>
    </row>
    <row r="11" spans="1:149" s="34" customFormat="1" ht="17.25" customHeight="1" x14ac:dyDescent="0.25">
      <c r="A11" s="2">
        <v>6</v>
      </c>
      <c r="B11" s="3" t="s">
        <v>185</v>
      </c>
      <c r="C11" s="31" t="s">
        <v>184</v>
      </c>
      <c r="D11" s="6">
        <f>SUM(H11:CU11)</f>
        <v>82.650000000000063</v>
      </c>
      <c r="E11" s="6">
        <f>+D11/20</f>
        <v>4.1325000000000029</v>
      </c>
      <c r="F11" s="4">
        <v>500</v>
      </c>
      <c r="G11" s="4">
        <f t="shared" si="0"/>
        <v>-417.34999999999991</v>
      </c>
      <c r="H11" s="93">
        <v>353.80000000000007</v>
      </c>
      <c r="I11" s="5">
        <f>6*20</f>
        <v>120</v>
      </c>
      <c r="J11" s="5">
        <f>-10*4.5</f>
        <v>-45</v>
      </c>
      <c r="K11" s="5"/>
      <c r="L11" s="5"/>
      <c r="M11" s="5"/>
      <c r="N11" s="30"/>
      <c r="O11" s="5"/>
      <c r="P11" s="5"/>
      <c r="Q11" s="5"/>
      <c r="R11" s="5"/>
      <c r="S11" s="5"/>
      <c r="T11" s="5"/>
      <c r="U11" s="5"/>
      <c r="V11" s="34">
        <f>-6*4.5</f>
        <v>-27</v>
      </c>
      <c r="W11" s="5"/>
      <c r="X11" s="30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22"/>
      <c r="AQ11" s="5"/>
      <c r="AR11" s="5"/>
      <c r="AS11" s="5"/>
      <c r="AT11" s="5"/>
      <c r="AU11" s="5"/>
      <c r="AV11" s="5">
        <f>-1*20</f>
        <v>-20</v>
      </c>
      <c r="AW11"/>
      <c r="AX11" s="5"/>
      <c r="AY11" s="5"/>
      <c r="AZ11" s="5"/>
      <c r="BA11" s="5"/>
      <c r="BB11" s="5"/>
      <c r="BC11" s="5"/>
      <c r="BD11" s="5">
        <f>-8*23</f>
        <v>-184</v>
      </c>
      <c r="BE11" s="5"/>
      <c r="BF11" s="5">
        <f>-38*0.05</f>
        <v>-1.9000000000000001</v>
      </c>
      <c r="BG11" s="5"/>
      <c r="BH11" s="5">
        <f>-10*0.05-30*0.25</f>
        <v>-8</v>
      </c>
      <c r="BI11" s="5"/>
      <c r="BJ11" s="5">
        <f>-123*1</f>
        <v>-123</v>
      </c>
      <c r="BK11" s="5"/>
      <c r="BL11" s="5"/>
      <c r="BM11" s="5"/>
      <c r="BN11" s="5"/>
      <c r="BO11" s="5"/>
      <c r="BP11" s="5">
        <v>-8</v>
      </c>
      <c r="BQ11" s="5">
        <f>1*7+1*12+1*42.5+1*25+1*25</f>
        <v>111.5</v>
      </c>
      <c r="BR11" s="5">
        <f>-1*42.5</f>
        <v>-42.5</v>
      </c>
      <c r="BS11" s="5"/>
      <c r="BT11" s="5"/>
      <c r="BU11" s="5"/>
      <c r="BV11" s="5">
        <f>-1*60</f>
        <v>-60</v>
      </c>
      <c r="BW11" s="5"/>
      <c r="BX11" s="5"/>
      <c r="BY11" s="5"/>
      <c r="BZ11" s="5"/>
      <c r="CA11" s="5">
        <f>2*37.5+2*22+2*22</f>
        <v>163</v>
      </c>
      <c r="CB11" s="5">
        <f>-6.5*25-2*37.5</f>
        <v>-237.5</v>
      </c>
      <c r="CC11" s="5">
        <f>2.5*40.5+2.5*21+2.5*31</f>
        <v>231.25</v>
      </c>
      <c r="CD11" s="5">
        <f>-140*1</f>
        <v>-140</v>
      </c>
      <c r="CE11" s="5"/>
      <c r="CF11" s="5"/>
      <c r="CG11" s="5"/>
      <c r="CH11" s="5"/>
      <c r="CI11" s="5"/>
      <c r="CJ11" s="5"/>
    </row>
    <row r="12" spans="1:149" s="34" customFormat="1" ht="17.25" customHeight="1" x14ac:dyDescent="0.25">
      <c r="A12" s="2">
        <v>7</v>
      </c>
      <c r="B12" s="3" t="s">
        <v>14</v>
      </c>
      <c r="C12" s="31" t="s">
        <v>149</v>
      </c>
      <c r="D12" s="6">
        <f>SUM(H12:CU12)</f>
        <v>-9.8500000000001281E-2</v>
      </c>
      <c r="E12" s="6">
        <f>+D12/25.5</f>
        <v>-3.8627450980392658E-3</v>
      </c>
      <c r="F12" s="4">
        <v>20</v>
      </c>
      <c r="G12" s="4">
        <f t="shared" si="0"/>
        <v>-20.098500000000001</v>
      </c>
      <c r="H12" s="93">
        <v>1.4999999999987246E-3</v>
      </c>
      <c r="I12" s="5"/>
      <c r="J12" s="5"/>
      <c r="K12" s="5"/>
      <c r="L12" s="5"/>
      <c r="M12" s="5"/>
      <c r="N12" s="30"/>
      <c r="O12" s="5"/>
      <c r="P12" s="5"/>
      <c r="Q12" s="5"/>
      <c r="R12" s="5"/>
      <c r="S12" s="5"/>
      <c r="T12" s="5"/>
      <c r="U12" s="5"/>
      <c r="V12" s="5"/>
      <c r="W12" s="5"/>
      <c r="X12" s="30"/>
      <c r="Y12" s="5"/>
      <c r="Z12" s="5"/>
      <c r="AA12" s="5"/>
      <c r="AB12" s="5"/>
      <c r="AC12" s="5"/>
      <c r="AD12" s="5"/>
      <c r="AE12" s="5"/>
      <c r="AF12" s="5"/>
      <c r="AG12" s="5"/>
      <c r="AH12" s="28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>
        <f>-1*0.1</f>
        <v>-0.1</v>
      </c>
      <c r="BA12" s="5"/>
      <c r="BB12" s="5"/>
      <c r="BC12" s="5"/>
      <c r="BD12" s="28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1:149" s="34" customFormat="1" ht="30" x14ac:dyDescent="0.25">
      <c r="A13" s="2">
        <v>8</v>
      </c>
      <c r="B13" s="3" t="s">
        <v>268</v>
      </c>
      <c r="C13" s="31" t="s">
        <v>148</v>
      </c>
      <c r="D13" s="6">
        <f>SUM(H13:CU13)</f>
        <v>133.39999999999998</v>
      </c>
      <c r="E13" s="6">
        <f>+D13/20</f>
        <v>6.669999999999999</v>
      </c>
      <c r="F13" s="4">
        <v>25</v>
      </c>
      <c r="G13" s="4">
        <f t="shared" si="0"/>
        <v>108.39999999999998</v>
      </c>
      <c r="H13" s="93">
        <v>17.75</v>
      </c>
      <c r="I13" s="5"/>
      <c r="J13" s="5">
        <f>-19*2</f>
        <v>-38</v>
      </c>
      <c r="K13" s="5"/>
      <c r="L13" s="5">
        <f>-10*2</f>
        <v>-20</v>
      </c>
      <c r="M13" s="5">
        <f>1*15+5+5</f>
        <v>25</v>
      </c>
      <c r="N13" s="30">
        <f>-5*2</f>
        <v>-10</v>
      </c>
      <c r="O13" s="5"/>
      <c r="P13" s="5">
        <f>-7*2</f>
        <v>-14</v>
      </c>
      <c r="Q13" s="5"/>
      <c r="R13" s="5">
        <f>-10*2</f>
        <v>-20</v>
      </c>
      <c r="S13" s="5"/>
      <c r="T13" s="5">
        <f>-11*2</f>
        <v>-22</v>
      </c>
      <c r="U13" s="5"/>
      <c r="V13" s="5">
        <f>-13*2</f>
        <v>-26</v>
      </c>
      <c r="W13" s="5"/>
      <c r="X13" s="30">
        <f>-15*2</f>
        <v>-30</v>
      </c>
      <c r="Y13" s="5">
        <f>4*20+4*5+4*5</f>
        <v>120</v>
      </c>
      <c r="Z13" s="5">
        <f>-22*2</f>
        <v>-44</v>
      </c>
      <c r="AA13" s="5"/>
      <c r="AB13" s="5">
        <f>-16*2</f>
        <v>-32</v>
      </c>
      <c r="AC13" s="5">
        <f>2*20+2*5+2*5</f>
        <v>60</v>
      </c>
      <c r="AD13" s="5">
        <f>-25*2</f>
        <v>-50</v>
      </c>
      <c r="AE13" s="5">
        <f>181.25+7.4</f>
        <v>188.65</v>
      </c>
      <c r="AF13" s="5">
        <f>-25*2</f>
        <v>-50</v>
      </c>
      <c r="AG13" s="48"/>
      <c r="AH13" s="5"/>
      <c r="AI13" s="5">
        <f>4*20+4*5+4*5</f>
        <v>120</v>
      </c>
      <c r="AJ13" s="5">
        <f>-14*2</f>
        <v>-28</v>
      </c>
      <c r="AK13" s="5"/>
      <c r="AL13" s="5">
        <f>-25*2</f>
        <v>-50</v>
      </c>
      <c r="AM13" s="5"/>
      <c r="AN13" s="5">
        <f>-5*3</f>
        <v>-15</v>
      </c>
      <c r="AO13" s="5"/>
      <c r="AP13" s="5">
        <f>-12*2</f>
        <v>-24</v>
      </c>
      <c r="AQ13" s="5"/>
      <c r="AR13" s="5">
        <f>-14*2</f>
        <v>-28</v>
      </c>
      <c r="AS13" s="5">
        <f>4*20+4*5+4*5</f>
        <v>120</v>
      </c>
      <c r="AT13" s="5"/>
      <c r="AU13" s="5"/>
      <c r="AV13" s="5"/>
      <c r="AW13" s="5"/>
      <c r="AX13" s="5">
        <f>-5*2</f>
        <v>-10</v>
      </c>
      <c r="AY13" s="5"/>
      <c r="AZ13" s="5">
        <f>-1*25-5*2</f>
        <v>-35</v>
      </c>
      <c r="BA13" s="5"/>
      <c r="BB13" s="5">
        <f>-18*2</f>
        <v>-36</v>
      </c>
      <c r="BC13" s="5"/>
      <c r="BD13" s="5"/>
      <c r="BE13" s="5">
        <f>6*20+6*5+6*5</f>
        <v>180</v>
      </c>
      <c r="BF13" s="5"/>
      <c r="BG13" s="5"/>
      <c r="BH13" s="5">
        <f>-30*2</f>
        <v>-60</v>
      </c>
      <c r="BI13" s="5"/>
      <c r="BJ13" s="5">
        <f>-27*2</f>
        <v>-54</v>
      </c>
      <c r="BK13" s="5"/>
      <c r="BL13" s="5">
        <f>-25*2</f>
        <v>-50</v>
      </c>
      <c r="BM13" s="5"/>
      <c r="BN13" s="5"/>
      <c r="BO13" s="5"/>
      <c r="BP13" s="5">
        <f>-11*2</f>
        <v>-22</v>
      </c>
      <c r="BQ13" s="5">
        <f>10*20+10*5+10*5</f>
        <v>300</v>
      </c>
      <c r="BR13" s="5">
        <f>-40*2</f>
        <v>-80</v>
      </c>
      <c r="BS13" s="5"/>
      <c r="BT13" s="5"/>
      <c r="BU13" s="5"/>
      <c r="BV13" s="5">
        <f>-57*2</f>
        <v>-114</v>
      </c>
      <c r="BW13" s="5"/>
      <c r="BX13" s="5"/>
      <c r="BY13" s="5"/>
      <c r="BZ13" s="5"/>
      <c r="CA13" s="5"/>
      <c r="CB13" s="5"/>
      <c r="CC13" s="5"/>
      <c r="CD13" s="5"/>
      <c r="CE13" s="5"/>
      <c r="CF13" s="5">
        <f>-18*2</f>
        <v>-36</v>
      </c>
      <c r="CG13" s="5"/>
      <c r="CH13" s="5"/>
      <c r="CI13" s="5"/>
      <c r="CJ13" s="5"/>
    </row>
    <row r="14" spans="1:149" s="34" customFormat="1" x14ac:dyDescent="0.25">
      <c r="A14" s="2">
        <v>9</v>
      </c>
      <c r="B14" s="3" t="s">
        <v>15</v>
      </c>
      <c r="C14" s="31" t="s">
        <v>150</v>
      </c>
      <c r="D14" s="6">
        <f>SUM(H14:CU14)</f>
        <v>23</v>
      </c>
      <c r="E14" s="6">
        <f>+D14/6</f>
        <v>3.8333333333333335</v>
      </c>
      <c r="F14" s="4">
        <v>50</v>
      </c>
      <c r="G14" s="4">
        <f t="shared" si="0"/>
        <v>-27</v>
      </c>
      <c r="H14" s="93">
        <v>30</v>
      </c>
      <c r="I14" s="5"/>
      <c r="J14" s="5"/>
      <c r="K14" s="5"/>
      <c r="L14" s="5"/>
      <c r="M14" s="5"/>
      <c r="N14" s="30"/>
      <c r="O14" s="5"/>
      <c r="P14" s="5"/>
      <c r="Q14" s="5"/>
      <c r="R14" s="5">
        <f>-1*7</f>
        <v>-7</v>
      </c>
      <c r="S14" s="5"/>
      <c r="T14" s="5"/>
      <c r="U14" s="5"/>
      <c r="V14" s="5"/>
      <c r="W14" s="5"/>
      <c r="X14" s="30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149" s="34" customFormat="1" x14ac:dyDescent="0.25">
      <c r="A15" s="2">
        <v>10</v>
      </c>
      <c r="B15" s="3" t="s">
        <v>12</v>
      </c>
      <c r="C15" s="31" t="s">
        <v>151</v>
      </c>
      <c r="D15" s="6">
        <f>SUM(H15:CU15)</f>
        <v>881.5</v>
      </c>
      <c r="E15" s="6">
        <f>+D15/25</f>
        <v>35.26</v>
      </c>
      <c r="F15" s="4">
        <v>150</v>
      </c>
      <c r="G15" s="4">
        <f t="shared" si="0"/>
        <v>731.5</v>
      </c>
      <c r="H15" s="93">
        <v>0</v>
      </c>
      <c r="I15" s="5"/>
      <c r="J15" s="5"/>
      <c r="K15" s="5">
        <f>2*25</f>
        <v>50</v>
      </c>
      <c r="L15" s="5"/>
      <c r="M15" s="5">
        <v>50</v>
      </c>
      <c r="N15" s="30">
        <f>-1*12.5-3*12.5</f>
        <v>-50</v>
      </c>
      <c r="O15" s="5"/>
      <c r="P15" s="5"/>
      <c r="Q15" s="5">
        <f>3*25</f>
        <v>75</v>
      </c>
      <c r="R15" s="5">
        <f>-1*12.5</f>
        <v>-12.5</v>
      </c>
      <c r="S15" s="5"/>
      <c r="T15" s="5"/>
      <c r="U15" s="5"/>
      <c r="V15" s="5"/>
      <c r="W15" s="5">
        <f>14*25</f>
        <v>350</v>
      </c>
      <c r="X15" s="30">
        <f>-7*12.5</f>
        <v>-87.5</v>
      </c>
      <c r="Y15" s="5"/>
      <c r="Z15" s="5"/>
      <c r="AA15" s="5"/>
      <c r="AB15" s="5"/>
      <c r="AC15" s="5"/>
      <c r="AD15" s="5">
        <f>-1*100</f>
        <v>-100</v>
      </c>
      <c r="AE15" s="5"/>
      <c r="AF15" s="5"/>
      <c r="AG15" s="5">
        <f>1*20</f>
        <v>20</v>
      </c>
      <c r="AH15" s="5"/>
      <c r="AI15" s="5"/>
      <c r="AJ15" s="5"/>
      <c r="AK15" s="5"/>
      <c r="AL15" s="5"/>
      <c r="AM15" s="5"/>
      <c r="AN15" s="5"/>
      <c r="AO15" s="5"/>
      <c r="AP15" s="5">
        <v>-25</v>
      </c>
      <c r="AQ15" s="5"/>
      <c r="AR15" s="5">
        <f>-4*25</f>
        <v>-100</v>
      </c>
      <c r="AS15" s="5"/>
      <c r="AT15" s="5"/>
      <c r="AU15" s="5">
        <f>15*25</f>
        <v>375</v>
      </c>
      <c r="AV15" s="5">
        <f>-1*41</f>
        <v>-41</v>
      </c>
      <c r="AW15" s="5"/>
      <c r="AX15" s="5"/>
      <c r="AY15" s="5"/>
      <c r="AZ15" s="5">
        <f>-100*1</f>
        <v>-100</v>
      </c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>
        <f>35*25</f>
        <v>875</v>
      </c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>
        <f>-1*10</f>
        <v>-10</v>
      </c>
      <c r="CG15" s="5"/>
      <c r="CH15" s="5">
        <f>-15.5*25</f>
        <v>-387.5</v>
      </c>
      <c r="CI15" s="5"/>
      <c r="CJ15" s="5"/>
    </row>
    <row r="16" spans="1:149" s="34" customFormat="1" x14ac:dyDescent="0.25">
      <c r="A16" s="2">
        <v>11</v>
      </c>
      <c r="B16" s="3" t="s">
        <v>17</v>
      </c>
      <c r="C16" s="31" t="s">
        <v>152</v>
      </c>
      <c r="D16" s="6">
        <f>SUM(H16:CU16)</f>
        <v>29.599999999999987</v>
      </c>
      <c r="E16" s="6">
        <f>+D16/15</f>
        <v>1.9733333333333325</v>
      </c>
      <c r="F16" s="4">
        <v>200</v>
      </c>
      <c r="G16" s="4">
        <f t="shared" si="0"/>
        <v>-170.4</v>
      </c>
      <c r="H16" s="93">
        <v>123.2</v>
      </c>
      <c r="I16" s="5"/>
      <c r="J16" s="5">
        <f>-370*0.1</f>
        <v>-37</v>
      </c>
      <c r="K16" s="5"/>
      <c r="L16" s="5"/>
      <c r="M16" s="5"/>
      <c r="N16" s="30"/>
      <c r="O16" s="5"/>
      <c r="P16" s="5"/>
      <c r="Q16" s="5"/>
      <c r="R16" s="5"/>
      <c r="S16" s="5"/>
      <c r="T16" s="5"/>
      <c r="U16" s="5"/>
      <c r="V16" s="5">
        <f>-250*0.1</f>
        <v>-25</v>
      </c>
      <c r="W16" s="5"/>
      <c r="X16" s="30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>
        <f>-59*0.1</f>
        <v>-5.9</v>
      </c>
      <c r="AK16" s="5"/>
      <c r="AL16" s="5">
        <f>-100*0.1</f>
        <v>-10</v>
      </c>
      <c r="AM16" s="5"/>
      <c r="AN16" s="5"/>
      <c r="AO16" s="5"/>
      <c r="AP16" s="5">
        <f>-120*0.1</f>
        <v>-12</v>
      </c>
      <c r="AQ16" s="5"/>
      <c r="AR16" s="5"/>
      <c r="AS16" s="5"/>
      <c r="AT16" s="5"/>
      <c r="AU16" s="5"/>
      <c r="AV16" s="5">
        <f>-366*0.1</f>
        <v>-36.6</v>
      </c>
      <c r="AW16" s="5"/>
      <c r="AX16" s="5"/>
      <c r="AY16" s="5"/>
      <c r="AZ16" s="5"/>
      <c r="BA16" s="5"/>
      <c r="BB16" s="5">
        <f>-2*0.1</f>
        <v>-0.2</v>
      </c>
      <c r="BC16" s="5"/>
      <c r="BD16" s="5"/>
      <c r="BE16" s="5">
        <f>10*15</f>
        <v>150</v>
      </c>
      <c r="BF16" s="5">
        <f>-10*0.1-3*0.1</f>
        <v>-1.3</v>
      </c>
      <c r="BG16" s="5"/>
      <c r="BH16" s="5"/>
      <c r="BI16" s="5"/>
      <c r="BJ16" s="5">
        <f>-430*0.1</f>
        <v>-43</v>
      </c>
      <c r="BK16" s="5"/>
      <c r="BL16" s="5"/>
      <c r="BM16" s="5"/>
      <c r="BN16" s="5">
        <f>-595*0.1</f>
        <v>-59.5</v>
      </c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>
        <f>-131*0.1</f>
        <v>-13.100000000000001</v>
      </c>
      <c r="CI16" s="5"/>
      <c r="CJ16" s="5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</row>
    <row r="17" spans="1:149" s="34" customFormat="1" x14ac:dyDescent="0.25">
      <c r="A17" s="2">
        <v>12</v>
      </c>
      <c r="B17" s="3" t="s">
        <v>18</v>
      </c>
      <c r="C17" s="31" t="s">
        <v>153</v>
      </c>
      <c r="D17" s="6">
        <f>SUM(H17:CU17)</f>
        <v>0</v>
      </c>
      <c r="E17" s="6">
        <f>+D17/15</f>
        <v>0</v>
      </c>
      <c r="F17" s="4">
        <v>100</v>
      </c>
      <c r="G17" s="4">
        <f t="shared" si="0"/>
        <v>-100</v>
      </c>
      <c r="H17" s="93">
        <v>0</v>
      </c>
      <c r="I17" s="5"/>
      <c r="J17" s="5"/>
      <c r="K17" s="5"/>
      <c r="L17" s="5"/>
      <c r="M17" s="5"/>
      <c r="N17" s="30"/>
      <c r="O17" s="5"/>
      <c r="P17" s="5"/>
      <c r="Q17" s="5"/>
      <c r="R17" s="5"/>
      <c r="S17" s="5"/>
      <c r="T17" s="5"/>
      <c r="U17" s="5"/>
      <c r="V17" s="5"/>
      <c r="W17" s="5"/>
      <c r="X17" s="30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1:149" s="34" customFormat="1" x14ac:dyDescent="0.25">
      <c r="A18" s="2">
        <v>13</v>
      </c>
      <c r="B18" s="3" t="s">
        <v>13</v>
      </c>
      <c r="C18" s="31" t="s">
        <v>195</v>
      </c>
      <c r="D18" s="6">
        <f>SUM(H18:CU18)</f>
        <v>267.60000000000002</v>
      </c>
      <c r="E18" s="6">
        <f>+D18/25</f>
        <v>10.704000000000001</v>
      </c>
      <c r="F18" s="4">
        <v>90</v>
      </c>
      <c r="G18" s="4">
        <f t="shared" si="0"/>
        <v>177.60000000000002</v>
      </c>
      <c r="H18" s="93">
        <v>421.6</v>
      </c>
      <c r="I18" s="5"/>
      <c r="J18" s="5"/>
      <c r="K18" s="5"/>
      <c r="L18" s="5"/>
      <c r="M18" s="5"/>
      <c r="N18" s="30">
        <f>-5*16</f>
        <v>-80</v>
      </c>
      <c r="O18" s="5"/>
      <c r="P18" s="5"/>
      <c r="Q18" s="5"/>
      <c r="R18" s="5"/>
      <c r="S18" s="5"/>
      <c r="T18" s="5"/>
      <c r="U18" s="5"/>
      <c r="V18" s="5"/>
      <c r="W18" s="5"/>
      <c r="X18" s="30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>
        <f>-5*16</f>
        <v>-80</v>
      </c>
      <c r="AW18" s="5"/>
      <c r="AX18" s="5"/>
      <c r="AY18" s="5"/>
      <c r="AZ18" s="5"/>
      <c r="BA18" s="5"/>
      <c r="BB18" s="5"/>
      <c r="BC18" s="5"/>
      <c r="BD18" s="5">
        <f>-1*16</f>
        <v>-16</v>
      </c>
      <c r="BE18" s="5"/>
      <c r="BF18" s="5"/>
      <c r="BG18" s="5"/>
      <c r="BH18" s="5"/>
      <c r="BI18" s="5"/>
      <c r="BJ18" s="5"/>
      <c r="BK18" s="5"/>
      <c r="BL18" s="5"/>
      <c r="BM18" s="5"/>
      <c r="BN18" s="5">
        <f>-3*16</f>
        <v>-48</v>
      </c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>
        <v>70</v>
      </c>
      <c r="CH18" s="5"/>
      <c r="CI18" s="5"/>
      <c r="CJ18" s="5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</row>
    <row r="19" spans="1:149" s="34" customFormat="1" x14ac:dyDescent="0.25">
      <c r="A19" s="2">
        <v>14</v>
      </c>
      <c r="B19" s="27" t="s">
        <v>16</v>
      </c>
      <c r="C19" s="31" t="s">
        <v>154</v>
      </c>
      <c r="D19" s="6">
        <f>SUM(H19:CN19)</f>
        <v>1544.0009999999984</v>
      </c>
      <c r="E19" s="6">
        <f>+D19/15</f>
        <v>102.93339999999989</v>
      </c>
      <c r="F19" s="4">
        <v>300</v>
      </c>
      <c r="G19" s="4">
        <f t="shared" si="0"/>
        <v>1244.0009999999984</v>
      </c>
      <c r="H19" s="93">
        <v>2404.0009999999984</v>
      </c>
      <c r="I19" s="5"/>
      <c r="J19" s="5">
        <f>-7*8 - 19*8</f>
        <v>-208</v>
      </c>
      <c r="K19" s="5"/>
      <c r="L19" s="5">
        <f>-10*8</f>
        <v>-80</v>
      </c>
      <c r="M19" s="5"/>
      <c r="N19" s="30">
        <f>-5*4-5*8-5</f>
        <v>-65</v>
      </c>
      <c r="O19" s="5"/>
      <c r="P19" s="5">
        <f>-7*8</f>
        <v>-56</v>
      </c>
      <c r="Q19" s="5"/>
      <c r="R19" s="5">
        <f>-10*8-7*8</f>
        <v>-136</v>
      </c>
      <c r="S19" s="5"/>
      <c r="T19" s="5">
        <f>-11*8</f>
        <v>-88</v>
      </c>
      <c r="U19" s="5"/>
      <c r="V19" s="5">
        <f>-13*8</f>
        <v>-104</v>
      </c>
      <c r="W19" s="5"/>
      <c r="X19" s="30">
        <f>-15*8</f>
        <v>-120</v>
      </c>
      <c r="Y19" s="5"/>
      <c r="Z19" s="5">
        <f>-22*8-4*5</f>
        <v>-196</v>
      </c>
      <c r="AA19" s="5"/>
      <c r="AB19" s="5">
        <f>-16*8</f>
        <v>-128</v>
      </c>
      <c r="AC19" s="5"/>
      <c r="AD19" s="5">
        <f>-25*8-2*5</f>
        <v>-210</v>
      </c>
      <c r="AE19" s="5"/>
      <c r="AF19" s="5">
        <f>-25*8</f>
        <v>-200</v>
      </c>
      <c r="AG19" s="5"/>
      <c r="AH19" s="5">
        <f>-1*4</f>
        <v>-4</v>
      </c>
      <c r="AI19" s="5"/>
      <c r="AJ19" s="5">
        <f>-14*8-4*5</f>
        <v>-132</v>
      </c>
      <c r="AK19" s="5"/>
      <c r="AL19" s="5">
        <f>-25*8</f>
        <v>-200</v>
      </c>
      <c r="AM19" s="5"/>
      <c r="AN19" s="5">
        <f>-5*10</f>
        <v>-50</v>
      </c>
      <c r="AO19" s="5"/>
      <c r="AP19" s="5">
        <f>-18*8</f>
        <v>-144</v>
      </c>
      <c r="AQ19" s="5"/>
      <c r="AR19" s="5">
        <f>-14*8</f>
        <v>-112</v>
      </c>
      <c r="AS19" s="5"/>
      <c r="AT19" s="5">
        <f>-4*5</f>
        <v>-20</v>
      </c>
      <c r="AU19" s="5"/>
      <c r="AV19" s="5">
        <f>-5*4</f>
        <v>-20</v>
      </c>
      <c r="AW19" s="5"/>
      <c r="AX19" s="5">
        <f>-8*8-8*8-5*8</f>
        <v>-168</v>
      </c>
      <c r="AY19" s="5"/>
      <c r="AZ19" s="5">
        <f>-5*7</f>
        <v>-35</v>
      </c>
      <c r="BA19" s="5"/>
      <c r="BB19" s="5">
        <f>-18*7</f>
        <v>-126</v>
      </c>
      <c r="BC19" s="5">
        <f>14*15</f>
        <v>210</v>
      </c>
      <c r="BD19" s="5"/>
      <c r="BE19" s="5">
        <v>3000</v>
      </c>
      <c r="BF19" s="5"/>
      <c r="BG19" s="5"/>
      <c r="BH19" s="5">
        <f>-30*7</f>
        <v>-210</v>
      </c>
      <c r="BI19" s="5"/>
      <c r="BJ19" s="5">
        <f>-27*7</f>
        <v>-189</v>
      </c>
      <c r="BK19" s="5"/>
      <c r="BL19" s="5">
        <f>-25*7</f>
        <v>-175</v>
      </c>
      <c r="BM19" s="5"/>
      <c r="BN19" s="5">
        <f>-3*4</f>
        <v>-12</v>
      </c>
      <c r="BO19" s="5"/>
      <c r="BP19" s="5">
        <f>-11*7</f>
        <v>-77</v>
      </c>
      <c r="BQ19" s="5"/>
      <c r="BR19" s="5">
        <f>-40*7</f>
        <v>-280</v>
      </c>
      <c r="BS19" s="5"/>
      <c r="BT19" s="5"/>
      <c r="BU19" s="5"/>
      <c r="BV19" s="5">
        <f>-57*7</f>
        <v>-399</v>
      </c>
      <c r="BW19" s="5"/>
      <c r="BX19" s="5"/>
      <c r="BY19" s="5"/>
      <c r="BZ19" s="5"/>
      <c r="CA19" s="5"/>
      <c r="CB19" s="5"/>
      <c r="CC19" s="5"/>
      <c r="CD19" s="5"/>
      <c r="CE19" s="5"/>
      <c r="CF19" s="5">
        <f>-18*7</f>
        <v>-126</v>
      </c>
      <c r="CG19" s="5"/>
      <c r="CH19" s="5"/>
      <c r="CI19" s="5"/>
      <c r="CJ19" s="5"/>
    </row>
    <row r="20" spans="1:149" s="34" customFormat="1" x14ac:dyDescent="0.25">
      <c r="A20" s="2">
        <v>15</v>
      </c>
      <c r="B20" s="3" t="s">
        <v>196</v>
      </c>
      <c r="C20" s="31" t="s">
        <v>155</v>
      </c>
      <c r="D20" s="6">
        <f>SUM(H20:CU20)</f>
        <v>51.9</v>
      </c>
      <c r="E20" s="6">
        <f>+D20/19</f>
        <v>2.7315789473684209</v>
      </c>
      <c r="F20" s="4">
        <v>200</v>
      </c>
      <c r="G20" s="4">
        <f t="shared" si="0"/>
        <v>-148.1</v>
      </c>
      <c r="H20" s="680">
        <v>27.230000000000011</v>
      </c>
      <c r="I20" s="5"/>
      <c r="J20" s="5"/>
      <c r="K20" s="5"/>
      <c r="L20" s="5">
        <f>-40*0.12</f>
        <v>-4.8</v>
      </c>
      <c r="M20" s="5"/>
      <c r="N20" s="30"/>
      <c r="O20" s="5"/>
      <c r="P20" s="5"/>
      <c r="Q20" s="5"/>
      <c r="R20" s="5">
        <f>-137*0.12</f>
        <v>-16.439999999999998</v>
      </c>
      <c r="S20" s="5"/>
      <c r="T20" s="5"/>
      <c r="U20" s="5">
        <f>3*20</f>
        <v>60</v>
      </c>
      <c r="V20" s="5"/>
      <c r="W20" s="5"/>
      <c r="X20" s="30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>
        <f>-60*0.06</f>
        <v>-3.5999999999999996</v>
      </c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>
        <v>7.39</v>
      </c>
      <c r="BF20" s="5">
        <f>-48*0.12 - 67*0.06</f>
        <v>-9.7799999999999994</v>
      </c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/>
      <c r="CB20" s="5">
        <f>-60*0.06</f>
        <v>-3.5999999999999996</v>
      </c>
      <c r="CC20"/>
      <c r="CD20" s="5">
        <f>-57*0.06-9*0.12</f>
        <v>-4.5</v>
      </c>
      <c r="CE20" s="5"/>
      <c r="CF20" s="5"/>
      <c r="CG20" s="5"/>
      <c r="CH20" s="5"/>
      <c r="CI20" s="5"/>
      <c r="CJ20" s="5"/>
    </row>
    <row r="21" spans="1:149" s="34" customFormat="1" x14ac:dyDescent="0.25">
      <c r="A21" s="38">
        <v>16</v>
      </c>
      <c r="B21" s="39" t="s">
        <v>269</v>
      </c>
      <c r="C21" s="40" t="s">
        <v>270</v>
      </c>
      <c r="D21" s="36">
        <f>SUM(H21:CU21)</f>
        <v>0</v>
      </c>
      <c r="E21" s="6">
        <f>+D21/35</f>
        <v>0</v>
      </c>
      <c r="F21" s="37">
        <v>200</v>
      </c>
      <c r="G21" s="37">
        <f t="shared" si="0"/>
        <v>-200</v>
      </c>
      <c r="H21" s="93">
        <v>0</v>
      </c>
      <c r="I21" s="5">
        <v>318</v>
      </c>
      <c r="J21" s="5"/>
      <c r="K21" s="5"/>
      <c r="L21" s="5"/>
      <c r="M21" s="5"/>
      <c r="N21" s="30">
        <f>-5*10-3*6-5*10</f>
        <v>-118</v>
      </c>
      <c r="O21" s="5"/>
      <c r="P21" s="5"/>
      <c r="Q21" s="5"/>
      <c r="R21" s="5"/>
      <c r="S21" s="5"/>
      <c r="T21" s="5"/>
      <c r="U21" s="5"/>
      <c r="V21" s="5">
        <f>-11*10</f>
        <v>-110</v>
      </c>
      <c r="W21" s="5"/>
      <c r="X21" s="30"/>
      <c r="Y21" s="5"/>
      <c r="Z21" s="5"/>
      <c r="AA21" s="5"/>
      <c r="AB21" s="5"/>
      <c r="AC21" s="5"/>
      <c r="AD21" s="5"/>
      <c r="AE21" s="5"/>
      <c r="AF21" s="5"/>
      <c r="AG21" s="5"/>
      <c r="AH21" s="5">
        <f>-1*10-1*10</f>
        <v>-20</v>
      </c>
      <c r="AI21" s="5"/>
      <c r="AJ21" s="5"/>
      <c r="AK21" s="5"/>
      <c r="AL21" s="5"/>
      <c r="AM21" s="5"/>
      <c r="AN21" s="5">
        <f>-5*10-2*10</f>
        <v>-70</v>
      </c>
      <c r="AO21" s="5"/>
      <c r="AP21" s="5"/>
      <c r="AQ21" s="5"/>
      <c r="AR21" s="5"/>
      <c r="AS21" s="5"/>
      <c r="AT21" s="5"/>
      <c r="AU21" s="5"/>
      <c r="AV21" s="5">
        <f>-5*10</f>
        <v>-50</v>
      </c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>
        <v>50</v>
      </c>
      <c r="CF21" s="5"/>
      <c r="CG21" s="5"/>
      <c r="CH21" s="5"/>
      <c r="CI21" s="5"/>
      <c r="CJ21" s="5"/>
    </row>
    <row r="22" spans="1:149" s="34" customFormat="1" x14ac:dyDescent="0.25">
      <c r="A22" s="2">
        <v>17</v>
      </c>
      <c r="B22" s="3" t="s">
        <v>177</v>
      </c>
      <c r="C22" s="31" t="s">
        <v>153</v>
      </c>
      <c r="D22" s="36">
        <f>SUM(H22:CU22)</f>
        <v>-64</v>
      </c>
      <c r="E22" s="6">
        <f>+D22/15</f>
        <v>-4.2666666666666666</v>
      </c>
      <c r="F22" s="4"/>
      <c r="G22" s="37">
        <f t="shared" si="0"/>
        <v>-64</v>
      </c>
      <c r="H22" s="93">
        <v>0</v>
      </c>
      <c r="I22" s="5">
        <v>2884</v>
      </c>
      <c r="J22" s="5">
        <f>-7*12 - 19*12</f>
        <v>-312</v>
      </c>
      <c r="K22" s="5"/>
      <c r="L22" s="5">
        <f>-10*12</f>
        <v>-120</v>
      </c>
      <c r="M22" s="5"/>
      <c r="N22" s="30">
        <f>-5*16-5*16-5*12</f>
        <v>-220</v>
      </c>
      <c r="O22" s="5"/>
      <c r="P22" s="5">
        <f>-7*12</f>
        <v>-84</v>
      </c>
      <c r="Q22" s="5"/>
      <c r="R22" s="5">
        <f>-10*12-7*12</f>
        <v>-204</v>
      </c>
      <c r="S22" s="5"/>
      <c r="T22" s="5">
        <f>-11*12</f>
        <v>-132</v>
      </c>
      <c r="U22" s="5"/>
      <c r="V22" s="5">
        <f>-11*16-13*12</f>
        <v>-332</v>
      </c>
      <c r="W22" s="5"/>
      <c r="X22" s="30">
        <f>-15*8</f>
        <v>-120</v>
      </c>
      <c r="Y22" s="5"/>
      <c r="Z22" s="5">
        <f>-22*8</f>
        <v>-176</v>
      </c>
      <c r="AA22" s="5"/>
      <c r="AB22" s="5">
        <f>-16*8</f>
        <v>-128</v>
      </c>
      <c r="AC22" s="5"/>
      <c r="AD22" s="5">
        <f>-25*8</f>
        <v>-200</v>
      </c>
      <c r="AE22" s="5"/>
      <c r="AF22" s="5">
        <f>-25*8</f>
        <v>-200</v>
      </c>
      <c r="AG22" s="5"/>
      <c r="AH22" s="5">
        <f>-1*16-1*16</f>
        <v>-32</v>
      </c>
      <c r="AI22" s="5"/>
      <c r="AJ22" s="5">
        <f>-14*8</f>
        <v>-112</v>
      </c>
      <c r="AK22" s="5"/>
      <c r="AL22" s="5">
        <f>-25*8</f>
        <v>-200</v>
      </c>
      <c r="AM22" s="5"/>
      <c r="AN22" s="5">
        <f>-5*16-2*16</f>
        <v>-112</v>
      </c>
      <c r="AO22" s="5"/>
      <c r="AP22" s="5">
        <f>-12*8</f>
        <v>-96</v>
      </c>
      <c r="AQ22" s="5"/>
      <c r="AR22" s="5">
        <f>-14*8</f>
        <v>-112</v>
      </c>
      <c r="AS22" s="5">
        <v>256</v>
      </c>
      <c r="AT22" s="5">
        <f>-16*16</f>
        <v>-256</v>
      </c>
      <c r="AU22" s="5">
        <v>2991</v>
      </c>
      <c r="AV22" s="5">
        <f>-5*16</f>
        <v>-80</v>
      </c>
      <c r="AW22" s="5"/>
      <c r="AX22" s="5">
        <f>-8*8-5*8</f>
        <v>-104</v>
      </c>
      <c r="AY22" s="5"/>
      <c r="AZ22" s="5">
        <f>-5*9</f>
        <v>-45</v>
      </c>
      <c r="BA22" s="5"/>
      <c r="BB22" s="5">
        <f>-18*9</f>
        <v>-162</v>
      </c>
      <c r="BC22" s="5"/>
      <c r="BD22" s="5">
        <f>-8*16-1*16-1*16</f>
        <v>-160</v>
      </c>
      <c r="BE22" s="5"/>
      <c r="BF22" s="5">
        <f>-6*5</f>
        <v>-30</v>
      </c>
      <c r="BG22" s="5"/>
      <c r="BH22" s="5">
        <f>-30*9</f>
        <v>-270</v>
      </c>
      <c r="BI22" s="5"/>
      <c r="BJ22" s="5">
        <f>-27*9</f>
        <v>-243</v>
      </c>
      <c r="BK22" s="5"/>
      <c r="BL22" s="5">
        <f>-25*9</f>
        <v>-225</v>
      </c>
      <c r="BM22" s="5"/>
      <c r="BN22" s="5">
        <f>-3*21-7*16</f>
        <v>-175</v>
      </c>
      <c r="BO22" s="5"/>
      <c r="BP22" s="5">
        <f>-11*9</f>
        <v>-99</v>
      </c>
      <c r="BQ22" s="5"/>
      <c r="BR22" s="5">
        <f>-40*9-9*5</f>
        <v>-405</v>
      </c>
      <c r="BS22" s="5"/>
      <c r="BT22" s="5"/>
      <c r="BU22" s="5"/>
      <c r="BV22" s="5">
        <f>-57*9</f>
        <v>-513</v>
      </c>
      <c r="BW22" s="5"/>
      <c r="BX22" s="5"/>
      <c r="BY22" s="5"/>
      <c r="BZ22" s="5"/>
      <c r="CA22" s="5"/>
      <c r="CB22" s="5">
        <f>-5*16-6.5*16-10*10</f>
        <v>-284</v>
      </c>
      <c r="CC22" s="5"/>
      <c r="CD22" s="5"/>
      <c r="CE22" s="5"/>
      <c r="CF22" s="5">
        <f>-18*9-1*26</f>
        <v>-188</v>
      </c>
      <c r="CG22" s="5"/>
      <c r="CH22" s="5"/>
      <c r="CI22" s="5"/>
      <c r="CJ22" s="5">
        <f>-4*16</f>
        <v>-64</v>
      </c>
    </row>
    <row r="23" spans="1:149" s="34" customFormat="1" x14ac:dyDescent="0.25">
      <c r="A23" s="38">
        <v>18</v>
      </c>
      <c r="B23" s="39" t="s">
        <v>685</v>
      </c>
      <c r="C23" s="40" t="s">
        <v>161</v>
      </c>
      <c r="D23" s="36">
        <f>SUM(H23:CU23)</f>
        <v>477</v>
      </c>
      <c r="E23" s="6">
        <f>+D23/35</f>
        <v>13.628571428571428</v>
      </c>
      <c r="F23" s="37">
        <v>200</v>
      </c>
      <c r="G23" s="37">
        <f t="shared" si="0"/>
        <v>277</v>
      </c>
      <c r="H23" s="93">
        <v>0</v>
      </c>
      <c r="I23" s="5">
        <v>570</v>
      </c>
      <c r="J23" s="5"/>
      <c r="K23" s="5"/>
      <c r="L23" s="5"/>
      <c r="M23" s="5"/>
      <c r="N23" s="30">
        <f>-1*15-3*15</f>
        <v>-60</v>
      </c>
      <c r="O23" s="5"/>
      <c r="P23" s="5"/>
      <c r="Q23" s="5"/>
      <c r="R23" s="5">
        <f>-1*30</f>
        <v>-30</v>
      </c>
      <c r="S23" s="5"/>
      <c r="T23" s="5"/>
      <c r="U23" s="5"/>
      <c r="V23" s="5"/>
      <c r="W23" s="5"/>
      <c r="X23" s="30">
        <f>-7*30</f>
        <v>-210</v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>
        <v>366</v>
      </c>
      <c r="AN23" s="5">
        <f>-6*45</f>
        <v>-270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>
        <f>-6*45</f>
        <v>-270</v>
      </c>
      <c r="BG23" s="5"/>
      <c r="BH23" s="5"/>
      <c r="BI23" s="5"/>
      <c r="BJ23" s="5"/>
      <c r="BK23" s="5"/>
      <c r="BL23" s="5"/>
      <c r="BM23" s="5"/>
      <c r="BN23" s="5">
        <f>-2*48</f>
        <v>-96</v>
      </c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>
        <v>477</v>
      </c>
      <c r="CH23" s="5"/>
      <c r="CI23" s="5"/>
      <c r="CJ23" s="5"/>
    </row>
    <row r="24" spans="1:149" s="34" customFormat="1" x14ac:dyDescent="0.25">
      <c r="A24" s="2">
        <v>19</v>
      </c>
      <c r="B24" s="3" t="s">
        <v>584</v>
      </c>
      <c r="C24" s="31" t="s">
        <v>162</v>
      </c>
      <c r="D24" s="6">
        <f>SUM(H24:CU24)</f>
        <v>300</v>
      </c>
      <c r="E24" s="6">
        <f>+D24/20</f>
        <v>15</v>
      </c>
      <c r="F24" s="4">
        <v>200</v>
      </c>
      <c r="G24" s="4">
        <f t="shared" si="0"/>
        <v>100</v>
      </c>
      <c r="H24" s="93">
        <v>0</v>
      </c>
      <c r="I24" s="5"/>
      <c r="J24" s="5"/>
      <c r="K24" s="5"/>
      <c r="L24" s="5"/>
      <c r="M24" s="5"/>
      <c r="N24" s="30">
        <f>-1*15</f>
        <v>-15</v>
      </c>
      <c r="O24" s="5"/>
      <c r="P24" s="5"/>
      <c r="Q24" s="5"/>
      <c r="R24" s="5"/>
      <c r="S24" s="5"/>
      <c r="T24" s="5"/>
      <c r="U24" s="5"/>
      <c r="V24" s="5"/>
      <c r="W24" s="5">
        <f>6*20</f>
        <v>120</v>
      </c>
      <c r="X24" s="30"/>
      <c r="Y24" s="5"/>
      <c r="Z24" s="5">
        <f>-4*20</f>
        <v>-80</v>
      </c>
      <c r="AA24" s="5"/>
      <c r="AB24" s="5"/>
      <c r="AC24" s="5"/>
      <c r="AD24" s="5">
        <f>-2*20</f>
        <v>-40</v>
      </c>
      <c r="AE24" s="5">
        <f>10*20</f>
        <v>200</v>
      </c>
      <c r="AF24" s="5"/>
      <c r="AG24" s="5"/>
      <c r="AH24" s="5"/>
      <c r="AI24" s="5"/>
      <c r="AJ24" s="5">
        <f>-4*20</f>
        <v>-80</v>
      </c>
      <c r="AK24" s="5"/>
      <c r="AL24" s="5"/>
      <c r="AM24" s="5"/>
      <c r="AN24" s="5"/>
      <c r="AO24" s="5"/>
      <c r="AP24" s="5"/>
      <c r="AQ24" s="5"/>
      <c r="AR24" s="5">
        <f>-20*0.25</f>
        <v>-5</v>
      </c>
      <c r="AS24" s="5"/>
      <c r="AT24" s="5">
        <f>-4*20</f>
        <v>-80</v>
      </c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>
        <f>11*20</f>
        <v>220</v>
      </c>
      <c r="BF24" s="5">
        <f>-6*20</f>
        <v>-120</v>
      </c>
      <c r="BG24" s="5"/>
      <c r="BH24" s="5"/>
      <c r="BI24" s="5"/>
      <c r="BJ24" s="5"/>
      <c r="BK24" s="5">
        <f>20*20</f>
        <v>400</v>
      </c>
      <c r="BL24" s="5"/>
      <c r="BM24" s="5"/>
      <c r="BN24" s="5"/>
      <c r="BO24" s="5"/>
      <c r="BP24" s="5"/>
      <c r="BQ24" s="5"/>
      <c r="BR24" s="5">
        <f>-11*20</f>
        <v>-220</v>
      </c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spans="1:149" s="34" customFormat="1" x14ac:dyDescent="0.25">
      <c r="A25" s="2">
        <v>20</v>
      </c>
      <c r="B25" s="3" t="s">
        <v>183</v>
      </c>
      <c r="C25" s="31" t="s">
        <v>180</v>
      </c>
      <c r="D25" s="6">
        <f>SUM(H25:CU25)</f>
        <v>640</v>
      </c>
      <c r="E25" s="6">
        <f>+D25/30</f>
        <v>21.333333333333332</v>
      </c>
      <c r="F25" s="4">
        <v>200</v>
      </c>
      <c r="G25" s="4">
        <f t="shared" ref="G25" si="1">D25-F25</f>
        <v>440</v>
      </c>
      <c r="H25" s="93">
        <v>0</v>
      </c>
      <c r="I25" s="5">
        <v>2909</v>
      </c>
      <c r="J25" s="5">
        <f>-7*5 - 19*3</f>
        <v>-92</v>
      </c>
      <c r="K25" s="5"/>
      <c r="L25" s="5">
        <f>-10*3</f>
        <v>-30</v>
      </c>
      <c r="M25" s="5"/>
      <c r="N25" s="30">
        <f>-5*40-5*40-5*3</f>
        <v>-415</v>
      </c>
      <c r="O25" s="5"/>
      <c r="P25" s="5">
        <f>-7*3</f>
        <v>-21</v>
      </c>
      <c r="Q25" s="5"/>
      <c r="R25" s="5">
        <f>-10*3-7*5</f>
        <v>-65</v>
      </c>
      <c r="S25" s="5"/>
      <c r="T25" s="5">
        <f>-11*3</f>
        <v>-33</v>
      </c>
      <c r="U25" s="5"/>
      <c r="V25" s="5">
        <f>-13*3-11*40</f>
        <v>-479</v>
      </c>
      <c r="W25" s="5"/>
      <c r="X25" s="30">
        <f>-15*7</f>
        <v>-105</v>
      </c>
      <c r="Y25" s="5"/>
      <c r="Z25" s="5">
        <f>-22*7</f>
        <v>-154</v>
      </c>
      <c r="AA25" s="5"/>
      <c r="AB25" s="5">
        <f>-16*7</f>
        <v>-112</v>
      </c>
      <c r="AC25" s="5">
        <v>3868.5</v>
      </c>
      <c r="AD25" s="5">
        <f>-25*7</f>
        <v>-175</v>
      </c>
      <c r="AE25" s="404"/>
      <c r="AF25" s="5">
        <f>-25*7</f>
        <v>-175</v>
      </c>
      <c r="AG25" s="5"/>
      <c r="AH25" s="5">
        <f>-1*40-1*40</f>
        <v>-80</v>
      </c>
      <c r="AI25" s="5"/>
      <c r="AJ25" s="5">
        <f>-14*7</f>
        <v>-98</v>
      </c>
      <c r="AK25" s="5"/>
      <c r="AL25" s="5">
        <f>-25*7</f>
        <v>-175</v>
      </c>
      <c r="AM25" s="5"/>
      <c r="AN25" s="5">
        <f>-5*41-6*40-2*40</f>
        <v>-525</v>
      </c>
      <c r="AO25" s="5"/>
      <c r="AP25" s="5">
        <f>-12*7</f>
        <v>-84</v>
      </c>
      <c r="AQ25" s="5"/>
      <c r="AR25" s="5">
        <f>-14*7</f>
        <v>-98</v>
      </c>
      <c r="AS25" s="5">
        <v>704</v>
      </c>
      <c r="AT25" s="5">
        <f>-16*44</f>
        <v>-704</v>
      </c>
      <c r="AU25" s="5"/>
      <c r="AV25" s="5">
        <f>-5*40</f>
        <v>-200</v>
      </c>
      <c r="AW25" s="5"/>
      <c r="AX25" s="5">
        <f>-8*7-5*7</f>
        <v>-91</v>
      </c>
      <c r="AY25" s="5"/>
      <c r="AZ25" s="5">
        <f>-5*7</f>
        <v>-35</v>
      </c>
      <c r="BA25" s="5"/>
      <c r="BB25" s="5">
        <f>-18*7</f>
        <v>-126</v>
      </c>
      <c r="BC25" s="5"/>
      <c r="BD25" s="5">
        <f>-8*45-1*45-1*45</f>
        <v>-450</v>
      </c>
      <c r="BE25" s="5"/>
      <c r="BF25" s="5">
        <f>-6*40 -3*36</f>
        <v>-348</v>
      </c>
      <c r="BG25" s="5"/>
      <c r="BH25" s="5">
        <f>-30*7</f>
        <v>-210</v>
      </c>
      <c r="BI25" s="5"/>
      <c r="BJ25" s="5">
        <f>-27*7</f>
        <v>-189</v>
      </c>
      <c r="BK25" s="5"/>
      <c r="BL25" s="5">
        <f>-25*7</f>
        <v>-175</v>
      </c>
      <c r="BM25" s="5"/>
      <c r="BN25" s="5">
        <f>-3*45-7*45-2*43</f>
        <v>-536</v>
      </c>
      <c r="BO25" s="5"/>
      <c r="BP25" s="5">
        <f>-11*7</f>
        <v>-77</v>
      </c>
      <c r="BQ25" s="5"/>
      <c r="BR25" s="5">
        <f>-40*7-1*10</f>
        <v>-290</v>
      </c>
      <c r="BS25" s="5"/>
      <c r="BT25" s="5"/>
      <c r="BU25" s="5"/>
      <c r="BV25" s="5">
        <f>-57*7</f>
        <v>-399</v>
      </c>
      <c r="BW25" s="5"/>
      <c r="BX25" s="5"/>
      <c r="BY25" s="5"/>
      <c r="BZ25" s="5"/>
      <c r="CA25" s="5"/>
      <c r="CB25" s="5">
        <f>-5*45-6.5*45-2*26</f>
        <v>-569.5</v>
      </c>
      <c r="CC25" s="5"/>
      <c r="CD25" s="5"/>
      <c r="CE25" s="5"/>
      <c r="CF25" s="5">
        <f>-18*7-1*40</f>
        <v>-166</v>
      </c>
      <c r="CG25" s="5">
        <v>820</v>
      </c>
      <c r="CH25" s="5"/>
      <c r="CI25" s="5"/>
      <c r="CJ25" s="5">
        <f>-4*45</f>
        <v>-180</v>
      </c>
    </row>
    <row r="26" spans="1:149" s="34" customFormat="1" x14ac:dyDescent="0.25">
      <c r="A26" s="2">
        <v>21</v>
      </c>
      <c r="B26" s="3" t="s">
        <v>687</v>
      </c>
      <c r="C26" s="31" t="s">
        <v>688</v>
      </c>
      <c r="D26" s="6">
        <f>SUM(H26:CU26)</f>
        <v>234</v>
      </c>
      <c r="E26" s="6">
        <f>+D26/30</f>
        <v>7.8</v>
      </c>
      <c r="F26" s="4">
        <v>200</v>
      </c>
      <c r="G26" s="4">
        <f t="shared" si="0"/>
        <v>34</v>
      </c>
      <c r="H26" s="93">
        <v>0</v>
      </c>
      <c r="I26" s="5">
        <v>388</v>
      </c>
      <c r="J26" s="5"/>
      <c r="K26" s="5"/>
      <c r="L26" s="5"/>
      <c r="M26" s="5"/>
      <c r="N26" s="30">
        <f>-1*18-5*4-3*18</f>
        <v>-92</v>
      </c>
      <c r="O26" s="5"/>
      <c r="P26" s="5"/>
      <c r="Q26" s="5"/>
      <c r="R26" s="5">
        <f>-1*30</f>
        <v>-30</v>
      </c>
      <c r="S26" s="5"/>
      <c r="T26" s="5"/>
      <c r="U26" s="5"/>
      <c r="V26" s="5">
        <f>-11*4</f>
        <v>-44</v>
      </c>
      <c r="W26" s="5"/>
      <c r="X26" s="30">
        <f>-7*30</f>
        <v>-210</v>
      </c>
      <c r="Y26" s="5"/>
      <c r="Z26" s="5"/>
      <c r="AA26" s="5"/>
      <c r="AB26" s="5"/>
      <c r="AC26" s="5"/>
      <c r="AD26" s="5"/>
      <c r="AE26" s="404"/>
      <c r="AF26" s="5"/>
      <c r="AG26" s="5"/>
      <c r="AH26" s="5">
        <f>-1*4</f>
        <v>-4</v>
      </c>
      <c r="AI26" s="5"/>
      <c r="AJ26" s="5"/>
      <c r="AK26" s="5"/>
      <c r="AL26" s="5"/>
      <c r="AM26" s="5"/>
      <c r="AN26" s="5">
        <f>-2*4</f>
        <v>-8</v>
      </c>
      <c r="AO26" s="5"/>
      <c r="AP26" s="5"/>
      <c r="AQ26" s="5"/>
      <c r="AR26" s="5"/>
      <c r="AS26" s="5">
        <v>160</v>
      </c>
      <c r="AT26" s="5">
        <f>-16*10</f>
        <v>-160</v>
      </c>
      <c r="AU26" s="5"/>
      <c r="AV26" s="5"/>
      <c r="AW26" s="5"/>
      <c r="AX26" s="5"/>
      <c r="AY26" s="5"/>
      <c r="AZ26" s="5"/>
      <c r="BA26" s="5"/>
      <c r="BB26" s="5"/>
      <c r="BC26" s="5">
        <v>560.5</v>
      </c>
      <c r="BD26" s="5">
        <f>-8*9-1*9-1*9</f>
        <v>-90</v>
      </c>
      <c r="BE26" s="5"/>
      <c r="BF26" s="5"/>
      <c r="BG26" s="5"/>
      <c r="BH26" s="5"/>
      <c r="BI26" s="5"/>
      <c r="BJ26" s="5"/>
      <c r="BK26" s="5"/>
      <c r="BL26" s="5"/>
      <c r="BM26" s="5"/>
      <c r="BN26" s="5">
        <f>-7*9</f>
        <v>-63</v>
      </c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>
        <f>-5*9-6.5*9-10*30</f>
        <v>-403.5</v>
      </c>
      <c r="CC26" s="5"/>
      <c r="CD26" s="5"/>
      <c r="CE26" s="5"/>
      <c r="CF26" s="5">
        <f>-1*4</f>
        <v>-4</v>
      </c>
      <c r="CG26" s="5">
        <v>270</v>
      </c>
      <c r="CH26" s="5"/>
      <c r="CI26" s="5"/>
      <c r="CJ26" s="5">
        <f>-4*9</f>
        <v>-36</v>
      </c>
    </row>
    <row r="27" spans="1:149" s="34" customFormat="1" x14ac:dyDescent="0.25">
      <c r="A27"/>
      <c r="B27"/>
      <c r="C27"/>
      <c r="D27"/>
      <c r="E27"/>
      <c r="F27"/>
      <c r="G27"/>
      <c r="H27" s="49"/>
      <c r="N27" s="39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 s="403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</row>
    <row r="28" spans="1:149" s="34" customFormat="1" x14ac:dyDescent="0.25">
      <c r="A28"/>
      <c r="B28"/>
      <c r="C28"/>
      <c r="D28"/>
      <c r="E28"/>
      <c r="F28"/>
      <c r="G28"/>
      <c r="H28" s="49"/>
      <c r="N28" s="397"/>
      <c r="O28"/>
      <c r="P28"/>
      <c r="Q28"/>
      <c r="R28"/>
      <c r="S28"/>
      <c r="T28"/>
      <c r="U28" s="5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 s="50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</row>
    <row r="29" spans="1:149" s="34" customFormat="1" ht="20.25" customHeight="1" x14ac:dyDescent="0.25">
      <c r="A29" s="97"/>
      <c r="B29" s="114" t="s">
        <v>273</v>
      </c>
      <c r="C29" s="96"/>
      <c r="D29"/>
      <c r="E29"/>
      <c r="F29"/>
      <c r="G29" s="7"/>
      <c r="H29" s="49"/>
      <c r="K29" s="50"/>
      <c r="L29" s="50"/>
      <c r="N29" s="397"/>
      <c r="O29"/>
      <c r="P29"/>
      <c r="Q29" s="64"/>
      <c r="R29"/>
      <c r="S29"/>
      <c r="T29"/>
      <c r="U29"/>
      <c r="V29"/>
      <c r="W29"/>
      <c r="X29"/>
      <c r="Y29"/>
      <c r="Z29"/>
      <c r="AA29"/>
      <c r="AB29"/>
      <c r="AC29"/>
      <c r="AD29" s="7"/>
      <c r="AE29"/>
      <c r="AF29"/>
      <c r="AG29"/>
      <c r="AH29"/>
      <c r="AI29" s="406"/>
      <c r="AJ29" s="406"/>
      <c r="AK29" s="406"/>
      <c r="AL29" s="406"/>
      <c r="AM29" s="406"/>
      <c r="AN29" s="406"/>
      <c r="AO29" s="406"/>
      <c r="AP29" s="406"/>
      <c r="AQ29" s="406"/>
      <c r="AR29" s="406"/>
      <c r="AS29" s="400"/>
      <c r="AT29"/>
      <c r="AU29"/>
      <c r="AV29"/>
      <c r="AW29"/>
      <c r="AY29"/>
      <c r="AZ29"/>
      <c r="BA29"/>
      <c r="BB29"/>
      <c r="BC29"/>
      <c r="BD29"/>
      <c r="BE29"/>
      <c r="BF29" s="64"/>
      <c r="BG29"/>
      <c r="BH29"/>
      <c r="BI29"/>
      <c r="BJ29"/>
      <c r="BK29"/>
      <c r="BL29"/>
      <c r="BM29"/>
      <c r="BN29"/>
      <c r="BO29"/>
      <c r="BP29" s="64"/>
      <c r="BQ29" s="64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</row>
    <row r="30" spans="1:149" s="34" customFormat="1" ht="15.75" thickBot="1" x14ac:dyDescent="0.3">
      <c r="A30"/>
      <c r="B30" s="58"/>
      <c r="C30" s="59"/>
      <c r="D30" s="59"/>
      <c r="E30" s="59"/>
      <c r="F30"/>
      <c r="G30"/>
      <c r="I30" s="49"/>
      <c r="O30"/>
      <c r="P30"/>
      <c r="Q30"/>
      <c r="R30"/>
      <c r="S30"/>
      <c r="T30"/>
      <c r="U30"/>
      <c r="V30"/>
      <c r="W30"/>
      <c r="X30" s="64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64"/>
      <c r="AY30"/>
      <c r="AZ30"/>
      <c r="BA30"/>
      <c r="BB30"/>
      <c r="BC30"/>
      <c r="BD30"/>
      <c r="BE30"/>
      <c r="BF30"/>
      <c r="BG30" s="64"/>
      <c r="BH30"/>
      <c r="BI30"/>
      <c r="BJ30"/>
      <c r="BK30"/>
      <c r="BL30"/>
      <c r="BM30"/>
      <c r="BN30"/>
      <c r="BO30"/>
      <c r="BP30" s="7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</row>
    <row r="31" spans="1:149" s="34" customFormat="1" ht="15.75" thickBot="1" x14ac:dyDescent="0.3">
      <c r="A31" s="106" t="s">
        <v>272</v>
      </c>
      <c r="B31" s="102" t="s">
        <v>7</v>
      </c>
      <c r="C31" s="101" t="s">
        <v>274</v>
      </c>
      <c r="D31" s="100" t="s">
        <v>271</v>
      </c>
      <c r="E31" s="99" t="s">
        <v>276</v>
      </c>
      <c r="F31"/>
      <c r="G31"/>
      <c r="J31" s="49"/>
      <c r="O31" s="7"/>
      <c r="P31"/>
      <c r="Q31"/>
      <c r="R31"/>
      <c r="S31"/>
      <c r="T31"/>
      <c r="X31" s="67"/>
      <c r="AA31"/>
      <c r="AB31"/>
      <c r="AC31"/>
      <c r="AD31" s="64"/>
      <c r="AE31"/>
      <c r="AF31"/>
      <c r="AG31"/>
      <c r="AH31"/>
      <c r="AI31"/>
      <c r="AJ31"/>
      <c r="AK31"/>
      <c r="AL31"/>
      <c r="AM31"/>
      <c r="AN31" s="64"/>
      <c r="AO31"/>
      <c r="AP31"/>
      <c r="AQ31"/>
      <c r="AR31"/>
      <c r="AS31"/>
      <c r="AT31"/>
      <c r="AU31"/>
      <c r="AV31"/>
      <c r="AW31"/>
      <c r="AX31"/>
      <c r="AY31"/>
      <c r="AZ31" s="64"/>
      <c r="BA31"/>
      <c r="BB31"/>
      <c r="BC31"/>
      <c r="BD31"/>
      <c r="BE31"/>
      <c r="BF31"/>
      <c r="BG31" s="64"/>
      <c r="BH31"/>
      <c r="BI31"/>
      <c r="BJ31"/>
      <c r="BK31" s="7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</row>
    <row r="32" spans="1:149" s="34" customFormat="1" ht="21" x14ac:dyDescent="0.25">
      <c r="A32" s="107">
        <v>1</v>
      </c>
      <c r="B32" s="103" t="s">
        <v>275</v>
      </c>
      <c r="C32" s="110">
        <f>+D32*E32</f>
        <v>514.80000000000007</v>
      </c>
      <c r="D32" s="116">
        <v>18</v>
      </c>
      <c r="E32" s="117">
        <v>28.6</v>
      </c>
      <c r="F32"/>
      <c r="G32"/>
      <c r="J32" s="49"/>
      <c r="K32" s="67"/>
      <c r="O32"/>
      <c r="P32"/>
      <c r="Q32" s="64"/>
      <c r="R32"/>
      <c r="S32" s="229"/>
      <c r="T32"/>
      <c r="U32" s="636"/>
      <c r="AA32"/>
      <c r="AB32"/>
      <c r="AC32"/>
      <c r="AD32"/>
      <c r="AE32" s="64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 s="229"/>
      <c r="BF32"/>
      <c r="BG32" s="229"/>
      <c r="BH32"/>
      <c r="BI32"/>
      <c r="BJ32"/>
      <c r="BK32" s="7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 s="64"/>
      <c r="CC32"/>
      <c r="CD32"/>
      <c r="CE32"/>
      <c r="CF32"/>
      <c r="CG32"/>
      <c r="CH32"/>
      <c r="CI32"/>
      <c r="CJ32"/>
    </row>
    <row r="33" spans="1:88" s="34" customFormat="1" ht="21" x14ac:dyDescent="0.25">
      <c r="A33" s="108">
        <v>2</v>
      </c>
      <c r="B33" s="104" t="s">
        <v>277</v>
      </c>
      <c r="C33" s="111">
        <f t="shared" ref="C33:C40" si="2">+D33*E33</f>
        <v>477</v>
      </c>
      <c r="D33" s="118">
        <v>18</v>
      </c>
      <c r="E33" s="119">
        <v>26.5</v>
      </c>
      <c r="F33"/>
      <c r="G33" s="64"/>
      <c r="K33" s="67"/>
      <c r="L33" s="67"/>
      <c r="O33"/>
      <c r="P33"/>
      <c r="Q33"/>
      <c r="R33"/>
      <c r="S33"/>
      <c r="T33"/>
      <c r="U33" s="636"/>
      <c r="AA33"/>
      <c r="AB33"/>
      <c r="AC33"/>
      <c r="AD33"/>
      <c r="AE33"/>
      <c r="AF33"/>
      <c r="AG33" s="229"/>
      <c r="AH33"/>
      <c r="AI33"/>
      <c r="AJ33"/>
      <c r="AK33"/>
      <c r="AL33" s="229"/>
      <c r="AM33"/>
      <c r="AN33" s="64"/>
      <c r="AO33"/>
      <c r="AP33"/>
      <c r="AQ33"/>
      <c r="AR33"/>
      <c r="AS33"/>
      <c r="AT33"/>
      <c r="AU33" s="64"/>
      <c r="AV33"/>
      <c r="AW33"/>
      <c r="AX33"/>
      <c r="AY33"/>
      <c r="AZ33"/>
      <c r="BA33"/>
      <c r="BB33"/>
      <c r="BC33"/>
      <c r="BD33"/>
      <c r="BE33" s="229"/>
      <c r="BF33"/>
      <c r="BG33"/>
      <c r="BH33"/>
      <c r="BI33"/>
      <c r="BJ33"/>
      <c r="BK33"/>
      <c r="BL33"/>
      <c r="BM33"/>
      <c r="BN33"/>
      <c r="BO33"/>
      <c r="BP33"/>
      <c r="BQ33" s="64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</row>
    <row r="34" spans="1:88" s="34" customFormat="1" ht="21" x14ac:dyDescent="0.25">
      <c r="A34" s="108">
        <v>3</v>
      </c>
      <c r="B34" s="104" t="s">
        <v>278</v>
      </c>
      <c r="C34" s="111">
        <f t="shared" si="2"/>
        <v>511.2</v>
      </c>
      <c r="D34" s="118">
        <v>18</v>
      </c>
      <c r="E34" s="119">
        <v>28.4</v>
      </c>
      <c r="F34"/>
      <c r="G34"/>
      <c r="L34" s="67"/>
      <c r="O34"/>
      <c r="P34"/>
      <c r="Q34" s="64"/>
      <c r="R34" s="640"/>
      <c r="S34" s="6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 s="64"/>
      <c r="AP34"/>
      <c r="AQ34"/>
      <c r="AR34"/>
      <c r="AS34"/>
      <c r="AT34"/>
      <c r="AU34"/>
      <c r="AV34"/>
      <c r="AW34"/>
      <c r="AX34"/>
      <c r="AY34"/>
      <c r="AZ34"/>
      <c r="BA34" s="64"/>
      <c r="BB34"/>
      <c r="BC34"/>
      <c r="BD34"/>
      <c r="BE34"/>
      <c r="BF34"/>
      <c r="BG34"/>
      <c r="BH34"/>
      <c r="BI34"/>
      <c r="BJ34" s="230"/>
      <c r="BK34"/>
      <c r="BL34"/>
      <c r="BM34"/>
      <c r="BN34"/>
      <c r="BO34"/>
      <c r="BP34"/>
      <c r="BQ34" s="6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</row>
    <row r="35" spans="1:88" s="34" customFormat="1" ht="21" x14ac:dyDescent="0.25">
      <c r="A35" s="108">
        <v>4</v>
      </c>
      <c r="B35" s="104" t="s">
        <v>279</v>
      </c>
      <c r="C35" s="111">
        <f t="shared" si="2"/>
        <v>270</v>
      </c>
      <c r="D35" s="118">
        <v>9</v>
      </c>
      <c r="E35" s="119">
        <v>30</v>
      </c>
      <c r="F35"/>
      <c r="G35"/>
      <c r="L35" s="67"/>
      <c r="O35"/>
      <c r="P35"/>
      <c r="Q35" s="64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 s="64"/>
      <c r="AP35"/>
      <c r="AQ35"/>
      <c r="AR35"/>
      <c r="AS35"/>
      <c r="AT35"/>
      <c r="AU35"/>
      <c r="AV35"/>
      <c r="AW35"/>
      <c r="AX35"/>
      <c r="AY35"/>
      <c r="AZ35" s="229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 s="64"/>
      <c r="CD35"/>
      <c r="CE35"/>
      <c r="CF35"/>
      <c r="CG35"/>
      <c r="CH35"/>
      <c r="CI35"/>
      <c r="CJ35"/>
    </row>
    <row r="36" spans="1:88" s="34" customFormat="1" ht="21" x14ac:dyDescent="0.25">
      <c r="A36" s="108">
        <v>5</v>
      </c>
      <c r="B36" s="104" t="s">
        <v>310</v>
      </c>
      <c r="C36" s="111">
        <f t="shared" si="2"/>
        <v>291.59999999999997</v>
      </c>
      <c r="D36" s="118">
        <v>9</v>
      </c>
      <c r="E36" s="119">
        <v>32.4</v>
      </c>
      <c r="F36"/>
      <c r="G36"/>
      <c r="L36" s="67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 s="64"/>
      <c r="BA36"/>
      <c r="BB36"/>
      <c r="BC36"/>
      <c r="BD36"/>
      <c r="BE36"/>
      <c r="BF36"/>
      <c r="BG36"/>
      <c r="BH36" s="229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</row>
    <row r="37" spans="1:88" s="34" customFormat="1" ht="21" x14ac:dyDescent="0.25">
      <c r="A37" s="108">
        <v>6</v>
      </c>
      <c r="B37" s="104" t="s">
        <v>311</v>
      </c>
      <c r="C37" s="111">
        <f>+D37*E37</f>
        <v>94.199999999999989</v>
      </c>
      <c r="D37" s="118">
        <v>6</v>
      </c>
      <c r="E37" s="119">
        <v>15.7</v>
      </c>
      <c r="F37"/>
      <c r="G37"/>
      <c r="J37" s="67"/>
      <c r="M37" s="6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 s="229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</row>
    <row r="38" spans="1:88" s="34" customFormat="1" ht="21" x14ac:dyDescent="0.25">
      <c r="A38" s="108">
        <v>7</v>
      </c>
      <c r="B38" s="104" t="s">
        <v>312</v>
      </c>
      <c r="C38" s="111">
        <f>+D38*E38</f>
        <v>151.80000000000001</v>
      </c>
      <c r="D38" s="118">
        <v>6</v>
      </c>
      <c r="E38" s="119">
        <v>25.3</v>
      </c>
      <c r="F38"/>
      <c r="G38"/>
      <c r="I38" s="67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</row>
    <row r="39" spans="1:88" s="34" customFormat="1" ht="21" x14ac:dyDescent="0.25">
      <c r="A39" s="108">
        <v>8</v>
      </c>
      <c r="B39" s="104" t="s">
        <v>308</v>
      </c>
      <c r="C39" s="112">
        <f>+D39*E39</f>
        <v>2445.8399999999997</v>
      </c>
      <c r="D39" s="120">
        <f>18*4.3</f>
        <v>77.399999999999991</v>
      </c>
      <c r="E39" s="121">
        <v>31.6</v>
      </c>
      <c r="F39"/>
      <c r="G39"/>
      <c r="J39" s="67"/>
      <c r="M39" s="67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</row>
    <row r="40" spans="1:88" ht="21.75" thickBot="1" x14ac:dyDescent="0.3">
      <c r="A40" s="109">
        <v>9</v>
      </c>
      <c r="B40" s="105" t="s">
        <v>309</v>
      </c>
      <c r="C40" s="113">
        <f t="shared" si="2"/>
        <v>388.79999999999995</v>
      </c>
      <c r="D40" s="122">
        <v>12</v>
      </c>
      <c r="E40" s="123">
        <v>32.4</v>
      </c>
      <c r="I40" s="64"/>
      <c r="M40" s="64"/>
    </row>
    <row r="41" spans="1:88" x14ac:dyDescent="0.25">
      <c r="B41" s="58"/>
      <c r="C41" s="98"/>
    </row>
    <row r="42" spans="1:88" ht="30" x14ac:dyDescent="0.25">
      <c r="B42" s="115" t="s">
        <v>653</v>
      </c>
      <c r="C42" s="98"/>
    </row>
    <row r="43" spans="1:88" x14ac:dyDescent="0.25">
      <c r="C43" s="98">
        <f>+C39*3+55*16+50*4</f>
        <v>8417.5199999999986</v>
      </c>
      <c r="D43" s="26"/>
    </row>
    <row r="44" spans="1:88" x14ac:dyDescent="0.25">
      <c r="C44" s="98"/>
      <c r="K44" s="64"/>
    </row>
  </sheetData>
  <mergeCells count="40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D4"/>
    <mergeCell ref="CI4:CJ4"/>
    <mergeCell ref="BQ4:BR4"/>
    <mergeCell ref="BU4:BV4"/>
    <mergeCell ref="BW4:BX4"/>
    <mergeCell ref="BY4:BZ4"/>
    <mergeCell ref="CA4:CB4"/>
    <mergeCell ref="BS4:BT4"/>
    <mergeCell ref="CE4:CF4"/>
    <mergeCell ref="CG4:CH4"/>
  </mergeCells>
  <conditionalFormatting sqref="G6:G22 G26">
    <cfRule type="cellIs" dxfId="129" priority="7" operator="lessThanOrEqual">
      <formula>0</formula>
    </cfRule>
    <cfRule type="cellIs" dxfId="128" priority="8" operator="greaterThan">
      <formula>0</formula>
    </cfRule>
  </conditionalFormatting>
  <conditionalFormatting sqref="G23">
    <cfRule type="cellIs" dxfId="127" priority="5" operator="lessThanOrEqual">
      <formula>0</formula>
    </cfRule>
    <cfRule type="cellIs" dxfId="126" priority="6" operator="greaterThan">
      <formula>0</formula>
    </cfRule>
  </conditionalFormatting>
  <conditionalFormatting sqref="G24">
    <cfRule type="cellIs" dxfId="125" priority="3" operator="lessThanOrEqual">
      <formula>0</formula>
    </cfRule>
    <cfRule type="cellIs" dxfId="124" priority="4" operator="greaterThan">
      <formula>0</formula>
    </cfRule>
  </conditionalFormatting>
  <conditionalFormatting sqref="G25">
    <cfRule type="cellIs" dxfId="123" priority="1" operator="lessThanOrEqual">
      <formula>0</formula>
    </cfRule>
    <cfRule type="cellIs" dxfId="122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T56"/>
  <sheetViews>
    <sheetView showGridLines="0" zoomScale="80" zoomScaleNormal="80" workbookViewId="0">
      <pane xSplit="6" ySplit="5" topLeftCell="CK6" activePane="bottomRight" state="frozen"/>
      <selection activeCell="P30" sqref="P30"/>
      <selection pane="topRight" activeCell="P30" sqref="P30"/>
      <selection pane="bottomLeft" activeCell="P30" sqref="P30"/>
      <selection pane="bottomRight" activeCell="CS15" sqref="CS15"/>
    </sheetView>
  </sheetViews>
  <sheetFormatPr baseColWidth="10" defaultRowHeight="15" x14ac:dyDescent="0.25"/>
  <cols>
    <col min="1" max="1" width="6.5703125" customWidth="1"/>
    <col min="2" max="2" width="68.42578125" bestFit="1" customWidth="1"/>
    <col min="3" max="3" width="18.42578125" customWidth="1"/>
    <col min="4" max="4" width="14.7109375" customWidth="1"/>
    <col min="5" max="5" width="16.85546875" customWidth="1"/>
    <col min="6" max="6" width="12.7109375" customWidth="1"/>
    <col min="7" max="7" width="20.140625" bestFit="1" customWidth="1"/>
    <col min="8" max="8" width="14.140625" customWidth="1"/>
    <col min="10" max="10" width="14.42578125" customWidth="1"/>
    <col min="11" max="11" width="13.140625" customWidth="1"/>
    <col min="12" max="12" width="12.28515625" customWidth="1"/>
    <col min="22" max="22" width="11.28515625" customWidth="1"/>
    <col min="40" max="40" width="10.140625" customWidth="1"/>
    <col min="49" max="49" width="13.42578125" customWidth="1"/>
    <col min="53" max="53" width="13.28515625" bestFit="1" customWidth="1"/>
    <col min="59" max="59" width="12" customWidth="1"/>
    <col min="67" max="67" width="14.5703125" customWidth="1"/>
    <col min="68" max="68" width="12.7109375" customWidth="1"/>
  </cols>
  <sheetData>
    <row r="1" spans="1:150" ht="80.099999999999994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45"/>
      <c r="BS1" s="45"/>
      <c r="BT1" s="45"/>
      <c r="BU1" s="45"/>
      <c r="BV1" s="46"/>
      <c r="BW1" s="46"/>
      <c r="BX1" s="396"/>
      <c r="BY1" s="396"/>
      <c r="BZ1" s="396"/>
      <c r="CA1" s="396"/>
      <c r="CB1" s="34"/>
      <c r="CC1" s="34"/>
      <c r="CD1" s="34"/>
      <c r="CF1" s="64"/>
    </row>
    <row r="2" spans="1:150" ht="26.25" x14ac:dyDescent="0.25">
      <c r="A2" s="9"/>
      <c r="B2" s="9" t="s">
        <v>33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399"/>
      <c r="BB2" s="9"/>
      <c r="BC2" s="9"/>
      <c r="BD2" s="9"/>
      <c r="BE2" s="9"/>
      <c r="BF2" s="9"/>
      <c r="BG2" s="645"/>
      <c r="BH2" s="9"/>
      <c r="BI2" s="9"/>
      <c r="BJ2" s="9"/>
      <c r="BK2" s="9"/>
      <c r="BL2" s="9"/>
      <c r="BM2" s="9"/>
      <c r="BN2" s="9"/>
      <c r="BO2" s="445"/>
      <c r="BP2" s="445"/>
      <c r="BQ2" s="9"/>
      <c r="BR2" s="9"/>
      <c r="BS2" s="9"/>
      <c r="BT2" s="9"/>
      <c r="BU2" s="9"/>
      <c r="BV2" s="46"/>
      <c r="BW2" s="46"/>
      <c r="BX2" s="67"/>
      <c r="BY2" s="34"/>
      <c r="BZ2" s="34"/>
      <c r="CA2" s="34"/>
      <c r="CB2" s="34"/>
      <c r="CC2" s="34"/>
      <c r="CD2" s="34"/>
      <c r="CE2" s="7"/>
    </row>
    <row r="3" spans="1:150" x14ac:dyDescent="0.25">
      <c r="D3" s="7"/>
      <c r="E3" s="7"/>
      <c r="F3" s="7"/>
      <c r="AA3" s="681" t="s">
        <v>844</v>
      </c>
      <c r="AM3" s="683"/>
      <c r="AP3" s="64"/>
      <c r="BP3" s="640"/>
      <c r="BV3" s="698"/>
      <c r="BW3" s="698"/>
      <c r="CE3" s="57" t="s">
        <v>861</v>
      </c>
      <c r="CG3" s="57"/>
    </row>
    <row r="4" spans="1:150" x14ac:dyDescent="0.25">
      <c r="A4" s="22"/>
      <c r="B4" s="22"/>
      <c r="C4" s="22"/>
      <c r="D4" s="22"/>
      <c r="E4" s="22"/>
      <c r="F4" s="22"/>
      <c r="G4" s="72" t="s">
        <v>842</v>
      </c>
      <c r="H4" s="959">
        <v>44866</v>
      </c>
      <c r="I4" s="960"/>
      <c r="J4" s="959">
        <v>44867</v>
      </c>
      <c r="K4" s="960"/>
      <c r="L4" s="957">
        <v>44868</v>
      </c>
      <c r="M4" s="958"/>
      <c r="N4" s="957">
        <v>44869</v>
      </c>
      <c r="O4" s="958"/>
      <c r="P4" s="957">
        <v>44870</v>
      </c>
      <c r="Q4" s="958"/>
      <c r="R4" s="957">
        <v>44872</v>
      </c>
      <c r="S4" s="958"/>
      <c r="T4" s="957">
        <v>44873</v>
      </c>
      <c r="U4" s="958"/>
      <c r="V4" s="961">
        <v>44874</v>
      </c>
      <c r="W4" s="962"/>
      <c r="X4" s="959">
        <v>44875</v>
      </c>
      <c r="Y4" s="960"/>
      <c r="Z4" s="961">
        <v>44876</v>
      </c>
      <c r="AA4" s="962"/>
      <c r="AB4" s="957">
        <v>44877</v>
      </c>
      <c r="AC4" s="958"/>
      <c r="AD4" s="957">
        <v>44879</v>
      </c>
      <c r="AE4" s="958"/>
      <c r="AF4" s="957">
        <v>44880</v>
      </c>
      <c r="AG4" s="958"/>
      <c r="AH4" s="957">
        <v>44881</v>
      </c>
      <c r="AI4" s="958"/>
      <c r="AJ4" s="957">
        <v>44882</v>
      </c>
      <c r="AK4" s="958"/>
      <c r="AL4" s="957">
        <v>44883</v>
      </c>
      <c r="AM4" s="958"/>
      <c r="AN4" s="957">
        <v>44886</v>
      </c>
      <c r="AO4" s="958"/>
      <c r="AP4" s="957" t="s">
        <v>858</v>
      </c>
      <c r="AQ4" s="958"/>
      <c r="AR4" s="957">
        <v>44888</v>
      </c>
      <c r="AS4" s="958"/>
      <c r="AT4" s="957">
        <v>44889</v>
      </c>
      <c r="AU4" s="958"/>
      <c r="AV4" s="961">
        <v>44890</v>
      </c>
      <c r="AW4" s="962"/>
      <c r="AX4" s="960">
        <v>44893</v>
      </c>
      <c r="AY4" s="960"/>
      <c r="AZ4" s="959">
        <v>44894</v>
      </c>
      <c r="BA4" s="960"/>
      <c r="BB4" s="959">
        <v>44895</v>
      </c>
      <c r="BC4" s="960"/>
      <c r="BD4" s="957">
        <v>44896</v>
      </c>
      <c r="BE4" s="958"/>
      <c r="BF4" s="957">
        <v>44897</v>
      </c>
      <c r="BG4" s="958"/>
      <c r="BH4" s="957">
        <v>44900</v>
      </c>
      <c r="BI4" s="958"/>
      <c r="BJ4" s="961">
        <v>44901</v>
      </c>
      <c r="BK4" s="962"/>
      <c r="BL4" s="961">
        <v>44902</v>
      </c>
      <c r="BM4" s="962"/>
      <c r="BN4" s="959">
        <v>44903</v>
      </c>
      <c r="BO4" s="960"/>
      <c r="BP4" s="959">
        <v>44904</v>
      </c>
      <c r="BQ4" s="960"/>
      <c r="BR4" s="957">
        <v>44905</v>
      </c>
      <c r="BS4" s="958"/>
      <c r="BT4" s="957">
        <v>44907</v>
      </c>
      <c r="BU4" s="958"/>
      <c r="BV4" s="957">
        <v>44908</v>
      </c>
      <c r="BW4" s="958"/>
      <c r="BX4" s="957">
        <v>44909</v>
      </c>
      <c r="BY4" s="958"/>
      <c r="BZ4" s="957">
        <v>44910</v>
      </c>
      <c r="CA4" s="958"/>
      <c r="CB4" s="957">
        <v>44911</v>
      </c>
      <c r="CC4" s="958"/>
      <c r="CD4" s="957">
        <v>44912</v>
      </c>
      <c r="CE4" s="958"/>
      <c r="CF4" s="957">
        <v>44913</v>
      </c>
      <c r="CG4" s="958"/>
      <c r="CH4" s="959">
        <v>44914</v>
      </c>
      <c r="CI4" s="960"/>
      <c r="CJ4" s="959">
        <v>44915</v>
      </c>
      <c r="CK4" s="960"/>
      <c r="CL4" s="959">
        <v>44916</v>
      </c>
      <c r="CM4" s="960"/>
      <c r="CN4" s="959">
        <v>44917</v>
      </c>
      <c r="CO4" s="960"/>
      <c r="CP4" s="959">
        <v>44924</v>
      </c>
      <c r="CQ4" s="960"/>
      <c r="CR4" s="959">
        <v>44571</v>
      </c>
      <c r="CS4" s="960"/>
    </row>
    <row r="5" spans="1:150" ht="30" x14ac:dyDescent="0.25">
      <c r="A5" s="11" t="s">
        <v>6</v>
      </c>
      <c r="B5" s="11" t="s">
        <v>7</v>
      </c>
      <c r="C5" s="11" t="s">
        <v>41</v>
      </c>
      <c r="D5" s="11" t="s">
        <v>0</v>
      </c>
      <c r="E5" s="11" t="s">
        <v>1</v>
      </c>
      <c r="F5" s="11" t="s">
        <v>2</v>
      </c>
      <c r="G5" s="11" t="s">
        <v>244</v>
      </c>
      <c r="H5" s="11" t="s">
        <v>4</v>
      </c>
      <c r="I5" s="11" t="s">
        <v>5</v>
      </c>
      <c r="J5" s="11" t="s">
        <v>4</v>
      </c>
      <c r="K5" s="11" t="s">
        <v>5</v>
      </c>
      <c r="L5" s="11" t="s">
        <v>4</v>
      </c>
      <c r="M5" s="11" t="s">
        <v>5</v>
      </c>
      <c r="N5" s="11" t="s">
        <v>4</v>
      </c>
      <c r="O5" s="11" t="s">
        <v>5</v>
      </c>
      <c r="P5" s="11" t="s">
        <v>4</v>
      </c>
      <c r="Q5" s="11" t="s">
        <v>5</v>
      </c>
      <c r="R5" s="11" t="s">
        <v>4</v>
      </c>
      <c r="S5" s="11" t="s">
        <v>5</v>
      </c>
      <c r="T5" s="11" t="s">
        <v>4</v>
      </c>
      <c r="U5" s="11" t="s">
        <v>5</v>
      </c>
      <c r="V5" s="11" t="s">
        <v>4</v>
      </c>
      <c r="W5" s="11" t="s">
        <v>5</v>
      </c>
      <c r="X5" s="11" t="s">
        <v>4</v>
      </c>
      <c r="Y5" s="11" t="s">
        <v>5</v>
      </c>
      <c r="Z5" s="11" t="s">
        <v>4</v>
      </c>
      <c r="AA5" s="11" t="s">
        <v>5</v>
      </c>
      <c r="AB5" s="11" t="s">
        <v>4</v>
      </c>
      <c r="AC5" s="11" t="s">
        <v>5</v>
      </c>
      <c r="AD5" s="11" t="s">
        <v>4</v>
      </c>
      <c r="AE5" s="11" t="s">
        <v>5</v>
      </c>
      <c r="AF5" s="11" t="s">
        <v>4</v>
      </c>
      <c r="AG5" s="11" t="s">
        <v>5</v>
      </c>
      <c r="AH5" s="11" t="s">
        <v>4</v>
      </c>
      <c r="AI5" s="11" t="s">
        <v>5</v>
      </c>
      <c r="AJ5" s="11" t="s">
        <v>4</v>
      </c>
      <c r="AK5" s="11" t="s">
        <v>5</v>
      </c>
      <c r="AL5" s="11" t="s">
        <v>4</v>
      </c>
      <c r="AM5" s="11" t="s">
        <v>5</v>
      </c>
      <c r="AN5" s="11" t="s">
        <v>4</v>
      </c>
      <c r="AO5" s="11" t="s">
        <v>5</v>
      </c>
      <c r="AP5" s="11" t="s">
        <v>4</v>
      </c>
      <c r="AQ5" s="11" t="s">
        <v>5</v>
      </c>
      <c r="AR5" s="11" t="s">
        <v>4</v>
      </c>
      <c r="AS5" s="11" t="s">
        <v>5</v>
      </c>
      <c r="AT5" s="11" t="s">
        <v>4</v>
      </c>
      <c r="AU5" s="11" t="s">
        <v>5</v>
      </c>
      <c r="AV5" s="11" t="s">
        <v>4</v>
      </c>
      <c r="AW5" s="11" t="s">
        <v>5</v>
      </c>
      <c r="AX5" s="11" t="s">
        <v>4</v>
      </c>
      <c r="AY5" s="11" t="s">
        <v>5</v>
      </c>
      <c r="AZ5" s="11" t="s">
        <v>4</v>
      </c>
      <c r="BA5" s="11" t="s">
        <v>5</v>
      </c>
      <c r="BB5" s="11" t="s">
        <v>4</v>
      </c>
      <c r="BC5" s="11" t="s">
        <v>5</v>
      </c>
      <c r="BD5" s="11" t="s">
        <v>4</v>
      </c>
      <c r="BE5" s="11" t="s">
        <v>5</v>
      </c>
      <c r="BF5" s="11" t="s">
        <v>4</v>
      </c>
      <c r="BG5" s="11" t="s">
        <v>5</v>
      </c>
      <c r="BH5" s="11" t="s">
        <v>4</v>
      </c>
      <c r="BI5" s="11" t="s">
        <v>5</v>
      </c>
      <c r="BJ5" s="11" t="s">
        <v>4</v>
      </c>
      <c r="BK5" s="11" t="s">
        <v>5</v>
      </c>
      <c r="BL5" s="11" t="s">
        <v>4</v>
      </c>
      <c r="BM5" s="11" t="s">
        <v>5</v>
      </c>
      <c r="BN5" s="11" t="s">
        <v>4</v>
      </c>
      <c r="BO5" s="11" t="s">
        <v>5</v>
      </c>
      <c r="BP5" s="11" t="s">
        <v>4</v>
      </c>
      <c r="BQ5" s="11" t="s">
        <v>5</v>
      </c>
      <c r="BR5" s="11" t="s">
        <v>4</v>
      </c>
      <c r="BS5" s="11" t="s">
        <v>5</v>
      </c>
      <c r="BT5" s="11" t="s">
        <v>4</v>
      </c>
      <c r="BU5" s="11" t="s">
        <v>5</v>
      </c>
      <c r="BV5" s="11" t="s">
        <v>4</v>
      </c>
      <c r="BW5" s="11" t="s">
        <v>5</v>
      </c>
      <c r="BX5" s="11" t="s">
        <v>4</v>
      </c>
      <c r="BY5" s="11" t="s">
        <v>5</v>
      </c>
      <c r="BZ5" s="11" t="s">
        <v>4</v>
      </c>
      <c r="CA5" s="11" t="s">
        <v>5</v>
      </c>
      <c r="CB5" s="11" t="s">
        <v>4</v>
      </c>
      <c r="CC5" s="11" t="s">
        <v>5</v>
      </c>
      <c r="CD5" s="11" t="s">
        <v>4</v>
      </c>
      <c r="CE5" s="11" t="s">
        <v>5</v>
      </c>
      <c r="CF5" s="11" t="s">
        <v>4</v>
      </c>
      <c r="CG5" s="11" t="s">
        <v>5</v>
      </c>
      <c r="CH5" s="11" t="s">
        <v>4</v>
      </c>
      <c r="CI5" s="11" t="s">
        <v>5</v>
      </c>
      <c r="CJ5" s="11" t="s">
        <v>4</v>
      </c>
      <c r="CK5" s="11" t="s">
        <v>5</v>
      </c>
      <c r="CL5" s="11" t="s">
        <v>4</v>
      </c>
      <c r="CM5" s="11" t="s">
        <v>5</v>
      </c>
      <c r="CN5" s="11" t="s">
        <v>4</v>
      </c>
      <c r="CO5" s="11" t="s">
        <v>5</v>
      </c>
      <c r="CP5" s="11" t="s">
        <v>4</v>
      </c>
      <c r="CQ5" s="11" t="s">
        <v>5</v>
      </c>
      <c r="CR5" s="11" t="s">
        <v>4</v>
      </c>
      <c r="CS5" s="11" t="s">
        <v>5</v>
      </c>
    </row>
    <row r="6" spans="1:150" s="81" customFormat="1" ht="15.75" x14ac:dyDescent="0.25">
      <c r="A6" s="73">
        <v>1</v>
      </c>
      <c r="B6" s="82" t="s">
        <v>214</v>
      </c>
      <c r="C6" s="74"/>
      <c r="D6" s="75"/>
      <c r="E6" s="76"/>
      <c r="F6" s="76"/>
      <c r="G6" s="77"/>
      <c r="H6" s="78"/>
      <c r="I6" s="78"/>
      <c r="J6" s="78"/>
      <c r="K6" s="78"/>
      <c r="L6" s="77"/>
      <c r="M6" s="79"/>
      <c r="N6" s="78"/>
      <c r="O6" s="78"/>
      <c r="P6" s="78"/>
      <c r="Q6" s="78"/>
      <c r="R6" s="77"/>
      <c r="S6" s="79"/>
      <c r="T6" s="77"/>
      <c r="U6" s="79"/>
      <c r="V6" s="78"/>
      <c r="W6" s="78"/>
      <c r="X6" s="77"/>
      <c r="Y6" s="80"/>
      <c r="Z6" s="78"/>
      <c r="AA6" s="79"/>
      <c r="AB6" s="79"/>
      <c r="AC6" s="80"/>
      <c r="AD6" s="77"/>
      <c r="AE6" s="78"/>
      <c r="AF6" s="77"/>
      <c r="AG6" s="78"/>
      <c r="AH6" s="77"/>
      <c r="AI6" s="79"/>
      <c r="AJ6" s="77"/>
      <c r="AK6" s="79"/>
      <c r="AL6" s="77"/>
      <c r="AM6" s="78"/>
      <c r="AN6" s="77"/>
      <c r="AO6" s="78"/>
      <c r="AP6" s="77"/>
      <c r="AQ6" s="78"/>
      <c r="AR6" s="77"/>
      <c r="AS6" s="79"/>
      <c r="AT6" s="77"/>
      <c r="AU6" s="78"/>
      <c r="AV6" s="77"/>
      <c r="AW6" s="78"/>
      <c r="AX6" s="77"/>
      <c r="AY6" s="78"/>
      <c r="AZ6" s="77"/>
      <c r="BA6" s="79"/>
      <c r="BB6" s="77"/>
      <c r="BC6" s="78"/>
      <c r="BD6" s="77"/>
      <c r="BE6" s="78"/>
      <c r="BF6" s="77"/>
      <c r="BG6" s="79"/>
      <c r="BH6" s="77"/>
      <c r="BI6" s="78"/>
      <c r="BJ6" s="77"/>
      <c r="BK6" s="78"/>
      <c r="BL6" s="77"/>
      <c r="BM6" s="80"/>
      <c r="BN6" s="77"/>
      <c r="BO6" s="78"/>
      <c r="BP6" s="77"/>
      <c r="BQ6" s="78"/>
      <c r="BR6" s="77"/>
      <c r="BS6" s="79"/>
      <c r="BT6" s="79"/>
      <c r="BU6" s="78"/>
      <c r="BV6" s="77"/>
      <c r="BW6" s="78"/>
      <c r="BX6" s="77"/>
      <c r="BY6" s="77"/>
      <c r="BZ6" s="77"/>
      <c r="CA6" s="77"/>
      <c r="CB6" s="77"/>
      <c r="CC6" s="79"/>
      <c r="CD6" s="78"/>
      <c r="CE6" s="77"/>
      <c r="CF6" s="77"/>
      <c r="CG6" s="79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</row>
    <row r="7" spans="1:150" x14ac:dyDescent="0.25">
      <c r="A7" s="2" t="s">
        <v>221</v>
      </c>
      <c r="B7" s="3" t="s">
        <v>116</v>
      </c>
      <c r="C7" s="3" t="s">
        <v>204</v>
      </c>
      <c r="D7" s="6">
        <f>SUM(G7:CS7)</f>
        <v>381</v>
      </c>
      <c r="E7" s="4">
        <v>500</v>
      </c>
      <c r="F7" s="4">
        <f>D7-E7</f>
        <v>-119</v>
      </c>
      <c r="G7" s="92">
        <v>280</v>
      </c>
      <c r="H7" s="30">
        <v>370</v>
      </c>
      <c r="I7" s="30"/>
      <c r="J7" s="30"/>
      <c r="K7" s="30"/>
      <c r="L7" s="30"/>
      <c r="M7" s="29">
        <v>-50</v>
      </c>
      <c r="N7" s="30"/>
      <c r="O7" s="30">
        <v>-50</v>
      </c>
      <c r="P7" s="30"/>
      <c r="Q7" s="30">
        <v>-100</v>
      </c>
      <c r="R7" s="30"/>
      <c r="S7" s="30"/>
      <c r="T7" s="30"/>
      <c r="U7" s="28"/>
      <c r="V7" s="30">
        <v>250</v>
      </c>
      <c r="W7" s="30">
        <v>-50</v>
      </c>
      <c r="X7" s="30"/>
      <c r="Y7" s="30"/>
      <c r="Z7" s="30"/>
      <c r="AA7" s="30">
        <v>-60</v>
      </c>
      <c r="AB7" s="30"/>
      <c r="AC7" s="30"/>
      <c r="AD7" s="30"/>
      <c r="AE7" s="30">
        <v>-50</v>
      </c>
      <c r="AF7" s="30"/>
      <c r="AG7" s="30"/>
      <c r="AH7" s="30"/>
      <c r="AI7" s="30"/>
      <c r="AJ7" s="30"/>
      <c r="AK7" s="28">
        <f>-80-80-50-10</f>
        <v>-220</v>
      </c>
      <c r="AL7" s="30"/>
      <c r="AM7" s="30">
        <f>-100-20</f>
        <v>-120</v>
      </c>
      <c r="AN7" s="30">
        <v>59</v>
      </c>
      <c r="AO7" s="30">
        <f>-229-30</f>
        <v>-259</v>
      </c>
      <c r="AP7" s="30">
        <v>100</v>
      </c>
      <c r="AQ7" s="30">
        <v>-30</v>
      </c>
      <c r="AR7" s="30"/>
      <c r="AS7" s="30">
        <f>-20-50</f>
        <v>-70</v>
      </c>
      <c r="AT7" s="30">
        <v>120</v>
      </c>
      <c r="AU7" s="30">
        <v>-20</v>
      </c>
      <c r="AV7" s="30"/>
      <c r="AW7" s="28">
        <v>-100</v>
      </c>
      <c r="AX7" s="30"/>
      <c r="AY7" s="30"/>
      <c r="AZ7" s="30">
        <f>170+196</f>
        <v>366</v>
      </c>
      <c r="BA7" s="30">
        <f>-50-120</f>
        <v>-170</v>
      </c>
      <c r="BB7" s="30"/>
      <c r="BC7" s="28"/>
      <c r="BD7" s="30"/>
      <c r="BE7" s="30">
        <v>-15</v>
      </c>
      <c r="BF7" s="30">
        <v>2</v>
      </c>
      <c r="BG7" s="28">
        <v>-183</v>
      </c>
      <c r="BH7" s="30"/>
      <c r="BI7" s="30"/>
      <c r="BJ7" s="30">
        <v>10</v>
      </c>
      <c r="BK7" s="30">
        <f>-15-5</f>
        <v>-20</v>
      </c>
      <c r="BL7" s="30"/>
      <c r="BM7" s="29">
        <v>-20</v>
      </c>
      <c r="BN7" s="30">
        <f>130+300</f>
        <v>430</v>
      </c>
      <c r="BO7" s="30"/>
      <c r="BP7" s="30"/>
      <c r="BQ7" s="28">
        <v>-300</v>
      </c>
      <c r="BR7" s="30">
        <v>595</v>
      </c>
      <c r="BS7" s="30"/>
      <c r="BT7" s="30"/>
      <c r="BU7" s="30"/>
      <c r="BV7" s="30"/>
      <c r="BW7" s="28"/>
      <c r="BX7" s="30"/>
      <c r="BY7" s="30">
        <v>-100</v>
      </c>
      <c r="BZ7" s="30"/>
      <c r="CA7" s="28">
        <v>-200</v>
      </c>
      <c r="CB7" s="30"/>
      <c r="CC7" s="30">
        <v>-30</v>
      </c>
      <c r="CD7" s="30"/>
      <c r="CE7" s="30"/>
      <c r="CF7" s="30"/>
      <c r="CG7" s="30"/>
      <c r="CH7" s="30"/>
      <c r="CI7" s="28"/>
      <c r="CJ7" s="30"/>
      <c r="CK7" s="30">
        <v>-100</v>
      </c>
      <c r="CL7" s="30"/>
      <c r="CM7" s="30">
        <f>-10-5</f>
        <v>-15</v>
      </c>
      <c r="CN7" s="30">
        <v>131</v>
      </c>
      <c r="CO7" s="28"/>
      <c r="CP7" s="30"/>
      <c r="CQ7" s="28"/>
      <c r="CR7" s="30"/>
      <c r="CS7" s="28"/>
    </row>
    <row r="8" spans="1:150" x14ac:dyDescent="0.25">
      <c r="A8" s="2" t="s">
        <v>219</v>
      </c>
      <c r="B8" s="3" t="s">
        <v>115</v>
      </c>
      <c r="C8" s="3" t="s">
        <v>205</v>
      </c>
      <c r="D8" s="6">
        <f>SUM(G8:CS8)</f>
        <v>12</v>
      </c>
      <c r="E8" s="4">
        <v>100</v>
      </c>
      <c r="F8" s="4">
        <f>D8-E8</f>
        <v>-88</v>
      </c>
      <c r="G8" s="92">
        <v>291</v>
      </c>
      <c r="H8" s="30">
        <v>6</v>
      </c>
      <c r="I8" s="28"/>
      <c r="J8" s="30"/>
      <c r="K8" s="30"/>
      <c r="L8" s="30"/>
      <c r="M8" s="28"/>
      <c r="N8" s="30"/>
      <c r="O8" s="30"/>
      <c r="P8" s="30"/>
      <c r="Q8" s="30"/>
      <c r="R8" s="30"/>
      <c r="S8" s="30"/>
      <c r="T8" s="30"/>
      <c r="U8" s="30"/>
      <c r="V8" s="30"/>
      <c r="W8" s="28"/>
      <c r="X8" s="30"/>
      <c r="Y8" s="30"/>
      <c r="Z8" s="30"/>
      <c r="AA8" s="30">
        <f>-20-50</f>
        <v>-70</v>
      </c>
      <c r="AB8" s="30"/>
      <c r="AC8" s="28">
        <v>-100</v>
      </c>
      <c r="AD8" s="30"/>
      <c r="AE8" s="30">
        <v>-10</v>
      </c>
      <c r="AF8" s="30"/>
      <c r="AG8" s="28"/>
      <c r="AH8" s="30"/>
      <c r="AI8" s="30"/>
      <c r="AJ8" s="30"/>
      <c r="AK8" s="28"/>
      <c r="AL8" s="30"/>
      <c r="AM8" s="30"/>
      <c r="AN8" s="30"/>
      <c r="AO8" s="30"/>
      <c r="AP8" s="30"/>
      <c r="AQ8" s="30"/>
      <c r="AR8" s="30"/>
      <c r="AS8" s="30">
        <v>-10</v>
      </c>
      <c r="AT8" s="30"/>
      <c r="AU8" s="30"/>
      <c r="AV8" s="30"/>
      <c r="AW8" s="28"/>
      <c r="AX8" s="30"/>
      <c r="AY8" s="30"/>
      <c r="AZ8" s="30"/>
      <c r="BA8" s="30"/>
      <c r="BB8" s="30"/>
      <c r="BC8" s="29"/>
      <c r="BD8" s="30"/>
      <c r="BE8" s="30"/>
      <c r="BF8" s="30"/>
      <c r="BG8" s="30"/>
      <c r="BH8" s="30"/>
      <c r="BI8" s="401"/>
      <c r="BJ8" s="30"/>
      <c r="BK8" s="30">
        <v>-10</v>
      </c>
      <c r="BL8" s="30"/>
      <c r="BM8" s="29">
        <f>-30-10</f>
        <v>-40</v>
      </c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28"/>
      <c r="CB8" s="30"/>
      <c r="CC8" s="30">
        <v>-15</v>
      </c>
      <c r="CD8" s="30"/>
      <c r="CE8" s="694"/>
      <c r="CF8" s="30"/>
      <c r="CG8" s="694"/>
      <c r="CH8" s="30"/>
      <c r="CI8" s="28"/>
      <c r="CJ8" s="30"/>
      <c r="CK8" s="30">
        <v>-30</v>
      </c>
      <c r="CL8" s="30"/>
      <c r="CM8" s="30"/>
      <c r="CN8" s="30"/>
      <c r="CO8" s="30"/>
      <c r="CP8" s="30"/>
      <c r="CQ8" s="30"/>
      <c r="CR8" s="30"/>
      <c r="CS8" s="30"/>
    </row>
    <row r="9" spans="1:150" x14ac:dyDescent="0.25">
      <c r="A9" s="2" t="s">
        <v>220</v>
      </c>
      <c r="B9" s="3" t="s">
        <v>109</v>
      </c>
      <c r="C9" s="3" t="s">
        <v>198</v>
      </c>
      <c r="D9" s="6">
        <f>SUM(G9:CS9)</f>
        <v>51</v>
      </c>
      <c r="E9" s="4">
        <v>20</v>
      </c>
      <c r="F9" s="4">
        <f>D9-E9</f>
        <v>31</v>
      </c>
      <c r="G9" s="92">
        <v>33</v>
      </c>
      <c r="H9" s="30"/>
      <c r="I9" s="30"/>
      <c r="J9" s="30"/>
      <c r="K9" s="30"/>
      <c r="L9" s="30"/>
      <c r="M9" s="28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28"/>
      <c r="AD9" s="30"/>
      <c r="AE9" s="30">
        <v>-10</v>
      </c>
      <c r="AF9" s="30"/>
      <c r="AG9" s="30"/>
      <c r="AH9" s="30"/>
      <c r="AI9" s="30"/>
      <c r="AJ9" s="30"/>
      <c r="AK9" s="30">
        <v>-2</v>
      </c>
      <c r="AL9" s="30"/>
      <c r="AM9" s="682">
        <v>-2</v>
      </c>
      <c r="AN9" s="30"/>
      <c r="AO9" s="30">
        <v>-5</v>
      </c>
      <c r="AP9" s="30"/>
      <c r="AQ9" s="30"/>
      <c r="AR9" s="30"/>
      <c r="AS9" s="28"/>
      <c r="AT9" s="30"/>
      <c r="AU9" s="30"/>
      <c r="AV9" s="30"/>
      <c r="AW9" s="28"/>
      <c r="AX9" s="30"/>
      <c r="AY9" s="30"/>
      <c r="AZ9" s="30"/>
      <c r="BA9" s="30"/>
      <c r="BB9" s="30"/>
      <c r="BC9" s="29"/>
      <c r="BD9" s="30">
        <v>67</v>
      </c>
      <c r="BE9" s="30"/>
      <c r="BF9" s="30"/>
      <c r="BG9" s="28">
        <v>-20</v>
      </c>
      <c r="BH9" s="30"/>
      <c r="BI9" s="30"/>
      <c r="BJ9" s="30"/>
      <c r="BK9" s="30">
        <v>-10</v>
      </c>
      <c r="BL9" s="30"/>
      <c r="BM9" s="29"/>
      <c r="BN9" s="30"/>
      <c r="BO9" s="30"/>
      <c r="BP9" s="30"/>
      <c r="BQ9" s="28"/>
      <c r="BR9" s="30"/>
      <c r="BS9" s="30"/>
      <c r="BT9" s="30"/>
      <c r="BU9" s="30"/>
      <c r="BV9" s="30"/>
      <c r="BW9" s="30"/>
      <c r="BX9" s="30"/>
      <c r="BY9" s="30"/>
      <c r="BZ9" s="30"/>
      <c r="CA9" s="28"/>
      <c r="CB9" s="30"/>
      <c r="CC9" s="30"/>
      <c r="CD9" s="30"/>
      <c r="CE9" s="694"/>
      <c r="CF9" s="30"/>
      <c r="CG9" s="694"/>
      <c r="CH9" s="30"/>
      <c r="CI9" s="28"/>
      <c r="CJ9" s="30"/>
      <c r="CK9" s="30"/>
      <c r="CL9" s="30"/>
      <c r="CM9" s="30"/>
      <c r="CN9" s="30"/>
      <c r="CO9" s="30"/>
      <c r="CP9" s="30"/>
      <c r="CQ9" s="30"/>
      <c r="CR9" s="30"/>
      <c r="CS9" s="30"/>
    </row>
    <row r="10" spans="1:150" s="34" customFormat="1" x14ac:dyDescent="0.25">
      <c r="A10" s="402" t="s">
        <v>222</v>
      </c>
      <c r="B10" s="23" t="s">
        <v>178</v>
      </c>
      <c r="C10" s="23" t="s">
        <v>188</v>
      </c>
      <c r="D10" s="36">
        <f>SUM(G10:CS10)</f>
        <v>80</v>
      </c>
      <c r="E10" s="4">
        <v>20</v>
      </c>
      <c r="F10" s="37">
        <f>D10-E10</f>
        <v>60</v>
      </c>
      <c r="G10" s="92">
        <v>0</v>
      </c>
      <c r="H10" s="53">
        <f>70+190</f>
        <v>260</v>
      </c>
      <c r="I10" s="53"/>
      <c r="J10" s="53">
        <v>100</v>
      </c>
      <c r="K10" s="53">
        <f>-4-30-10</f>
        <v>-44</v>
      </c>
      <c r="L10" s="53">
        <v>50</v>
      </c>
      <c r="M10" s="227">
        <f>-25-3</f>
        <v>-28</v>
      </c>
      <c r="N10" s="53">
        <v>70</v>
      </c>
      <c r="O10" s="53">
        <f>-6-60-50</f>
        <v>-116</v>
      </c>
      <c r="P10" s="53"/>
      <c r="Q10" s="53">
        <f>-150-6</f>
        <v>-156</v>
      </c>
      <c r="R10" s="53">
        <v>170</v>
      </c>
      <c r="S10" s="53">
        <f>-10-4</f>
        <v>-14</v>
      </c>
      <c r="T10" s="53">
        <v>110</v>
      </c>
      <c r="U10" s="53">
        <f>-100-10-4-3</f>
        <v>-117</v>
      </c>
      <c r="V10" s="53">
        <v>130</v>
      </c>
      <c r="W10" s="53">
        <f>-20-12</f>
        <v>-32</v>
      </c>
      <c r="X10" s="53"/>
      <c r="Y10" s="53">
        <v>-7</v>
      </c>
      <c r="Z10" s="53">
        <v>150</v>
      </c>
      <c r="AA10" s="53">
        <f>-16-20-70-20-8-100-20-7</f>
        <v>-261</v>
      </c>
      <c r="AB10" s="53">
        <v>170</v>
      </c>
      <c r="AC10" s="224">
        <v>-200</v>
      </c>
      <c r="AD10" s="53"/>
      <c r="AE10" s="53">
        <f>-50-20-3-60-20</f>
        <v>-153</v>
      </c>
      <c r="AF10" s="53">
        <v>160</v>
      </c>
      <c r="AG10" s="53"/>
      <c r="AH10" s="53">
        <v>250</v>
      </c>
      <c r="AI10" s="53"/>
      <c r="AJ10" s="71"/>
      <c r="AK10" s="661">
        <f>-100-1-10-4-15-200</f>
        <v>-330</v>
      </c>
      <c r="AL10" s="53"/>
      <c r="AM10" s="71">
        <f>-50-50-5-3-15-30-7</f>
        <v>-160</v>
      </c>
      <c r="AN10" s="53">
        <v>140</v>
      </c>
      <c r="AO10" s="53">
        <f>-50-4-15</f>
        <v>-69</v>
      </c>
      <c r="AP10" s="53">
        <v>250</v>
      </c>
      <c r="AQ10" s="53">
        <f>-20-15-30-60-10-11</f>
        <v>-146</v>
      </c>
      <c r="AR10" s="53"/>
      <c r="AS10" s="53">
        <f>-2-60-12-10</f>
        <v>-84</v>
      </c>
      <c r="AT10" s="53">
        <v>120</v>
      </c>
      <c r="AU10" s="53"/>
      <c r="AV10" s="53">
        <v>140</v>
      </c>
      <c r="AW10" s="224">
        <f>-200-7-10-40</f>
        <v>-257</v>
      </c>
      <c r="AX10" s="53"/>
      <c r="AY10" s="53"/>
      <c r="AZ10" s="53"/>
      <c r="BA10" s="53">
        <f>-10-50-10</f>
        <v>-70</v>
      </c>
      <c r="BB10" s="53">
        <v>130</v>
      </c>
      <c r="BC10" s="227">
        <f>-10-16-5</f>
        <v>-31</v>
      </c>
      <c r="BD10" s="53">
        <v>50</v>
      </c>
      <c r="BE10" s="53"/>
      <c r="BF10" s="53">
        <v>180</v>
      </c>
      <c r="BG10" s="224">
        <f>-6-20-176</f>
        <v>-202</v>
      </c>
      <c r="BH10" s="53"/>
      <c r="BI10" s="53"/>
      <c r="BJ10" s="53"/>
      <c r="BK10" s="53">
        <f>-4-10-10-15-15-6-20</f>
        <v>-80</v>
      </c>
      <c r="BL10" s="53">
        <v>303</v>
      </c>
      <c r="BM10" s="227">
        <f>-20-40-30-10-50-12-50-5-10-10-40-10</f>
        <v>-287</v>
      </c>
      <c r="BN10" s="53">
        <v>270</v>
      </c>
      <c r="BO10" s="53">
        <v>-40</v>
      </c>
      <c r="BP10" s="53">
        <v>255</v>
      </c>
      <c r="BQ10" s="224">
        <f>-250-50-150-20-10-9-5</f>
        <v>-494</v>
      </c>
      <c r="BR10" s="53"/>
      <c r="BS10" s="53"/>
      <c r="BT10" s="53">
        <f>11*10</f>
        <v>110</v>
      </c>
      <c r="BU10" s="53">
        <f>-5-12-10-100-45</f>
        <v>-172</v>
      </c>
      <c r="BV10" s="53">
        <v>180</v>
      </c>
      <c r="BW10" s="53"/>
      <c r="BX10" s="53">
        <v>313</v>
      </c>
      <c r="BY10" s="53">
        <f>-70-75-10</f>
        <v>-155</v>
      </c>
      <c r="BZ10" s="53">
        <v>320</v>
      </c>
      <c r="CA10" s="693">
        <v>-400</v>
      </c>
      <c r="CB10" s="53">
        <v>160</v>
      </c>
      <c r="CC10" s="53">
        <f>-4-20-10-5-20-11</f>
        <v>-70</v>
      </c>
      <c r="CD10" s="53"/>
      <c r="CE10" s="695"/>
      <c r="CF10" s="53"/>
      <c r="CG10" s="224">
        <v>-23</v>
      </c>
      <c r="CH10" s="53"/>
      <c r="CI10" s="30">
        <f>-60-40</f>
        <v>-100</v>
      </c>
      <c r="CJ10" s="53"/>
      <c r="CK10" s="53">
        <f>-30-10</f>
        <v>-40</v>
      </c>
      <c r="CL10" s="53">
        <v>180</v>
      </c>
      <c r="CM10" s="224">
        <f>-150-50-30</f>
        <v>-230</v>
      </c>
      <c r="CN10" s="53"/>
      <c r="CO10" s="53">
        <v>-50</v>
      </c>
      <c r="CP10" s="53"/>
      <c r="CQ10" s="53">
        <v>-17</v>
      </c>
      <c r="CR10" s="53"/>
      <c r="CS10" s="53">
        <v>-6</v>
      </c>
      <c r="CT10" s="51"/>
    </row>
    <row r="11" spans="1:150" s="34" customFormat="1" x14ac:dyDescent="0.25">
      <c r="A11" s="47" t="s">
        <v>655</v>
      </c>
      <c r="B11" s="23" t="s">
        <v>654</v>
      </c>
      <c r="C11" s="23" t="s">
        <v>652</v>
      </c>
      <c r="D11" s="36">
        <f>SUM(G11:CS11)</f>
        <v>0</v>
      </c>
      <c r="E11" s="4">
        <v>20</v>
      </c>
      <c r="F11" s="37">
        <f>D11-E11</f>
        <v>-20</v>
      </c>
      <c r="G11" s="92">
        <v>7</v>
      </c>
      <c r="H11" s="53"/>
      <c r="I11" s="53"/>
      <c r="J11" s="53"/>
      <c r="K11" s="53"/>
      <c r="L11" s="53"/>
      <c r="M11" s="224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637">
        <v>-1</v>
      </c>
      <c r="AB11" s="53"/>
      <c r="AC11" s="53"/>
      <c r="AD11" s="53"/>
      <c r="AE11" s="53"/>
      <c r="AF11" s="53"/>
      <c r="AG11" s="53"/>
      <c r="AH11" s="53"/>
      <c r="AI11" s="53"/>
      <c r="AJ11" s="53"/>
      <c r="AK11" s="224"/>
      <c r="AL11" s="53"/>
      <c r="AM11" s="53"/>
      <c r="AN11" s="53"/>
      <c r="AO11" s="53">
        <v>-6</v>
      </c>
      <c r="AP11" s="53"/>
      <c r="AQ11" s="53"/>
      <c r="AR11" s="53"/>
      <c r="AS11" s="53"/>
      <c r="AT11" s="53">
        <v>40</v>
      </c>
      <c r="AU11" s="53"/>
      <c r="AV11" s="53"/>
      <c r="AW11" s="224">
        <f>-40</f>
        <v>-40</v>
      </c>
      <c r="AX11" s="53"/>
      <c r="AY11" s="53"/>
      <c r="AZ11" s="53"/>
      <c r="BA11" s="53"/>
      <c r="BB11" s="53"/>
      <c r="BC11" s="227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224"/>
      <c r="BR11" s="53"/>
      <c r="BS11" s="53"/>
      <c r="BT11" s="53"/>
      <c r="BU11" s="53"/>
      <c r="BV11" s="53"/>
      <c r="BW11" s="53"/>
      <c r="BX11" s="53"/>
      <c r="BY11" s="53"/>
      <c r="BZ11" s="53"/>
      <c r="CA11" s="693"/>
      <c r="CB11" s="53"/>
      <c r="CC11" s="53"/>
      <c r="CD11" s="53"/>
      <c r="CE11" s="695"/>
      <c r="CF11" s="53"/>
      <c r="CG11" s="695"/>
      <c r="CH11" s="53"/>
      <c r="CI11" s="224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1"/>
    </row>
    <row r="12" spans="1:150" s="81" customFormat="1" ht="15.75" x14ac:dyDescent="0.25">
      <c r="A12" s="73">
        <v>2</v>
      </c>
      <c r="B12" s="82" t="s">
        <v>217</v>
      </c>
      <c r="C12" s="74"/>
      <c r="D12" s="75"/>
      <c r="E12" s="76"/>
      <c r="F12" s="76"/>
      <c r="G12" s="77"/>
      <c r="H12" s="78"/>
      <c r="I12" s="78"/>
      <c r="J12" s="78"/>
      <c r="K12" s="78"/>
      <c r="L12" s="78"/>
      <c r="M12" s="79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9"/>
      <c r="AD12" s="78"/>
      <c r="AE12" s="78"/>
      <c r="AF12" s="78"/>
      <c r="AG12" s="78"/>
      <c r="AH12" s="78"/>
      <c r="AI12" s="78"/>
      <c r="AJ12" s="78"/>
      <c r="AK12" s="79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9"/>
      <c r="AX12" s="78"/>
      <c r="AY12" s="78"/>
      <c r="AZ12" s="78"/>
      <c r="BA12" s="78"/>
      <c r="BB12" s="78"/>
      <c r="BC12" s="80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9"/>
      <c r="CB12" s="78"/>
      <c r="CC12" s="78"/>
      <c r="CD12" s="78"/>
      <c r="CE12" s="696"/>
      <c r="CF12" s="78"/>
      <c r="CG12" s="696"/>
      <c r="CH12" s="78"/>
      <c r="CI12" s="79"/>
      <c r="CJ12" s="78"/>
      <c r="CK12" s="78"/>
      <c r="CL12" s="78"/>
      <c r="CM12" s="78"/>
      <c r="CN12" s="78"/>
      <c r="CO12" s="78"/>
      <c r="CP12" s="78"/>
      <c r="CQ12" s="78"/>
      <c r="CR12" s="78"/>
      <c r="CS12" s="78"/>
    </row>
    <row r="13" spans="1:150" x14ac:dyDescent="0.25">
      <c r="A13" s="2" t="s">
        <v>224</v>
      </c>
      <c r="B13" s="3" t="s">
        <v>110</v>
      </c>
      <c r="C13" s="3" t="s">
        <v>199</v>
      </c>
      <c r="D13" s="6">
        <f t="shared" ref="D13:D21" si="0">SUM(G13:CS13)</f>
        <v>9</v>
      </c>
      <c r="E13" s="4">
        <v>20</v>
      </c>
      <c r="F13" s="4">
        <f t="shared" ref="F13:F19" si="1">D13-E13</f>
        <v>-11</v>
      </c>
      <c r="G13" s="92">
        <v>7</v>
      </c>
      <c r="H13" s="30"/>
      <c r="I13" s="30"/>
      <c r="J13" s="30"/>
      <c r="K13" s="30"/>
      <c r="L13" s="30"/>
      <c r="M13" s="30">
        <v>-5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28"/>
      <c r="AD13" s="30"/>
      <c r="AE13" s="30"/>
      <c r="AF13" s="30"/>
      <c r="AG13" s="30"/>
      <c r="AH13" s="30"/>
      <c r="AI13" s="30"/>
      <c r="AJ13" s="30"/>
      <c r="AK13" s="28"/>
      <c r="AL13" s="30"/>
      <c r="AM13" s="30"/>
      <c r="AN13" s="30"/>
      <c r="AO13" s="30"/>
      <c r="AP13" s="30"/>
      <c r="AQ13" s="30"/>
      <c r="AR13" s="30">
        <v>8</v>
      </c>
      <c r="AS13" s="30">
        <v>-10</v>
      </c>
      <c r="AT13" s="30"/>
      <c r="AU13" s="30"/>
      <c r="AV13" s="30"/>
      <c r="AW13" s="28"/>
      <c r="AX13" s="30"/>
      <c r="AY13" s="30"/>
      <c r="AZ13" s="30"/>
      <c r="BA13" s="30"/>
      <c r="BB13" s="30"/>
      <c r="BC13" s="29"/>
      <c r="BD13" s="30">
        <v>6</v>
      </c>
      <c r="BE13" s="30"/>
      <c r="BF13" s="30"/>
      <c r="BG13" s="30"/>
      <c r="BH13" s="30"/>
      <c r="BI13" s="30"/>
      <c r="BJ13" s="30"/>
      <c r="BK13" s="30"/>
      <c r="BL13" s="30"/>
      <c r="BM13" s="29">
        <v>-2</v>
      </c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28"/>
      <c r="CB13" s="30"/>
      <c r="CC13" s="30"/>
      <c r="CD13" s="30"/>
      <c r="CE13" s="694"/>
      <c r="CF13" s="30"/>
      <c r="CG13" s="694"/>
      <c r="CH13" s="30"/>
      <c r="CI13" s="28"/>
      <c r="CJ13" s="30">
        <v>5</v>
      </c>
      <c r="CK13" s="30"/>
      <c r="CL13" s="30"/>
      <c r="CM13" s="30"/>
      <c r="CN13" s="30">
        <v>5</v>
      </c>
      <c r="CO13" s="30"/>
      <c r="CP13" s="30"/>
      <c r="CQ13" s="30"/>
      <c r="CR13" s="30"/>
      <c r="CS13" s="30">
        <v>-5</v>
      </c>
    </row>
    <row r="14" spans="1:150" x14ac:dyDescent="0.25">
      <c r="A14" s="2" t="s">
        <v>225</v>
      </c>
      <c r="B14" s="27" t="s">
        <v>117</v>
      </c>
      <c r="C14" s="3" t="s">
        <v>206</v>
      </c>
      <c r="D14" s="6">
        <f t="shared" si="0"/>
        <v>51</v>
      </c>
      <c r="E14" s="4">
        <v>40</v>
      </c>
      <c r="F14" s="4">
        <f t="shared" si="1"/>
        <v>11</v>
      </c>
      <c r="G14" s="92">
        <v>29</v>
      </c>
      <c r="H14" s="30"/>
      <c r="I14" s="30"/>
      <c r="J14" s="30"/>
      <c r="K14" s="30">
        <f>-6</f>
        <v>-6</v>
      </c>
      <c r="L14" s="30"/>
      <c r="M14" s="28"/>
      <c r="N14" s="30"/>
      <c r="O14" s="30">
        <v>-1</v>
      </c>
      <c r="P14" s="30"/>
      <c r="Q14" s="30">
        <v>-1</v>
      </c>
      <c r="R14" s="30"/>
      <c r="S14" s="30">
        <v>-10</v>
      </c>
      <c r="T14" s="30"/>
      <c r="U14" s="30">
        <v>-6</v>
      </c>
      <c r="V14" s="30"/>
      <c r="W14" s="28"/>
      <c r="X14" s="30"/>
      <c r="Y14" s="30"/>
      <c r="Z14" s="30"/>
      <c r="AA14" s="28"/>
      <c r="AB14" s="30"/>
      <c r="AC14" s="29"/>
      <c r="AD14" s="30"/>
      <c r="AE14" s="30"/>
      <c r="AF14" s="30"/>
      <c r="AG14" s="30"/>
      <c r="AH14" s="30">
        <v>25</v>
      </c>
      <c r="AI14" s="30"/>
      <c r="AJ14" s="30"/>
      <c r="AK14" s="28">
        <v>-30</v>
      </c>
      <c r="AL14" s="30">
        <v>45</v>
      </c>
      <c r="AM14" s="682">
        <f>-30-10</f>
        <v>-40</v>
      </c>
      <c r="AN14" s="30"/>
      <c r="AO14" s="30"/>
      <c r="AP14" s="30"/>
      <c r="AQ14" s="28"/>
      <c r="AR14" s="30">
        <v>25</v>
      </c>
      <c r="AS14" s="30"/>
      <c r="AT14" s="30"/>
      <c r="AU14" s="29"/>
      <c r="AV14" s="30"/>
      <c r="AW14" s="28">
        <v>-30</v>
      </c>
      <c r="AX14" s="30"/>
      <c r="AY14" s="30"/>
      <c r="AZ14" s="30">
        <v>70</v>
      </c>
      <c r="BA14" s="30"/>
      <c r="BB14" s="30"/>
      <c r="BC14" s="29">
        <f>-12-5</f>
        <v>-17</v>
      </c>
      <c r="BD14" s="30"/>
      <c r="BE14" s="30"/>
      <c r="BF14" s="30"/>
      <c r="BG14" s="28">
        <f>-40-6</f>
        <v>-46</v>
      </c>
      <c r="BH14" s="30"/>
      <c r="BI14" s="30"/>
      <c r="BJ14" s="30"/>
      <c r="BK14" s="30">
        <v>-1</v>
      </c>
      <c r="BL14" s="30"/>
      <c r="BM14" s="29">
        <f>-1-4</f>
        <v>-5</v>
      </c>
      <c r="BN14" s="30">
        <v>30</v>
      </c>
      <c r="BO14" s="30"/>
      <c r="BP14" s="30"/>
      <c r="BQ14" s="662">
        <v>-31</v>
      </c>
      <c r="BR14" s="30">
        <v>60</v>
      </c>
      <c r="BS14" s="30"/>
      <c r="BT14" s="30"/>
      <c r="BU14" s="30">
        <f>-6-5</f>
        <v>-11</v>
      </c>
      <c r="BV14" s="30"/>
      <c r="BW14" s="28"/>
      <c r="BX14" s="30"/>
      <c r="BY14" s="30"/>
      <c r="BZ14" s="30"/>
      <c r="CA14" s="28">
        <v>-41</v>
      </c>
      <c r="CB14" s="30"/>
      <c r="CC14" s="30">
        <f>-5-3-1</f>
        <v>-9</v>
      </c>
      <c r="CD14" s="30"/>
      <c r="CE14" s="694"/>
      <c r="CF14" s="30"/>
      <c r="CG14" s="694"/>
      <c r="CH14" s="30"/>
      <c r="CI14" s="28"/>
      <c r="CJ14" s="30">
        <v>65</v>
      </c>
      <c r="CK14" s="30"/>
      <c r="CL14" s="30"/>
      <c r="CM14" s="28">
        <v>-40</v>
      </c>
      <c r="CN14" s="30">
        <v>25</v>
      </c>
      <c r="CO14" s="30">
        <v>-10</v>
      </c>
      <c r="CP14" s="30">
        <v>12</v>
      </c>
      <c r="CQ14" s="30"/>
      <c r="CR14" s="30"/>
      <c r="CS14" s="30" t="s">
        <v>845</v>
      </c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</row>
    <row r="15" spans="1:150" x14ac:dyDescent="0.25">
      <c r="A15" s="2" t="s">
        <v>226</v>
      </c>
      <c r="B15" s="3" t="s">
        <v>176</v>
      </c>
      <c r="C15" s="3" t="s">
        <v>186</v>
      </c>
      <c r="D15" s="6">
        <f t="shared" si="0"/>
        <v>52</v>
      </c>
      <c r="E15" s="4">
        <v>40</v>
      </c>
      <c r="F15" s="4">
        <f t="shared" si="1"/>
        <v>12</v>
      </c>
      <c r="G15" s="92">
        <v>28</v>
      </c>
      <c r="H15" s="30"/>
      <c r="I15" s="30"/>
      <c r="J15" s="30"/>
      <c r="K15" s="30">
        <f>-2</f>
        <v>-2</v>
      </c>
      <c r="L15" s="30"/>
      <c r="M15" s="30">
        <v>-2</v>
      </c>
      <c r="N15" s="30"/>
      <c r="O15" s="30">
        <v>-1</v>
      </c>
      <c r="P15" s="30"/>
      <c r="Q15" s="30">
        <f>-1-5</f>
        <v>-6</v>
      </c>
      <c r="R15" s="30"/>
      <c r="S15" s="30">
        <v>-11</v>
      </c>
      <c r="T15" s="30"/>
      <c r="U15" s="225"/>
      <c r="V15" s="30"/>
      <c r="W15" s="28"/>
      <c r="X15" s="30"/>
      <c r="Y15" s="30"/>
      <c r="Z15" s="30"/>
      <c r="AA15" s="28"/>
      <c r="AB15" s="30"/>
      <c r="AC15" s="28">
        <v>-13</v>
      </c>
      <c r="AD15" s="30"/>
      <c r="AE15" s="30">
        <v>-4</v>
      </c>
      <c r="AF15" s="30"/>
      <c r="AG15" s="30"/>
      <c r="AH15" s="30">
        <f>7+4+9</f>
        <v>20</v>
      </c>
      <c r="AI15" s="30"/>
      <c r="AJ15" s="30"/>
      <c r="AK15" s="30">
        <v>-6</v>
      </c>
      <c r="AL15" s="30">
        <v>23</v>
      </c>
      <c r="AM15" s="682">
        <f>-2-20</f>
        <v>-22</v>
      </c>
      <c r="AN15" s="30"/>
      <c r="AO15" s="30"/>
      <c r="AP15" s="30"/>
      <c r="AQ15" s="30"/>
      <c r="AR15" s="30"/>
      <c r="AS15" s="30">
        <v>-4</v>
      </c>
      <c r="AT15" s="30"/>
      <c r="AU15" s="29"/>
      <c r="AV15" s="30"/>
      <c r="AW15" s="28"/>
      <c r="AX15" s="30"/>
      <c r="AY15" s="30"/>
      <c r="AZ15" s="30">
        <v>20</v>
      </c>
      <c r="BA15" s="30"/>
      <c r="BB15" s="30"/>
      <c r="BC15" s="29">
        <v>-5</v>
      </c>
      <c r="BD15" s="30"/>
      <c r="BE15" s="30"/>
      <c r="BF15" s="30"/>
      <c r="BG15" s="30">
        <v>-6</v>
      </c>
      <c r="BH15" s="30"/>
      <c r="BI15" s="30"/>
      <c r="BJ15" s="30"/>
      <c r="BK15" s="30"/>
      <c r="BL15" s="30"/>
      <c r="BM15" s="29"/>
      <c r="BN15" s="30">
        <v>26</v>
      </c>
      <c r="BO15" s="30"/>
      <c r="BP15" s="30"/>
      <c r="BQ15" s="28">
        <v>-35</v>
      </c>
      <c r="BR15" s="30">
        <v>53</v>
      </c>
      <c r="BS15" s="28"/>
      <c r="BT15" s="30"/>
      <c r="BU15" s="30">
        <f>-4-6-6</f>
        <v>-16</v>
      </c>
      <c r="BV15" s="30"/>
      <c r="BW15" s="28"/>
      <c r="BX15" s="30"/>
      <c r="BY15" s="30">
        <v>-6</v>
      </c>
      <c r="BZ15" s="30"/>
      <c r="CA15" s="28">
        <v>-30</v>
      </c>
      <c r="CB15" s="30"/>
      <c r="CC15" s="30">
        <f>-6-1</f>
        <v>-7</v>
      </c>
      <c r="CD15" s="30"/>
      <c r="CE15" s="694">
        <v>-1</v>
      </c>
      <c r="CF15" s="30"/>
      <c r="CG15" s="694"/>
      <c r="CH15" s="30"/>
      <c r="CI15" s="30">
        <v>-2</v>
      </c>
      <c r="CJ15" s="30">
        <v>60</v>
      </c>
      <c r="CK15" s="30">
        <f>-2-1</f>
        <v>-3</v>
      </c>
      <c r="CL15" s="30"/>
      <c r="CM15" s="28">
        <f>-30-2</f>
        <v>-32</v>
      </c>
      <c r="CN15" s="30">
        <v>42</v>
      </c>
      <c r="CO15" s="30">
        <v>-10</v>
      </c>
      <c r="CP15" s="30">
        <v>6</v>
      </c>
      <c r="CQ15" s="30"/>
      <c r="CR15" s="30"/>
      <c r="CS15" s="30">
        <v>-2</v>
      </c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</row>
    <row r="16" spans="1:150" ht="17.25" customHeight="1" x14ac:dyDescent="0.25">
      <c r="A16" s="2" t="s">
        <v>227</v>
      </c>
      <c r="B16" s="3" t="s">
        <v>181</v>
      </c>
      <c r="C16" s="3" t="s">
        <v>187</v>
      </c>
      <c r="D16" s="6">
        <f t="shared" si="0"/>
        <v>0</v>
      </c>
      <c r="E16" s="4">
        <v>30</v>
      </c>
      <c r="F16" s="4">
        <f t="shared" si="1"/>
        <v>-30</v>
      </c>
      <c r="G16" s="92">
        <v>17</v>
      </c>
      <c r="H16" s="30"/>
      <c r="I16" s="30"/>
      <c r="J16" s="30"/>
      <c r="K16" s="30">
        <v>-5</v>
      </c>
      <c r="L16" s="30"/>
      <c r="M16" s="30">
        <v>-2</v>
      </c>
      <c r="N16" s="30"/>
      <c r="O16" s="30"/>
      <c r="P16" s="30"/>
      <c r="Q16" s="30"/>
      <c r="R16" s="30"/>
      <c r="S16" s="30"/>
      <c r="T16" s="30"/>
      <c r="U16" s="30">
        <v>-5</v>
      </c>
      <c r="V16" s="30"/>
      <c r="W16" s="28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>
        <v>20</v>
      </c>
      <c r="AI16" s="30"/>
      <c r="AJ16" s="30"/>
      <c r="AK16" s="28">
        <v>-20</v>
      </c>
      <c r="AL16" s="30">
        <v>28</v>
      </c>
      <c r="AM16" s="682">
        <f>-3-20-10</f>
        <v>-33</v>
      </c>
      <c r="AN16" s="30"/>
      <c r="AO16" s="30"/>
      <c r="AP16" s="30"/>
      <c r="AQ16" s="28"/>
      <c r="AR16" s="30"/>
      <c r="AS16" s="30"/>
      <c r="AT16" s="30"/>
      <c r="AU16" s="30"/>
      <c r="AV16" s="30"/>
      <c r="AW16" s="28"/>
      <c r="AX16" s="30"/>
      <c r="AY16" s="30"/>
      <c r="AZ16" s="30">
        <v>14</v>
      </c>
      <c r="BA16" s="30"/>
      <c r="BB16" s="30">
        <v>14</v>
      </c>
      <c r="BC16" s="29">
        <f>-10-5</f>
        <v>-15</v>
      </c>
      <c r="BD16" s="30"/>
      <c r="BE16" s="30"/>
      <c r="BF16" s="30"/>
      <c r="BG16" s="30"/>
      <c r="BH16" s="30"/>
      <c r="BI16" s="30"/>
      <c r="BJ16" s="30">
        <v>38</v>
      </c>
      <c r="BK16" s="30"/>
      <c r="BL16" s="30"/>
      <c r="BM16" s="29"/>
      <c r="BN16" s="30"/>
      <c r="BO16" s="30"/>
      <c r="BP16" s="30"/>
      <c r="BQ16" s="28">
        <v>-12</v>
      </c>
      <c r="BR16" s="30"/>
      <c r="BS16" s="30"/>
      <c r="BT16" s="30"/>
      <c r="BU16" s="30"/>
      <c r="BV16" s="30"/>
      <c r="BW16" s="28"/>
      <c r="BX16" s="30"/>
      <c r="BY16" s="30"/>
      <c r="BZ16" s="30"/>
      <c r="CA16" s="28"/>
      <c r="CB16" s="30"/>
      <c r="CC16" s="30">
        <v>-39</v>
      </c>
      <c r="CD16" s="30"/>
      <c r="CE16" s="694"/>
      <c r="CF16" s="30"/>
      <c r="CG16" s="694"/>
      <c r="CH16" s="30"/>
      <c r="CI16" s="28"/>
      <c r="CJ16" s="30">
        <v>14</v>
      </c>
      <c r="CK16" s="30"/>
      <c r="CL16" s="30"/>
      <c r="CM16" s="28">
        <v>-10</v>
      </c>
      <c r="CN16" s="30">
        <v>7</v>
      </c>
      <c r="CO16" s="30">
        <v>-8</v>
      </c>
      <c r="CP16" s="30"/>
      <c r="CQ16" s="30"/>
      <c r="CR16" s="30"/>
      <c r="CS16" s="30">
        <v>-3</v>
      </c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</row>
    <row r="17" spans="1:150" x14ac:dyDescent="0.25">
      <c r="A17" s="2" t="s">
        <v>228</v>
      </c>
      <c r="B17" s="3" t="s">
        <v>118</v>
      </c>
      <c r="C17" s="3" t="s">
        <v>207</v>
      </c>
      <c r="D17" s="6">
        <f t="shared" si="0"/>
        <v>10</v>
      </c>
      <c r="E17" s="4">
        <v>20</v>
      </c>
      <c r="F17" s="4">
        <f t="shared" si="1"/>
        <v>-10</v>
      </c>
      <c r="G17" s="92">
        <v>5</v>
      </c>
      <c r="H17" s="30"/>
      <c r="I17" s="30"/>
      <c r="J17" s="30"/>
      <c r="K17" s="30"/>
      <c r="L17" s="30">
        <v>1</v>
      </c>
      <c r="M17" s="28"/>
      <c r="N17" s="30"/>
      <c r="O17" s="30"/>
      <c r="P17" s="30"/>
      <c r="Q17" s="30">
        <v>-1</v>
      </c>
      <c r="R17" s="30"/>
      <c r="S17" s="30">
        <v>-4</v>
      </c>
      <c r="T17" s="30"/>
      <c r="U17" s="30"/>
      <c r="V17" s="30"/>
      <c r="W17" s="28"/>
      <c r="X17" s="30"/>
      <c r="Y17" s="30"/>
      <c r="Z17" s="30"/>
      <c r="AA17" s="30"/>
      <c r="AB17" s="30"/>
      <c r="AC17" s="28">
        <v>-1</v>
      </c>
      <c r="AD17" s="30"/>
      <c r="AE17" s="30"/>
      <c r="AF17" s="30"/>
      <c r="AG17" s="30"/>
      <c r="AH17" s="30"/>
      <c r="AI17" s="30"/>
      <c r="AJ17" s="30"/>
      <c r="AK17" s="28"/>
      <c r="AL17" s="30"/>
      <c r="AM17" s="682"/>
      <c r="AN17" s="30"/>
      <c r="AO17" s="30"/>
      <c r="AP17" s="30"/>
      <c r="AQ17" s="30"/>
      <c r="AR17" s="30"/>
      <c r="AS17" s="30"/>
      <c r="AT17" s="30"/>
      <c r="AU17" s="29"/>
      <c r="AV17" s="30"/>
      <c r="AW17" s="28"/>
      <c r="AX17" s="30"/>
      <c r="AY17" s="30"/>
      <c r="AZ17" s="30">
        <v>22</v>
      </c>
      <c r="BA17" s="30"/>
      <c r="BB17" s="30"/>
      <c r="BC17" s="29"/>
      <c r="BD17" s="30"/>
      <c r="BE17" s="30"/>
      <c r="BF17" s="30"/>
      <c r="BG17" s="28">
        <v>-20</v>
      </c>
      <c r="BH17" s="30"/>
      <c r="BI17" s="30"/>
      <c r="BJ17" s="30"/>
      <c r="BK17" s="30"/>
      <c r="BL17" s="30"/>
      <c r="BM17" s="29"/>
      <c r="BN17" s="30">
        <v>5</v>
      </c>
      <c r="BO17" s="30"/>
      <c r="BP17" s="30"/>
      <c r="BQ17" s="30"/>
      <c r="BR17" s="30"/>
      <c r="BS17" s="30"/>
      <c r="BT17" s="30">
        <v>3</v>
      </c>
      <c r="BU17" s="30"/>
      <c r="BV17" s="30"/>
      <c r="BW17" s="30"/>
      <c r="BX17" s="30"/>
      <c r="BY17" s="30"/>
      <c r="BZ17" s="30"/>
      <c r="CA17" s="28"/>
      <c r="CB17" s="30"/>
      <c r="CC17" s="30"/>
      <c r="CD17" s="30"/>
      <c r="CE17" s="694"/>
      <c r="CF17" s="30"/>
      <c r="CG17" s="694"/>
      <c r="CH17" s="30"/>
      <c r="CI17" s="28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1"/>
    </row>
    <row r="18" spans="1:150" x14ac:dyDescent="0.25">
      <c r="A18" s="2" t="s">
        <v>229</v>
      </c>
      <c r="B18" s="23" t="s">
        <v>173</v>
      </c>
      <c r="C18" s="23" t="s">
        <v>212</v>
      </c>
      <c r="D18" s="6">
        <f t="shared" si="0"/>
        <v>12</v>
      </c>
      <c r="E18" s="4">
        <v>30</v>
      </c>
      <c r="F18" s="4">
        <f t="shared" si="1"/>
        <v>-18</v>
      </c>
      <c r="G18" s="92">
        <v>0</v>
      </c>
      <c r="H18" s="53"/>
      <c r="I18" s="53"/>
      <c r="J18" s="53"/>
      <c r="K18" s="53"/>
      <c r="L18" s="53">
        <v>40</v>
      </c>
      <c r="M18" s="53">
        <f>-20</f>
        <v>-20</v>
      </c>
      <c r="N18" s="53"/>
      <c r="O18" s="53"/>
      <c r="P18" s="53"/>
      <c r="Q18" s="53"/>
      <c r="R18" s="53"/>
      <c r="S18" s="53"/>
      <c r="T18" s="53"/>
      <c r="U18" s="53"/>
      <c r="V18" s="53"/>
      <c r="W18" s="224"/>
      <c r="X18" s="53"/>
      <c r="Y18" s="53"/>
      <c r="Z18" s="53"/>
      <c r="AA18" s="53"/>
      <c r="AB18" s="53"/>
      <c r="AC18" s="224">
        <v>-19</v>
      </c>
      <c r="AD18" s="53"/>
      <c r="AE18" s="53"/>
      <c r="AF18" s="53"/>
      <c r="AG18" s="53"/>
      <c r="AH18" s="53"/>
      <c r="AI18" s="53"/>
      <c r="AJ18" s="53"/>
      <c r="AK18" s="224"/>
      <c r="AL18" s="53">
        <v>7</v>
      </c>
      <c r="AM18" s="71">
        <v>-2</v>
      </c>
      <c r="AN18" s="53"/>
      <c r="AO18" s="53"/>
      <c r="AP18" s="53"/>
      <c r="AQ18" s="224"/>
      <c r="AR18" s="53"/>
      <c r="AS18" s="53"/>
      <c r="AT18" s="53"/>
      <c r="AU18" s="53"/>
      <c r="AV18" s="53"/>
      <c r="AW18" s="224"/>
      <c r="AX18" s="53"/>
      <c r="AY18" s="53"/>
      <c r="AZ18" s="53">
        <v>31</v>
      </c>
      <c r="BA18" s="53">
        <v>-30</v>
      </c>
      <c r="BB18" s="53"/>
      <c r="BC18" s="227"/>
      <c r="BD18" s="53"/>
      <c r="BE18" s="53"/>
      <c r="BF18" s="53"/>
      <c r="BG18" s="53"/>
      <c r="BH18" s="53">
        <v>7</v>
      </c>
      <c r="BI18" s="53"/>
      <c r="BJ18" s="53"/>
      <c r="BK18" s="53">
        <v>-2</v>
      </c>
      <c r="BL18" s="53"/>
      <c r="BM18" s="227">
        <v>-2</v>
      </c>
      <c r="BN18" s="53">
        <v>5</v>
      </c>
      <c r="BO18" s="53">
        <v>-15</v>
      </c>
      <c r="BP18" s="53"/>
      <c r="BQ18" s="224"/>
      <c r="BR18" s="53"/>
      <c r="BS18" s="53"/>
      <c r="BT18" s="53">
        <v>22</v>
      </c>
      <c r="BU18" s="53"/>
      <c r="BV18" s="53"/>
      <c r="BW18" s="224"/>
      <c r="BX18" s="53"/>
      <c r="BY18" s="53"/>
      <c r="BZ18" s="53"/>
      <c r="CA18" s="224">
        <v>-10</v>
      </c>
      <c r="CB18" s="53"/>
      <c r="CC18" s="53"/>
      <c r="CD18" s="53"/>
      <c r="CE18" s="695"/>
      <c r="CF18" s="53"/>
      <c r="CG18" s="695"/>
      <c r="CH18" s="53"/>
      <c r="CI18" s="224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1"/>
    </row>
    <row r="19" spans="1:150" x14ac:dyDescent="0.25">
      <c r="A19" s="2" t="s">
        <v>230</v>
      </c>
      <c r="B19" s="3" t="s">
        <v>114</v>
      </c>
      <c r="C19" s="3" t="s">
        <v>203</v>
      </c>
      <c r="D19" s="6">
        <f t="shared" si="0"/>
        <v>15</v>
      </c>
      <c r="E19" s="4">
        <v>30</v>
      </c>
      <c r="F19" s="4">
        <f t="shared" si="1"/>
        <v>-15</v>
      </c>
      <c r="G19" s="92">
        <v>40</v>
      </c>
      <c r="H19" s="30"/>
      <c r="I19" s="30"/>
      <c r="J19" s="30"/>
      <c r="K19" s="30">
        <v>-5</v>
      </c>
      <c r="L19" s="30"/>
      <c r="M19" s="28"/>
      <c r="N19" s="30">
        <v>10</v>
      </c>
      <c r="O19" s="30"/>
      <c r="P19" s="30"/>
      <c r="Q19" s="30"/>
      <c r="R19" s="30">
        <v>40</v>
      </c>
      <c r="S19" s="30">
        <v>-50</v>
      </c>
      <c r="T19" s="30"/>
      <c r="U19" s="30"/>
      <c r="V19" s="30"/>
      <c r="W19" s="28"/>
      <c r="X19" s="30"/>
      <c r="Y19" s="30"/>
      <c r="Z19" s="30"/>
      <c r="AA19" s="30"/>
      <c r="AB19" s="30"/>
      <c r="AC19" s="28"/>
      <c r="AD19" s="30"/>
      <c r="AE19" s="30"/>
      <c r="AF19" s="30"/>
      <c r="AG19" s="30"/>
      <c r="AH19" s="30"/>
      <c r="AI19" s="30"/>
      <c r="AJ19" s="30"/>
      <c r="AK19" s="28"/>
      <c r="AL19" s="30"/>
      <c r="AM19" s="682"/>
      <c r="AN19" s="30"/>
      <c r="AO19" s="30"/>
      <c r="AP19" s="30"/>
      <c r="AQ19" s="30"/>
      <c r="AR19" s="30"/>
      <c r="AS19" s="30"/>
      <c r="AT19" s="30"/>
      <c r="AU19" s="28"/>
      <c r="AV19" s="30"/>
      <c r="AW19" s="28"/>
      <c r="AX19" s="30"/>
      <c r="AY19" s="30"/>
      <c r="AZ19" s="30"/>
      <c r="BA19" s="30"/>
      <c r="BB19" s="30"/>
      <c r="BC19" s="29"/>
      <c r="BD19" s="30"/>
      <c r="BE19" s="30"/>
      <c r="BF19" s="30"/>
      <c r="BG19" s="30"/>
      <c r="BH19" s="30"/>
      <c r="BI19" s="30"/>
      <c r="BJ19" s="30"/>
      <c r="BK19" s="30">
        <v>-2</v>
      </c>
      <c r="BL19" s="30"/>
      <c r="BM19" s="29">
        <v>-4</v>
      </c>
      <c r="BN19" s="30"/>
      <c r="BO19" s="30"/>
      <c r="BP19" s="30"/>
      <c r="BQ19" s="30"/>
      <c r="BR19" s="30"/>
      <c r="BS19" s="30"/>
      <c r="BT19" s="30"/>
      <c r="BU19" s="30"/>
      <c r="BV19" s="30"/>
      <c r="BW19" s="30">
        <v>-12</v>
      </c>
      <c r="BX19" s="30"/>
      <c r="BY19" s="30"/>
      <c r="BZ19" s="30"/>
      <c r="CA19" s="28"/>
      <c r="CB19" s="30"/>
      <c r="CC19" s="30"/>
      <c r="CD19" s="30"/>
      <c r="CE19" s="694">
        <v>-2</v>
      </c>
      <c r="CF19" s="30"/>
      <c r="CG19" s="694"/>
      <c r="CH19" s="30"/>
      <c r="CI19" s="28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1"/>
    </row>
    <row r="20" spans="1:150" x14ac:dyDescent="0.25">
      <c r="A20" s="2" t="s">
        <v>231</v>
      </c>
      <c r="B20" s="27" t="s">
        <v>19</v>
      </c>
      <c r="C20" s="3" t="s">
        <v>197</v>
      </c>
      <c r="D20" s="6">
        <f t="shared" si="0"/>
        <v>0</v>
      </c>
      <c r="E20" s="4">
        <v>400</v>
      </c>
      <c r="F20" s="4">
        <f>D20-E20</f>
        <v>-400</v>
      </c>
      <c r="G20" s="92">
        <v>0</v>
      </c>
      <c r="H20" s="30"/>
      <c r="I20" s="30"/>
      <c r="J20" s="30"/>
      <c r="K20" s="30"/>
      <c r="L20" s="30"/>
      <c r="M20" s="28"/>
      <c r="N20" s="30"/>
      <c r="O20" s="30"/>
      <c r="P20" s="30"/>
      <c r="Q20" s="30"/>
      <c r="R20" s="30"/>
      <c r="S20" s="30"/>
      <c r="T20" s="30"/>
      <c r="U20" s="30"/>
      <c r="V20" s="30"/>
      <c r="W20" s="28"/>
      <c r="X20" s="30"/>
      <c r="Y20" s="30"/>
      <c r="Z20" s="30"/>
      <c r="AA20" s="30"/>
      <c r="AB20" s="30"/>
      <c r="AC20" s="28"/>
      <c r="AD20" s="30"/>
      <c r="AE20" s="30"/>
      <c r="AF20" s="30"/>
      <c r="AG20" s="53"/>
      <c r="AH20" s="30"/>
      <c r="AI20" s="30"/>
      <c r="AJ20" s="30"/>
      <c r="AK20" s="28"/>
      <c r="AL20" s="30"/>
      <c r="AM20" s="682"/>
      <c r="AN20" s="30"/>
      <c r="AO20" s="28"/>
      <c r="AP20" s="30"/>
      <c r="AQ20" s="30"/>
      <c r="AR20" s="30"/>
      <c r="AS20" s="30"/>
      <c r="AT20" s="30"/>
      <c r="AU20" s="28"/>
      <c r="AV20" s="30"/>
      <c r="AW20" s="28"/>
      <c r="AX20" s="30"/>
      <c r="AY20" s="30"/>
      <c r="AZ20" s="30"/>
      <c r="BA20" s="30"/>
      <c r="BB20" s="30"/>
      <c r="BC20" s="29"/>
      <c r="BD20" s="30"/>
      <c r="BE20" s="30"/>
      <c r="BF20" s="30"/>
      <c r="BG20" s="30"/>
      <c r="BH20" s="30"/>
      <c r="BI20" s="30"/>
      <c r="BJ20" s="30"/>
      <c r="BK20" s="30"/>
      <c r="BL20" s="30"/>
      <c r="BM20" s="29"/>
      <c r="BN20" s="30"/>
      <c r="BO20" s="30"/>
      <c r="BP20" s="30"/>
      <c r="BQ20" s="30"/>
      <c r="BR20" s="30"/>
      <c r="BS20" s="28"/>
      <c r="BT20" s="30"/>
      <c r="BU20" s="30"/>
      <c r="BV20" s="30"/>
      <c r="BW20" s="28"/>
      <c r="BX20" s="30"/>
      <c r="BY20" s="30"/>
      <c r="BZ20" s="30"/>
      <c r="CA20" s="28"/>
      <c r="CB20" s="30"/>
      <c r="CC20" s="30"/>
      <c r="CD20" s="30"/>
      <c r="CE20" s="694"/>
      <c r="CF20" s="30"/>
      <c r="CG20" s="694"/>
      <c r="CH20" s="30"/>
      <c r="CI20" s="28"/>
      <c r="CJ20" s="30"/>
      <c r="CK20" s="30"/>
      <c r="CL20" s="30"/>
      <c r="CM20" s="30"/>
      <c r="CN20" s="30"/>
      <c r="CO20" s="30"/>
      <c r="CP20" s="30"/>
      <c r="CQ20" s="30"/>
      <c r="CR20" s="30"/>
      <c r="CS20" s="30"/>
    </row>
    <row r="21" spans="1:150" x14ac:dyDescent="0.25">
      <c r="A21" s="25" t="s">
        <v>232</v>
      </c>
      <c r="B21" s="23" t="s">
        <v>172</v>
      </c>
      <c r="C21" s="23" t="s">
        <v>192</v>
      </c>
      <c r="D21" s="6">
        <f t="shared" si="0"/>
        <v>28</v>
      </c>
      <c r="E21" s="4">
        <v>50</v>
      </c>
      <c r="F21" s="4">
        <f>D21-E21</f>
        <v>-22</v>
      </c>
      <c r="G21" s="92">
        <v>0</v>
      </c>
      <c r="H21" s="53">
        <v>4</v>
      </c>
      <c r="I21" s="53"/>
      <c r="J21" s="53">
        <v>200</v>
      </c>
      <c r="K21" s="53"/>
      <c r="L21" s="53"/>
      <c r="M21" s="227">
        <v>-24</v>
      </c>
      <c r="N21" s="53"/>
      <c r="O21" s="53">
        <v>-10</v>
      </c>
      <c r="P21" s="53"/>
      <c r="Q21" s="53">
        <v>-30</v>
      </c>
      <c r="R21" s="30">
        <v>105</v>
      </c>
      <c r="S21" s="30">
        <f>-50-50-4</f>
        <v>-104</v>
      </c>
      <c r="T21" s="30"/>
      <c r="U21" s="29">
        <v>-6</v>
      </c>
      <c r="V21" s="53"/>
      <c r="W21" s="53">
        <v>-30</v>
      </c>
      <c r="X21" s="53"/>
      <c r="Y21" s="53"/>
      <c r="Z21" s="53">
        <v>46</v>
      </c>
      <c r="AA21" s="53">
        <f>-6-40</f>
        <v>-46</v>
      </c>
      <c r="AB21" s="53"/>
      <c r="AC21" s="224">
        <v>-100</v>
      </c>
      <c r="AD21" s="53"/>
      <c r="AE21" s="53"/>
      <c r="AF21" s="53"/>
      <c r="AG21" s="53"/>
      <c r="AH21" s="53">
        <f>20*2+66</f>
        <v>106</v>
      </c>
      <c r="AI21" s="53"/>
      <c r="AJ21" s="53">
        <v>89</v>
      </c>
      <c r="AK21" s="53">
        <f>-80-80</f>
        <v>-160</v>
      </c>
      <c r="AL21" s="53">
        <v>52</v>
      </c>
      <c r="AM21" s="71">
        <f>-20-20</f>
        <v>-40</v>
      </c>
      <c r="AN21" s="53">
        <v>53</v>
      </c>
      <c r="AO21" s="53">
        <v>-50</v>
      </c>
      <c r="AP21" s="405"/>
      <c r="AQ21" s="53">
        <v>-50</v>
      </c>
      <c r="AR21" s="53">
        <v>205</v>
      </c>
      <c r="AS21" s="53">
        <v>-10</v>
      </c>
      <c r="AT21" s="53"/>
      <c r="AU21" s="53"/>
      <c r="AV21" s="53">
        <v>70</v>
      </c>
      <c r="AW21" s="224">
        <f>-200-20-80</f>
        <v>-300</v>
      </c>
      <c r="AX21" s="53"/>
      <c r="AY21" s="53"/>
      <c r="AZ21" s="53">
        <v>127</v>
      </c>
      <c r="BA21" s="53">
        <v>-100</v>
      </c>
      <c r="BB21" s="53"/>
      <c r="BC21" s="227"/>
      <c r="BD21" s="53"/>
      <c r="BE21" s="53">
        <v>-10</v>
      </c>
      <c r="BF21" s="53"/>
      <c r="BG21" s="53"/>
      <c r="BH21" s="53">
        <v>200</v>
      </c>
      <c r="BI21" s="53">
        <v>-50</v>
      </c>
      <c r="BJ21" s="53">
        <v>38</v>
      </c>
      <c r="BK21" s="53">
        <f>-50-100-20</f>
        <v>-170</v>
      </c>
      <c r="BL21" s="53">
        <f>10</f>
        <v>10</v>
      </c>
      <c r="BM21" s="227">
        <f>-50-4-10</f>
        <v>-64</v>
      </c>
      <c r="BN21" s="53">
        <v>215</v>
      </c>
      <c r="BO21" s="53"/>
      <c r="BP21" s="53"/>
      <c r="BQ21" s="224">
        <v>-200</v>
      </c>
      <c r="BR21" s="53">
        <v>50</v>
      </c>
      <c r="BS21" s="53"/>
      <c r="BT21" s="53"/>
      <c r="BU21" s="53">
        <v>-2</v>
      </c>
      <c r="BV21" s="53">
        <v>51</v>
      </c>
      <c r="BW21" s="71">
        <f>-15-20</f>
        <v>-35</v>
      </c>
      <c r="BX21" s="53">
        <v>80</v>
      </c>
      <c r="BY21" s="53">
        <v>-100</v>
      </c>
      <c r="BZ21" s="53">
        <f>35+65</f>
        <v>100</v>
      </c>
      <c r="CA21" s="224">
        <v>-100</v>
      </c>
      <c r="CB21" s="53">
        <f>62+50</f>
        <v>112</v>
      </c>
      <c r="CC21" s="53">
        <f>-5-10-5-50-2</f>
        <v>-72</v>
      </c>
      <c r="CD21" s="53"/>
      <c r="CE21" s="695"/>
      <c r="CF21" s="53"/>
      <c r="CG21" s="695"/>
      <c r="CH21" s="53"/>
      <c r="CI21" s="53">
        <v>-50</v>
      </c>
      <c r="CJ21" s="53">
        <v>152</v>
      </c>
      <c r="CK21" s="53">
        <f>-50-2</f>
        <v>-52</v>
      </c>
      <c r="CL21" s="53"/>
      <c r="CM21" s="224">
        <f>-100</f>
        <v>-100</v>
      </c>
      <c r="CN21" s="53">
        <v>63</v>
      </c>
      <c r="CO21" s="53">
        <v>-5</v>
      </c>
      <c r="CP21" s="53"/>
      <c r="CQ21" s="53"/>
      <c r="CR21" s="53"/>
      <c r="CS21" s="53">
        <v>-30</v>
      </c>
      <c r="CT21" s="1"/>
    </row>
    <row r="22" spans="1:150" s="81" customFormat="1" ht="15.75" x14ac:dyDescent="0.25">
      <c r="A22" s="73">
        <v>3</v>
      </c>
      <c r="B22" s="82" t="s">
        <v>239</v>
      </c>
      <c r="C22" s="74"/>
      <c r="D22" s="75"/>
      <c r="E22" s="76"/>
      <c r="F22" s="76"/>
      <c r="G22" s="77"/>
      <c r="H22" s="78"/>
      <c r="I22" s="78"/>
      <c r="J22" s="78"/>
      <c r="K22" s="78"/>
      <c r="L22" s="78"/>
      <c r="M22" s="79"/>
      <c r="N22" s="78"/>
      <c r="O22" s="78"/>
      <c r="P22" s="78"/>
      <c r="Q22" s="78"/>
      <c r="R22" s="78"/>
      <c r="S22" s="78"/>
      <c r="T22" s="78"/>
      <c r="U22" s="78"/>
      <c r="V22" s="78"/>
      <c r="W22" s="79"/>
      <c r="X22" s="78"/>
      <c r="Y22" s="78"/>
      <c r="Z22" s="78"/>
      <c r="AA22" s="78"/>
      <c r="AB22" s="78"/>
      <c r="AC22" s="79"/>
      <c r="AD22" s="78"/>
      <c r="AE22" s="78"/>
      <c r="AF22" s="78"/>
      <c r="AG22" s="78"/>
      <c r="AH22" s="78"/>
      <c r="AI22" s="78"/>
      <c r="AJ22" s="78"/>
      <c r="AK22" s="79"/>
      <c r="AL22" s="78"/>
      <c r="AM22" s="78"/>
      <c r="AN22" s="78"/>
      <c r="AO22" s="78"/>
      <c r="AP22" s="78"/>
      <c r="AQ22" s="78"/>
      <c r="AR22" s="78"/>
      <c r="AS22" s="78"/>
      <c r="AT22" s="78"/>
      <c r="AU22" s="79"/>
      <c r="AV22" s="78"/>
      <c r="AW22" s="79"/>
      <c r="AX22" s="78"/>
      <c r="AY22" s="78"/>
      <c r="AZ22" s="78"/>
      <c r="BA22" s="78"/>
      <c r="BB22" s="78"/>
      <c r="BC22" s="80"/>
      <c r="BD22" s="78"/>
      <c r="BE22" s="78"/>
      <c r="BF22" s="78"/>
      <c r="BG22" s="78"/>
      <c r="BH22" s="78"/>
      <c r="BI22" s="78"/>
      <c r="BJ22" s="78"/>
      <c r="BK22" s="78"/>
      <c r="BL22" s="78"/>
      <c r="BM22" s="80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9"/>
      <c r="CB22" s="78"/>
      <c r="CC22" s="78"/>
      <c r="CD22" s="78"/>
      <c r="CE22" s="696"/>
      <c r="CF22" s="78"/>
      <c r="CG22" s="696"/>
      <c r="CH22" s="78"/>
      <c r="CI22" s="79"/>
      <c r="CJ22" s="78"/>
      <c r="CK22" s="78"/>
      <c r="CL22" s="78"/>
      <c r="CM22" s="78"/>
      <c r="CN22" s="78"/>
      <c r="CO22" s="78"/>
      <c r="CP22" s="78"/>
      <c r="CQ22" s="78"/>
      <c r="CR22" s="78"/>
      <c r="CS22" s="78"/>
    </row>
    <row r="23" spans="1:150" ht="17.25" customHeight="1" x14ac:dyDescent="0.25">
      <c r="A23" s="2" t="s">
        <v>233</v>
      </c>
      <c r="B23" s="3" t="s">
        <v>119</v>
      </c>
      <c r="C23" s="3" t="s">
        <v>208</v>
      </c>
      <c r="D23" s="6">
        <f t="shared" ref="D23:D28" si="2">SUM(G23:CS23)</f>
        <v>0</v>
      </c>
      <c r="E23" s="4">
        <v>0</v>
      </c>
      <c r="F23" s="4">
        <f t="shared" ref="F23:F27" si="3">D23-E23</f>
        <v>0</v>
      </c>
      <c r="G23" s="92">
        <v>0</v>
      </c>
      <c r="H23" s="30"/>
      <c r="I23" s="30"/>
      <c r="J23" s="30"/>
      <c r="K23" s="30"/>
      <c r="L23" s="30"/>
      <c r="M23" s="28"/>
      <c r="N23" s="30"/>
      <c r="O23" s="30"/>
      <c r="P23" s="30"/>
      <c r="Q23" s="30"/>
      <c r="R23" s="30"/>
      <c r="S23" s="30"/>
      <c r="T23" s="30"/>
      <c r="U23" s="30"/>
      <c r="V23" s="30"/>
      <c r="W23" s="28"/>
      <c r="X23" s="30"/>
      <c r="Y23" s="30"/>
      <c r="Z23" s="30"/>
      <c r="AA23" s="30"/>
      <c r="AB23" s="30"/>
      <c r="AC23" s="28"/>
      <c r="AD23" s="30"/>
      <c r="AE23" s="30"/>
      <c r="AF23" s="30"/>
      <c r="AG23" s="30"/>
      <c r="AH23" s="30"/>
      <c r="AI23" s="30"/>
      <c r="AJ23" s="30"/>
      <c r="AK23" s="28"/>
      <c r="AL23" s="30"/>
      <c r="AM23" s="30"/>
      <c r="AN23" s="30"/>
      <c r="AO23" s="30"/>
      <c r="AP23" s="30"/>
      <c r="AQ23" s="28"/>
      <c r="AR23" s="30">
        <v>7</v>
      </c>
      <c r="AS23" s="30">
        <v>-7</v>
      </c>
      <c r="AT23" s="30"/>
      <c r="AU23" s="28"/>
      <c r="AV23" s="30"/>
      <c r="AW23" s="28"/>
      <c r="AX23" s="30">
        <v>30</v>
      </c>
      <c r="AY23" s="30"/>
      <c r="AZ23" s="30"/>
      <c r="BA23" s="30"/>
      <c r="BB23" s="30"/>
      <c r="BC23" s="29"/>
      <c r="BD23" s="30"/>
      <c r="BE23" s="30"/>
      <c r="BF23" s="30"/>
      <c r="BG23" s="28">
        <v>-30</v>
      </c>
      <c r="BH23" s="30"/>
      <c r="BI23" s="28"/>
      <c r="BJ23" s="30"/>
      <c r="BK23" s="30"/>
      <c r="BL23" s="30"/>
      <c r="BM23" s="29"/>
      <c r="BN23" s="30"/>
      <c r="BO23" s="30"/>
      <c r="BP23" s="30"/>
      <c r="BQ23" s="28"/>
      <c r="BR23" s="30"/>
      <c r="BS23" s="28"/>
      <c r="BT23" s="30"/>
      <c r="BU23" s="30"/>
      <c r="BV23" s="30"/>
      <c r="BW23" s="28"/>
      <c r="BX23" s="30"/>
      <c r="BY23" s="30"/>
      <c r="BZ23" s="30"/>
      <c r="CA23" s="28"/>
      <c r="CB23" s="30"/>
      <c r="CC23" s="30"/>
      <c r="CD23" s="30"/>
      <c r="CE23" s="694"/>
      <c r="CF23" s="30"/>
      <c r="CG23" s="694"/>
      <c r="CH23" s="30"/>
      <c r="CI23" s="28"/>
      <c r="CJ23" s="30">
        <v>30</v>
      </c>
      <c r="CK23" s="30"/>
      <c r="CL23" s="30"/>
      <c r="CM23" s="28">
        <v>-30</v>
      </c>
      <c r="CN23" s="30"/>
      <c r="CO23" s="28"/>
      <c r="CP23" s="30"/>
      <c r="CQ23" s="28"/>
      <c r="CR23" s="30"/>
      <c r="CS23" s="28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</row>
    <row r="24" spans="1:150" s="34" customFormat="1" ht="17.25" customHeight="1" x14ac:dyDescent="0.25">
      <c r="A24" s="2" t="s">
        <v>234</v>
      </c>
      <c r="B24" s="3" t="s">
        <v>143</v>
      </c>
      <c r="C24" s="23" t="s">
        <v>209</v>
      </c>
      <c r="D24" s="6">
        <f t="shared" si="2"/>
        <v>1</v>
      </c>
      <c r="E24" s="4">
        <v>0</v>
      </c>
      <c r="F24" s="4">
        <f t="shared" si="3"/>
        <v>1</v>
      </c>
      <c r="G24" s="92">
        <v>0</v>
      </c>
      <c r="H24" s="53"/>
      <c r="I24" s="53"/>
      <c r="J24" s="53"/>
      <c r="K24" s="53">
        <v>-6</v>
      </c>
      <c r="L24" s="53"/>
      <c r="M24" s="224"/>
      <c r="N24" s="53"/>
      <c r="O24" s="53"/>
      <c r="P24" s="53"/>
      <c r="Q24" s="53"/>
      <c r="R24" s="53">
        <v>26</v>
      </c>
      <c r="S24" s="53"/>
      <c r="T24" s="53"/>
      <c r="U24" s="53"/>
      <c r="V24" s="53"/>
      <c r="W24" s="224"/>
      <c r="X24" s="53"/>
      <c r="Y24" s="53"/>
      <c r="Z24" s="53"/>
      <c r="AA24" s="53"/>
      <c r="AB24" s="53"/>
      <c r="AC24" s="224">
        <v>-20</v>
      </c>
      <c r="AD24" s="53"/>
      <c r="AE24" s="53"/>
      <c r="AF24" s="53"/>
      <c r="AG24" s="53"/>
      <c r="AH24" s="53"/>
      <c r="AI24" s="53"/>
      <c r="AJ24" s="53"/>
      <c r="AK24" s="224"/>
      <c r="AL24" s="53"/>
      <c r="AM24" s="53"/>
      <c r="AN24" s="53"/>
      <c r="AO24" s="224"/>
      <c r="AP24" s="53"/>
      <c r="AQ24" s="224"/>
      <c r="AR24" s="53"/>
      <c r="AS24" s="53"/>
      <c r="AT24" s="53"/>
      <c r="AU24" s="224"/>
      <c r="AV24" s="53"/>
      <c r="AW24" s="224"/>
      <c r="AX24" s="53">
        <v>35</v>
      </c>
      <c r="AY24" s="53"/>
      <c r="AZ24" s="53"/>
      <c r="BA24" s="53"/>
      <c r="BB24" s="53"/>
      <c r="BC24" s="227">
        <v>-5</v>
      </c>
      <c r="BD24" s="53"/>
      <c r="BE24" s="53"/>
      <c r="BF24" s="53"/>
      <c r="BG24" s="224">
        <v>-30</v>
      </c>
      <c r="BH24" s="53"/>
      <c r="BI24" s="53"/>
      <c r="BJ24" s="53"/>
      <c r="BK24" s="53"/>
      <c r="BL24" s="53"/>
      <c r="BM24" s="227"/>
      <c r="BN24" s="53"/>
      <c r="BO24" s="53"/>
      <c r="BP24" s="53"/>
      <c r="BQ24" s="224"/>
      <c r="BR24" s="53"/>
      <c r="BS24" s="224"/>
      <c r="BT24" s="53">
        <v>6</v>
      </c>
      <c r="BU24" s="53">
        <v>-6</v>
      </c>
      <c r="BV24" s="53"/>
      <c r="BW24" s="224"/>
      <c r="BX24" s="53"/>
      <c r="BY24" s="53"/>
      <c r="BZ24" s="53"/>
      <c r="CA24" s="224"/>
      <c r="CB24" s="53"/>
      <c r="CC24" s="53"/>
      <c r="CD24" s="53"/>
      <c r="CE24" s="695"/>
      <c r="CF24" s="53"/>
      <c r="CG24" s="695"/>
      <c r="CH24" s="53"/>
      <c r="CI24" s="224"/>
      <c r="CJ24" s="53">
        <v>10</v>
      </c>
      <c r="CK24" s="53"/>
      <c r="CL24" s="53">
        <v>11</v>
      </c>
      <c r="CM24" s="53">
        <f>-10-10</f>
        <v>-20</v>
      </c>
      <c r="CN24" s="53"/>
      <c r="CO24" s="224"/>
      <c r="CP24" s="53"/>
      <c r="CQ24" s="224"/>
      <c r="CR24" s="53"/>
      <c r="CS24" s="224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</row>
    <row r="25" spans="1:150" s="34" customFormat="1" x14ac:dyDescent="0.25">
      <c r="A25" s="2" t="s">
        <v>223</v>
      </c>
      <c r="B25" s="3" t="s">
        <v>171</v>
      </c>
      <c r="C25" s="23" t="s">
        <v>211</v>
      </c>
      <c r="D25" s="36">
        <f t="shared" si="2"/>
        <v>22</v>
      </c>
      <c r="E25" s="4">
        <v>50</v>
      </c>
      <c r="F25" s="37">
        <f t="shared" si="3"/>
        <v>-28</v>
      </c>
      <c r="G25" s="92">
        <v>1</v>
      </c>
      <c r="H25" s="53"/>
      <c r="I25" s="53">
        <v>-4</v>
      </c>
      <c r="J25" s="53"/>
      <c r="K25" s="53">
        <v>-1</v>
      </c>
      <c r="L25" s="53">
        <f>21+15</f>
        <v>36</v>
      </c>
      <c r="M25" s="53">
        <v>-6</v>
      </c>
      <c r="N25" s="53"/>
      <c r="O25" s="53"/>
      <c r="P25" s="53"/>
      <c r="Q25" s="53"/>
      <c r="R25" s="53">
        <v>65</v>
      </c>
      <c r="S25" s="53">
        <v>-6</v>
      </c>
      <c r="T25" s="53"/>
      <c r="U25" s="53">
        <v>-15</v>
      </c>
      <c r="V25" s="53"/>
      <c r="W25" s="224"/>
      <c r="X25" s="53">
        <v>12</v>
      </c>
      <c r="Y25" s="53"/>
      <c r="Z25" s="53"/>
      <c r="AA25" s="53"/>
      <c r="AB25" s="53"/>
      <c r="AC25" s="224">
        <v>-70</v>
      </c>
      <c r="AD25" s="53"/>
      <c r="AE25" s="637"/>
      <c r="AF25" s="53"/>
      <c r="AG25" s="224"/>
      <c r="AH25" s="53"/>
      <c r="AI25" s="53"/>
      <c r="AJ25" s="53"/>
      <c r="AK25" s="224"/>
      <c r="AL25" s="53">
        <v>5</v>
      </c>
      <c r="AM25" s="71">
        <f>-6-10</f>
        <v>-16</v>
      </c>
      <c r="AN25" s="53"/>
      <c r="AO25" s="53"/>
      <c r="AP25" s="53"/>
      <c r="AQ25" s="53"/>
      <c r="AR25" s="53">
        <v>10</v>
      </c>
      <c r="AS25" s="53">
        <v>-10</v>
      </c>
      <c r="AT25" s="53"/>
      <c r="AU25" s="227"/>
      <c r="AV25" s="53"/>
      <c r="AW25" s="224"/>
      <c r="AX25" s="53">
        <v>38</v>
      </c>
      <c r="AY25" s="53"/>
      <c r="AZ25" s="53">
        <f>65-29</f>
        <v>36</v>
      </c>
      <c r="BA25" s="53">
        <v>-10</v>
      </c>
      <c r="BB25" s="53"/>
      <c r="BC25" s="227"/>
      <c r="BD25" s="53"/>
      <c r="BE25" s="53"/>
      <c r="BF25" s="53"/>
      <c r="BG25" s="224">
        <v>-60</v>
      </c>
      <c r="BH25" s="53">
        <v>7</v>
      </c>
      <c r="BI25" s="53"/>
      <c r="BJ25" s="53"/>
      <c r="BK25" s="53">
        <v>-10</v>
      </c>
      <c r="BL25" s="53"/>
      <c r="BM25" s="227"/>
      <c r="BN25" s="53"/>
      <c r="BO25" s="53"/>
      <c r="BP25" s="53"/>
      <c r="BQ25" s="661"/>
      <c r="BR25" s="53"/>
      <c r="BS25" s="53"/>
      <c r="BT25" s="53">
        <v>44</v>
      </c>
      <c r="BU25" s="53"/>
      <c r="BV25" s="53"/>
      <c r="BW25" s="224"/>
      <c r="BX25" s="53"/>
      <c r="BY25" s="224"/>
      <c r="BZ25" s="53"/>
      <c r="CA25" s="693">
        <v>-10</v>
      </c>
      <c r="CB25" s="53"/>
      <c r="CC25" s="53">
        <v>-2</v>
      </c>
      <c r="CD25" s="53"/>
      <c r="CE25" s="695">
        <v>-3</v>
      </c>
      <c r="CF25" s="53"/>
      <c r="CG25" s="695"/>
      <c r="CH25" s="53">
        <v>34</v>
      </c>
      <c r="CI25" s="224"/>
      <c r="CJ25" s="53"/>
      <c r="CK25" s="53"/>
      <c r="CL25" s="53"/>
      <c r="CM25" s="224">
        <v>-30</v>
      </c>
      <c r="CN25" s="53"/>
      <c r="CO25" s="53">
        <v>-10</v>
      </c>
      <c r="CP25" s="53">
        <v>18</v>
      </c>
      <c r="CQ25" s="53"/>
      <c r="CR25" s="53"/>
      <c r="CS25" s="53">
        <f>-15-6</f>
        <v>-21</v>
      </c>
      <c r="CT25" s="51"/>
    </row>
    <row r="26" spans="1:150" s="34" customFormat="1" x14ac:dyDescent="0.25">
      <c r="A26" s="2" t="s">
        <v>235</v>
      </c>
      <c r="B26" s="3" t="s">
        <v>242</v>
      </c>
      <c r="C26" s="23" t="s">
        <v>213</v>
      </c>
      <c r="D26" s="36">
        <f t="shared" si="2"/>
        <v>20</v>
      </c>
      <c r="E26" s="4">
        <v>50</v>
      </c>
      <c r="F26" s="37">
        <f>D26-E26</f>
        <v>-30</v>
      </c>
      <c r="G26" s="92">
        <v>4</v>
      </c>
      <c r="H26" s="53"/>
      <c r="I26" s="53"/>
      <c r="J26" s="53"/>
      <c r="K26" s="53"/>
      <c r="L26" s="53"/>
      <c r="M26" s="224"/>
      <c r="N26" s="53"/>
      <c r="O26" s="53"/>
      <c r="P26" s="53"/>
      <c r="Q26" s="53"/>
      <c r="R26" s="53"/>
      <c r="S26" s="53">
        <v>-4</v>
      </c>
      <c r="T26" s="53"/>
      <c r="U26" s="53"/>
      <c r="V26" s="53"/>
      <c r="W26" s="224"/>
      <c r="X26" s="53"/>
      <c r="Y26" s="53"/>
      <c r="Z26" s="53"/>
      <c r="AA26" s="53"/>
      <c r="AB26" s="53"/>
      <c r="AC26" s="224"/>
      <c r="AD26" s="53"/>
      <c r="AE26" s="53"/>
      <c r="AF26" s="53"/>
      <c r="AG26" s="224"/>
      <c r="AH26" s="53"/>
      <c r="AI26" s="53"/>
      <c r="AJ26" s="53"/>
      <c r="AK26" s="224"/>
      <c r="AL26" s="53"/>
      <c r="AM26" s="53"/>
      <c r="AN26" s="53"/>
      <c r="AO26" s="53"/>
      <c r="AP26" s="53"/>
      <c r="AQ26" s="224"/>
      <c r="AR26" s="53"/>
      <c r="AS26" s="53"/>
      <c r="AT26" s="53"/>
      <c r="AU26" s="53"/>
      <c r="AV26" s="53"/>
      <c r="AW26" s="224"/>
      <c r="AX26" s="53"/>
      <c r="AY26" s="53"/>
      <c r="AZ26" s="53"/>
      <c r="BA26" s="53"/>
      <c r="BB26" s="53"/>
      <c r="BC26" s="227"/>
      <c r="BD26" s="53"/>
      <c r="BE26" s="53"/>
      <c r="BF26" s="53"/>
      <c r="BG26" s="53"/>
      <c r="BH26" s="53">
        <v>56</v>
      </c>
      <c r="BI26" s="53"/>
      <c r="BJ26" s="53"/>
      <c r="BK26" s="53">
        <v>-10</v>
      </c>
      <c r="BL26" s="53"/>
      <c r="BM26" s="227"/>
      <c r="BN26" s="53"/>
      <c r="BO26" s="53"/>
      <c r="BP26" s="53"/>
      <c r="BQ26" s="224">
        <v>-20</v>
      </c>
      <c r="BR26" s="53"/>
      <c r="BS26" s="53"/>
      <c r="BT26" s="53"/>
      <c r="BU26" s="53"/>
      <c r="BV26" s="53"/>
      <c r="BW26" s="224"/>
      <c r="BX26" s="53"/>
      <c r="BY26" s="53"/>
      <c r="BZ26" s="53"/>
      <c r="CA26" s="693">
        <v>-10</v>
      </c>
      <c r="CB26" s="53"/>
      <c r="CC26" s="53">
        <v>-5</v>
      </c>
      <c r="CD26" s="53"/>
      <c r="CE26" s="695"/>
      <c r="CF26" s="53"/>
      <c r="CG26" s="695"/>
      <c r="CH26" s="53">
        <v>45</v>
      </c>
      <c r="CI26" s="224"/>
      <c r="CJ26" s="53"/>
      <c r="CK26" s="53"/>
      <c r="CL26" s="53"/>
      <c r="CM26" s="224">
        <v>-30</v>
      </c>
      <c r="CN26" s="53"/>
      <c r="CO26" s="53"/>
      <c r="CP26" s="53"/>
      <c r="CQ26" s="53"/>
      <c r="CR26" s="53"/>
      <c r="CS26" s="53">
        <v>-6</v>
      </c>
      <c r="CT26" s="51"/>
    </row>
    <row r="27" spans="1:150" s="34" customFormat="1" x14ac:dyDescent="0.25">
      <c r="A27" s="2" t="s">
        <v>236</v>
      </c>
      <c r="B27" s="23" t="s">
        <v>157</v>
      </c>
      <c r="C27" s="23" t="s">
        <v>160</v>
      </c>
      <c r="D27" s="6">
        <f t="shared" si="2"/>
        <v>0</v>
      </c>
      <c r="E27" s="4">
        <v>0</v>
      </c>
      <c r="F27" s="4">
        <f t="shared" si="3"/>
        <v>0</v>
      </c>
      <c r="G27" s="92">
        <v>2</v>
      </c>
      <c r="H27" s="53"/>
      <c r="I27" s="53"/>
      <c r="J27" s="53"/>
      <c r="K27" s="53"/>
      <c r="L27" s="53"/>
      <c r="M27" s="224"/>
      <c r="N27" s="53"/>
      <c r="O27" s="53"/>
      <c r="P27" s="53"/>
      <c r="Q27" s="53"/>
      <c r="R27" s="53"/>
      <c r="S27" s="53"/>
      <c r="T27" s="53"/>
      <c r="U27" s="53"/>
      <c r="V27" s="53"/>
      <c r="W27" s="224"/>
      <c r="X27" s="53"/>
      <c r="Y27" s="53"/>
      <c r="Z27" s="53"/>
      <c r="AA27" s="53"/>
      <c r="AB27" s="53"/>
      <c r="AC27" s="224"/>
      <c r="AD27" s="53"/>
      <c r="AE27" s="53"/>
      <c r="AF27" s="53"/>
      <c r="AG27" s="53"/>
      <c r="AH27" s="53"/>
      <c r="AI27" s="53"/>
      <c r="AJ27" s="53"/>
      <c r="AK27" s="224"/>
      <c r="AL27" s="53"/>
      <c r="AM27" s="53">
        <v>-2</v>
      </c>
      <c r="AN27" s="53"/>
      <c r="AO27" s="53"/>
      <c r="AP27" s="53"/>
      <c r="AQ27" s="224"/>
      <c r="AR27" s="53"/>
      <c r="AS27" s="53"/>
      <c r="AT27" s="53">
        <v>42</v>
      </c>
      <c r="AU27" s="224"/>
      <c r="AV27" s="53"/>
      <c r="AW27" s="224">
        <v>-42</v>
      </c>
      <c r="AX27" s="53"/>
      <c r="AY27" s="53"/>
      <c r="AZ27" s="53"/>
      <c r="BA27" s="53"/>
      <c r="BB27" s="53"/>
      <c r="BC27" s="227"/>
      <c r="BD27" s="53"/>
      <c r="BE27" s="53"/>
      <c r="BF27" s="53"/>
      <c r="BG27" s="53"/>
      <c r="BH27" s="53"/>
      <c r="BI27" s="53"/>
      <c r="BJ27" s="53">
        <v>41</v>
      </c>
      <c r="BK27" s="53"/>
      <c r="BL27" s="53"/>
      <c r="BM27" s="227"/>
      <c r="BN27" s="53"/>
      <c r="BO27" s="53"/>
      <c r="BP27" s="53"/>
      <c r="BQ27" s="224">
        <v>-25</v>
      </c>
      <c r="BR27" s="53"/>
      <c r="BS27" s="53"/>
      <c r="BT27" s="53">
        <v>15</v>
      </c>
      <c r="BU27" s="53"/>
      <c r="BV27" s="53"/>
      <c r="BW27" s="224"/>
      <c r="BX27" s="53"/>
      <c r="BY27" s="224"/>
      <c r="BZ27" s="53"/>
      <c r="CA27" s="224">
        <v>-10</v>
      </c>
      <c r="CB27" s="53"/>
      <c r="CC27" s="53"/>
      <c r="CD27" s="53"/>
      <c r="CE27" s="695"/>
      <c r="CF27" s="53"/>
      <c r="CG27" s="695"/>
      <c r="CH27" s="53">
        <v>9</v>
      </c>
      <c r="CI27" s="224"/>
      <c r="CJ27" s="53"/>
      <c r="CK27" s="53"/>
      <c r="CL27" s="53"/>
      <c r="CM27" s="224">
        <v>-30</v>
      </c>
      <c r="CN27" s="53"/>
      <c r="CO27" s="224"/>
      <c r="CP27" s="53"/>
      <c r="CQ27" s="224"/>
      <c r="CR27" s="53"/>
      <c r="CS27" s="224"/>
      <c r="CT27" s="51"/>
    </row>
    <row r="28" spans="1:150" s="34" customFormat="1" x14ac:dyDescent="0.25">
      <c r="A28" s="2" t="s">
        <v>237</v>
      </c>
      <c r="B28" s="35" t="s">
        <v>169</v>
      </c>
      <c r="C28" s="35" t="s">
        <v>210</v>
      </c>
      <c r="D28" s="36">
        <f t="shared" si="2"/>
        <v>6</v>
      </c>
      <c r="E28" s="37">
        <v>0</v>
      </c>
      <c r="F28" s="37">
        <f>D28-E28</f>
        <v>6</v>
      </c>
      <c r="G28" s="94">
        <v>0</v>
      </c>
      <c r="H28" s="61"/>
      <c r="I28" s="61"/>
      <c r="J28" s="61"/>
      <c r="K28" s="61"/>
      <c r="L28" s="61"/>
      <c r="M28" s="226"/>
      <c r="N28" s="61"/>
      <c r="O28" s="53"/>
      <c r="P28" s="53"/>
      <c r="Q28" s="53"/>
      <c r="R28" s="53"/>
      <c r="S28" s="53"/>
      <c r="T28" s="61"/>
      <c r="U28" s="61"/>
      <c r="V28" s="61"/>
      <c r="W28" s="226"/>
      <c r="X28" s="61"/>
      <c r="Y28" s="61"/>
      <c r="Z28" s="61"/>
      <c r="AA28" s="61"/>
      <c r="AB28" s="61"/>
      <c r="AC28" s="226"/>
      <c r="AD28" s="61"/>
      <c r="AE28" s="61"/>
      <c r="AF28" s="61"/>
      <c r="AG28" s="61"/>
      <c r="AH28" s="61"/>
      <c r="AI28" s="61"/>
      <c r="AJ28" s="61"/>
      <c r="AK28" s="226"/>
      <c r="AL28" s="61"/>
      <c r="AM28" s="61"/>
      <c r="AN28" s="61"/>
      <c r="AO28" s="61"/>
      <c r="AP28" s="61"/>
      <c r="AQ28" s="61"/>
      <c r="AR28" s="61"/>
      <c r="AS28" s="61"/>
      <c r="AT28" s="61"/>
      <c r="AU28" s="226"/>
      <c r="AV28" s="61"/>
      <c r="AW28" s="226"/>
      <c r="AX28" s="61"/>
      <c r="AY28" s="61"/>
      <c r="AZ28" s="61"/>
      <c r="BA28" s="61"/>
      <c r="BB28" s="61"/>
      <c r="BC28" s="690"/>
      <c r="BD28" s="61"/>
      <c r="BE28" s="61"/>
      <c r="BF28" s="61"/>
      <c r="BG28" s="61"/>
      <c r="BH28" s="61"/>
      <c r="BI28" s="61"/>
      <c r="BJ28" s="61">
        <v>21</v>
      </c>
      <c r="BK28" s="61"/>
      <c r="BL28" s="61"/>
      <c r="BM28" s="690"/>
      <c r="BN28" s="61"/>
      <c r="BO28" s="61"/>
      <c r="BP28" s="61"/>
      <c r="BQ28" s="226">
        <v>-15</v>
      </c>
      <c r="BR28" s="61"/>
      <c r="BS28" s="61"/>
      <c r="BT28" s="61"/>
      <c r="BU28" s="61"/>
      <c r="BV28" s="61"/>
      <c r="BW28" s="226"/>
      <c r="BX28" s="61"/>
      <c r="BY28" s="61"/>
      <c r="BZ28" s="61"/>
      <c r="CA28" s="226"/>
      <c r="CB28" s="61"/>
      <c r="CC28" s="61"/>
      <c r="CD28" s="61"/>
      <c r="CE28" s="697"/>
      <c r="CF28" s="61"/>
      <c r="CG28" s="697"/>
      <c r="CH28" s="61"/>
      <c r="CI28" s="226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1"/>
    </row>
    <row r="29" spans="1:150" s="91" customFormat="1" ht="15.75" x14ac:dyDescent="0.25">
      <c r="A29" s="73">
        <v>4</v>
      </c>
      <c r="B29" s="82" t="s">
        <v>218</v>
      </c>
      <c r="C29" s="74"/>
      <c r="D29" s="75"/>
      <c r="E29" s="76"/>
      <c r="F29" s="76"/>
      <c r="G29" s="77"/>
      <c r="H29" s="78"/>
      <c r="I29" s="78"/>
      <c r="J29" s="78"/>
      <c r="K29" s="78"/>
      <c r="L29" s="78"/>
      <c r="M29" s="79"/>
      <c r="N29" s="78"/>
      <c r="O29" s="78"/>
      <c r="P29" s="78"/>
      <c r="Q29" s="78"/>
      <c r="R29" s="78"/>
      <c r="S29" s="78"/>
      <c r="T29" s="78"/>
      <c r="U29" s="78"/>
      <c r="V29" s="78"/>
      <c r="W29" s="79"/>
      <c r="X29" s="78"/>
      <c r="Y29" s="78"/>
      <c r="Z29" s="78"/>
      <c r="AA29" s="78"/>
      <c r="AB29" s="78"/>
      <c r="AC29" s="79"/>
      <c r="AD29" s="78"/>
      <c r="AE29" s="78"/>
      <c r="AF29" s="78"/>
      <c r="AG29" s="78"/>
      <c r="AH29" s="78"/>
      <c r="AI29" s="78"/>
      <c r="AJ29" s="78"/>
      <c r="AK29" s="79"/>
      <c r="AL29" s="78"/>
      <c r="AM29" s="78"/>
      <c r="AN29" s="78"/>
      <c r="AO29" s="78"/>
      <c r="AP29" s="78"/>
      <c r="AQ29" s="78"/>
      <c r="AR29" s="78"/>
      <c r="AS29" s="78"/>
      <c r="AT29" s="78"/>
      <c r="AU29" s="79"/>
      <c r="AV29" s="78"/>
      <c r="AW29" s="79"/>
      <c r="AX29" s="78"/>
      <c r="AY29" s="78"/>
      <c r="AZ29" s="78"/>
      <c r="BA29" s="78"/>
      <c r="BB29" s="78"/>
      <c r="BC29" s="80"/>
      <c r="BD29" s="78"/>
      <c r="BE29" s="78"/>
      <c r="BF29" s="78"/>
      <c r="BG29" s="78"/>
      <c r="BH29" s="78"/>
      <c r="BI29" s="78"/>
      <c r="BJ29" s="78"/>
      <c r="BK29" s="78"/>
      <c r="BL29" s="78"/>
      <c r="BM29" s="80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9"/>
      <c r="CB29" s="78"/>
      <c r="CC29" s="78"/>
      <c r="CD29" s="78"/>
      <c r="CE29" s="79"/>
      <c r="CF29" s="78"/>
      <c r="CG29" s="79"/>
      <c r="CH29" s="78"/>
      <c r="CI29" s="79"/>
      <c r="CJ29" s="78"/>
      <c r="CK29" s="78"/>
      <c r="CL29" s="78"/>
      <c r="CM29" s="78"/>
      <c r="CN29" s="78"/>
      <c r="CO29" s="78"/>
      <c r="CP29" s="78"/>
      <c r="CQ29" s="78"/>
      <c r="CR29" s="78"/>
      <c r="CS29" s="78"/>
    </row>
    <row r="30" spans="1:150" s="34" customFormat="1" ht="17.25" customHeight="1" x14ac:dyDescent="0.25">
      <c r="A30" s="2" t="s">
        <v>238</v>
      </c>
      <c r="B30" s="3" t="s">
        <v>120</v>
      </c>
      <c r="C30" s="3" t="s">
        <v>318</v>
      </c>
      <c r="D30" s="6">
        <f>SUM(G30:CS30)</f>
        <v>0</v>
      </c>
      <c r="E30" s="4">
        <v>0</v>
      </c>
      <c r="F30" s="4">
        <f>D30-E30</f>
        <v>0</v>
      </c>
      <c r="G30" s="92">
        <v>0</v>
      </c>
      <c r="H30" s="30"/>
      <c r="I30" s="30"/>
      <c r="J30" s="30">
        <v>58</v>
      </c>
      <c r="K30" s="30"/>
      <c r="L30" s="30"/>
      <c r="M30" s="28"/>
      <c r="N30" s="30"/>
      <c r="O30" s="30">
        <v>-10</v>
      </c>
      <c r="P30" s="30"/>
      <c r="Q30" s="30">
        <v>-20</v>
      </c>
      <c r="R30" s="30"/>
      <c r="T30" s="30"/>
      <c r="U30" s="30"/>
      <c r="V30" s="30"/>
      <c r="W30" s="28"/>
      <c r="X30" s="30"/>
      <c r="Y30" s="30"/>
      <c r="Z30" s="30"/>
      <c r="AA30" s="30">
        <v>-5</v>
      </c>
      <c r="AB30" s="30"/>
      <c r="AC30" s="28">
        <v>-5</v>
      </c>
      <c r="AD30" s="30"/>
      <c r="AE30" s="30"/>
      <c r="AF30" s="30"/>
      <c r="AG30" s="30"/>
      <c r="AH30" s="30"/>
      <c r="AI30" s="30"/>
      <c r="AJ30" s="30"/>
      <c r="AK30" s="28">
        <v>-10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28">
        <v>-8</v>
      </c>
      <c r="AX30" s="30"/>
      <c r="AY30" s="30"/>
      <c r="AZ30" s="30"/>
      <c r="BA30" s="30"/>
      <c r="BB30" s="30"/>
      <c r="BC30" s="29"/>
      <c r="BD30" s="30"/>
      <c r="BE30" s="30"/>
      <c r="BF30" s="30"/>
      <c r="BG30" s="30"/>
      <c r="BH30" s="30">
        <v>81</v>
      </c>
      <c r="BI30" s="30"/>
      <c r="BJ30" s="30"/>
      <c r="BK30" s="30">
        <f>-10-20</f>
        <v>-30</v>
      </c>
      <c r="BL30" s="30"/>
      <c r="BM30" s="29">
        <v>-42</v>
      </c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28"/>
      <c r="CB30" s="30"/>
      <c r="CC30" s="30">
        <v>-5</v>
      </c>
      <c r="CD30" s="30"/>
      <c r="CE30" s="28"/>
      <c r="CF30" s="30"/>
      <c r="CG30" s="28"/>
      <c r="CH30" s="30"/>
      <c r="CI30" s="28"/>
      <c r="CJ30" s="30"/>
      <c r="CK30" s="30"/>
      <c r="CL30" s="30"/>
      <c r="CM30" s="28">
        <v>-2</v>
      </c>
      <c r="CN30" s="30"/>
      <c r="CO30" s="30"/>
      <c r="CP30" s="30">
        <v>4</v>
      </c>
      <c r="CQ30" s="30"/>
      <c r="CR30" s="30"/>
      <c r="CS30" s="30">
        <v>-6</v>
      </c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</row>
    <row r="31" spans="1:150" s="34" customFormat="1" x14ac:dyDescent="0.25">
      <c r="A31" s="2" t="s">
        <v>245</v>
      </c>
      <c r="B31" s="3" t="s">
        <v>113</v>
      </c>
      <c r="C31" s="3" t="s">
        <v>202</v>
      </c>
      <c r="D31" s="6">
        <f>SUM(G31:CS31)</f>
        <v>14</v>
      </c>
      <c r="E31" s="4">
        <v>50</v>
      </c>
      <c r="F31" s="4">
        <f>D31-E31</f>
        <v>-36</v>
      </c>
      <c r="G31" s="92">
        <v>0</v>
      </c>
      <c r="H31" s="30"/>
      <c r="I31" s="30"/>
      <c r="J31" s="30"/>
      <c r="K31" s="30"/>
      <c r="L31" s="30"/>
      <c r="M31" s="28"/>
      <c r="N31" s="30"/>
      <c r="O31" s="30"/>
      <c r="P31" s="30"/>
      <c r="Q31" s="30"/>
      <c r="R31" s="30">
        <v>160</v>
      </c>
      <c r="S31" s="30"/>
      <c r="T31" s="30"/>
      <c r="U31" s="30"/>
      <c r="V31" s="30"/>
      <c r="W31" s="28"/>
      <c r="X31" s="30"/>
      <c r="Y31" s="30"/>
      <c r="Z31" s="30"/>
      <c r="AA31" s="30"/>
      <c r="AB31" s="30"/>
      <c r="AC31" s="28">
        <v>-160</v>
      </c>
      <c r="AD31" s="30"/>
      <c r="AE31" s="30"/>
      <c r="AF31" s="30"/>
      <c r="AG31" s="30"/>
      <c r="AH31" s="30"/>
      <c r="AI31" s="30"/>
      <c r="AJ31" s="30"/>
      <c r="AK31" s="28"/>
      <c r="AL31" s="30"/>
      <c r="AM31" s="30"/>
      <c r="AN31" s="30"/>
      <c r="AO31" s="30"/>
      <c r="AP31" s="30"/>
      <c r="AQ31" s="30"/>
      <c r="AR31" s="30"/>
      <c r="AS31" s="30"/>
      <c r="AT31" s="30"/>
      <c r="AU31" s="28"/>
      <c r="AV31" s="30"/>
      <c r="AW31" s="28"/>
      <c r="AX31" s="30"/>
      <c r="AY31" s="30"/>
      <c r="AZ31" s="30"/>
      <c r="BA31" s="30"/>
      <c r="BB31" s="30"/>
      <c r="BC31" s="29"/>
      <c r="BD31" s="30"/>
      <c r="BE31" s="30"/>
      <c r="BF31" s="30"/>
      <c r="BG31" s="30"/>
      <c r="BH31" s="30"/>
      <c r="BI31" s="30"/>
      <c r="BJ31" s="30"/>
      <c r="BK31" s="30"/>
      <c r="BL31" s="30"/>
      <c r="BM31" s="29"/>
      <c r="BN31" s="30">
        <v>40</v>
      </c>
      <c r="BO31" s="30"/>
      <c r="BP31" s="30"/>
      <c r="BQ31" s="28">
        <v>-40</v>
      </c>
      <c r="BR31" s="30"/>
      <c r="BS31" s="28"/>
      <c r="BT31" s="30">
        <v>12</v>
      </c>
      <c r="BU31" s="30">
        <v>-12</v>
      </c>
      <c r="BV31" s="30"/>
      <c r="BW31" s="30"/>
      <c r="BX31" s="30"/>
      <c r="BY31" s="28"/>
      <c r="BZ31" s="30">
        <v>40</v>
      </c>
      <c r="CA31" s="28">
        <v>-40</v>
      </c>
      <c r="CB31" s="30">
        <v>20</v>
      </c>
      <c r="CC31" s="30"/>
      <c r="CD31" s="30"/>
      <c r="CE31" s="694">
        <v>-20</v>
      </c>
      <c r="CF31" s="30"/>
      <c r="CG31" s="694"/>
      <c r="CH31" s="30"/>
      <c r="CI31" s="28"/>
      <c r="CJ31" s="30">
        <v>94</v>
      </c>
      <c r="CK31" s="30"/>
      <c r="CL31" s="30">
        <v>14</v>
      </c>
      <c r="CM31" s="28">
        <v>-94</v>
      </c>
      <c r="CN31" s="30"/>
      <c r="CO31" s="30"/>
      <c r="CP31" s="30"/>
      <c r="CQ31" s="30"/>
      <c r="CR31" s="30"/>
      <c r="CS31" s="30"/>
    </row>
    <row r="32" spans="1:150" s="34" customFormat="1" x14ac:dyDescent="0.25">
      <c r="A32" s="2" t="s">
        <v>246</v>
      </c>
      <c r="B32" s="3" t="s">
        <v>112</v>
      </c>
      <c r="C32" s="3" t="s">
        <v>200</v>
      </c>
      <c r="D32" s="6">
        <f>SUM(G32:CS32)</f>
        <v>0</v>
      </c>
      <c r="E32" s="4">
        <v>50</v>
      </c>
      <c r="F32" s="4">
        <f>D32-E32</f>
        <v>-50</v>
      </c>
      <c r="G32" s="92">
        <v>0</v>
      </c>
      <c r="H32" s="30"/>
      <c r="I32" s="30"/>
      <c r="J32" s="30"/>
      <c r="K32" s="30">
        <v>-5</v>
      </c>
      <c r="L32" s="30"/>
      <c r="M32" s="28"/>
      <c r="N32" s="30"/>
      <c r="O32" s="30"/>
      <c r="P32" s="30"/>
      <c r="Q32" s="30"/>
      <c r="R32" s="30"/>
      <c r="S32" s="30"/>
      <c r="T32" s="30"/>
      <c r="U32" s="28"/>
      <c r="V32" s="30"/>
      <c r="W32" s="28"/>
      <c r="X32" s="30"/>
      <c r="Y32" s="30"/>
      <c r="Z32" s="30">
        <v>9</v>
      </c>
      <c r="AA32" s="30"/>
      <c r="AB32" s="30"/>
      <c r="AC32" s="28"/>
      <c r="AD32" s="30"/>
      <c r="AE32" s="30"/>
      <c r="AF32" s="30"/>
      <c r="AG32" s="30"/>
      <c r="AH32" s="30"/>
      <c r="AI32" s="30"/>
      <c r="AJ32" s="30"/>
      <c r="AK32" s="28"/>
      <c r="AL32" s="30"/>
      <c r="AM32" s="30"/>
      <c r="AN32" s="30"/>
      <c r="AO32" s="28"/>
      <c r="AP32" s="30"/>
      <c r="AQ32" s="28"/>
      <c r="AR32" s="30"/>
      <c r="AS32" s="30"/>
      <c r="AT32" s="30"/>
      <c r="AU32" s="30"/>
      <c r="AV32" s="30"/>
      <c r="AW32" s="28"/>
      <c r="AX32" s="30"/>
      <c r="AY32" s="30"/>
      <c r="AZ32" s="30">
        <v>20</v>
      </c>
      <c r="BA32" s="30"/>
      <c r="BB32" s="30"/>
      <c r="BC32" s="29">
        <v>-20</v>
      </c>
      <c r="BD32" s="30"/>
      <c r="BE32" s="30"/>
      <c r="BF32" s="30"/>
      <c r="BG32" s="28"/>
      <c r="BH32" s="30"/>
      <c r="BI32" s="30"/>
      <c r="BJ32" s="30"/>
      <c r="BK32" s="30"/>
      <c r="BL32" s="30"/>
      <c r="BM32" s="29"/>
      <c r="BN32" s="30">
        <v>123</v>
      </c>
      <c r="BO32" s="30"/>
      <c r="BP32" s="30"/>
      <c r="BQ32" s="28">
        <v>-123</v>
      </c>
      <c r="BR32" s="30"/>
      <c r="BS32" s="30"/>
      <c r="BT32" s="30">
        <v>13</v>
      </c>
      <c r="BU32" s="30">
        <v>-12</v>
      </c>
      <c r="BV32" s="30"/>
      <c r="BW32" s="28"/>
      <c r="BX32" s="30"/>
      <c r="BY32" s="28"/>
      <c r="BZ32" s="30"/>
      <c r="CA32" s="28">
        <v>-60</v>
      </c>
      <c r="CB32" s="30">
        <v>60</v>
      </c>
      <c r="CC32" s="30">
        <f>-5-5</f>
        <v>-10</v>
      </c>
      <c r="CD32" s="30"/>
      <c r="CE32" s="28"/>
      <c r="CF32" s="30"/>
      <c r="CG32" s="28"/>
      <c r="CH32" s="30"/>
      <c r="CI32" s="30"/>
      <c r="CJ32" s="30">
        <v>145</v>
      </c>
      <c r="CK32" s="30"/>
      <c r="CL32" s="30"/>
      <c r="CM32" s="28">
        <v>-140</v>
      </c>
      <c r="CN32" s="30"/>
      <c r="CO32" s="28"/>
      <c r="CP32" s="30"/>
      <c r="CQ32" s="28"/>
      <c r="CR32" s="30"/>
      <c r="CS32" s="28"/>
    </row>
    <row r="33" spans="1:150" s="34" customFormat="1" x14ac:dyDescent="0.25">
      <c r="A33" s="2" t="s">
        <v>247</v>
      </c>
      <c r="B33" s="3" t="s">
        <v>111</v>
      </c>
      <c r="C33" s="3" t="s">
        <v>201</v>
      </c>
      <c r="D33" s="6">
        <f>SUM(G33:CS33)</f>
        <v>31</v>
      </c>
      <c r="E33" s="4">
        <v>0</v>
      </c>
      <c r="F33" s="4">
        <f>D33-E33</f>
        <v>31</v>
      </c>
      <c r="G33" s="92">
        <v>0</v>
      </c>
      <c r="H33" s="30"/>
      <c r="I33" s="30"/>
      <c r="J33" s="30"/>
      <c r="K33" s="30"/>
      <c r="L33" s="30"/>
      <c r="M33" s="28"/>
      <c r="N33" s="30"/>
      <c r="O33" s="30"/>
      <c r="P33" s="30"/>
      <c r="Q33" s="30"/>
      <c r="R33" s="30"/>
      <c r="S33" s="30"/>
      <c r="T33" s="30"/>
      <c r="U33" s="30"/>
      <c r="V33" s="30"/>
      <c r="W33" s="28"/>
      <c r="X33" s="30"/>
      <c r="Y33" s="30"/>
      <c r="Z33" s="30"/>
      <c r="AA33" s="30"/>
      <c r="AB33" s="30"/>
      <c r="AC33" s="28"/>
      <c r="AD33" s="30"/>
      <c r="AE33" s="30"/>
      <c r="AF33" s="30"/>
      <c r="AG33" s="28"/>
      <c r="AH33" s="30">
        <v>100</v>
      </c>
      <c r="AI33" s="30"/>
      <c r="AJ33" s="30"/>
      <c r="AK33" s="28">
        <v>-100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28"/>
      <c r="AX33" s="30"/>
      <c r="AY33" s="30"/>
      <c r="AZ33" s="30">
        <v>41</v>
      </c>
      <c r="BA33" s="30"/>
      <c r="BB33" s="30"/>
      <c r="BC33" s="29">
        <v>-20</v>
      </c>
      <c r="BD33" s="30">
        <v>100</v>
      </c>
      <c r="BE33" s="30"/>
      <c r="BF33" s="30"/>
      <c r="BG33" s="28">
        <v>-100</v>
      </c>
      <c r="BH33" s="30"/>
      <c r="BI33" s="30"/>
      <c r="BJ33" s="30"/>
      <c r="BK33" s="30"/>
      <c r="BL33" s="30"/>
      <c r="BM33" s="29"/>
      <c r="BN33" s="30"/>
      <c r="BO33" s="30"/>
      <c r="BP33" s="30"/>
      <c r="BQ33" s="30"/>
      <c r="BR33" s="30"/>
      <c r="BS33" s="28"/>
      <c r="BT33" s="30"/>
      <c r="BU33" s="30"/>
      <c r="BV33" s="30"/>
      <c r="BW33" s="30"/>
      <c r="BX33" s="30"/>
      <c r="BY33" s="30"/>
      <c r="BZ33" s="30"/>
      <c r="CA33" s="28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>
        <v>10</v>
      </c>
      <c r="CM33" s="30"/>
      <c r="CN33" s="30"/>
      <c r="CO33" s="30"/>
      <c r="CP33" s="30"/>
      <c r="CQ33" s="30"/>
      <c r="CR33" s="30"/>
      <c r="CS33" s="30"/>
    </row>
    <row r="34" spans="1:150" s="34" customFormat="1" x14ac:dyDescent="0.25">
      <c r="A34" s="2" t="s">
        <v>248</v>
      </c>
      <c r="B34" s="3" t="s">
        <v>240</v>
      </c>
      <c r="C34" s="3" t="s">
        <v>241</v>
      </c>
      <c r="D34" s="6">
        <f>SUM(G34:CS34)</f>
        <v>0</v>
      </c>
      <c r="E34" s="4">
        <v>50</v>
      </c>
      <c r="F34" s="4">
        <f>D34-E34</f>
        <v>-50</v>
      </c>
      <c r="G34" s="92">
        <v>0</v>
      </c>
      <c r="H34" s="30"/>
      <c r="I34" s="30"/>
      <c r="J34" s="30"/>
      <c r="K34" s="30"/>
      <c r="L34" s="30"/>
      <c r="M34" s="28"/>
      <c r="N34" s="30"/>
      <c r="O34" s="53"/>
      <c r="P34" s="53"/>
      <c r="Q34" s="53"/>
      <c r="R34" s="53">
        <v>6</v>
      </c>
      <c r="S34" s="30"/>
      <c r="T34" s="30"/>
      <c r="U34" s="30"/>
      <c r="V34" s="30"/>
      <c r="W34" s="30">
        <v>-6</v>
      </c>
      <c r="X34" s="30"/>
      <c r="Y34" s="30"/>
      <c r="Z34" s="30"/>
      <c r="AA34" s="30"/>
      <c r="AB34" s="30"/>
      <c r="AC34" s="28"/>
      <c r="AD34" s="30"/>
      <c r="AE34" s="30"/>
      <c r="AF34" s="30"/>
      <c r="AG34" s="30"/>
      <c r="AH34" s="30"/>
      <c r="AI34" s="30"/>
      <c r="AJ34" s="30"/>
      <c r="AK34" s="28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28"/>
      <c r="AX34" s="30"/>
      <c r="AY34" s="30"/>
      <c r="AZ34" s="30"/>
      <c r="BA34" s="30"/>
      <c r="BB34" s="30"/>
      <c r="BC34" s="29"/>
      <c r="BD34" s="30"/>
      <c r="BE34" s="30"/>
      <c r="BF34" s="30"/>
      <c r="BG34" s="30"/>
      <c r="BH34" s="30"/>
      <c r="BI34" s="30"/>
      <c r="BJ34" s="30"/>
      <c r="BK34" s="30"/>
      <c r="BL34" s="30"/>
      <c r="BM34" s="29"/>
      <c r="BN34" s="30"/>
      <c r="BO34" s="30"/>
      <c r="BP34" s="30"/>
      <c r="BQ34" s="30"/>
      <c r="BR34" s="30"/>
      <c r="BS34" s="30"/>
      <c r="BT34" s="30"/>
      <c r="BU34" s="30"/>
      <c r="BV34" s="30">
        <v>10</v>
      </c>
      <c r="BW34" s="30">
        <v>-10</v>
      </c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</row>
    <row r="35" spans="1:150" s="91" customFormat="1" ht="15.75" x14ac:dyDescent="0.25">
      <c r="A35" s="73">
        <v>5</v>
      </c>
      <c r="B35" s="82" t="s">
        <v>656</v>
      </c>
      <c r="C35" s="74"/>
      <c r="D35" s="75"/>
      <c r="E35" s="76"/>
      <c r="F35" s="76"/>
      <c r="G35" s="77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9"/>
      <c r="X35" s="78"/>
      <c r="Y35" s="78"/>
      <c r="Z35" s="78"/>
      <c r="AA35" s="78"/>
      <c r="AB35" s="78"/>
      <c r="AC35" s="79"/>
      <c r="AD35" s="78"/>
      <c r="AE35" s="78"/>
      <c r="AF35" s="78"/>
      <c r="AG35" s="78"/>
      <c r="AH35" s="78"/>
      <c r="AI35" s="78"/>
      <c r="AJ35" s="78"/>
      <c r="AK35" s="79"/>
      <c r="AL35" s="78"/>
      <c r="AM35" s="79"/>
      <c r="AN35" s="78"/>
      <c r="AO35" s="78"/>
      <c r="AP35" s="78"/>
      <c r="AQ35" s="78"/>
      <c r="AR35" s="78"/>
      <c r="AS35" s="78"/>
      <c r="AT35" s="78"/>
      <c r="AU35" s="79"/>
      <c r="AV35" s="78"/>
      <c r="AW35" s="79"/>
      <c r="AX35" s="78"/>
      <c r="AY35" s="78"/>
      <c r="AZ35" s="78"/>
      <c r="BA35" s="78"/>
      <c r="BB35" s="78"/>
      <c r="BC35" s="80"/>
      <c r="BD35" s="78"/>
      <c r="BE35" s="78"/>
      <c r="BF35" s="78"/>
      <c r="BG35" s="78"/>
      <c r="BH35" s="78"/>
      <c r="BI35" s="78"/>
      <c r="BJ35" s="78"/>
      <c r="BK35" s="78"/>
      <c r="BL35" s="78"/>
      <c r="BM35" s="80"/>
      <c r="BN35" s="78"/>
      <c r="BO35" s="78"/>
      <c r="BP35" s="78"/>
      <c r="BQ35" s="78"/>
      <c r="BR35" s="78"/>
      <c r="BS35" s="78"/>
      <c r="BT35" s="78"/>
      <c r="BU35" s="78"/>
      <c r="BV35" s="78"/>
      <c r="BW35" s="78"/>
      <c r="BX35" s="78"/>
      <c r="BY35" s="78"/>
      <c r="BZ35" s="78"/>
      <c r="CA35" s="78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</row>
    <row r="36" spans="1:150" s="34" customFormat="1" ht="15" customHeight="1" x14ac:dyDescent="0.25">
      <c r="A36" s="2" t="s">
        <v>657</v>
      </c>
      <c r="B36" s="3" t="s">
        <v>661</v>
      </c>
      <c r="C36" s="3" t="s">
        <v>662</v>
      </c>
      <c r="D36" s="6">
        <f t="shared" ref="D36:D44" si="4">SUM(G36:CS36)</f>
        <v>0</v>
      </c>
      <c r="E36" s="4">
        <v>0</v>
      </c>
      <c r="F36" s="4">
        <f t="shared" ref="F36:F44" si="5">D36-E36</f>
        <v>0</v>
      </c>
      <c r="G36" s="92">
        <v>0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>
        <v>25</v>
      </c>
      <c r="AC36" s="28">
        <v>-25</v>
      </c>
      <c r="AD36" s="30"/>
      <c r="AE36" s="30"/>
      <c r="AF36" s="30"/>
      <c r="AG36" s="30"/>
      <c r="AH36" s="30"/>
      <c r="AI36" s="30"/>
      <c r="AJ36" s="30">
        <v>85</v>
      </c>
      <c r="AK36" s="28">
        <v>-85</v>
      </c>
      <c r="AL36" s="30"/>
      <c r="AM36" s="28"/>
      <c r="AN36" s="30"/>
      <c r="AO36" s="30"/>
      <c r="AP36" s="30"/>
      <c r="AQ36" s="30"/>
      <c r="AR36" s="30"/>
      <c r="AS36" s="30"/>
      <c r="AT36" s="30">
        <v>80</v>
      </c>
      <c r="AU36" s="28"/>
      <c r="AV36" s="30"/>
      <c r="AW36" s="28">
        <v>-80</v>
      </c>
      <c r="AX36" s="30"/>
      <c r="AY36" s="30"/>
      <c r="AZ36" s="30"/>
      <c r="BA36" s="30"/>
      <c r="BB36" s="30"/>
      <c r="BC36" s="29"/>
      <c r="BD36" s="30"/>
      <c r="BE36" s="30"/>
      <c r="BF36" s="30"/>
      <c r="BG36" s="30"/>
      <c r="BH36" s="30"/>
      <c r="BI36" s="30"/>
      <c r="BJ36" s="30"/>
      <c r="BK36" s="30"/>
      <c r="BL36" s="30"/>
      <c r="BM36" s="29"/>
      <c r="BN36" s="30"/>
      <c r="BO36" s="30"/>
      <c r="BP36" s="30">
        <v>77</v>
      </c>
      <c r="BQ36" s="28">
        <v>-77</v>
      </c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>
        <v>175</v>
      </c>
      <c r="CM36" s="30">
        <v>-175</v>
      </c>
      <c r="CN36" s="30"/>
      <c r="CO36" s="30"/>
      <c r="CP36" s="30"/>
      <c r="CQ36" s="30"/>
      <c r="CR36" s="30"/>
      <c r="CS36" s="30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</row>
    <row r="37" spans="1:150" s="34" customFormat="1" x14ac:dyDescent="0.25">
      <c r="A37" s="2" t="s">
        <v>658</v>
      </c>
      <c r="B37" s="3" t="s">
        <v>846</v>
      </c>
      <c r="C37" s="3" t="s">
        <v>663</v>
      </c>
      <c r="D37" s="6">
        <f t="shared" si="4"/>
        <v>0</v>
      </c>
      <c r="E37" s="4">
        <v>0</v>
      </c>
      <c r="F37" s="4">
        <f t="shared" si="5"/>
        <v>0</v>
      </c>
      <c r="G37" s="92">
        <v>0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>
        <v>25</v>
      </c>
      <c r="AC37" s="28">
        <v>-25</v>
      </c>
      <c r="AD37" s="30"/>
      <c r="AE37" s="30"/>
      <c r="AF37" s="30"/>
      <c r="AG37" s="30"/>
      <c r="AH37" s="30"/>
      <c r="AI37" s="30"/>
      <c r="AJ37" s="30">
        <v>100</v>
      </c>
      <c r="AK37" s="28">
        <v>-100</v>
      </c>
      <c r="AL37" s="30"/>
      <c r="AM37" s="28"/>
      <c r="AN37" s="30"/>
      <c r="AO37" s="30"/>
      <c r="AP37" s="30"/>
      <c r="AQ37" s="30"/>
      <c r="AR37" s="30"/>
      <c r="AS37" s="30"/>
      <c r="AT37" s="30">
        <v>100</v>
      </c>
      <c r="AU37" s="28"/>
      <c r="AV37" s="30"/>
      <c r="AW37" s="28">
        <v>-100</v>
      </c>
      <c r="AX37" s="30"/>
      <c r="AY37" s="30"/>
      <c r="AZ37" s="30"/>
      <c r="BA37" s="30"/>
      <c r="BB37" s="30"/>
      <c r="BC37" s="29"/>
      <c r="BD37" s="30"/>
      <c r="BE37" s="30"/>
      <c r="BF37" s="30">
        <v>110</v>
      </c>
      <c r="BG37" s="28">
        <v>-110</v>
      </c>
      <c r="BH37" s="30"/>
      <c r="BI37" s="30"/>
      <c r="BJ37" s="30"/>
      <c r="BK37" s="30"/>
      <c r="BL37" s="30"/>
      <c r="BM37" s="29"/>
      <c r="BN37" s="30"/>
      <c r="BO37" s="30"/>
      <c r="BP37" s="30">
        <v>133</v>
      </c>
      <c r="BQ37" s="28">
        <v>-133</v>
      </c>
      <c r="BR37" s="30"/>
      <c r="BS37" s="28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>
        <v>145</v>
      </c>
      <c r="CM37" s="30">
        <v>-145</v>
      </c>
      <c r="CN37" s="30"/>
      <c r="CO37" s="30"/>
      <c r="CP37" s="30"/>
      <c r="CQ37" s="30"/>
      <c r="CR37" s="30"/>
      <c r="CS37" s="30"/>
    </row>
    <row r="38" spans="1:150" s="34" customFormat="1" x14ac:dyDescent="0.25">
      <c r="A38" s="2" t="s">
        <v>659</v>
      </c>
      <c r="B38" s="3" t="s">
        <v>847</v>
      </c>
      <c r="C38" s="3" t="s">
        <v>663</v>
      </c>
      <c r="D38" s="6">
        <f t="shared" ref="D38" si="6">SUM(G38:CS38)</f>
        <v>0</v>
      </c>
      <c r="E38" s="4">
        <v>0</v>
      </c>
      <c r="F38" s="4">
        <f t="shared" ref="F38" si="7">D38-E38</f>
        <v>0</v>
      </c>
      <c r="G38" s="92">
        <v>0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28"/>
      <c r="V38" s="30"/>
      <c r="W38" s="30"/>
      <c r="X38" s="30"/>
      <c r="Y38" s="30"/>
      <c r="Z38" s="30"/>
      <c r="AA38" s="30"/>
      <c r="AB38" s="30">
        <v>25</v>
      </c>
      <c r="AC38" s="28">
        <v>-25</v>
      </c>
      <c r="AD38" s="30"/>
      <c r="AE38" s="30"/>
      <c r="AF38" s="30"/>
      <c r="AG38" s="30"/>
      <c r="AH38" s="30"/>
      <c r="AI38" s="30"/>
      <c r="AJ38" s="30"/>
      <c r="AK38" s="28"/>
      <c r="AL38" s="30"/>
      <c r="AM38" s="28"/>
      <c r="AN38" s="30"/>
      <c r="AO38" s="28"/>
      <c r="AP38" s="30"/>
      <c r="AQ38" s="30"/>
      <c r="AR38" s="30"/>
      <c r="AS38" s="30"/>
      <c r="AT38" s="30"/>
      <c r="AU38" s="28"/>
      <c r="AV38" s="30"/>
      <c r="AW38" s="28"/>
      <c r="AX38" s="30"/>
      <c r="AY38" s="30"/>
      <c r="AZ38" s="30"/>
      <c r="BA38" s="30"/>
      <c r="BB38" s="30"/>
      <c r="BC38" s="29"/>
      <c r="BD38" s="30"/>
      <c r="BE38" s="30"/>
      <c r="BF38" s="30"/>
      <c r="BG38" s="28"/>
      <c r="BH38" s="30"/>
      <c r="BI38" s="30"/>
      <c r="BJ38" s="30"/>
      <c r="BK38" s="30"/>
      <c r="BL38" s="30"/>
      <c r="BM38" s="29"/>
      <c r="BN38" s="30"/>
      <c r="BO38" s="30"/>
      <c r="BP38" s="30"/>
      <c r="BQ38" s="28"/>
      <c r="BR38" s="30"/>
      <c r="BS38" s="28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28"/>
      <c r="CP38" s="30"/>
      <c r="CQ38" s="28"/>
      <c r="CR38" s="30"/>
      <c r="CS38" s="28"/>
    </row>
    <row r="39" spans="1:150" s="34" customFormat="1" x14ac:dyDescent="0.25">
      <c r="A39" s="2" t="s">
        <v>660</v>
      </c>
      <c r="B39" s="3" t="s">
        <v>665</v>
      </c>
      <c r="C39" s="3" t="s">
        <v>664</v>
      </c>
      <c r="D39" s="6">
        <f t="shared" si="4"/>
        <v>0</v>
      </c>
      <c r="E39" s="4">
        <v>0</v>
      </c>
      <c r="F39" s="4">
        <f t="shared" si="5"/>
        <v>0</v>
      </c>
      <c r="G39" s="92">
        <v>0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28"/>
      <c r="V39" s="30"/>
      <c r="W39" s="30"/>
      <c r="X39" s="30"/>
      <c r="Y39" s="30"/>
      <c r="Z39" s="30"/>
      <c r="AA39" s="30"/>
      <c r="AB39" s="30">
        <v>25</v>
      </c>
      <c r="AC39" s="28">
        <v>-25</v>
      </c>
      <c r="AD39" s="30"/>
      <c r="AE39" s="30"/>
      <c r="AF39" s="30"/>
      <c r="AG39" s="30"/>
      <c r="AH39" s="30"/>
      <c r="AI39" s="30"/>
      <c r="AJ39" s="30">
        <v>65</v>
      </c>
      <c r="AK39" s="28">
        <v>-65</v>
      </c>
      <c r="AL39" s="30"/>
      <c r="AM39" s="28"/>
      <c r="AN39" s="30"/>
      <c r="AO39" s="28"/>
      <c r="AP39" s="30"/>
      <c r="AQ39" s="30"/>
      <c r="AR39" s="30"/>
      <c r="AS39" s="30"/>
      <c r="AT39" s="30">
        <v>100</v>
      </c>
      <c r="AU39" s="28"/>
      <c r="AV39" s="30"/>
      <c r="AW39" s="28">
        <v>-100</v>
      </c>
      <c r="AX39" s="30"/>
      <c r="AY39" s="30"/>
      <c r="AZ39" s="30"/>
      <c r="BA39" s="30"/>
      <c r="BB39" s="30"/>
      <c r="BC39" s="29"/>
      <c r="BD39" s="30"/>
      <c r="BE39" s="30"/>
      <c r="BF39" s="30">
        <v>110</v>
      </c>
      <c r="BG39" s="28">
        <v>-110</v>
      </c>
      <c r="BH39" s="30"/>
      <c r="BI39" s="30"/>
      <c r="BJ39" s="30"/>
      <c r="BK39" s="30"/>
      <c r="BL39" s="30"/>
      <c r="BM39" s="29"/>
      <c r="BN39" s="30"/>
      <c r="BO39" s="30"/>
      <c r="BP39" s="30">
        <v>100</v>
      </c>
      <c r="BQ39" s="28">
        <v>-100</v>
      </c>
      <c r="BR39" s="30"/>
      <c r="BS39" s="28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>
        <v>165</v>
      </c>
      <c r="CM39" s="30">
        <v>-165</v>
      </c>
      <c r="CN39" s="30"/>
      <c r="CO39" s="28"/>
      <c r="CP39" s="30"/>
      <c r="CQ39" s="28"/>
      <c r="CR39" s="30"/>
      <c r="CS39" s="28"/>
    </row>
    <row r="40" spans="1:150" s="34" customFormat="1" x14ac:dyDescent="0.25">
      <c r="A40" s="2" t="s">
        <v>668</v>
      </c>
      <c r="B40" s="3" t="s">
        <v>666</v>
      </c>
      <c r="C40" s="3" t="s">
        <v>667</v>
      </c>
      <c r="D40" s="6">
        <f t="shared" si="4"/>
        <v>0</v>
      </c>
      <c r="E40" s="4">
        <v>0</v>
      </c>
      <c r="F40" s="4">
        <f t="shared" si="5"/>
        <v>0</v>
      </c>
      <c r="G40" s="92">
        <v>0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28"/>
      <c r="AD40" s="30"/>
      <c r="AE40" s="30"/>
      <c r="AF40" s="30"/>
      <c r="AG40" s="28"/>
      <c r="AH40" s="30"/>
      <c r="AI40" s="30"/>
      <c r="AJ40" s="30"/>
      <c r="AK40" s="28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28"/>
      <c r="AX40" s="30"/>
      <c r="AY40" s="30"/>
      <c r="AZ40" s="30"/>
      <c r="BA40" s="30"/>
      <c r="BB40" s="30"/>
      <c r="BC40" s="29"/>
      <c r="BD40" s="30"/>
      <c r="BE40" s="30"/>
      <c r="BF40" s="30"/>
      <c r="BG40" s="30"/>
      <c r="BH40" s="30"/>
      <c r="BI40" s="30"/>
      <c r="BJ40" s="30"/>
      <c r="BK40" s="30"/>
      <c r="BL40" s="30"/>
      <c r="BM40" s="29"/>
      <c r="BN40" s="30"/>
      <c r="BO40" s="30"/>
      <c r="BP40" s="30"/>
      <c r="BQ40" s="28"/>
      <c r="BR40" s="30"/>
      <c r="BS40" s="28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</row>
    <row r="41" spans="1:150" s="34" customFormat="1" ht="14.25" customHeight="1" x14ac:dyDescent="0.25">
      <c r="A41" s="2" t="s">
        <v>669</v>
      </c>
      <c r="B41" s="3" t="s">
        <v>672</v>
      </c>
      <c r="C41" s="3" t="s">
        <v>673</v>
      </c>
      <c r="D41" s="6">
        <f t="shared" si="4"/>
        <v>4</v>
      </c>
      <c r="E41" s="4">
        <v>0</v>
      </c>
      <c r="F41" s="4">
        <f t="shared" si="5"/>
        <v>4</v>
      </c>
      <c r="G41" s="92">
        <v>7</v>
      </c>
      <c r="H41" s="30"/>
      <c r="I41" s="30"/>
      <c r="J41" s="30"/>
      <c r="K41" s="30"/>
      <c r="L41" s="30"/>
      <c r="M41" s="30"/>
      <c r="N41" s="30"/>
      <c r="O41" s="30">
        <v>-1</v>
      </c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>
        <v>-1</v>
      </c>
      <c r="AL41" s="30"/>
      <c r="AM41" s="682">
        <v>-1</v>
      </c>
      <c r="AN41" s="30"/>
      <c r="AO41" s="30"/>
      <c r="AP41" s="30"/>
      <c r="AQ41" s="30"/>
      <c r="AR41" s="30"/>
      <c r="AS41" s="30"/>
      <c r="AT41" s="30"/>
      <c r="AU41" s="28"/>
      <c r="AV41" s="30"/>
      <c r="AW41" s="28"/>
      <c r="AX41" s="30"/>
      <c r="AY41" s="30"/>
      <c r="AZ41" s="30"/>
      <c r="BA41" s="30"/>
      <c r="BB41" s="30"/>
      <c r="BC41" s="29"/>
      <c r="BD41" s="30"/>
      <c r="BE41" s="30"/>
      <c r="BF41" s="30"/>
      <c r="BG41" s="30"/>
      <c r="BH41" s="30"/>
      <c r="BI41" s="30"/>
      <c r="BJ41" s="30"/>
      <c r="BK41" s="30"/>
      <c r="BL41" s="30"/>
      <c r="BM41" s="29"/>
      <c r="BN41" s="30"/>
      <c r="BO41" s="30"/>
      <c r="BP41" s="30"/>
      <c r="BQ41" s="28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28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</row>
    <row r="42" spans="1:150" s="34" customFormat="1" x14ac:dyDescent="0.25">
      <c r="A42" s="2" t="s">
        <v>670</v>
      </c>
      <c r="B42" s="3" t="s">
        <v>674</v>
      </c>
      <c r="C42" s="3" t="s">
        <v>675</v>
      </c>
      <c r="D42" s="6">
        <f t="shared" si="4"/>
        <v>3</v>
      </c>
      <c r="E42" s="4">
        <v>0</v>
      </c>
      <c r="F42" s="4">
        <f t="shared" si="5"/>
        <v>3</v>
      </c>
      <c r="G42" s="92">
        <v>5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28"/>
      <c r="AD42" s="30"/>
      <c r="AE42" s="30"/>
      <c r="AF42" s="30"/>
      <c r="AG42" s="30">
        <v>-2</v>
      </c>
      <c r="AH42" s="30"/>
      <c r="AI42" s="30"/>
      <c r="AJ42" s="30"/>
      <c r="AK42" s="30"/>
      <c r="AL42" s="30"/>
      <c r="AM42" s="682"/>
      <c r="AN42" s="30"/>
      <c r="AO42" s="30"/>
      <c r="AP42" s="30"/>
      <c r="AQ42" s="30"/>
      <c r="AR42" s="30"/>
      <c r="AS42" s="30"/>
      <c r="AT42" s="30"/>
      <c r="AU42" s="28"/>
      <c r="AV42" s="30"/>
      <c r="AW42" s="28"/>
      <c r="AX42" s="30"/>
      <c r="AY42" s="30"/>
      <c r="AZ42" s="30"/>
      <c r="BA42" s="30"/>
      <c r="BB42" s="30"/>
      <c r="BC42" s="29"/>
      <c r="BD42" s="30"/>
      <c r="BE42" s="30"/>
      <c r="BF42" s="30"/>
      <c r="BG42" s="30"/>
      <c r="BH42" s="30"/>
      <c r="BI42" s="30"/>
      <c r="BJ42" s="30"/>
      <c r="BK42" s="30"/>
      <c r="BL42" s="30"/>
      <c r="BM42" s="29"/>
      <c r="BN42" s="30"/>
      <c r="BO42" s="30"/>
      <c r="BP42" s="30"/>
      <c r="BQ42" s="30"/>
      <c r="BR42" s="30"/>
      <c r="BS42" s="28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28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</row>
    <row r="43" spans="1:150" s="34" customFormat="1" x14ac:dyDescent="0.25">
      <c r="A43" s="2" t="s">
        <v>671</v>
      </c>
      <c r="B43" s="3" t="s">
        <v>676</v>
      </c>
      <c r="C43" s="3" t="s">
        <v>678</v>
      </c>
      <c r="D43" s="6">
        <f t="shared" si="4"/>
        <v>1</v>
      </c>
      <c r="E43" s="4">
        <v>0</v>
      </c>
      <c r="F43" s="4">
        <f t="shared" si="5"/>
        <v>1</v>
      </c>
      <c r="G43" s="92">
        <v>1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8"/>
      <c r="V43" s="30"/>
      <c r="W43" s="30"/>
      <c r="X43" s="30"/>
      <c r="Y43" s="30"/>
      <c r="Z43" s="30"/>
      <c r="AA43" s="30"/>
      <c r="AB43" s="30"/>
      <c r="AC43" s="28"/>
      <c r="AD43" s="30"/>
      <c r="AE43" s="30"/>
      <c r="AF43" s="30"/>
      <c r="AG43" s="30"/>
      <c r="AH43" s="30"/>
      <c r="AI43" s="30"/>
      <c r="AJ43" s="30"/>
      <c r="AK43" s="30"/>
      <c r="AL43" s="30"/>
      <c r="AM43" s="682"/>
      <c r="AN43" s="30"/>
      <c r="AO43" s="28"/>
      <c r="AP43" s="30"/>
      <c r="AQ43" s="30"/>
      <c r="AR43" s="30"/>
      <c r="AS43" s="30"/>
      <c r="AT43" s="30"/>
      <c r="AU43" s="28"/>
      <c r="AV43" s="30"/>
      <c r="AW43" s="28"/>
      <c r="AX43" s="30"/>
      <c r="AY43" s="30"/>
      <c r="AZ43" s="30"/>
      <c r="BA43" s="30"/>
      <c r="BB43" s="30"/>
      <c r="BC43" s="29"/>
      <c r="BD43" s="30"/>
      <c r="BE43" s="30"/>
      <c r="BF43" s="30"/>
      <c r="BG43" s="30"/>
      <c r="BH43" s="30"/>
      <c r="BI43" s="30"/>
      <c r="BJ43" s="30"/>
      <c r="BK43" s="30"/>
      <c r="BL43" s="30"/>
      <c r="BM43" s="29"/>
      <c r="BN43" s="30"/>
      <c r="BO43" s="30"/>
      <c r="BP43" s="30"/>
      <c r="BQ43" s="30"/>
      <c r="BR43" s="30"/>
      <c r="BS43" s="28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28"/>
      <c r="CH43" s="30"/>
      <c r="CI43" s="30"/>
      <c r="CJ43" s="30"/>
      <c r="CK43" s="30"/>
      <c r="CL43" s="30"/>
      <c r="CM43" s="30"/>
      <c r="CN43" s="30"/>
      <c r="CO43" s="28"/>
      <c r="CP43" s="30"/>
      <c r="CQ43" s="28"/>
      <c r="CR43" s="30"/>
      <c r="CS43" s="28"/>
    </row>
    <row r="44" spans="1:150" s="34" customFormat="1" x14ac:dyDescent="0.25">
      <c r="A44" s="2" t="s">
        <v>848</v>
      </c>
      <c r="B44" s="3" t="s">
        <v>677</v>
      </c>
      <c r="C44" s="3" t="s">
        <v>679</v>
      </c>
      <c r="D44" s="6">
        <f t="shared" si="4"/>
        <v>1</v>
      </c>
      <c r="E44" s="4">
        <v>0</v>
      </c>
      <c r="F44" s="4">
        <f t="shared" si="5"/>
        <v>1</v>
      </c>
      <c r="G44" s="92">
        <v>1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28"/>
      <c r="AD44" s="30"/>
      <c r="AE44" s="30"/>
      <c r="AF44" s="30"/>
      <c r="AG44" s="28"/>
      <c r="AH44" s="30"/>
      <c r="AI44" s="30"/>
      <c r="AJ44" s="30"/>
      <c r="AK44" s="30"/>
      <c r="AL44" s="30"/>
      <c r="AM44" s="682"/>
      <c r="AN44" s="30"/>
      <c r="AO44" s="30"/>
      <c r="AP44" s="30"/>
      <c r="AQ44" s="30"/>
      <c r="AR44" s="30"/>
      <c r="AS44" s="30"/>
      <c r="AT44" s="30"/>
      <c r="AU44" s="30"/>
      <c r="AV44" s="30"/>
      <c r="AW44" s="28"/>
      <c r="AX44" s="30"/>
      <c r="AY44" s="30"/>
      <c r="AZ44" s="30"/>
      <c r="BA44" s="30"/>
      <c r="BB44" s="30"/>
      <c r="BC44" s="29"/>
      <c r="BD44" s="30"/>
      <c r="BE44" s="30"/>
      <c r="BF44" s="30"/>
      <c r="BG44" s="30"/>
      <c r="BH44" s="30"/>
      <c r="BI44" s="30"/>
      <c r="BJ44" s="30"/>
      <c r="BK44" s="30"/>
      <c r="BL44" s="30"/>
      <c r="BM44" s="29"/>
      <c r="BN44" s="30"/>
      <c r="BO44" s="30"/>
      <c r="BP44" s="30"/>
      <c r="BQ44" s="30"/>
      <c r="BR44" s="30"/>
      <c r="BS44" s="28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28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</row>
    <row r="45" spans="1:150" s="34" customFormat="1" x14ac:dyDescent="0.25">
      <c r="A45" s="2" t="s">
        <v>855</v>
      </c>
      <c r="B45" s="3" t="s">
        <v>849</v>
      </c>
      <c r="C45" s="3" t="s">
        <v>850</v>
      </c>
      <c r="D45" s="6">
        <f t="shared" ref="D45" si="8">SUM(G45:CS45)</f>
        <v>0</v>
      </c>
      <c r="E45" s="4">
        <v>0</v>
      </c>
      <c r="F45" s="4">
        <f t="shared" ref="F45" si="9">D45-E45</f>
        <v>0</v>
      </c>
      <c r="G45" s="92">
        <v>1</v>
      </c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28"/>
      <c r="AD45" s="30"/>
      <c r="AE45" s="30"/>
      <c r="AF45" s="30"/>
      <c r="AG45" s="28"/>
      <c r="AH45" s="30"/>
      <c r="AI45" s="30"/>
      <c r="AJ45" s="30"/>
      <c r="AK45" s="30"/>
      <c r="AL45" s="30"/>
      <c r="AM45" s="682">
        <v>-1</v>
      </c>
      <c r="AN45" s="30"/>
      <c r="AO45" s="30"/>
      <c r="AP45" s="30"/>
      <c r="AQ45" s="30"/>
      <c r="AR45" s="30"/>
      <c r="AS45" s="30"/>
      <c r="AT45" s="30"/>
      <c r="AU45" s="30"/>
      <c r="AV45" s="30"/>
      <c r="AW45" s="28"/>
      <c r="AX45" s="30"/>
      <c r="AY45" s="30"/>
      <c r="AZ45" s="30"/>
      <c r="BA45" s="30"/>
      <c r="BB45" s="30"/>
      <c r="BC45" s="29"/>
      <c r="BD45" s="30"/>
      <c r="BE45" s="30"/>
      <c r="BF45" s="30"/>
      <c r="BG45" s="30"/>
      <c r="BH45" s="30"/>
      <c r="BI45" s="30"/>
      <c r="BJ45" s="30"/>
      <c r="BK45" s="30"/>
      <c r="BL45" s="30"/>
      <c r="BM45" s="29"/>
      <c r="BN45" s="30"/>
      <c r="BO45" s="30"/>
      <c r="BP45" s="30"/>
      <c r="BQ45" s="30"/>
      <c r="BR45" s="30"/>
      <c r="BS45" s="28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28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</row>
    <row r="46" spans="1:150" s="34" customFormat="1" x14ac:dyDescent="0.25">
      <c r="A46" s="2" t="s">
        <v>856</v>
      </c>
      <c r="B46" s="3" t="s">
        <v>851</v>
      </c>
      <c r="C46" s="3" t="s">
        <v>852</v>
      </c>
      <c r="D46" s="6">
        <f t="shared" ref="D46" si="10">SUM(G46:CS46)</f>
        <v>0</v>
      </c>
      <c r="E46" s="4">
        <v>0</v>
      </c>
      <c r="F46" s="4">
        <f t="shared" ref="F46" si="11">D46-E46</f>
        <v>0</v>
      </c>
      <c r="G46" s="92">
        <v>1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28"/>
      <c r="AD46" s="30"/>
      <c r="AE46" s="30"/>
      <c r="AF46" s="30"/>
      <c r="AG46" s="28"/>
      <c r="AH46" s="30"/>
      <c r="AI46" s="30"/>
      <c r="AJ46" s="30"/>
      <c r="AK46" s="30"/>
      <c r="AL46" s="30"/>
      <c r="AM46" s="682">
        <v>-1</v>
      </c>
      <c r="AN46" s="30"/>
      <c r="AO46" s="30"/>
      <c r="AP46" s="30"/>
      <c r="AQ46" s="30"/>
      <c r="AR46" s="30"/>
      <c r="AS46" s="30"/>
      <c r="AT46" s="30"/>
      <c r="AU46" s="30"/>
      <c r="AV46" s="30"/>
      <c r="AW46" s="28"/>
      <c r="AX46" s="30"/>
      <c r="AY46" s="30"/>
      <c r="AZ46" s="30"/>
      <c r="BA46" s="30"/>
      <c r="BB46" s="30"/>
      <c r="BC46" s="29"/>
      <c r="BD46" s="30"/>
      <c r="BE46" s="30"/>
      <c r="BF46" s="30"/>
      <c r="BG46" s="30"/>
      <c r="BH46" s="30"/>
      <c r="BI46" s="30"/>
      <c r="BJ46" s="30"/>
      <c r="BK46" s="30"/>
      <c r="BL46" s="30"/>
      <c r="BM46" s="29"/>
      <c r="BN46" s="30"/>
      <c r="BO46" s="30"/>
      <c r="BP46" s="30"/>
      <c r="BQ46" s="30"/>
      <c r="BR46" s="30"/>
      <c r="BS46" s="28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28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</row>
    <row r="47" spans="1:150" s="34" customFormat="1" x14ac:dyDescent="0.25">
      <c r="A47" s="2" t="s">
        <v>857</v>
      </c>
      <c r="B47" s="3" t="s">
        <v>853</v>
      </c>
      <c r="C47" s="3" t="s">
        <v>854</v>
      </c>
      <c r="D47" s="6">
        <f t="shared" ref="D47" si="12">SUM(G47:CS47)</f>
        <v>0</v>
      </c>
      <c r="E47" s="4">
        <v>0</v>
      </c>
      <c r="F47" s="4">
        <f t="shared" ref="F47" si="13">D47-E47</f>
        <v>0</v>
      </c>
      <c r="G47" s="92">
        <v>1</v>
      </c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28"/>
      <c r="AD47" s="30"/>
      <c r="AE47" s="30"/>
      <c r="AF47" s="30"/>
      <c r="AG47" s="28"/>
      <c r="AH47" s="30"/>
      <c r="AI47" s="30"/>
      <c r="AJ47" s="30"/>
      <c r="AK47" s="30"/>
      <c r="AL47" s="30"/>
      <c r="AM47" s="682">
        <v>-1</v>
      </c>
      <c r="AN47" s="30"/>
      <c r="AO47" s="30"/>
      <c r="AP47" s="30"/>
      <c r="AQ47" s="30"/>
      <c r="AR47" s="30"/>
      <c r="AS47" s="30"/>
      <c r="AT47" s="30"/>
      <c r="AU47" s="30"/>
      <c r="AV47" s="30"/>
      <c r="AW47" s="28"/>
      <c r="AX47" s="30"/>
      <c r="AY47" s="30"/>
      <c r="AZ47" s="30"/>
      <c r="BA47" s="30"/>
      <c r="BB47" s="30"/>
      <c r="BC47" s="29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28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28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</row>
    <row r="48" spans="1:150" s="91" customFormat="1" x14ac:dyDescent="0.25">
      <c r="A48" s="85"/>
      <c r="B48" s="74"/>
      <c r="C48" s="74"/>
      <c r="D48" s="86"/>
      <c r="E48" s="76"/>
      <c r="F48" s="76"/>
      <c r="G48" s="77"/>
      <c r="H48" s="87"/>
      <c r="I48" s="88"/>
      <c r="J48" s="87"/>
      <c r="K48" s="88"/>
      <c r="L48" s="87"/>
      <c r="M48" s="87"/>
      <c r="N48" s="87"/>
      <c r="O48" s="88"/>
      <c r="P48" s="88"/>
      <c r="Q48" s="88"/>
      <c r="R48" s="87"/>
      <c r="S48" s="87"/>
      <c r="T48" s="87"/>
      <c r="U48" s="87"/>
      <c r="V48" s="88"/>
      <c r="W48" s="88"/>
      <c r="X48" s="87"/>
      <c r="Y48" s="89"/>
      <c r="Z48" s="88"/>
      <c r="AA48" s="88"/>
      <c r="AB48" s="87"/>
      <c r="AC48" s="89"/>
      <c r="AD48" s="87"/>
      <c r="AE48" s="88"/>
      <c r="AF48" s="87"/>
      <c r="AG48" s="87"/>
      <c r="AH48" s="87"/>
      <c r="AI48" s="88"/>
      <c r="AJ48" s="87"/>
      <c r="AK48" s="88"/>
      <c r="AL48" s="87"/>
      <c r="AM48" s="89"/>
      <c r="AN48" s="87"/>
      <c r="AO48" s="88"/>
      <c r="AP48" s="87"/>
      <c r="AQ48" s="88"/>
      <c r="AR48" s="87"/>
      <c r="AS48" s="88"/>
      <c r="AT48" s="87"/>
      <c r="AU48" s="88"/>
      <c r="AV48" s="87"/>
      <c r="AW48" s="88"/>
      <c r="AX48" s="87"/>
      <c r="AY48" s="88"/>
      <c r="AZ48" s="87"/>
      <c r="BA48" s="88"/>
      <c r="BB48" s="87"/>
      <c r="BC48" s="691"/>
      <c r="BD48" s="87"/>
      <c r="BE48" s="88"/>
      <c r="BF48" s="87"/>
      <c r="BG48" s="88"/>
      <c r="BH48" s="87"/>
      <c r="BI48" s="88"/>
      <c r="BJ48" s="87"/>
      <c r="BK48" s="88"/>
      <c r="BL48" s="87"/>
      <c r="BM48" s="87"/>
      <c r="BN48" s="87"/>
      <c r="BO48" s="88"/>
      <c r="BP48" s="87"/>
      <c r="BQ48" s="87"/>
      <c r="BR48" s="87"/>
      <c r="BS48" s="88"/>
      <c r="BT48" s="88"/>
      <c r="BU48" s="88"/>
      <c r="BV48" s="87"/>
      <c r="BW48" s="88"/>
      <c r="BX48" s="87"/>
      <c r="BY48" s="88"/>
      <c r="BZ48" s="87"/>
      <c r="CA48" s="88"/>
      <c r="CB48" s="87"/>
      <c r="CC48" s="87"/>
      <c r="CD48" s="87"/>
      <c r="CE48" s="87"/>
      <c r="CF48" s="87"/>
      <c r="CG48" s="87"/>
      <c r="CH48" s="87"/>
      <c r="CI48" s="87"/>
      <c r="CJ48" s="87"/>
      <c r="CK48" s="88"/>
      <c r="CL48" s="87"/>
      <c r="CM48" s="88"/>
      <c r="CN48" s="87"/>
      <c r="CO48" s="88"/>
      <c r="CP48" s="87"/>
      <c r="CQ48" s="88"/>
      <c r="CR48" s="87"/>
      <c r="CS48" s="88"/>
      <c r="CT48" s="90"/>
    </row>
    <row r="49" spans="1:97" s="34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 s="125"/>
      <c r="W49" s="62"/>
      <c r="X49"/>
      <c r="Y49"/>
      <c r="Z49" s="60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 s="64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7"/>
      <c r="BI49"/>
      <c r="BJ49"/>
      <c r="BK49" s="68"/>
      <c r="BL49"/>
      <c r="BM49"/>
      <c r="BN49"/>
      <c r="BO49" s="68"/>
      <c r="BP49"/>
      <c r="BQ49"/>
      <c r="BR49"/>
      <c r="BS49"/>
      <c r="BT49"/>
      <c r="BU49"/>
      <c r="BV49"/>
      <c r="BW49" s="56"/>
      <c r="BX49"/>
      <c r="BY49" s="63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 s="54"/>
    </row>
    <row r="50" spans="1:97" s="34" customFormat="1" x14ac:dyDescent="0.25">
      <c r="A50"/>
      <c r="B50"/>
      <c r="C50"/>
      <c r="D50" s="7"/>
      <c r="E50"/>
      <c r="F50"/>
      <c r="G50" s="396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 s="95"/>
      <c r="W50" s="62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 s="57"/>
      <c r="CJ50" s="46"/>
      <c r="CK50"/>
      <c r="CL50"/>
      <c r="CM50"/>
      <c r="CN50"/>
      <c r="CO50"/>
      <c r="CP50"/>
      <c r="CQ50"/>
      <c r="CR50"/>
      <c r="CS50" s="54"/>
    </row>
    <row r="51" spans="1:97" s="34" customFormat="1" x14ac:dyDescent="0.25">
      <c r="A51"/>
      <c r="B51"/>
      <c r="C51"/>
      <c r="D51" s="7"/>
      <c r="E51"/>
      <c r="F51"/>
      <c r="G51" s="396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 s="95"/>
      <c r="W51" s="62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 s="64"/>
      <c r="AO51"/>
      <c r="AP51" s="64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7"/>
      <c r="BI51"/>
      <c r="BJ51"/>
      <c r="BK51"/>
      <c r="BL51"/>
      <c r="BM51"/>
      <c r="BN51"/>
      <c r="BO51"/>
      <c r="BP51"/>
      <c r="BQ51"/>
      <c r="BR51"/>
      <c r="BS51"/>
      <c r="BT51"/>
      <c r="BU51" s="53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 s="54"/>
    </row>
    <row r="52" spans="1:97" s="34" customFormat="1" x14ac:dyDescent="0.25">
      <c r="A52"/>
      <c r="B52"/>
      <c r="C52"/>
      <c r="D52"/>
      <c r="E52"/>
      <c r="F52"/>
      <c r="H52"/>
      <c r="I52"/>
      <c r="J52"/>
      <c r="K52"/>
      <c r="L52"/>
      <c r="M52"/>
      <c r="N52"/>
      <c r="O52"/>
      <c r="P52"/>
      <c r="Q52"/>
      <c r="R52"/>
      <c r="S52">
        <v>9</v>
      </c>
      <c r="T52"/>
      <c r="U52"/>
      <c r="V52" s="62"/>
      <c r="W52" s="6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 s="54"/>
    </row>
    <row r="53" spans="1:97" s="34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 s="54"/>
    </row>
    <row r="54" spans="1:97" s="34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 s="6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 s="64"/>
      <c r="CH54"/>
      <c r="CI54"/>
      <c r="CJ54"/>
      <c r="CK54"/>
      <c r="CL54"/>
      <c r="CM54"/>
      <c r="CN54"/>
      <c r="CO54"/>
      <c r="CP54"/>
      <c r="CQ54"/>
      <c r="CR54"/>
      <c r="CS54"/>
    </row>
    <row r="55" spans="1:97" s="34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</row>
    <row r="56" spans="1:97" s="34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 s="64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</row>
  </sheetData>
  <mergeCells count="45">
    <mergeCell ref="CN4:CO4"/>
    <mergeCell ref="CP4:CQ4"/>
    <mergeCell ref="P4:Q4"/>
    <mergeCell ref="CL4:CM4"/>
    <mergeCell ref="CR4:CS4"/>
    <mergeCell ref="H4:I4"/>
    <mergeCell ref="X4:Y4"/>
    <mergeCell ref="V4:W4"/>
    <mergeCell ref="T4:U4"/>
    <mergeCell ref="J4:K4"/>
    <mergeCell ref="L4:M4"/>
    <mergeCell ref="N4:O4"/>
    <mergeCell ref="R4:S4"/>
    <mergeCell ref="Z4:AA4"/>
    <mergeCell ref="AB4:AC4"/>
    <mergeCell ref="AD4:AE4"/>
    <mergeCell ref="AF4:AG4"/>
    <mergeCell ref="AH4:AI4"/>
    <mergeCell ref="AT4:AU4"/>
    <mergeCell ref="AX4:AY4"/>
    <mergeCell ref="AZ4:BA4"/>
    <mergeCell ref="BB4:BC4"/>
    <mergeCell ref="AJ4:AK4"/>
    <mergeCell ref="AL4:AM4"/>
    <mergeCell ref="AN4:AO4"/>
    <mergeCell ref="AP4:AQ4"/>
    <mergeCell ref="AR4:AS4"/>
    <mergeCell ref="AV4:AW4"/>
    <mergeCell ref="BN4:BO4"/>
    <mergeCell ref="BP4:BQ4"/>
    <mergeCell ref="BR4:BS4"/>
    <mergeCell ref="BD4:BE4"/>
    <mergeCell ref="BF4:BG4"/>
    <mergeCell ref="BH4:BI4"/>
    <mergeCell ref="BJ4:BK4"/>
    <mergeCell ref="BL4:BM4"/>
    <mergeCell ref="BT4:BU4"/>
    <mergeCell ref="CJ4:CK4"/>
    <mergeCell ref="CF4:CG4"/>
    <mergeCell ref="CH4:CI4"/>
    <mergeCell ref="BV4:BW4"/>
    <mergeCell ref="BX4:BY4"/>
    <mergeCell ref="BZ4:CA4"/>
    <mergeCell ref="CB4:CC4"/>
    <mergeCell ref="CD4:CE4"/>
  </mergeCells>
  <conditionalFormatting sqref="F7:F8 F15:F17">
    <cfRule type="cellIs" dxfId="121" priority="143" operator="lessThanOrEqual">
      <formula>0</formula>
    </cfRule>
    <cfRule type="cellIs" dxfId="120" priority="144" operator="greaterThan">
      <formula>0</formula>
    </cfRule>
  </conditionalFormatting>
  <conditionalFormatting sqref="F18">
    <cfRule type="cellIs" dxfId="119" priority="95" operator="lessThanOrEqual">
      <formula>0</formula>
    </cfRule>
    <cfRule type="cellIs" dxfId="118" priority="96" operator="greaterThan">
      <formula>0</formula>
    </cfRule>
  </conditionalFormatting>
  <conditionalFormatting sqref="F20">
    <cfRule type="cellIs" dxfId="117" priority="63" operator="lessThanOrEqual">
      <formula>0</formula>
    </cfRule>
    <cfRule type="cellIs" dxfId="116" priority="64" operator="greaterThan">
      <formula>0</formula>
    </cfRule>
  </conditionalFormatting>
  <conditionalFormatting sqref="F9">
    <cfRule type="cellIs" dxfId="115" priority="75" operator="lessThanOrEqual">
      <formula>0</formula>
    </cfRule>
    <cfRule type="cellIs" dxfId="114" priority="76" operator="greaterThan">
      <formula>0</formula>
    </cfRule>
  </conditionalFormatting>
  <conditionalFormatting sqref="F10">
    <cfRule type="cellIs" dxfId="113" priority="73" operator="lessThanOrEqual">
      <formula>0</formula>
    </cfRule>
    <cfRule type="cellIs" dxfId="112" priority="74" operator="greaterThan">
      <formula>0</formula>
    </cfRule>
  </conditionalFormatting>
  <conditionalFormatting sqref="F13">
    <cfRule type="cellIs" dxfId="111" priority="69" operator="lessThanOrEqual">
      <formula>0</formula>
    </cfRule>
    <cfRule type="cellIs" dxfId="110" priority="70" operator="greaterThan">
      <formula>0</formula>
    </cfRule>
  </conditionalFormatting>
  <conditionalFormatting sqref="F33">
    <cfRule type="cellIs" dxfId="109" priority="33" operator="lessThanOrEqual">
      <formula>0</formula>
    </cfRule>
    <cfRule type="cellIs" dxfId="108" priority="34" operator="greaterThan">
      <formula>0</formula>
    </cfRule>
  </conditionalFormatting>
  <conditionalFormatting sqref="F14">
    <cfRule type="cellIs" dxfId="107" priority="67" operator="lessThanOrEqual">
      <formula>0</formula>
    </cfRule>
    <cfRule type="cellIs" dxfId="106" priority="68" operator="greaterThan">
      <formula>0</formula>
    </cfRule>
  </conditionalFormatting>
  <conditionalFormatting sqref="F19">
    <cfRule type="cellIs" dxfId="105" priority="65" operator="lessThanOrEqual">
      <formula>0</formula>
    </cfRule>
    <cfRule type="cellIs" dxfId="104" priority="66" operator="greaterThan">
      <formula>0</formula>
    </cfRule>
  </conditionalFormatting>
  <conditionalFormatting sqref="F32">
    <cfRule type="cellIs" dxfId="103" priority="35" operator="lessThanOrEqual">
      <formula>0</formula>
    </cfRule>
    <cfRule type="cellIs" dxfId="102" priority="36" operator="greaterThan">
      <formula>0</formula>
    </cfRule>
  </conditionalFormatting>
  <conditionalFormatting sqref="F21">
    <cfRule type="cellIs" dxfId="101" priority="57" operator="lessThanOrEqual">
      <formula>0</formula>
    </cfRule>
    <cfRule type="cellIs" dxfId="100" priority="58" operator="greaterThan">
      <formula>0</formula>
    </cfRule>
  </conditionalFormatting>
  <conditionalFormatting sqref="F23">
    <cfRule type="cellIs" dxfId="99" priority="53" operator="lessThanOrEqual">
      <formula>0</formula>
    </cfRule>
    <cfRule type="cellIs" dxfId="98" priority="54" operator="greaterThan">
      <formula>0</formula>
    </cfRule>
  </conditionalFormatting>
  <conditionalFormatting sqref="F24">
    <cfRule type="cellIs" dxfId="97" priority="51" operator="lessThanOrEqual">
      <formula>0</formula>
    </cfRule>
    <cfRule type="cellIs" dxfId="96" priority="52" operator="greaterThan">
      <formula>0</formula>
    </cfRule>
  </conditionalFormatting>
  <conditionalFormatting sqref="F25">
    <cfRule type="cellIs" dxfId="95" priority="49" operator="lessThanOrEqual">
      <formula>0</formula>
    </cfRule>
    <cfRule type="cellIs" dxfId="94" priority="50" operator="greaterThan">
      <formula>0</formula>
    </cfRule>
  </conditionalFormatting>
  <conditionalFormatting sqref="F27">
    <cfRule type="cellIs" dxfId="93" priority="47" operator="lessThanOrEqual">
      <formula>0</formula>
    </cfRule>
    <cfRule type="cellIs" dxfId="92" priority="48" operator="greaterThan">
      <formula>0</formula>
    </cfRule>
  </conditionalFormatting>
  <conditionalFormatting sqref="F28">
    <cfRule type="cellIs" dxfId="91" priority="43" operator="lessThanOrEqual">
      <formula>0</formula>
    </cfRule>
    <cfRule type="cellIs" dxfId="90" priority="44" operator="greaterThan">
      <formula>0</formula>
    </cfRule>
  </conditionalFormatting>
  <conditionalFormatting sqref="F30">
    <cfRule type="cellIs" dxfId="89" priority="39" operator="lessThanOrEqual">
      <formula>0</formula>
    </cfRule>
    <cfRule type="cellIs" dxfId="88" priority="40" operator="greaterThan">
      <formula>0</formula>
    </cfRule>
  </conditionalFormatting>
  <conditionalFormatting sqref="F31">
    <cfRule type="cellIs" dxfId="87" priority="37" operator="lessThanOrEqual">
      <formula>0</formula>
    </cfRule>
    <cfRule type="cellIs" dxfId="86" priority="38" operator="greaterThan">
      <formula>0</formula>
    </cfRule>
  </conditionalFormatting>
  <conditionalFormatting sqref="F34">
    <cfRule type="cellIs" dxfId="85" priority="31" operator="lessThanOrEqual">
      <formula>0</formula>
    </cfRule>
    <cfRule type="cellIs" dxfId="84" priority="32" operator="greaterThan">
      <formula>0</formula>
    </cfRule>
  </conditionalFormatting>
  <conditionalFormatting sqref="F26">
    <cfRule type="cellIs" dxfId="83" priority="29" operator="lessThanOrEqual">
      <formula>0</formula>
    </cfRule>
    <cfRule type="cellIs" dxfId="82" priority="30" operator="greaterThan">
      <formula>0</formula>
    </cfRule>
  </conditionalFormatting>
  <conditionalFormatting sqref="F11">
    <cfRule type="cellIs" dxfId="81" priority="25" operator="lessThanOrEqual">
      <formula>0</formula>
    </cfRule>
    <cfRule type="cellIs" dxfId="80" priority="26" operator="greaterThan">
      <formula>0</formula>
    </cfRule>
  </conditionalFormatting>
  <conditionalFormatting sqref="F40">
    <cfRule type="cellIs" dxfId="79" priority="17" operator="lessThanOrEqual">
      <formula>0</formula>
    </cfRule>
    <cfRule type="cellIs" dxfId="78" priority="18" operator="greaterThan">
      <formula>0</formula>
    </cfRule>
  </conditionalFormatting>
  <conditionalFormatting sqref="F39">
    <cfRule type="cellIs" dxfId="77" priority="19" operator="lessThanOrEqual">
      <formula>0</formula>
    </cfRule>
    <cfRule type="cellIs" dxfId="76" priority="20" operator="greaterThan">
      <formula>0</formula>
    </cfRule>
  </conditionalFormatting>
  <conditionalFormatting sqref="F36">
    <cfRule type="cellIs" dxfId="75" priority="23" operator="lessThanOrEqual">
      <formula>0</formula>
    </cfRule>
    <cfRule type="cellIs" dxfId="74" priority="24" operator="greaterThan">
      <formula>0</formula>
    </cfRule>
  </conditionalFormatting>
  <conditionalFormatting sqref="F37">
    <cfRule type="cellIs" dxfId="73" priority="21" operator="lessThanOrEqual">
      <formula>0</formula>
    </cfRule>
    <cfRule type="cellIs" dxfId="72" priority="22" operator="greaterThan">
      <formula>0</formula>
    </cfRule>
  </conditionalFormatting>
  <conditionalFormatting sqref="F44">
    <cfRule type="cellIs" dxfId="71" priority="9" operator="lessThanOrEqual">
      <formula>0</formula>
    </cfRule>
    <cfRule type="cellIs" dxfId="70" priority="10" operator="greaterThan">
      <formula>0</formula>
    </cfRule>
  </conditionalFormatting>
  <conditionalFormatting sqref="F43">
    <cfRule type="cellIs" dxfId="69" priority="11" operator="lessThanOrEqual">
      <formula>0</formula>
    </cfRule>
    <cfRule type="cellIs" dxfId="68" priority="12" operator="greaterThan">
      <formula>0</formula>
    </cfRule>
  </conditionalFormatting>
  <conditionalFormatting sqref="F41">
    <cfRule type="cellIs" dxfId="67" priority="15" operator="lessThanOrEqual">
      <formula>0</formula>
    </cfRule>
    <cfRule type="cellIs" dxfId="66" priority="16" operator="greaterThan">
      <formula>0</formula>
    </cfRule>
  </conditionalFormatting>
  <conditionalFormatting sqref="F42">
    <cfRule type="cellIs" dxfId="65" priority="13" operator="lessThanOrEqual">
      <formula>0</formula>
    </cfRule>
    <cfRule type="cellIs" dxfId="64" priority="14" operator="greaterThan">
      <formula>0</formula>
    </cfRule>
  </conditionalFormatting>
  <conditionalFormatting sqref="F38">
    <cfRule type="cellIs" dxfId="63" priority="7" operator="lessThanOrEqual">
      <formula>0</formula>
    </cfRule>
    <cfRule type="cellIs" dxfId="62" priority="8" operator="greaterThan">
      <formula>0</formula>
    </cfRule>
  </conditionalFormatting>
  <conditionalFormatting sqref="F45">
    <cfRule type="cellIs" dxfId="61" priority="5" operator="lessThanOrEqual">
      <formula>0</formula>
    </cfRule>
    <cfRule type="cellIs" dxfId="60" priority="6" operator="greaterThan">
      <formula>0</formula>
    </cfRule>
  </conditionalFormatting>
  <conditionalFormatting sqref="F46">
    <cfRule type="cellIs" dxfId="59" priority="3" operator="lessThanOrEqual">
      <formula>0</formula>
    </cfRule>
    <cfRule type="cellIs" dxfId="58" priority="4" operator="greaterThan">
      <formula>0</formula>
    </cfRule>
  </conditionalFormatting>
  <conditionalFormatting sqref="F47">
    <cfRule type="cellIs" dxfId="57" priority="1" operator="lessThanOrEqual">
      <formula>0</formula>
    </cfRule>
    <cfRule type="cellIs" dxfId="56" priority="2" operator="greaterThan">
      <formula>0</formula>
    </cfRule>
  </conditionalFormatting>
  <pageMargins left="0.7" right="0.7" top="0.75" bottom="0.75" header="0.3" footer="0.3"/>
  <pageSetup orientation="portrait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WWC38"/>
  <sheetViews>
    <sheetView showGridLines="0" tabSelected="1" zoomScale="70" zoomScaleNormal="70" workbookViewId="0">
      <pane xSplit="6" ySplit="5" topLeftCell="CD6" activePane="bottomRight" state="frozen"/>
      <selection activeCell="AU15" activeCellId="3" sqref="AW26 AT18 AT17 AU15"/>
      <selection pane="topRight" activeCell="AU15" activeCellId="3" sqref="AW26 AT18 AT17 AU15"/>
      <selection pane="bottomLeft" activeCell="AU15" activeCellId="3" sqref="AW26 AT18 AT17 AU15"/>
      <selection pane="bottomRight" activeCell="CY15" sqref="CY15"/>
    </sheetView>
  </sheetViews>
  <sheetFormatPr baseColWidth="10" defaultRowHeight="15" x14ac:dyDescent="0.25"/>
  <cols>
    <col min="1" max="1" width="4.7109375" customWidth="1"/>
    <col min="2" max="2" width="55.7109375" customWidth="1"/>
    <col min="3" max="3" width="18.7109375" customWidth="1"/>
    <col min="4" max="4" width="14.28515625" customWidth="1"/>
    <col min="5" max="5" width="18" customWidth="1"/>
    <col min="6" max="6" width="15.7109375" customWidth="1"/>
    <col min="7" max="7" width="21.42578125" customWidth="1"/>
    <col min="8" max="8" width="13.42578125" customWidth="1"/>
    <col min="9" max="9" width="13.5703125" customWidth="1"/>
    <col min="13" max="13" width="11.28515625" customWidth="1"/>
    <col min="16" max="16" width="11.5703125" bestFit="1" customWidth="1"/>
    <col min="17" max="17" width="11.5703125" customWidth="1"/>
    <col min="43" max="43" width="14.5703125" bestFit="1" customWidth="1"/>
    <col min="44" max="44" width="12.42578125" customWidth="1"/>
    <col min="72" max="72" width="13.42578125" customWidth="1"/>
  </cols>
  <sheetData>
    <row r="1" spans="1:93 16149:16149" ht="80.099999999999994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</row>
    <row r="2" spans="1:93 16149:16149" ht="26.25" x14ac:dyDescent="0.25">
      <c r="A2" s="9"/>
      <c r="B2" s="9" t="s">
        <v>23</v>
      </c>
      <c r="C2" s="9"/>
      <c r="D2" s="9"/>
      <c r="E2" s="42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</row>
    <row r="3" spans="1:93 16149:16149" x14ac:dyDescent="0.25">
      <c r="H3" s="54"/>
    </row>
    <row r="4" spans="1:93 16149:16149" x14ac:dyDescent="0.25">
      <c r="A4" s="22"/>
      <c r="B4" s="22"/>
      <c r="C4" s="22"/>
      <c r="D4" s="22"/>
      <c r="E4" s="22"/>
      <c r="F4" s="22"/>
      <c r="G4" s="72" t="s">
        <v>842</v>
      </c>
      <c r="H4" s="959">
        <v>44866</v>
      </c>
      <c r="I4" s="960"/>
      <c r="J4" s="959">
        <v>44867</v>
      </c>
      <c r="K4" s="960"/>
      <c r="L4" s="957">
        <v>44868</v>
      </c>
      <c r="M4" s="958"/>
      <c r="N4" s="957">
        <v>44869</v>
      </c>
      <c r="O4" s="958"/>
      <c r="P4" s="957">
        <v>44870</v>
      </c>
      <c r="Q4" s="958"/>
      <c r="R4" s="957">
        <v>44872</v>
      </c>
      <c r="S4" s="958"/>
      <c r="T4" s="957">
        <v>44873</v>
      </c>
      <c r="U4" s="958"/>
      <c r="V4" s="961">
        <v>44874</v>
      </c>
      <c r="W4" s="962"/>
      <c r="X4" s="959">
        <v>44875</v>
      </c>
      <c r="Y4" s="960"/>
      <c r="Z4" s="961">
        <v>44876</v>
      </c>
      <c r="AA4" s="962"/>
      <c r="AB4" s="957">
        <v>44877</v>
      </c>
      <c r="AC4" s="958"/>
      <c r="AD4" s="957">
        <v>44879</v>
      </c>
      <c r="AE4" s="958"/>
      <c r="AF4" s="957">
        <v>44880</v>
      </c>
      <c r="AG4" s="958"/>
      <c r="AH4" s="957">
        <v>44881</v>
      </c>
      <c r="AI4" s="958"/>
      <c r="AJ4" s="957">
        <v>44882</v>
      </c>
      <c r="AK4" s="958"/>
      <c r="AL4" s="957">
        <v>44883</v>
      </c>
      <c r="AM4" s="958"/>
      <c r="AN4" s="957">
        <v>44886</v>
      </c>
      <c r="AO4" s="958"/>
      <c r="AP4" s="957" t="s">
        <v>858</v>
      </c>
      <c r="AQ4" s="958"/>
      <c r="AR4" s="957">
        <v>44888</v>
      </c>
      <c r="AS4" s="958"/>
      <c r="AT4" s="957">
        <v>44889</v>
      </c>
      <c r="AU4" s="958"/>
      <c r="AV4" s="961">
        <v>44890</v>
      </c>
      <c r="AW4" s="962"/>
      <c r="AX4" s="960">
        <v>44893</v>
      </c>
      <c r="AY4" s="960"/>
      <c r="AZ4" s="961">
        <v>44894</v>
      </c>
      <c r="BA4" s="962"/>
      <c r="BB4" s="961">
        <v>44895</v>
      </c>
      <c r="BC4" s="962"/>
      <c r="BD4" s="961">
        <v>44896</v>
      </c>
      <c r="BE4" s="962"/>
      <c r="BF4" s="961">
        <v>44897</v>
      </c>
      <c r="BG4" s="962"/>
      <c r="BH4" s="961">
        <v>44900</v>
      </c>
      <c r="BI4" s="962"/>
      <c r="BJ4" s="961">
        <v>44901</v>
      </c>
      <c r="BK4" s="962"/>
      <c r="BL4" s="961">
        <v>44902</v>
      </c>
      <c r="BM4" s="962"/>
      <c r="BN4" s="959">
        <v>44903</v>
      </c>
      <c r="BO4" s="960"/>
      <c r="BP4" s="959">
        <v>44904</v>
      </c>
      <c r="BQ4" s="960"/>
      <c r="BR4" s="957">
        <v>44905</v>
      </c>
      <c r="BS4" s="958"/>
      <c r="BT4" s="957">
        <v>44907</v>
      </c>
      <c r="BU4" s="958"/>
      <c r="BV4" s="957">
        <v>44908</v>
      </c>
      <c r="BW4" s="958"/>
      <c r="BX4" s="957">
        <v>44909</v>
      </c>
      <c r="BY4" s="958"/>
      <c r="BZ4" s="957">
        <v>44910</v>
      </c>
      <c r="CA4" s="958"/>
      <c r="CB4" s="957">
        <v>44911</v>
      </c>
      <c r="CC4" s="958"/>
      <c r="CD4" s="957">
        <v>44912</v>
      </c>
      <c r="CE4" s="958"/>
      <c r="CF4" s="957">
        <v>44913</v>
      </c>
      <c r="CG4" s="958"/>
      <c r="CH4" s="959">
        <v>44914</v>
      </c>
      <c r="CI4" s="960"/>
      <c r="CJ4" s="959">
        <v>44915</v>
      </c>
      <c r="CK4" s="960"/>
      <c r="CL4" s="959">
        <v>44916</v>
      </c>
      <c r="CM4" s="960"/>
      <c r="CN4" s="959"/>
      <c r="CO4" s="960"/>
    </row>
    <row r="5" spans="1:93 16149:16149" ht="30" x14ac:dyDescent="0.25">
      <c r="A5" s="11" t="s">
        <v>6</v>
      </c>
      <c r="B5" s="11" t="s">
        <v>7</v>
      </c>
      <c r="C5" s="11" t="s">
        <v>41</v>
      </c>
      <c r="D5" s="11" t="s">
        <v>0</v>
      </c>
      <c r="E5" s="11" t="s">
        <v>1</v>
      </c>
      <c r="F5" s="11" t="s">
        <v>2</v>
      </c>
      <c r="G5" s="55" t="s">
        <v>244</v>
      </c>
      <c r="H5" s="11" t="s">
        <v>4</v>
      </c>
      <c r="I5" s="11" t="s">
        <v>5</v>
      </c>
      <c r="J5" s="11" t="s">
        <v>4</v>
      </c>
      <c r="K5" s="11" t="s">
        <v>5</v>
      </c>
      <c r="L5" s="11" t="s">
        <v>4</v>
      </c>
      <c r="M5" s="11" t="s">
        <v>5</v>
      </c>
      <c r="N5" s="11" t="s">
        <v>4</v>
      </c>
      <c r="O5" s="11" t="s">
        <v>5</v>
      </c>
      <c r="P5" s="11" t="s">
        <v>4</v>
      </c>
      <c r="Q5" s="11" t="s">
        <v>5</v>
      </c>
      <c r="R5" s="11" t="s">
        <v>4</v>
      </c>
      <c r="S5" s="11" t="s">
        <v>5</v>
      </c>
      <c r="T5" s="11" t="s">
        <v>4</v>
      </c>
      <c r="U5" s="11" t="s">
        <v>5</v>
      </c>
      <c r="V5" s="11" t="s">
        <v>4</v>
      </c>
      <c r="W5" s="11" t="s">
        <v>5</v>
      </c>
      <c r="X5" s="11" t="s">
        <v>4</v>
      </c>
      <c r="Y5" s="11" t="s">
        <v>5</v>
      </c>
      <c r="Z5" s="11" t="s">
        <v>4</v>
      </c>
      <c r="AA5" s="11" t="s">
        <v>5</v>
      </c>
      <c r="AB5" s="11" t="s">
        <v>4</v>
      </c>
      <c r="AC5" s="11" t="s">
        <v>5</v>
      </c>
      <c r="AD5" s="11" t="s">
        <v>4</v>
      </c>
      <c r="AE5" s="11" t="s">
        <v>5</v>
      </c>
      <c r="AF5" s="11" t="s">
        <v>4</v>
      </c>
      <c r="AG5" s="11" t="s">
        <v>5</v>
      </c>
      <c r="AH5" s="11" t="s">
        <v>4</v>
      </c>
      <c r="AI5" s="11" t="s">
        <v>5</v>
      </c>
      <c r="AJ5" s="11" t="s">
        <v>4</v>
      </c>
      <c r="AK5" s="11" t="s">
        <v>5</v>
      </c>
      <c r="AL5" s="11" t="s">
        <v>4</v>
      </c>
      <c r="AM5" s="11" t="s">
        <v>5</v>
      </c>
      <c r="AN5" s="11" t="s">
        <v>4</v>
      </c>
      <c r="AO5" s="11" t="s">
        <v>5</v>
      </c>
      <c r="AP5" s="11" t="s">
        <v>4</v>
      </c>
      <c r="AQ5" s="11" t="s">
        <v>5</v>
      </c>
      <c r="AR5" s="11" t="s">
        <v>4</v>
      </c>
      <c r="AS5" s="11" t="s">
        <v>5</v>
      </c>
      <c r="AT5" s="11" t="s">
        <v>4</v>
      </c>
      <c r="AU5" s="11" t="s">
        <v>5</v>
      </c>
      <c r="AV5" s="11" t="s">
        <v>4</v>
      </c>
      <c r="AW5" s="11" t="s">
        <v>5</v>
      </c>
      <c r="AX5" s="11" t="s">
        <v>4</v>
      </c>
      <c r="AY5" s="11" t="s">
        <v>5</v>
      </c>
      <c r="AZ5" s="11" t="s">
        <v>4</v>
      </c>
      <c r="BA5" s="11" t="s">
        <v>5</v>
      </c>
      <c r="BB5" s="11" t="s">
        <v>4</v>
      </c>
      <c r="BC5" s="11" t="s">
        <v>5</v>
      </c>
      <c r="BD5" s="11" t="s">
        <v>4</v>
      </c>
      <c r="BE5" s="11" t="s">
        <v>5</v>
      </c>
      <c r="BF5" s="11" t="s">
        <v>4</v>
      </c>
      <c r="BG5" s="11" t="s">
        <v>5</v>
      </c>
      <c r="BH5" s="11" t="s">
        <v>4</v>
      </c>
      <c r="BI5" s="11" t="s">
        <v>5</v>
      </c>
      <c r="BJ5" s="11" t="s">
        <v>4</v>
      </c>
      <c r="BK5" s="11" t="s">
        <v>5</v>
      </c>
      <c r="BL5" s="11" t="s">
        <v>4</v>
      </c>
      <c r="BM5" s="11" t="s">
        <v>5</v>
      </c>
      <c r="BN5" s="11" t="s">
        <v>4</v>
      </c>
      <c r="BO5" s="11" t="s">
        <v>5</v>
      </c>
      <c r="BP5" s="11" t="s">
        <v>4</v>
      </c>
      <c r="BQ5" s="11" t="s">
        <v>5</v>
      </c>
      <c r="BR5" s="11" t="s">
        <v>4</v>
      </c>
      <c r="BS5" s="11" t="s">
        <v>5</v>
      </c>
      <c r="BT5" s="11" t="s">
        <v>4</v>
      </c>
      <c r="BU5" s="11" t="s">
        <v>5</v>
      </c>
      <c r="BV5" s="11" t="s">
        <v>4</v>
      </c>
      <c r="BW5" s="11" t="s">
        <v>5</v>
      </c>
      <c r="BX5" s="11" t="s">
        <v>4</v>
      </c>
      <c r="BY5" s="11" t="s">
        <v>5</v>
      </c>
      <c r="BZ5" s="11" t="s">
        <v>4</v>
      </c>
      <c r="CA5" s="11" t="s">
        <v>5</v>
      </c>
      <c r="CB5" s="11" t="s">
        <v>4</v>
      </c>
      <c r="CC5" s="11" t="s">
        <v>5</v>
      </c>
      <c r="CD5" s="11" t="s">
        <v>4</v>
      </c>
      <c r="CE5" s="11" t="s">
        <v>5</v>
      </c>
      <c r="CF5" s="11" t="s">
        <v>4</v>
      </c>
      <c r="CG5" s="11" t="s">
        <v>5</v>
      </c>
      <c r="CH5" s="11" t="s">
        <v>4</v>
      </c>
      <c r="CI5" s="11" t="s">
        <v>5</v>
      </c>
      <c r="CJ5" s="11" t="s">
        <v>4</v>
      </c>
      <c r="CK5" s="11" t="s">
        <v>5</v>
      </c>
      <c r="CL5" s="11" t="s">
        <v>4</v>
      </c>
      <c r="CM5" s="11" t="s">
        <v>5</v>
      </c>
    </row>
    <row r="6" spans="1:93 16149:16149" s="81" customFormat="1" ht="18" customHeight="1" x14ac:dyDescent="0.25">
      <c r="A6" s="435">
        <v>1</v>
      </c>
      <c r="B6" s="436" t="s">
        <v>214</v>
      </c>
      <c r="C6" s="83"/>
      <c r="D6" s="75"/>
      <c r="E6" s="76"/>
      <c r="F6" s="75"/>
      <c r="G6" s="75"/>
      <c r="H6" s="77"/>
      <c r="I6" s="77"/>
      <c r="J6" s="84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8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</row>
    <row r="7" spans="1:93 16149:16149" ht="17.25" customHeight="1" x14ac:dyDescent="0.25">
      <c r="A7" s="2" t="s">
        <v>221</v>
      </c>
      <c r="B7" s="3" t="s">
        <v>215</v>
      </c>
      <c r="C7" s="3" t="s">
        <v>553</v>
      </c>
      <c r="D7" s="6">
        <f>SUM(G7:CM7)</f>
        <v>1417</v>
      </c>
      <c r="E7" s="4">
        <v>1000</v>
      </c>
      <c r="F7" s="4">
        <f>+D7-E7</f>
        <v>417</v>
      </c>
      <c r="G7" s="92">
        <v>1925</v>
      </c>
      <c r="H7" s="28"/>
      <c r="I7" s="5">
        <f>-'INVENTARIO PRODUCTO TERMINADO'!H7-'INVENTARIO PRODUCTO TERMINADO'!H8</f>
        <v>-376</v>
      </c>
      <c r="J7" s="5"/>
      <c r="K7" s="5">
        <f>-'INVENTARIO PRODUCTO TERMINADO'!J7-'INVENTARIO PRODUCTO TERMINADO'!J8</f>
        <v>0</v>
      </c>
      <c r="L7" s="5"/>
      <c r="M7" s="5">
        <f>-'INVENTARIO PRODUCTO TERMINADO'!L7-'INVENTARIO PRODUCTO TERMINADO'!L8</f>
        <v>0</v>
      </c>
      <c r="N7" s="5"/>
      <c r="O7" s="5">
        <f>-'INVENTARIO PRODUCTO TERMINADO'!N7-'INVENTARIO PRODUCTO TERMINADO'!N8</f>
        <v>0</v>
      </c>
      <c r="P7" s="5"/>
      <c r="Q7" s="5">
        <f>-'INVENTARIO PRODUCTO TERMINADO'!R7-'INVENTARIO PRODUCTO TERMINADO'!R8</f>
        <v>0</v>
      </c>
      <c r="R7" s="5"/>
      <c r="S7" s="5">
        <f>-'INVENTARIO PRODUCTO TERMINADO'!T7-'INVENTARIO PRODUCTO TERMINADO'!T8</f>
        <v>0</v>
      </c>
      <c r="T7" s="5"/>
      <c r="U7" s="5">
        <f>-'INVENTARIO PRODUCTO TERMINADO'!V7-'INVENTARIO PRODUCTO TERMINADO'!V8</f>
        <v>-250</v>
      </c>
      <c r="V7" s="5"/>
      <c r="W7" s="5">
        <f>-'INVENTARIO PRODUCTO TERMINADO'!X7-'INVENTARIO PRODUCTO TERMINADO'!X8</f>
        <v>0</v>
      </c>
      <c r="X7" s="5"/>
      <c r="Y7" s="5">
        <f>-'INVENTARIO PRODUCTO TERMINADO'!Z7-'INVENTARIO PRODUCTO TERMINADO'!Z8</f>
        <v>0</v>
      </c>
      <c r="Z7" s="5"/>
      <c r="AA7" s="5">
        <f>-'INVENTARIO PRODUCTO TERMINADO'!AB7-'INVENTARIO PRODUCTO TERMINADO'!AB8</f>
        <v>0</v>
      </c>
      <c r="AB7" s="5"/>
      <c r="AC7" s="5">
        <f>-'INVENTARIO PRODUCTO TERMINADO'!AD7-'INVENTARIO PRODUCTO TERMINADO'!AD8</f>
        <v>0</v>
      </c>
      <c r="AD7" s="5"/>
      <c r="AE7" s="5">
        <f>-'INVENTARIO PRODUCTO TERMINADO'!AF7-'INVENTARIO PRODUCTO TERMINADO'!AF8</f>
        <v>0</v>
      </c>
      <c r="AF7" s="5"/>
      <c r="AG7" s="5">
        <f>-'INVENTARIO PRODUCTO TERMINADO'!AH7-'INVENTARIO PRODUCTO TERMINADO'!AH8</f>
        <v>0</v>
      </c>
      <c r="AH7" s="5"/>
      <c r="AI7" s="5">
        <f>-'INVENTARIO PRODUCTO TERMINADO'!AJ7-'INVENTARIO PRODUCTO TERMINADO'!AJ8</f>
        <v>0</v>
      </c>
      <c r="AJ7" s="29"/>
      <c r="AK7" s="5">
        <f>-'INVENTARIO PRODUCTO TERMINADO'!AL7-'INVENTARIO PRODUCTO TERMINADO'!AL8</f>
        <v>0</v>
      </c>
      <c r="AL7" s="5"/>
      <c r="AM7" s="5">
        <f>-'INVENTARIO PRODUCTO TERMINADO'!AN7-'INVENTARIO PRODUCTO TERMINADO'!AN8</f>
        <v>-59</v>
      </c>
      <c r="AN7" s="5"/>
      <c r="AO7" s="5">
        <f>-'INVENTARIO PRODUCTO TERMINADO'!AP7-'INVENTARIO PRODUCTO TERMINADO'!AP8</f>
        <v>-100</v>
      </c>
      <c r="AP7" s="5"/>
      <c r="AQ7" s="5">
        <f>-'INVENTARIO PRODUCTO TERMINADO'!AR7-'INVENTARIO PRODUCTO TERMINADO'!AR8</f>
        <v>0</v>
      </c>
      <c r="AR7" s="5"/>
      <c r="AS7" s="5">
        <f>-'INVENTARIO PRODUCTO TERMINADO'!AT7-'INVENTARIO PRODUCTO TERMINADO'!AT8</f>
        <v>-120</v>
      </c>
      <c r="AT7" s="30"/>
      <c r="AU7" s="5">
        <f>-'INVENTARIO PRODUCTO TERMINADO'!AV7-'INVENTARIO PRODUCTO TERMINADO'!AV8</f>
        <v>0</v>
      </c>
      <c r="AV7" s="5"/>
      <c r="AW7" s="5">
        <f>-'INVENTARIO PRODUCTO TERMINADO'!AX7-'INVENTARIO PRODUCTO TERMINADO'!AX8</f>
        <v>0</v>
      </c>
      <c r="AX7" s="5"/>
      <c r="AY7" s="5">
        <f>-'INVENTARIO PRODUCTO TERMINADO'!AZ7-'INVENTARIO PRODUCTO TERMINADO'!AZ8</f>
        <v>-366</v>
      </c>
      <c r="AZ7" s="5"/>
      <c r="BA7" s="5">
        <f>-'INVENTARIO PRODUCTO TERMINADO'!BB7-'INVENTARIO PRODUCTO TERMINADO'!BB8</f>
        <v>0</v>
      </c>
      <c r="BB7" s="5"/>
      <c r="BC7" s="5">
        <f>-'INVENTARIO PRODUCTO TERMINADO'!BD7-'INVENTARIO PRODUCTO TERMINADO'!BD8</f>
        <v>0</v>
      </c>
      <c r="BD7" s="5"/>
      <c r="BE7" s="5">
        <f>-'INVENTARIO PRODUCTO TERMINADO'!BF7-'INVENTARIO PRODUCTO TERMINADO'!BF8</f>
        <v>-2</v>
      </c>
      <c r="BF7" s="5"/>
      <c r="BG7" s="5">
        <f>-'INVENTARIO PRODUCTO TERMINADO'!BH7-'INVENTARIO PRODUCTO TERMINADO'!BH8</f>
        <v>0</v>
      </c>
      <c r="BH7" s="5"/>
      <c r="BI7" s="5">
        <f>-'INVENTARIO PRODUCTO TERMINADO'!BJ7-'INVENTARIO PRODUCTO TERMINADO'!BJ8</f>
        <v>-10</v>
      </c>
      <c r="BJ7" s="5"/>
      <c r="BK7" s="5">
        <f>-'INVENTARIO PRODUCTO TERMINADO'!BL7-'INVENTARIO PRODUCTO TERMINADO'!BL8</f>
        <v>0</v>
      </c>
      <c r="BL7" s="5"/>
      <c r="BM7" s="5">
        <f>-'INVENTARIO PRODUCTO TERMINADO'!BN7-'INVENTARIO PRODUCTO TERMINADO'!BN8</f>
        <v>-430</v>
      </c>
      <c r="BN7" s="5"/>
      <c r="BO7" s="5">
        <f>-'INVENTARIO PRODUCTO TERMINADO'!BP7-'INVENTARIO PRODUCTO TERMINADO'!BP8</f>
        <v>0</v>
      </c>
      <c r="BP7" s="5"/>
      <c r="BQ7" s="5">
        <f>-'INVENTARIO PRODUCTO TERMINADO'!BR7-'INVENTARIO PRODUCTO TERMINADO'!BR8</f>
        <v>-595</v>
      </c>
      <c r="BR7" s="5">
        <v>1853</v>
      </c>
      <c r="BS7" s="5">
        <f>-'INVENTARIO PRODUCTO TERMINADO'!BT7-'INVENTARIO PRODUCTO TERMINADO'!BT8</f>
        <v>0</v>
      </c>
      <c r="BT7" s="5">
        <v>-50</v>
      </c>
      <c r="BU7" s="5">
        <f>-'INVENTARIO PRODUCTO TERMINADO'!BV7-'INVENTARIO PRODUCTO TERMINADO'!BV8</f>
        <v>0</v>
      </c>
      <c r="BV7" s="5"/>
      <c r="BW7" s="5">
        <f>-'INVENTARIO PRODUCTO TERMINADO'!BX7-'INVENTARIO PRODUCTO TERMINADO'!BX8</f>
        <v>0</v>
      </c>
      <c r="BX7" s="5"/>
      <c r="BY7" s="5">
        <f>-'INVENTARIO PRODUCTO TERMINADO'!BZ7-'INVENTARIO PRODUCTO TERMINADO'!BZ8</f>
        <v>0</v>
      </c>
      <c r="BZ7" s="5"/>
      <c r="CA7" s="5">
        <f>-'INVENTARIO PRODUCTO TERMINADO'!CB7-'INVENTARIO PRODUCTO TERMINADO'!CB8</f>
        <v>0</v>
      </c>
      <c r="CB7" s="5"/>
      <c r="CC7" s="5">
        <f>-'INVENTARIO PRODUCTO TERMINADO'!CD7-'INVENTARIO PRODUCTO TERMINADO'!CD8</f>
        <v>0</v>
      </c>
      <c r="CD7" s="28"/>
      <c r="CE7" s="5">
        <f>-'INVENTARIO PRODUCTO TERMINADO'!CF7-'INVENTARIO PRODUCTO TERMINADO'!CF8</f>
        <v>0</v>
      </c>
      <c r="CF7" s="5"/>
      <c r="CG7" s="5">
        <f>-'INVENTARIO PRODUCTO TERMINADO'!CH7-'INVENTARIO PRODUCTO TERMINADO'!CH8</f>
        <v>0</v>
      </c>
      <c r="CH7" s="5"/>
      <c r="CI7" s="5">
        <f>-'INVENTARIO PRODUCTO TERMINADO'!CJ7-'INVENTARIO PRODUCTO TERMINADO'!CJ8</f>
        <v>0</v>
      </c>
      <c r="CJ7" s="5"/>
      <c r="CK7" s="5">
        <f>-'INVENTARIO PRODUCTO TERMINADO'!CL7-'INVENTARIO PRODUCTO TERMINADO'!CL8</f>
        <v>0</v>
      </c>
      <c r="CL7" s="5">
        <v>-3</v>
      </c>
      <c r="CM7" s="5">
        <f>-'INVENTARIO PRODUCTO TERMINADO'!CR7-'INVENTARIO PRODUCTO TERMINADO'!CR8</f>
        <v>0</v>
      </c>
    </row>
    <row r="8" spans="1:93 16149:16149" x14ac:dyDescent="0.25">
      <c r="A8" s="2" t="s">
        <v>219</v>
      </c>
      <c r="B8" s="3" t="s">
        <v>216</v>
      </c>
      <c r="C8" s="3" t="s">
        <v>198</v>
      </c>
      <c r="D8" s="6">
        <f>SUM(G8:CM8)</f>
        <v>81</v>
      </c>
      <c r="E8" s="4">
        <v>100</v>
      </c>
      <c r="F8" s="4">
        <f>+D8-E8</f>
        <v>-19</v>
      </c>
      <c r="G8" s="92">
        <v>100</v>
      </c>
      <c r="H8" s="5"/>
      <c r="I8" s="5">
        <f>-'INVENTARIO PRODUCTO TERMINADO'!H9</f>
        <v>0</v>
      </c>
      <c r="J8" s="5"/>
      <c r="K8" s="5">
        <f>-'INVENTARIO PRODUCTO TERMINADO'!J9</f>
        <v>0</v>
      </c>
      <c r="L8" s="5"/>
      <c r="M8" s="5">
        <f>-'INVENTARIO PRODUCTO TERMINADO'!L9</f>
        <v>0</v>
      </c>
      <c r="N8" s="5"/>
      <c r="O8" s="5">
        <f>-'INVENTARIO PRODUCTO TERMINADO'!N9</f>
        <v>0</v>
      </c>
      <c r="P8" s="5"/>
      <c r="Q8" s="5">
        <f>-'INVENTARIO PRODUCTO TERMINADO'!R9</f>
        <v>0</v>
      </c>
      <c r="R8" s="5"/>
      <c r="S8" s="5">
        <f>-'INVENTARIO PRODUCTO TERMINADO'!T9</f>
        <v>0</v>
      </c>
      <c r="T8" s="5"/>
      <c r="U8" s="5">
        <f>-'INVENTARIO PRODUCTO TERMINADO'!V9</f>
        <v>0</v>
      </c>
      <c r="V8" s="5"/>
      <c r="W8" s="5">
        <f>-'INVENTARIO PRODUCTO TERMINADO'!X9</f>
        <v>0</v>
      </c>
      <c r="X8" s="5"/>
      <c r="Y8" s="5">
        <f>-'INVENTARIO PRODUCTO TERMINADO'!Z9</f>
        <v>0</v>
      </c>
      <c r="Z8" s="30"/>
      <c r="AA8" s="5">
        <f>-'INVENTARIO PRODUCTO TERMINADO'!AB9</f>
        <v>0</v>
      </c>
      <c r="AB8" s="5"/>
      <c r="AC8" s="5">
        <f>-'INVENTARIO PRODUCTO TERMINADO'!AD9</f>
        <v>0</v>
      </c>
      <c r="AD8" s="5"/>
      <c r="AE8" s="5">
        <f>-'INVENTARIO PRODUCTO TERMINADO'!AF9</f>
        <v>0</v>
      </c>
      <c r="AF8" s="5"/>
      <c r="AG8" s="5">
        <f>-'INVENTARIO PRODUCTO TERMINADO'!AH9</f>
        <v>0</v>
      </c>
      <c r="AH8" s="5"/>
      <c r="AI8" s="5">
        <f>-'INVENTARIO PRODUCTO TERMINADO'!AJ9</f>
        <v>0</v>
      </c>
      <c r="AJ8" s="29"/>
      <c r="AK8" s="5">
        <f>-'INVENTARIO PRODUCTO TERMINADO'!AL9</f>
        <v>0</v>
      </c>
      <c r="AL8" s="5"/>
      <c r="AM8" s="5">
        <f>-'INVENTARIO PRODUCTO TERMINADO'!AN9</f>
        <v>0</v>
      </c>
      <c r="AN8" s="5"/>
      <c r="AO8" s="5">
        <f>-'INVENTARIO PRODUCTO TERMINADO'!AP9</f>
        <v>0</v>
      </c>
      <c r="AP8" s="5"/>
      <c r="AQ8" s="5">
        <f>-'INVENTARIO PRODUCTO TERMINADO'!AR9</f>
        <v>0</v>
      </c>
      <c r="AR8" s="5"/>
      <c r="AS8" s="5">
        <f>-'INVENTARIO PRODUCTO TERMINADO'!AT9</f>
        <v>0</v>
      </c>
      <c r="AT8" s="30"/>
      <c r="AU8" s="5">
        <f>-'INVENTARIO PRODUCTO TERMINADO'!AV9</f>
        <v>0</v>
      </c>
      <c r="AV8" s="5"/>
      <c r="AW8" s="5">
        <f>-'INVENTARIO PRODUCTO TERMINADO'!AX9</f>
        <v>0</v>
      </c>
      <c r="AX8" s="5"/>
      <c r="AY8" s="5">
        <f>-'INVENTARIO PRODUCTO TERMINADO'!AZ9</f>
        <v>0</v>
      </c>
      <c r="AZ8" s="5"/>
      <c r="BA8" s="5">
        <f>-'INVENTARIO PRODUCTO TERMINADO'!BB9</f>
        <v>0</v>
      </c>
      <c r="BB8" s="5"/>
      <c r="BC8" s="5">
        <f>-'INVENTARIO PRODUCTO TERMINADO'!BD9</f>
        <v>-67</v>
      </c>
      <c r="BD8" s="5"/>
      <c r="BE8" s="5">
        <f>-'INVENTARIO PRODUCTO TERMINADO'!BF9</f>
        <v>0</v>
      </c>
      <c r="BF8" s="5"/>
      <c r="BG8" s="5">
        <f>-'INVENTARIO PRODUCTO TERMINADO'!BH9</f>
        <v>0</v>
      </c>
      <c r="BH8" s="5"/>
      <c r="BI8" s="5">
        <f>-'INVENTARIO PRODUCTO TERMINADO'!BJ9</f>
        <v>0</v>
      </c>
      <c r="BJ8" s="5">
        <v>48</v>
      </c>
      <c r="BK8" s="5">
        <f>-'INVENTARIO PRODUCTO TERMINADO'!BL9</f>
        <v>0</v>
      </c>
      <c r="BL8" s="5"/>
      <c r="BM8" s="5">
        <f>-'INVENTARIO PRODUCTO TERMINADO'!BN9</f>
        <v>0</v>
      </c>
      <c r="BN8" s="5"/>
      <c r="BO8" s="5">
        <f>-'INVENTARIO PRODUCTO TERMINADO'!BP9</f>
        <v>0</v>
      </c>
      <c r="BP8" s="28"/>
      <c r="BQ8" s="5">
        <f>-'INVENTARIO PRODUCTO TERMINADO'!BR8-'INVENTARIO PRODUCTO TERMINADO'!BR9</f>
        <v>0</v>
      </c>
      <c r="BR8" s="5"/>
      <c r="BS8" s="5">
        <f>-'INVENTARIO PRODUCTO TERMINADO'!BT9</f>
        <v>0</v>
      </c>
      <c r="BT8" s="5"/>
      <c r="BU8" s="5">
        <f>-'INVENTARIO PRODUCTO TERMINADO'!BV9</f>
        <v>0</v>
      </c>
      <c r="BV8" s="5"/>
      <c r="BW8" s="5">
        <f>-'INVENTARIO PRODUCTO TERMINADO'!BX9</f>
        <v>0</v>
      </c>
      <c r="BX8" s="5"/>
      <c r="BY8" s="5">
        <f>-'INVENTARIO PRODUCTO TERMINADO'!BZ9</f>
        <v>0</v>
      </c>
      <c r="BZ8" s="5"/>
      <c r="CA8" s="5">
        <f>-'INVENTARIO PRODUCTO TERMINADO'!CB9</f>
        <v>0</v>
      </c>
      <c r="CB8" s="5"/>
      <c r="CC8" s="5">
        <f>-'INVENTARIO PRODUCTO TERMINADO'!CD9</f>
        <v>0</v>
      </c>
      <c r="CD8" s="5"/>
      <c r="CE8" s="5">
        <f>-'INVENTARIO PRODUCTO TERMINADO'!CF9</f>
        <v>0</v>
      </c>
      <c r="CF8" s="5"/>
      <c r="CG8" s="5">
        <f>-'INVENTARIO PRODUCTO TERMINADO'!CH9</f>
        <v>0</v>
      </c>
      <c r="CH8" s="5"/>
      <c r="CI8" s="5">
        <f>-'INVENTARIO PRODUCTO TERMINADO'!CJ9</f>
        <v>0</v>
      </c>
      <c r="CJ8" s="5"/>
      <c r="CK8" s="5">
        <f>-'INVENTARIO PRODUCTO TERMINADO'!CL9</f>
        <v>0</v>
      </c>
      <c r="CM8" s="5">
        <f>-'INVENTARIO PRODUCTO TERMINADO'!CR9</f>
        <v>0</v>
      </c>
      <c r="WWC8" s="5" t="e">
        <f>-'INVENTARIO PRODUCTO TERMINADO'!#REF!</f>
        <v>#REF!</v>
      </c>
    </row>
    <row r="9" spans="1:93 16149:16149" x14ac:dyDescent="0.25">
      <c r="A9" s="402" t="s">
        <v>220</v>
      </c>
      <c r="B9" s="3" t="s">
        <v>179</v>
      </c>
      <c r="C9" s="23" t="s">
        <v>188</v>
      </c>
      <c r="D9" s="6">
        <f>SUM(G9:CM9)</f>
        <v>845</v>
      </c>
      <c r="E9" s="4">
        <v>600</v>
      </c>
      <c r="F9" s="4">
        <f>+D9-E9</f>
        <v>245</v>
      </c>
      <c r="G9" s="92">
        <v>625</v>
      </c>
      <c r="H9" s="5"/>
      <c r="I9" s="5">
        <f>-'INVENTARIO PRODUCTO TERMINADO'!H9</f>
        <v>0</v>
      </c>
      <c r="J9" s="5"/>
      <c r="K9" s="5">
        <f>-'INVENTARIO PRODUCTO TERMINADO'!J10</f>
        <v>-100</v>
      </c>
      <c r="L9" s="5"/>
      <c r="M9" s="5">
        <f>-'INVENTARIO PRODUCTO TERMINADO'!L10</f>
        <v>-50</v>
      </c>
      <c r="N9" s="5">
        <v>298</v>
      </c>
      <c r="O9" s="5">
        <f>-'INVENTARIO PRODUCTO TERMINADO'!N10</f>
        <v>-70</v>
      </c>
      <c r="P9" s="5"/>
      <c r="Q9" s="5">
        <f>-'INVENTARIO PRODUCTO TERMINADO'!R10</f>
        <v>-170</v>
      </c>
      <c r="R9" s="5"/>
      <c r="S9" s="5">
        <f>-'INVENTARIO PRODUCTO TERMINADO'!T10</f>
        <v>-110</v>
      </c>
      <c r="T9" s="5"/>
      <c r="U9" s="5">
        <f>-'INVENTARIO PRODUCTO TERMINADO'!V10</f>
        <v>-130</v>
      </c>
      <c r="V9" s="5"/>
      <c r="W9" s="5">
        <f>-'INVENTARIO PRODUCTO TERMINADO'!X10</f>
        <v>0</v>
      </c>
      <c r="X9" s="5"/>
      <c r="Y9" s="5">
        <f>-'INVENTARIO PRODUCTO TERMINADO'!Z10</f>
        <v>-150</v>
      </c>
      <c r="Z9" s="5"/>
      <c r="AA9" s="5">
        <f>-'INVENTARIO PRODUCTO TERMINADO'!AB10</f>
        <v>-170</v>
      </c>
      <c r="AB9" s="5">
        <f>877+202</f>
        <v>1079</v>
      </c>
      <c r="AC9" s="5">
        <f>-'INVENTARIO PRODUCTO TERMINADO'!AD10</f>
        <v>0</v>
      </c>
      <c r="AD9" s="5"/>
      <c r="AE9" s="5">
        <f>-'INVENTARIO PRODUCTO TERMINADO'!AF10</f>
        <v>-160</v>
      </c>
      <c r="AF9" s="5"/>
      <c r="AG9" s="5">
        <f>-'INVENTARIO PRODUCTO TERMINADO'!AH10</f>
        <v>-250</v>
      </c>
      <c r="AH9" s="5"/>
      <c r="AI9" s="5">
        <f>-'INVENTARIO PRODUCTO TERMINADO'!AJ10</f>
        <v>0</v>
      </c>
      <c r="AJ9" s="5"/>
      <c r="AK9" s="5">
        <f>-'INVENTARIO PRODUCTO TERMINADO'!AL10</f>
        <v>0</v>
      </c>
      <c r="AL9" s="5"/>
      <c r="AM9" s="5">
        <f>-'INVENTARIO PRODUCTO TERMINADO'!AN10</f>
        <v>-140</v>
      </c>
      <c r="AN9" s="5"/>
      <c r="AO9" s="5">
        <f>-'INVENTARIO PRODUCTO TERMINADO'!AP10</f>
        <v>-250</v>
      </c>
      <c r="AP9" s="5"/>
      <c r="AQ9" s="5">
        <f>-'INVENTARIO PRODUCTO TERMINADO'!AR10</f>
        <v>0</v>
      </c>
      <c r="AR9" s="5"/>
      <c r="AS9" s="5">
        <f>-'INVENTARIO PRODUCTO TERMINADO'!AT10</f>
        <v>-120</v>
      </c>
      <c r="AT9" s="30"/>
      <c r="AU9" s="5">
        <f>-'INVENTARIO PRODUCTO TERMINADO'!AV10</f>
        <v>-140</v>
      </c>
      <c r="AV9" s="5"/>
      <c r="AW9" s="5">
        <f>-'INVENTARIO PRODUCTO TERMINADO'!AX10</f>
        <v>0</v>
      </c>
      <c r="AX9" s="5">
        <v>1000</v>
      </c>
      <c r="AY9" s="5">
        <f>-'INVENTARIO PRODUCTO TERMINADO'!AZ10</f>
        <v>0</v>
      </c>
      <c r="AZ9" s="5"/>
      <c r="BA9" s="5">
        <f>-'INVENTARIO PRODUCTO TERMINADO'!BB10</f>
        <v>-130</v>
      </c>
      <c r="BB9" s="5"/>
      <c r="BC9" s="5">
        <f>-'INVENTARIO PRODUCTO TERMINADO'!BD10</f>
        <v>-50</v>
      </c>
      <c r="BD9" s="5"/>
      <c r="BE9" s="5">
        <f>-'INVENTARIO PRODUCTO TERMINADO'!BF10</f>
        <v>-180</v>
      </c>
      <c r="BF9" s="5"/>
      <c r="BG9" s="5">
        <f>-'INVENTARIO PRODUCTO TERMINADO'!BH10</f>
        <v>0</v>
      </c>
      <c r="BH9" s="5">
        <v>650</v>
      </c>
      <c r="BI9" s="5">
        <f>-'INVENTARIO PRODUCTO TERMINADO'!BJ10</f>
        <v>0</v>
      </c>
      <c r="BJ9" s="5"/>
      <c r="BK9" s="5">
        <f>-'INVENTARIO PRODUCTO TERMINADO'!BL10</f>
        <v>-303</v>
      </c>
      <c r="BL9" s="5"/>
      <c r="BM9" s="5">
        <f>-'INVENTARIO PRODUCTO TERMINADO'!BN10</f>
        <v>-270</v>
      </c>
      <c r="BN9" s="5">
        <v>-300</v>
      </c>
      <c r="BO9" s="5">
        <f>-'INVENTARIO PRODUCTO TERMINADO'!BP10</f>
        <v>-255</v>
      </c>
      <c r="BP9" s="5"/>
      <c r="BQ9" s="5">
        <f>-'INVENTARIO PRODUCTO TERMINADO'!BR10</f>
        <v>0</v>
      </c>
      <c r="BR9" s="5">
        <v>879</v>
      </c>
      <c r="BS9" s="5">
        <f>-'INVENTARIO PRODUCTO TERMINADO'!BT10</f>
        <v>-110</v>
      </c>
      <c r="BT9" s="5"/>
      <c r="BU9" s="5">
        <f>-'INVENTARIO PRODUCTO TERMINADO'!BV10</f>
        <v>-180</v>
      </c>
      <c r="BV9" s="5"/>
      <c r="BW9" s="5">
        <f>-'INVENTARIO PRODUCTO TERMINADO'!BX10</f>
        <v>-313</v>
      </c>
      <c r="BX9" s="5"/>
      <c r="BY9" s="5">
        <f>-'INVENTARIO PRODUCTO TERMINADO'!BZ10</f>
        <v>-320</v>
      </c>
      <c r="BZ9" s="5"/>
      <c r="CA9" s="5">
        <f>-'INVENTARIO PRODUCTO TERMINADO'!CB10</f>
        <v>-160</v>
      </c>
      <c r="CB9" s="5"/>
      <c r="CC9" s="5">
        <f>-'INVENTARIO PRODUCTO TERMINADO'!CD10</f>
        <v>0</v>
      </c>
      <c r="CD9" s="5"/>
      <c r="CE9" s="5">
        <f>-'INVENTARIO PRODUCTO TERMINADO'!CF10</f>
        <v>0</v>
      </c>
      <c r="CF9" s="5"/>
      <c r="CG9" s="5">
        <f>-'INVENTARIO PRODUCTO TERMINADO'!CH10</f>
        <v>0</v>
      </c>
      <c r="CH9" s="5"/>
      <c r="CI9" s="5">
        <f>-'INVENTARIO PRODUCTO TERMINADO'!CJ10</f>
        <v>0</v>
      </c>
      <c r="CJ9" s="5"/>
      <c r="CK9" s="5">
        <f>-'INVENTARIO PRODUCTO TERMINADO'!CL10</f>
        <v>-180</v>
      </c>
      <c r="CL9" s="5">
        <v>1075</v>
      </c>
      <c r="CM9" s="5">
        <f>-'INVENTARIO PRODUCTO TERMINADO'!CR10</f>
        <v>0</v>
      </c>
      <c r="WWC9" s="5" t="e">
        <f>-'INVENTARIO PRODUCTO TERMINADO'!#REF!</f>
        <v>#REF!</v>
      </c>
    </row>
    <row r="10" spans="1:93 16149:16149" x14ac:dyDescent="0.25">
      <c r="A10" s="47" t="s">
        <v>222</v>
      </c>
      <c r="B10" s="3" t="s">
        <v>654</v>
      </c>
      <c r="C10" s="23" t="s">
        <v>652</v>
      </c>
      <c r="D10" s="6">
        <f>SUM(G10:CM10)</f>
        <v>184</v>
      </c>
      <c r="E10" s="4">
        <v>100</v>
      </c>
      <c r="F10" s="4">
        <f>+D10-E10</f>
        <v>84</v>
      </c>
      <c r="G10" s="92">
        <v>124</v>
      </c>
      <c r="H10" s="5"/>
      <c r="I10" s="5">
        <f>-'INVENTARIO PRODUCTO TERMINADO'!H11</f>
        <v>0</v>
      </c>
      <c r="J10" s="5"/>
      <c r="K10" s="5">
        <f>+'INVENTARIO PRODUCTO TERMINADO'!J11</f>
        <v>0</v>
      </c>
      <c r="L10" s="5"/>
      <c r="M10" s="5">
        <f>+'INVENTARIO PRODUCTO TERMINADO'!L11</f>
        <v>0</v>
      </c>
      <c r="N10" s="5"/>
      <c r="O10" s="5">
        <f>-'INVENTARIO PRODUCTO TERMINADO'!N11</f>
        <v>0</v>
      </c>
      <c r="P10" s="5"/>
      <c r="Q10" s="5">
        <f>-'INVENTARIO PRODUCTO TERMINADO'!R11</f>
        <v>0</v>
      </c>
      <c r="R10" s="5"/>
      <c r="S10" s="5">
        <f>-'INVENTARIO PRODUCTO TERMINADO'!T11</f>
        <v>0</v>
      </c>
      <c r="T10" s="5"/>
      <c r="U10" s="5">
        <f>-'INVENTARIO PRODUCTO TERMINADO'!V11</f>
        <v>0</v>
      </c>
      <c r="V10" s="5"/>
      <c r="W10" s="5">
        <f>-'INVENTARIO PRODUCTO TERMINADO'!X11</f>
        <v>0</v>
      </c>
      <c r="X10" s="5"/>
      <c r="Y10" s="5">
        <f>-'INVENTARIO PRODUCTO TERMINADO'!Z11</f>
        <v>0</v>
      </c>
      <c r="Z10" s="5"/>
      <c r="AA10" s="5">
        <f>-'INVENTARIO PRODUCTO TERMINADO'!AB11</f>
        <v>0</v>
      </c>
      <c r="AB10" s="5"/>
      <c r="AC10" s="5">
        <f>-'INVENTARIO PRODUCTO TERMINADO'!AD11</f>
        <v>0</v>
      </c>
      <c r="AD10" s="5"/>
      <c r="AE10" s="5">
        <f>-'INVENTARIO PRODUCTO TERMINADO'!AF11</f>
        <v>0</v>
      </c>
      <c r="AF10" s="5"/>
      <c r="AG10" s="5">
        <f>-'INVENTARIO PRODUCTO TERMINADO'!AH11</f>
        <v>0</v>
      </c>
      <c r="AH10" s="5"/>
      <c r="AI10" s="5">
        <f>-'INVENTARIO PRODUCTO TERMINADO'!AJ11</f>
        <v>0</v>
      </c>
      <c r="AJ10" s="5"/>
      <c r="AK10" s="5">
        <f>-'INVENTARIO PRODUCTO TERMINADO'!AL11</f>
        <v>0</v>
      </c>
      <c r="AL10" s="5"/>
      <c r="AM10" s="5">
        <f>-'INVENTARIO PRODUCTO TERMINADO'!AN11</f>
        <v>0</v>
      </c>
      <c r="AN10" s="5"/>
      <c r="AO10" s="5">
        <f>-'INVENTARIO PRODUCTO TERMINADO'!AP11</f>
        <v>0</v>
      </c>
      <c r="AP10" s="5"/>
      <c r="AQ10" s="5">
        <f>-'INVENTARIO PRODUCTO TERMINADO'!AR11</f>
        <v>0</v>
      </c>
      <c r="AR10" s="5"/>
      <c r="AS10" s="5">
        <f>-'INVENTARIO PRODUCTO TERMINADO'!AT11</f>
        <v>-40</v>
      </c>
      <c r="AT10" s="30"/>
      <c r="AU10" s="5">
        <f>-'INVENTARIO PRODUCTO TERMINADO'!AV11</f>
        <v>0</v>
      </c>
      <c r="AV10" s="5"/>
      <c r="AW10" s="5">
        <f>-'INVENTARIO PRODUCTO TERMINADO'!AX11</f>
        <v>0</v>
      </c>
      <c r="AX10" s="5" t="s">
        <v>845</v>
      </c>
      <c r="AY10" s="5">
        <f>-'INVENTARIO PRODUCTO TERMINADO'!AZ11</f>
        <v>0</v>
      </c>
      <c r="AZ10" s="5"/>
      <c r="BA10" s="5">
        <f>-'INVENTARIO PRODUCTO TERMINADO'!BB11</f>
        <v>0</v>
      </c>
      <c r="BB10" s="5"/>
      <c r="BC10" s="5">
        <f>-'INVENTARIO PRODUCTO TERMINADO'!BD11</f>
        <v>0</v>
      </c>
      <c r="BD10" s="5"/>
      <c r="BE10" s="5">
        <f>-'INVENTARIO PRODUCTO TERMINADO'!BF11</f>
        <v>0</v>
      </c>
      <c r="BF10" s="5"/>
      <c r="BG10" s="5">
        <f>-'INVENTARIO PRODUCTO TERMINADO'!BH11</f>
        <v>0</v>
      </c>
      <c r="BH10" s="5">
        <v>100</v>
      </c>
      <c r="BI10" s="5">
        <f>-'INVENTARIO PRODUCTO TERMINADO'!BJ11</f>
        <v>0</v>
      </c>
      <c r="BJ10" s="5"/>
      <c r="BK10" s="5">
        <f>-'INVENTARIO PRODUCTO TERMINADO'!BL11</f>
        <v>0</v>
      </c>
      <c r="BL10" s="5"/>
      <c r="BM10" s="5">
        <f>-'INVENTARIO PRODUCTO TERMINADO'!BN11</f>
        <v>0</v>
      </c>
      <c r="BN10" s="5"/>
      <c r="BO10" s="5">
        <f>-'INVENTARIO PRODUCTO TERMINADO'!BP11</f>
        <v>0</v>
      </c>
      <c r="BP10" s="5"/>
      <c r="BQ10" s="5">
        <f>-'INVENTARIO PRODUCTO TERMINADO'!BR11</f>
        <v>0</v>
      </c>
      <c r="BR10" s="5"/>
      <c r="BS10" s="5">
        <f>-'INVENTARIO PRODUCTO TERMINADO'!BT11</f>
        <v>0</v>
      </c>
      <c r="BT10" s="5"/>
      <c r="BU10" s="5">
        <f>-'INVENTARIO PRODUCTO TERMINADO'!BV11</f>
        <v>0</v>
      </c>
      <c r="BV10" s="5"/>
      <c r="BW10" s="5">
        <f>-'INVENTARIO PRODUCTO TERMINADO'!BX11</f>
        <v>0</v>
      </c>
      <c r="BX10" s="5"/>
      <c r="BY10" s="5">
        <f>-'INVENTARIO PRODUCTO TERMINADO'!BZ11</f>
        <v>0</v>
      </c>
      <c r="BZ10" s="5"/>
      <c r="CA10" s="5">
        <f>-'INVENTARIO PRODUCTO TERMINADO'!CB11</f>
        <v>0</v>
      </c>
      <c r="CB10" s="5"/>
      <c r="CC10" s="5">
        <f>-'INVENTARIO PRODUCTO TERMINADO'!CD11</f>
        <v>0</v>
      </c>
      <c r="CD10" s="5"/>
      <c r="CE10" s="5">
        <f>-'INVENTARIO PRODUCTO TERMINADO'!CF11</f>
        <v>0</v>
      </c>
      <c r="CF10" s="5"/>
      <c r="CG10" s="5">
        <f>-'INVENTARIO PRODUCTO TERMINADO'!CH11</f>
        <v>0</v>
      </c>
      <c r="CH10" s="5"/>
      <c r="CI10" s="5">
        <f>-'INVENTARIO PRODUCTO TERMINADO'!CJ11</f>
        <v>0</v>
      </c>
      <c r="CJ10" s="5"/>
      <c r="CK10" s="5">
        <f>-'INVENTARIO PRODUCTO TERMINADO'!CL11</f>
        <v>0</v>
      </c>
      <c r="CL10" s="5"/>
      <c r="CM10" s="5">
        <f>-'INVENTARIO PRODUCTO TERMINADO'!CR11</f>
        <v>0</v>
      </c>
      <c r="WWC10" s="50"/>
    </row>
    <row r="11" spans="1:93 16149:16149" s="81" customFormat="1" ht="15.75" x14ac:dyDescent="0.25">
      <c r="A11" s="73">
        <v>2</v>
      </c>
      <c r="B11" s="82" t="s">
        <v>217</v>
      </c>
      <c r="C11" s="74"/>
      <c r="D11" s="75"/>
      <c r="E11" s="76"/>
      <c r="F11" s="76"/>
      <c r="G11" s="77"/>
      <c r="H11" s="78"/>
      <c r="I11" s="78"/>
      <c r="J11" s="78"/>
      <c r="K11" s="78"/>
      <c r="L11" s="77"/>
      <c r="M11" s="78"/>
      <c r="N11" s="78"/>
      <c r="O11" s="78"/>
      <c r="P11" s="77"/>
      <c r="Q11" s="79"/>
      <c r="R11" s="77"/>
      <c r="S11" s="79"/>
      <c r="T11" s="78"/>
      <c r="U11" s="78"/>
      <c r="V11" s="77"/>
      <c r="W11" s="80"/>
      <c r="X11" s="78"/>
      <c r="Y11" s="79"/>
      <c r="Z11" s="79"/>
      <c r="AA11" s="80"/>
      <c r="AB11" s="77"/>
      <c r="AC11" s="78"/>
      <c r="AD11" s="77"/>
      <c r="AE11" s="78"/>
      <c r="AF11" s="77"/>
      <c r="AG11" s="79"/>
      <c r="AH11" s="77"/>
      <c r="AI11" s="79"/>
      <c r="AJ11" s="77"/>
      <c r="AK11" s="78"/>
      <c r="AL11" s="77"/>
      <c r="AM11" s="78"/>
      <c r="AN11" s="77"/>
      <c r="AO11" s="78"/>
      <c r="AP11" s="77"/>
      <c r="AQ11" s="79"/>
      <c r="AR11" s="77"/>
      <c r="AS11" s="78"/>
      <c r="AT11" s="77"/>
      <c r="AU11" s="78"/>
      <c r="AV11" s="77"/>
      <c r="AW11" s="78"/>
      <c r="AX11" s="77"/>
      <c r="AY11" s="79"/>
      <c r="AZ11" s="77"/>
      <c r="BA11" s="78"/>
      <c r="BB11" s="77"/>
      <c r="BC11" s="78"/>
      <c r="BD11" s="77"/>
      <c r="BE11" s="79"/>
      <c r="BF11" s="77"/>
      <c r="BG11" s="78"/>
      <c r="BH11" s="77"/>
      <c r="BI11" s="78"/>
      <c r="BJ11" s="77"/>
      <c r="BK11" s="79"/>
      <c r="BL11" s="77"/>
      <c r="BM11" s="78"/>
      <c r="BN11" s="77"/>
      <c r="BO11" s="78"/>
      <c r="BP11" s="77"/>
      <c r="BQ11" s="79"/>
      <c r="BR11" s="79"/>
      <c r="BS11" s="78"/>
      <c r="BT11" s="77"/>
      <c r="BU11" s="78"/>
      <c r="BV11" s="77"/>
      <c r="BW11" s="77"/>
      <c r="BX11" s="77"/>
      <c r="BY11" s="77"/>
      <c r="BZ11" s="77"/>
      <c r="CA11" s="79"/>
      <c r="CB11" s="78"/>
      <c r="CC11" s="77"/>
      <c r="CD11" s="77"/>
      <c r="CE11" s="79"/>
      <c r="CF11" s="77"/>
      <c r="CG11" s="77"/>
      <c r="CH11" s="77"/>
      <c r="CI11" s="77"/>
      <c r="CJ11" s="77"/>
      <c r="CK11" s="77"/>
      <c r="CL11" s="77"/>
      <c r="CM11" s="77"/>
    </row>
    <row r="12" spans="1:93 16149:16149" x14ac:dyDescent="0.25">
      <c r="A12" s="2" t="s">
        <v>224</v>
      </c>
      <c r="B12" s="3" t="s">
        <v>28</v>
      </c>
      <c r="C12" s="3" t="s">
        <v>199</v>
      </c>
      <c r="D12" s="6">
        <f t="shared" ref="D12:D20" si="0">SUM(G12:CM12)</f>
        <v>258</v>
      </c>
      <c r="E12" s="4">
        <v>50</v>
      </c>
      <c r="F12" s="4">
        <f>D12-E12</f>
        <v>208</v>
      </c>
      <c r="G12" s="92">
        <v>277</v>
      </c>
      <c r="H12" s="5"/>
      <c r="I12" s="5">
        <f>-'INVENTARIO PRODUCTO TERMINADO'!H12</f>
        <v>0</v>
      </c>
      <c r="J12" s="5"/>
      <c r="K12" s="5">
        <f>-'INVENTARIO PRODUCTO TERMINADO'!J13</f>
        <v>0</v>
      </c>
      <c r="L12" s="5"/>
      <c r="M12" s="5">
        <f>-'INVENTARIO PRODUCTO TERMINADO'!L13</f>
        <v>0</v>
      </c>
      <c r="N12" s="5"/>
      <c r="O12" s="5">
        <f>-'INVENTARIO PRODUCTO TERMINADO'!N13</f>
        <v>0</v>
      </c>
      <c r="P12" s="5"/>
      <c r="Q12" s="5">
        <f>-'INVENTARIO PRODUCTO TERMINADO'!R13</f>
        <v>0</v>
      </c>
      <c r="R12" s="5"/>
      <c r="S12" s="5">
        <f>-'INVENTARIO PRODUCTO TERMINADO'!T13</f>
        <v>0</v>
      </c>
      <c r="T12" s="5"/>
      <c r="U12" s="5">
        <f>-'INVENTARIO PRODUCTO TERMINADO'!V13</f>
        <v>0</v>
      </c>
      <c r="V12" s="5"/>
      <c r="W12" s="5">
        <f>-'INVENTARIO PRODUCTO TERMINADO'!X13</f>
        <v>0</v>
      </c>
      <c r="X12" s="5"/>
      <c r="Y12" s="5">
        <f>-'INVENTARIO PRODUCTO TERMINADO'!Z13</f>
        <v>0</v>
      </c>
      <c r="Z12" s="5"/>
      <c r="AA12" s="5">
        <f>-'INVENTARIO PRODUCTO TERMINADO'!AB13</f>
        <v>0</v>
      </c>
      <c r="AB12" s="5"/>
      <c r="AC12" s="5">
        <f>-'INVENTARIO PRODUCTO TERMINADO'!AD13</f>
        <v>0</v>
      </c>
      <c r="AD12" s="5"/>
      <c r="AE12" s="5">
        <f>-'INVENTARIO PRODUCTO TERMINADO'!AF13</f>
        <v>0</v>
      </c>
      <c r="AF12" s="5"/>
      <c r="AG12" s="5">
        <f>-'INVENTARIO PRODUCTO TERMINADO'!AH13</f>
        <v>0</v>
      </c>
      <c r="AH12" s="5"/>
      <c r="AI12" s="5">
        <f>-'INVENTARIO PRODUCTO TERMINADO'!AJ13</f>
        <v>0</v>
      </c>
      <c r="AJ12" s="5"/>
      <c r="AK12" s="5">
        <f>-'INVENTARIO PRODUCTO TERMINADO'!AL13</f>
        <v>0</v>
      </c>
      <c r="AL12" s="5"/>
      <c r="AM12" s="5">
        <f>-'INVENTARIO PRODUCTO TERMINADO'!AN13</f>
        <v>0</v>
      </c>
      <c r="AN12" s="5"/>
      <c r="AO12" s="5">
        <f>-'INVENTARIO PRODUCTO TERMINADO'!AP13</f>
        <v>0</v>
      </c>
      <c r="AP12" s="5"/>
      <c r="AQ12" s="5">
        <f>-'INVENTARIO PRODUCTO TERMINADO'!AR13</f>
        <v>-8</v>
      </c>
      <c r="AR12" s="5"/>
      <c r="AS12" s="5">
        <f>-'INVENTARIO PRODUCTO TERMINADO'!AT13</f>
        <v>0</v>
      </c>
      <c r="AT12" s="30"/>
      <c r="AU12" s="5">
        <f>-'INVENTARIO PRODUCTO TERMINADO'!AV13</f>
        <v>0</v>
      </c>
      <c r="AV12" s="5"/>
      <c r="AW12" s="5">
        <f>-'INVENTARIO PRODUCTO TERMINADO'!AX13</f>
        <v>0</v>
      </c>
      <c r="AX12" s="5"/>
      <c r="AY12" s="5">
        <f>-'INVENTARIO PRODUCTO TERMINADO'!AZ13</f>
        <v>0</v>
      </c>
      <c r="AZ12" s="5"/>
      <c r="BA12" s="5">
        <f>-'INVENTARIO PRODUCTO TERMINADO'!BB13</f>
        <v>0</v>
      </c>
      <c r="BB12" s="5"/>
      <c r="BC12" s="5">
        <f>-'INVENTARIO PRODUCTO TERMINADO'!BD13</f>
        <v>-6</v>
      </c>
      <c r="BD12" s="5"/>
      <c r="BE12" s="5">
        <f>-'INVENTARIO PRODUCTO TERMINADO'!BF13</f>
        <v>0</v>
      </c>
      <c r="BF12" s="5"/>
      <c r="BG12" s="5">
        <f>-'INVENTARIO PRODUCTO TERMINADO'!BH13</f>
        <v>0</v>
      </c>
      <c r="BH12" s="5"/>
      <c r="BI12" s="5">
        <f>-'INVENTARIO PRODUCTO TERMINADO'!BJ13</f>
        <v>0</v>
      </c>
      <c r="BJ12" s="5"/>
      <c r="BK12" s="5">
        <f>-'INVENTARIO PRODUCTO TERMINADO'!BL13</f>
        <v>0</v>
      </c>
      <c r="BL12" s="5"/>
      <c r="BM12" s="5">
        <f>-'INVENTARIO PRODUCTO TERMINADO'!BN13</f>
        <v>0</v>
      </c>
      <c r="BN12" s="5"/>
      <c r="BO12" s="5">
        <f>-'INVENTARIO PRODUCTO TERMINADO'!BP13</f>
        <v>0</v>
      </c>
      <c r="BP12" s="5"/>
      <c r="BQ12" s="5">
        <f>-'INVENTARIO PRODUCTO TERMINADO'!BR13</f>
        <v>0</v>
      </c>
      <c r="BR12" s="5"/>
      <c r="BS12" s="5">
        <f>-'INVENTARIO PRODUCTO TERMINADO'!BT13</f>
        <v>0</v>
      </c>
      <c r="BT12" s="5"/>
      <c r="BU12" s="5">
        <f>-'INVENTARIO PRODUCTO TERMINADO'!BV13</f>
        <v>0</v>
      </c>
      <c r="BV12" s="5"/>
      <c r="BW12" s="5">
        <f>-'INVENTARIO PRODUCTO TERMINADO'!BX13</f>
        <v>0</v>
      </c>
      <c r="BX12" s="5"/>
      <c r="BY12" s="5">
        <f>-'INVENTARIO PRODUCTO TERMINADO'!BZ13</f>
        <v>0</v>
      </c>
      <c r="BZ12" s="5"/>
      <c r="CA12" s="5">
        <f>-'INVENTARIO PRODUCTO TERMINADO'!CB13</f>
        <v>0</v>
      </c>
      <c r="CB12" s="5"/>
      <c r="CC12" s="5">
        <f>-'INVENTARIO PRODUCTO TERMINADO'!CD13</f>
        <v>0</v>
      </c>
      <c r="CD12" s="5"/>
      <c r="CE12" s="5">
        <f>-'INVENTARIO PRODUCTO TERMINADO'!CF13</f>
        <v>0</v>
      </c>
      <c r="CF12" s="5"/>
      <c r="CG12" s="5">
        <f>-'INVENTARIO PRODUCTO TERMINADO'!CH13</f>
        <v>0</v>
      </c>
      <c r="CH12" s="5"/>
      <c r="CI12" s="5">
        <f>-'INVENTARIO PRODUCTO TERMINADO'!CJ13</f>
        <v>-5</v>
      </c>
      <c r="CJ12" s="5"/>
      <c r="CK12" s="5">
        <f>-'INVENTARIO PRODUCTO TERMINADO'!CL13</f>
        <v>0</v>
      </c>
      <c r="CL12" s="1"/>
      <c r="CM12" s="5">
        <f>-'INVENTARIO PRODUCTO TERMINADO'!CR13</f>
        <v>0</v>
      </c>
      <c r="WWC12" s="5">
        <f>-'INVENTARIO PRODUCTO TERMINADO'!XCK13</f>
        <v>0</v>
      </c>
    </row>
    <row r="13" spans="1:93 16149:16149" x14ac:dyDescent="0.25">
      <c r="A13" s="2" t="s">
        <v>225</v>
      </c>
      <c r="B13" s="3" t="s">
        <v>3</v>
      </c>
      <c r="C13" s="3" t="s">
        <v>206</v>
      </c>
      <c r="D13" s="6">
        <f t="shared" si="0"/>
        <v>103</v>
      </c>
      <c r="E13" s="4">
        <v>100</v>
      </c>
      <c r="F13" s="4">
        <f t="shared" ref="F13" si="1">D13-E13</f>
        <v>3</v>
      </c>
      <c r="G13" s="92">
        <v>120</v>
      </c>
      <c r="H13" s="5"/>
      <c r="I13" s="5">
        <f>-'INVENTARIO PRODUCTO TERMINADO'!H13</f>
        <v>0</v>
      </c>
      <c r="J13" s="5">
        <v>18</v>
      </c>
      <c r="K13" s="5">
        <f>-'INVENTARIO PRODUCTO TERMINADO'!J14</f>
        <v>0</v>
      </c>
      <c r="L13" s="5"/>
      <c r="M13" s="5">
        <f>-'INVENTARIO PRODUCTO TERMINADO'!L14</f>
        <v>0</v>
      </c>
      <c r="N13" s="5"/>
      <c r="O13" s="5">
        <f>-'INVENTARIO PRODUCTO TERMINADO'!N14</f>
        <v>0</v>
      </c>
      <c r="P13" s="5"/>
      <c r="Q13" s="5">
        <f>-'INVENTARIO PRODUCTO TERMINADO'!R14</f>
        <v>0</v>
      </c>
      <c r="R13" s="5"/>
      <c r="S13" s="5">
        <f>-'INVENTARIO PRODUCTO TERMINADO'!T14</f>
        <v>0</v>
      </c>
      <c r="T13" s="5"/>
      <c r="U13" s="5">
        <f>-'INVENTARIO PRODUCTO TERMINADO'!V14</f>
        <v>0</v>
      </c>
      <c r="V13" s="5"/>
      <c r="W13" s="5">
        <f>-'INVENTARIO PRODUCTO TERMINADO'!X14</f>
        <v>0</v>
      </c>
      <c r="X13" s="5"/>
      <c r="Y13" s="5">
        <f>-'INVENTARIO PRODUCTO TERMINADO'!Z14</f>
        <v>0</v>
      </c>
      <c r="Z13" s="5"/>
      <c r="AA13" s="5">
        <f>-'INVENTARIO PRODUCTO TERMINADO'!AB14</f>
        <v>0</v>
      </c>
      <c r="AB13" s="5"/>
      <c r="AC13" s="5">
        <f>-'INVENTARIO PRODUCTO TERMINADO'!AD14</f>
        <v>0</v>
      </c>
      <c r="AD13" s="5"/>
      <c r="AE13" s="5">
        <f>-'INVENTARIO PRODUCTO TERMINADO'!AF14</f>
        <v>0</v>
      </c>
      <c r="AF13" s="5"/>
      <c r="AG13" s="5">
        <f>-'INVENTARIO PRODUCTO TERMINADO'!AH14</f>
        <v>-25</v>
      </c>
      <c r="AH13" s="5"/>
      <c r="AI13" s="5">
        <f>-'INVENTARIO PRODUCTO TERMINADO'!AJ14</f>
        <v>0</v>
      </c>
      <c r="AJ13" s="5"/>
      <c r="AK13" s="5">
        <f>-'INVENTARIO PRODUCTO TERMINADO'!AL14</f>
        <v>-45</v>
      </c>
      <c r="AL13" s="5"/>
      <c r="AM13" s="5">
        <f>-'INVENTARIO PRODUCTO TERMINADO'!AN14</f>
        <v>0</v>
      </c>
      <c r="AN13" s="5"/>
      <c r="AO13" s="5">
        <f>-'INVENTARIO PRODUCTO TERMINADO'!AP14</f>
        <v>0</v>
      </c>
      <c r="AP13" s="5"/>
      <c r="AQ13" s="5">
        <f>-'INVENTARIO PRODUCTO TERMINADO'!AR14</f>
        <v>-25</v>
      </c>
      <c r="AR13" s="5"/>
      <c r="AS13" s="5">
        <f>-'INVENTARIO PRODUCTO TERMINADO'!AT14</f>
        <v>0</v>
      </c>
      <c r="AT13" s="30"/>
      <c r="AU13" s="5">
        <f>-'INVENTARIO PRODUCTO TERMINADO'!AV14</f>
        <v>0</v>
      </c>
      <c r="AV13" s="5"/>
      <c r="AW13" s="5">
        <f>-'INVENTARIO PRODUCTO TERMINADO'!AX14</f>
        <v>0</v>
      </c>
      <c r="AX13" s="5">
        <v>60</v>
      </c>
      <c r="AY13" s="5">
        <f>-'INVENTARIO PRODUCTO TERMINADO'!AZ14</f>
        <v>-70</v>
      </c>
      <c r="AZ13" s="5"/>
      <c r="BA13" s="5">
        <f>-'INVENTARIO PRODUCTO TERMINADO'!BB14</f>
        <v>0</v>
      </c>
      <c r="BB13" s="5"/>
      <c r="BC13" s="5">
        <f>-'INVENTARIO PRODUCTO TERMINADO'!BD14</f>
        <v>0</v>
      </c>
      <c r="BD13" s="5"/>
      <c r="BE13" s="5">
        <f>-'INVENTARIO PRODUCTO TERMINADO'!BF14</f>
        <v>0</v>
      </c>
      <c r="BF13" s="5"/>
      <c r="BG13" s="5">
        <f>-'INVENTARIO PRODUCTO TERMINADO'!BH14</f>
        <v>0</v>
      </c>
      <c r="BH13" s="5"/>
      <c r="BI13" s="5">
        <f>-'INVENTARIO PRODUCTO TERMINADO'!BJ14</f>
        <v>0</v>
      </c>
      <c r="BJ13" s="5">
        <v>67</v>
      </c>
      <c r="BK13" s="5">
        <f>-'INVENTARIO PRODUCTO TERMINADO'!BL14</f>
        <v>0</v>
      </c>
      <c r="BL13" s="5"/>
      <c r="BM13" s="5">
        <f>-'INVENTARIO PRODUCTO TERMINADO'!BN14</f>
        <v>-30</v>
      </c>
      <c r="BN13" s="5">
        <v>-40</v>
      </c>
      <c r="BO13" s="5">
        <f>-'INVENTARIO PRODUCTO TERMINADO'!BP14</f>
        <v>0</v>
      </c>
      <c r="BP13" s="5"/>
      <c r="BQ13" s="5">
        <f>-'INVENTARIO PRODUCTO TERMINADO'!BR14</f>
        <v>-60</v>
      </c>
      <c r="BR13" s="5">
        <f>32+9</f>
        <v>41</v>
      </c>
      <c r="BS13" s="5">
        <f>-'INVENTARIO PRODUCTO TERMINADO'!BT14</f>
        <v>0</v>
      </c>
      <c r="BT13" s="5"/>
      <c r="BU13" s="5">
        <f>-'INVENTARIO PRODUCTO TERMINADO'!BV14</f>
        <v>0</v>
      </c>
      <c r="BV13" s="5">
        <v>40</v>
      </c>
      <c r="BW13" s="5">
        <f>-'INVENTARIO PRODUCTO TERMINADO'!BX14</f>
        <v>0</v>
      </c>
      <c r="BX13" s="5"/>
      <c r="BY13" s="5">
        <f>-'INVENTARIO PRODUCTO TERMINADO'!BZ14</f>
        <v>0</v>
      </c>
      <c r="BZ13" s="5"/>
      <c r="CA13" s="5">
        <f>-'INVENTARIO PRODUCTO TERMINADO'!CB14</f>
        <v>0</v>
      </c>
      <c r="CB13" s="5">
        <v>60</v>
      </c>
      <c r="CC13" s="5">
        <f>-'INVENTARIO PRODUCTO TERMINADO'!CD14</f>
        <v>0</v>
      </c>
      <c r="CD13" s="5"/>
      <c r="CE13" s="5">
        <f>-'INVENTARIO PRODUCTO TERMINADO'!CF14</f>
        <v>0</v>
      </c>
      <c r="CF13" s="5"/>
      <c r="CG13" s="5">
        <f>-'INVENTARIO PRODUCTO TERMINADO'!CH14</f>
        <v>0</v>
      </c>
      <c r="CH13" s="5"/>
      <c r="CI13" s="5">
        <f>-'INVENTARIO PRODUCTO TERMINADO'!CJ14</f>
        <v>-65</v>
      </c>
      <c r="CJ13" s="5">
        <f>120-63</f>
        <v>57</v>
      </c>
      <c r="CK13" s="5">
        <f>-'INVENTARIO PRODUCTO TERMINADO'!CL14</f>
        <v>0</v>
      </c>
      <c r="CL13" s="5"/>
      <c r="CM13" s="5">
        <f>-'INVENTARIO PRODUCTO TERMINADO'!CR14</f>
        <v>0</v>
      </c>
    </row>
    <row r="14" spans="1:93 16149:16149" x14ac:dyDescent="0.25">
      <c r="A14" s="2" t="s">
        <v>226</v>
      </c>
      <c r="B14" s="3" t="s">
        <v>175</v>
      </c>
      <c r="C14" s="3" t="s">
        <v>186</v>
      </c>
      <c r="D14" s="6">
        <f>SUM(G14:CM14)</f>
        <v>72</v>
      </c>
      <c r="E14" s="4">
        <v>100</v>
      </c>
      <c r="F14" s="4">
        <f>D14-E14</f>
        <v>-28</v>
      </c>
      <c r="G14" s="92">
        <v>120</v>
      </c>
      <c r="H14" s="5"/>
      <c r="I14" s="5">
        <f>-'INVENTARIO PRODUCTO TERMINADO'!H14</f>
        <v>0</v>
      </c>
      <c r="J14" s="5"/>
      <c r="K14" s="5">
        <f>-'INVENTARIO PRODUCTO TERMINADO'!J15</f>
        <v>0</v>
      </c>
      <c r="L14" s="5"/>
      <c r="M14" s="5">
        <f>-'INVENTARIO PRODUCTO TERMINADO'!L15</f>
        <v>0</v>
      </c>
      <c r="N14" s="5"/>
      <c r="O14" s="5">
        <f>-'INVENTARIO PRODUCTO TERMINADO'!N15</f>
        <v>0</v>
      </c>
      <c r="P14" s="5">
        <v>137</v>
      </c>
      <c r="Q14" s="5">
        <f>-'INVENTARIO PRODUCTO TERMINADO'!R15</f>
        <v>0</v>
      </c>
      <c r="R14" s="5"/>
      <c r="S14" s="5">
        <f>-'INVENTARIO PRODUCTO TERMINADO'!T15</f>
        <v>0</v>
      </c>
      <c r="T14" s="5"/>
      <c r="U14" s="5">
        <f>-'INVENTARIO PRODUCTO TERMINADO'!V15</f>
        <v>0</v>
      </c>
      <c r="V14" s="5"/>
      <c r="W14" s="5">
        <f>-'INVENTARIO PRODUCTO TERMINADO'!X15</f>
        <v>0</v>
      </c>
      <c r="X14" s="5"/>
      <c r="Y14" s="5">
        <f>-'INVENTARIO PRODUCTO TERMINADO'!Z15</f>
        <v>0</v>
      </c>
      <c r="Z14" s="5"/>
      <c r="AA14" s="5">
        <f>-'INVENTARIO PRODUCTO TERMINADO'!AB15</f>
        <v>0</v>
      </c>
      <c r="AB14" s="5"/>
      <c r="AC14" s="5">
        <f>-'INVENTARIO PRODUCTO TERMINADO'!AD15</f>
        <v>0</v>
      </c>
      <c r="AD14" s="5"/>
      <c r="AE14" s="5">
        <f>-'INVENTARIO PRODUCTO TERMINADO'!AF15</f>
        <v>0</v>
      </c>
      <c r="AF14" s="5"/>
      <c r="AG14" s="5">
        <f>-'INVENTARIO PRODUCTO TERMINADO'!AH15</f>
        <v>-20</v>
      </c>
      <c r="AH14" s="5"/>
      <c r="AI14" s="5">
        <f>-'INVENTARIO PRODUCTO TERMINADO'!AJ15</f>
        <v>0</v>
      </c>
      <c r="AJ14" s="5"/>
      <c r="AK14" s="5">
        <f>-'INVENTARIO PRODUCTO TERMINADO'!AL15</f>
        <v>-23</v>
      </c>
      <c r="AL14" s="5"/>
      <c r="AM14" s="5">
        <f>-'INVENTARIO PRODUCTO TERMINADO'!AN15</f>
        <v>0</v>
      </c>
      <c r="AN14" s="5"/>
      <c r="AO14" s="5">
        <f>-'INVENTARIO PRODUCTO TERMINADO'!AP15</f>
        <v>0</v>
      </c>
      <c r="AP14" s="5"/>
      <c r="AQ14" s="5">
        <f>-'INVENTARIO PRODUCTO TERMINADO'!AR15</f>
        <v>0</v>
      </c>
      <c r="AR14" s="5"/>
      <c r="AS14" s="5">
        <f>-'INVENTARIO PRODUCTO TERMINADO'!AT15</f>
        <v>0</v>
      </c>
      <c r="AT14" s="30"/>
      <c r="AU14" s="5">
        <f>-'INVENTARIO PRODUCTO TERMINADO'!AV15</f>
        <v>0</v>
      </c>
      <c r="AV14" s="5"/>
      <c r="AW14" s="5">
        <f>-'INVENTARIO PRODUCTO TERMINADO'!AX15</f>
        <v>0</v>
      </c>
      <c r="AX14" s="5"/>
      <c r="AY14" s="5">
        <f>-'INVENTARIO PRODUCTO TERMINADO'!AZ15</f>
        <v>-20</v>
      </c>
      <c r="AZ14" s="5"/>
      <c r="BA14" s="5">
        <f>-'INVENTARIO PRODUCTO TERMINADO'!BB15</f>
        <v>0</v>
      </c>
      <c r="BB14" s="5"/>
      <c r="BC14" s="5">
        <f>-'INVENTARIO PRODUCTO TERMINADO'!BD15</f>
        <v>0</v>
      </c>
      <c r="BD14" s="5"/>
      <c r="BE14" s="5">
        <f>-'INVENTARIO PRODUCTO TERMINADO'!BF15</f>
        <v>0</v>
      </c>
      <c r="BF14" s="5"/>
      <c r="BG14" s="5">
        <f>-'INVENTARIO PRODUCTO TERMINADO'!BH15</f>
        <v>0</v>
      </c>
      <c r="BH14" s="5"/>
      <c r="BI14" s="5">
        <f>-'INVENTARIO PRODUCTO TERMINADO'!BJ15</f>
        <v>0</v>
      </c>
      <c r="BJ14" s="5"/>
      <c r="BK14" s="5">
        <f>-'INVENTARIO PRODUCTO TERMINADO'!BL15</f>
        <v>0</v>
      </c>
      <c r="BL14" s="5"/>
      <c r="BM14" s="5">
        <f>-'INVENTARIO PRODUCTO TERMINADO'!BN15</f>
        <v>-26</v>
      </c>
      <c r="BN14" s="5">
        <v>-40</v>
      </c>
      <c r="BO14" s="5">
        <f>-'INVENTARIO PRODUCTO TERMINADO'!BP15</f>
        <v>0</v>
      </c>
      <c r="BP14" s="5"/>
      <c r="BQ14" s="5">
        <f>-'INVENTARIO PRODUCTO TERMINADO'!BR15</f>
        <v>-53</v>
      </c>
      <c r="BR14" s="5">
        <v>48</v>
      </c>
      <c r="BS14" s="5">
        <f>-'INVENTARIO PRODUCTO TERMINADO'!BT15</f>
        <v>0</v>
      </c>
      <c r="BT14" s="5"/>
      <c r="BU14" s="5">
        <f>-'INVENTARIO PRODUCTO TERMINADO'!BV15</f>
        <v>0</v>
      </c>
      <c r="BV14" s="5"/>
      <c r="BW14" s="5">
        <f>-'INVENTARIO PRODUCTO TERMINADO'!BX15</f>
        <v>0</v>
      </c>
      <c r="BX14" s="5"/>
      <c r="BY14" s="5">
        <f>-'INVENTARIO PRODUCTO TERMINADO'!BZ15</f>
        <v>0</v>
      </c>
      <c r="BZ14" s="5"/>
      <c r="CA14" s="5">
        <f>-'INVENTARIO PRODUCTO TERMINADO'!CB15</f>
        <v>0</v>
      </c>
      <c r="CB14" s="5"/>
      <c r="CC14" s="5">
        <f>-'INVENTARIO PRODUCTO TERMINADO'!CD15</f>
        <v>0</v>
      </c>
      <c r="CD14" s="5"/>
      <c r="CE14" s="5">
        <f>-'INVENTARIO PRODUCTO TERMINADO'!CF15</f>
        <v>0</v>
      </c>
      <c r="CF14" s="5"/>
      <c r="CG14" s="5">
        <f>-'INVENTARIO PRODUCTO TERMINADO'!CH15</f>
        <v>0</v>
      </c>
      <c r="CH14" s="5"/>
      <c r="CI14" s="5">
        <f>-'INVENTARIO PRODUCTO TERMINADO'!CJ15</f>
        <v>-60</v>
      </c>
      <c r="CJ14" s="5">
        <v>9</v>
      </c>
      <c r="CK14" s="5">
        <f>-'INVENTARIO PRODUCTO TERMINADO'!CL15</f>
        <v>0</v>
      </c>
      <c r="CL14" s="5"/>
      <c r="CM14" s="5">
        <f>-'INVENTARIO PRODUCTO TERMINADO'!CR15</f>
        <v>0</v>
      </c>
    </row>
    <row r="15" spans="1:93 16149:16149" x14ac:dyDescent="0.25">
      <c r="A15" s="2" t="s">
        <v>227</v>
      </c>
      <c r="B15" s="3" t="s">
        <v>182</v>
      </c>
      <c r="C15" s="3" t="s">
        <v>187</v>
      </c>
      <c r="D15" s="6">
        <f t="shared" si="0"/>
        <v>315</v>
      </c>
      <c r="E15" s="4">
        <v>200</v>
      </c>
      <c r="F15" s="4">
        <f>D15-E15</f>
        <v>115</v>
      </c>
      <c r="G15" s="92">
        <v>262</v>
      </c>
      <c r="H15" s="5"/>
      <c r="I15" s="5">
        <f>-'INVENTARIO PRODUCTO TERMINADO'!H15</f>
        <v>0</v>
      </c>
      <c r="J15" s="5"/>
      <c r="K15" s="5">
        <f>-'INVENTARIO PRODUCTO TERMINADO'!J16</f>
        <v>0</v>
      </c>
      <c r="L15" s="5"/>
      <c r="M15" s="5">
        <f>-'INVENTARIO PRODUCTO TERMINADO'!L16</f>
        <v>0</v>
      </c>
      <c r="N15" s="5"/>
      <c r="O15" s="5">
        <f>-'INVENTARIO PRODUCTO TERMINADO'!N16</f>
        <v>0</v>
      </c>
      <c r="P15" s="5"/>
      <c r="Q15" s="5">
        <f>-'INVENTARIO PRODUCTO TERMINADO'!R16</f>
        <v>0</v>
      </c>
      <c r="R15" s="5"/>
      <c r="S15" s="5">
        <f>-'INVENTARIO PRODUCTO TERMINADO'!T16</f>
        <v>0</v>
      </c>
      <c r="T15" s="5"/>
      <c r="U15" s="5">
        <f>-'INVENTARIO PRODUCTO TERMINADO'!V16</f>
        <v>0</v>
      </c>
      <c r="V15" s="5"/>
      <c r="W15" s="5">
        <f>-'INVENTARIO PRODUCTO TERMINADO'!X16</f>
        <v>0</v>
      </c>
      <c r="X15" s="5"/>
      <c r="Y15" s="5">
        <f>-'INVENTARIO PRODUCTO TERMINADO'!Z16</f>
        <v>0</v>
      </c>
      <c r="Z15" s="5"/>
      <c r="AA15" s="5">
        <f>-'INVENTARIO PRODUCTO TERMINADO'!AB16</f>
        <v>0</v>
      </c>
      <c r="AB15" s="5"/>
      <c r="AC15" s="5">
        <f>-'INVENTARIO PRODUCTO TERMINADO'!AD16</f>
        <v>0</v>
      </c>
      <c r="AD15" s="5"/>
      <c r="AE15" s="5">
        <f>-'INVENTARIO PRODUCTO TERMINADO'!AF16</f>
        <v>0</v>
      </c>
      <c r="AF15" s="5"/>
      <c r="AG15" s="5">
        <f>-'INVENTARIO PRODUCTO TERMINADO'!AH16</f>
        <v>-20</v>
      </c>
      <c r="AH15" s="5"/>
      <c r="AI15" s="5">
        <f>-'INVENTARIO PRODUCTO TERMINADO'!AJ16</f>
        <v>0</v>
      </c>
      <c r="AJ15" s="5"/>
      <c r="AK15" s="5">
        <f>-'INVENTARIO PRODUCTO TERMINADO'!AL16</f>
        <v>-28</v>
      </c>
      <c r="AL15" s="5"/>
      <c r="AM15" s="5">
        <f>-'INVENTARIO PRODUCTO TERMINADO'!AN16</f>
        <v>0</v>
      </c>
      <c r="AN15" s="5"/>
      <c r="AO15" s="5">
        <f>-'INVENTARIO PRODUCTO TERMINADO'!AP16</f>
        <v>0</v>
      </c>
      <c r="AP15" s="5"/>
      <c r="AQ15" s="5">
        <f>-'INVENTARIO PRODUCTO TERMINADO'!AR16</f>
        <v>0</v>
      </c>
      <c r="AR15" s="5"/>
      <c r="AS15" s="5">
        <f>-'INVENTARIO PRODUCTO TERMINADO'!AT16</f>
        <v>0</v>
      </c>
      <c r="AT15" s="30"/>
      <c r="AU15" s="5">
        <f>-'INVENTARIO PRODUCTO TERMINADO'!AV16</f>
        <v>0</v>
      </c>
      <c r="AV15" s="5"/>
      <c r="AW15" s="5">
        <f>-'INVENTARIO PRODUCTO TERMINADO'!AX16</f>
        <v>0</v>
      </c>
      <c r="AX15" s="5"/>
      <c r="AY15" s="5">
        <f>-'INVENTARIO PRODUCTO TERMINADO'!AZ16</f>
        <v>-14</v>
      </c>
      <c r="AZ15" s="5"/>
      <c r="BA15" s="5">
        <f>-'INVENTARIO PRODUCTO TERMINADO'!BB16</f>
        <v>-14</v>
      </c>
      <c r="BB15" s="5"/>
      <c r="BC15" s="5">
        <f>-'INVENTARIO PRODUCTO TERMINADO'!BD16</f>
        <v>0</v>
      </c>
      <c r="BD15" s="5"/>
      <c r="BE15" s="5">
        <f>-'INVENTARIO PRODUCTO TERMINADO'!BF16</f>
        <v>0</v>
      </c>
      <c r="BF15" s="5"/>
      <c r="BG15" s="5">
        <f>-'INVENTARIO PRODUCTO TERMINADO'!BH16</f>
        <v>0</v>
      </c>
      <c r="BH15" s="5"/>
      <c r="BI15" s="5">
        <f>-'INVENTARIO PRODUCTO TERMINADO'!BJ16</f>
        <v>-38</v>
      </c>
      <c r="BJ15" s="5"/>
      <c r="BK15" s="5">
        <f>-'INVENTARIO PRODUCTO TERMINADO'!BL16</f>
        <v>0</v>
      </c>
      <c r="BL15" s="5"/>
      <c r="BM15" s="5">
        <f>-'INVENTARIO PRODUCTO TERMINADO'!BN16</f>
        <v>0</v>
      </c>
      <c r="BN15" s="5">
        <v>-10</v>
      </c>
      <c r="BO15" s="5">
        <f>-'INVENTARIO PRODUCTO TERMINADO'!BP16</f>
        <v>0</v>
      </c>
      <c r="BP15" s="5"/>
      <c r="BQ15" s="5">
        <f>-'INVENTARIO PRODUCTO TERMINADO'!BR16</f>
        <v>0</v>
      </c>
      <c r="BR15" s="5">
        <v>191</v>
      </c>
      <c r="BS15" s="5">
        <f>-'INVENTARIO PRODUCTO TERMINADO'!BT16</f>
        <v>0</v>
      </c>
      <c r="BT15" s="5"/>
      <c r="BU15" s="5">
        <f>-'INVENTARIO PRODUCTO TERMINADO'!BV16</f>
        <v>0</v>
      </c>
      <c r="BV15" s="5"/>
      <c r="BW15" s="5">
        <f>-'INVENTARIO PRODUCTO TERMINADO'!BX16</f>
        <v>0</v>
      </c>
      <c r="BX15" s="5"/>
      <c r="BY15" s="5">
        <f>-'INVENTARIO PRODUCTO TERMINADO'!BZ16</f>
        <v>0</v>
      </c>
      <c r="BZ15" s="5"/>
      <c r="CA15" s="5">
        <f>-'INVENTARIO PRODUCTO TERMINADO'!CB16</f>
        <v>0</v>
      </c>
      <c r="CB15" s="5"/>
      <c r="CC15" s="5">
        <f>-'INVENTARIO PRODUCTO TERMINADO'!CD16</f>
        <v>0</v>
      </c>
      <c r="CD15" s="5"/>
      <c r="CE15" s="5">
        <f>-'INVENTARIO PRODUCTO TERMINADO'!CF16</f>
        <v>0</v>
      </c>
      <c r="CF15" s="5"/>
      <c r="CG15" s="5">
        <f>-'INVENTARIO PRODUCTO TERMINADO'!CH16</f>
        <v>0</v>
      </c>
      <c r="CH15" s="5"/>
      <c r="CI15" s="5">
        <f>-'INVENTARIO PRODUCTO TERMINADO'!CJ16</f>
        <v>-14</v>
      </c>
      <c r="CJ15" s="5"/>
      <c r="CK15" s="5">
        <f>-'INVENTARIO PRODUCTO TERMINADO'!CL16</f>
        <v>0</v>
      </c>
      <c r="CL15" s="5"/>
      <c r="CM15" s="5">
        <f>-'INVENTARIO PRODUCTO TERMINADO'!CR16</f>
        <v>0</v>
      </c>
    </row>
    <row r="16" spans="1:93 16149:16149" x14ac:dyDescent="0.25">
      <c r="A16" s="2" t="s">
        <v>228</v>
      </c>
      <c r="B16" s="3" t="s">
        <v>30</v>
      </c>
      <c r="C16" s="3" t="s">
        <v>207</v>
      </c>
      <c r="D16" s="6">
        <f t="shared" si="0"/>
        <v>134</v>
      </c>
      <c r="E16" s="4">
        <v>100</v>
      </c>
      <c r="F16" s="4">
        <f>D16-E16</f>
        <v>34</v>
      </c>
      <c r="G16" s="92">
        <v>168</v>
      </c>
      <c r="H16" s="22"/>
      <c r="I16" s="5">
        <f>-'INVENTARIO PRODUCTO TERMINADO'!H16</f>
        <v>0</v>
      </c>
      <c r="J16" s="22"/>
      <c r="K16" s="5">
        <f>-'INVENTARIO PRODUCTO TERMINADO'!J17</f>
        <v>0</v>
      </c>
      <c r="L16" s="52"/>
      <c r="M16" s="5">
        <f>-'INVENTARIO PRODUCTO TERMINADO'!L17</f>
        <v>-1</v>
      </c>
      <c r="N16" s="22"/>
      <c r="O16" s="5">
        <f>-'INVENTARIO PRODUCTO TERMINADO'!N17</f>
        <v>0</v>
      </c>
      <c r="P16" s="22"/>
      <c r="Q16" s="5">
        <f>-'INVENTARIO PRODUCTO TERMINADO'!R17</f>
        <v>0</v>
      </c>
      <c r="R16" s="22"/>
      <c r="S16" s="5">
        <f>-'INVENTARIO PRODUCTO TERMINADO'!T17</f>
        <v>0</v>
      </c>
      <c r="T16" s="22"/>
      <c r="U16" s="5">
        <f>-'INVENTARIO PRODUCTO TERMINADO'!V17</f>
        <v>0</v>
      </c>
      <c r="V16" s="22"/>
      <c r="W16" s="5">
        <f>-'INVENTARIO PRODUCTO TERMINADO'!X17</f>
        <v>0</v>
      </c>
      <c r="X16" s="22"/>
      <c r="Y16" s="5">
        <f>-'INVENTARIO PRODUCTO TERMINADO'!Z17</f>
        <v>0</v>
      </c>
      <c r="Z16" s="22"/>
      <c r="AA16" s="5">
        <f>-'INVENTARIO PRODUCTO TERMINADO'!AB17</f>
        <v>0</v>
      </c>
      <c r="AB16" s="22"/>
      <c r="AC16" s="5">
        <f>-'INVENTARIO PRODUCTO TERMINADO'!AD17</f>
        <v>0</v>
      </c>
      <c r="AD16" s="22"/>
      <c r="AE16" s="5">
        <f>-'INVENTARIO PRODUCTO TERMINADO'!AF17</f>
        <v>0</v>
      </c>
      <c r="AF16" s="22"/>
      <c r="AG16" s="5">
        <f>-'INVENTARIO PRODUCTO TERMINADO'!AH17</f>
        <v>0</v>
      </c>
      <c r="AH16" s="22"/>
      <c r="AI16" s="5">
        <f>-'INVENTARIO PRODUCTO TERMINADO'!AJ17</f>
        <v>0</v>
      </c>
      <c r="AJ16" s="22"/>
      <c r="AK16" s="5">
        <f>-'INVENTARIO PRODUCTO TERMINADO'!AL17</f>
        <v>0</v>
      </c>
      <c r="AL16" s="22"/>
      <c r="AM16" s="5">
        <f>-'INVENTARIO PRODUCTO TERMINADO'!AN17</f>
        <v>0</v>
      </c>
      <c r="AN16" s="22"/>
      <c r="AO16" s="5">
        <f>-'INVENTARIO PRODUCTO TERMINADO'!AP17</f>
        <v>0</v>
      </c>
      <c r="AP16" s="22"/>
      <c r="AQ16" s="5">
        <f>-'INVENTARIO PRODUCTO TERMINADO'!AR17</f>
        <v>0</v>
      </c>
      <c r="AR16" s="22"/>
      <c r="AS16" s="5">
        <f>-'INVENTARIO PRODUCTO TERMINADO'!AT17</f>
        <v>0</v>
      </c>
      <c r="AT16" s="70"/>
      <c r="AU16" s="5">
        <f>-'INVENTARIO PRODUCTO TERMINADO'!AV17</f>
        <v>0</v>
      </c>
      <c r="AV16" s="22"/>
      <c r="AW16" s="5">
        <f>-'INVENTARIO PRODUCTO TERMINADO'!AX17</f>
        <v>0</v>
      </c>
      <c r="AX16" s="22"/>
      <c r="AY16" s="5">
        <f>-'INVENTARIO PRODUCTO TERMINADO'!AZ17</f>
        <v>-22</v>
      </c>
      <c r="AZ16" s="22"/>
      <c r="BA16" s="5">
        <f>-'INVENTARIO PRODUCTO TERMINADO'!BB17</f>
        <v>0</v>
      </c>
      <c r="BB16" s="22"/>
      <c r="BC16" s="5">
        <f>-'INVENTARIO PRODUCTO TERMINADO'!BD17</f>
        <v>0</v>
      </c>
      <c r="BD16" s="22"/>
      <c r="BE16" s="5">
        <f>-'INVENTARIO PRODUCTO TERMINADO'!BF17</f>
        <v>0</v>
      </c>
      <c r="BF16" s="22"/>
      <c r="BG16" s="5">
        <f>-'INVENTARIO PRODUCTO TERMINADO'!BH17</f>
        <v>0</v>
      </c>
      <c r="BH16" s="22"/>
      <c r="BI16" s="5">
        <f>-'INVENTARIO PRODUCTO TERMINADO'!BJ17</f>
        <v>0</v>
      </c>
      <c r="BJ16" s="22"/>
      <c r="BK16" s="5">
        <f>-'INVENTARIO PRODUCTO TERMINADO'!BL17</f>
        <v>0</v>
      </c>
      <c r="BL16" s="5"/>
      <c r="BM16" s="5">
        <f>-'INVENTARIO PRODUCTO TERMINADO'!BN17</f>
        <v>-5</v>
      </c>
      <c r="BN16" s="5"/>
      <c r="BO16" s="5">
        <f>-'INVENTARIO PRODUCTO TERMINADO'!BP17</f>
        <v>0</v>
      </c>
      <c r="BP16" s="5"/>
      <c r="BQ16" s="5">
        <f>-'INVENTARIO PRODUCTO TERMINADO'!BR17</f>
        <v>0</v>
      </c>
      <c r="BR16" s="22">
        <v>-3</v>
      </c>
      <c r="BS16" s="5">
        <f>-'INVENTARIO PRODUCTO TERMINADO'!BT17</f>
        <v>-3</v>
      </c>
      <c r="BT16" s="22"/>
      <c r="BU16" s="5">
        <f>-'INVENTARIO PRODUCTO TERMINADO'!BV17</f>
        <v>0</v>
      </c>
      <c r="BV16" s="22"/>
      <c r="BW16" s="5">
        <f>-'INVENTARIO PRODUCTO TERMINADO'!BX17</f>
        <v>0</v>
      </c>
      <c r="BX16" s="22"/>
      <c r="BY16" s="5">
        <f>-'INVENTARIO PRODUCTO TERMINADO'!BZ17</f>
        <v>0</v>
      </c>
      <c r="BZ16" s="22"/>
      <c r="CA16" s="5">
        <f>-'INVENTARIO PRODUCTO TERMINADO'!CB17</f>
        <v>0</v>
      </c>
      <c r="CB16" s="22"/>
      <c r="CC16" s="5">
        <f>-'INVENTARIO PRODUCTO TERMINADO'!CD17</f>
        <v>0</v>
      </c>
      <c r="CD16" s="5"/>
      <c r="CE16" s="5">
        <f>-'INVENTARIO PRODUCTO TERMINADO'!CF17</f>
        <v>0</v>
      </c>
      <c r="CF16" s="5"/>
      <c r="CG16" s="5">
        <f>-'INVENTARIO PRODUCTO TERMINADO'!CH17</f>
        <v>0</v>
      </c>
      <c r="CH16" s="5"/>
      <c r="CI16" s="5">
        <f>-'INVENTARIO PRODUCTO TERMINADO'!CJ17</f>
        <v>0</v>
      </c>
      <c r="CJ16" s="5"/>
      <c r="CK16" s="5">
        <f>-'INVENTARIO PRODUCTO TERMINADO'!CL17</f>
        <v>0</v>
      </c>
      <c r="CL16" s="5"/>
      <c r="CM16" s="5">
        <f>-'INVENTARIO PRODUCTO TERMINADO'!CR17</f>
        <v>0</v>
      </c>
    </row>
    <row r="17" spans="1:91" x14ac:dyDescent="0.25">
      <c r="A17" s="2" t="s">
        <v>229</v>
      </c>
      <c r="B17" s="3" t="s">
        <v>174</v>
      </c>
      <c r="C17" s="23" t="s">
        <v>212</v>
      </c>
      <c r="D17" s="6">
        <f t="shared" si="0"/>
        <v>151</v>
      </c>
      <c r="E17" s="4">
        <v>100</v>
      </c>
      <c r="F17" s="4">
        <f>+D17-E17</f>
        <v>51</v>
      </c>
      <c r="G17" s="92">
        <v>166</v>
      </c>
      <c r="H17" s="5"/>
      <c r="I17" s="5">
        <f>-'INVENTARIO PRODUCTO TERMINADO'!H17</f>
        <v>0</v>
      </c>
      <c r="J17" s="5"/>
      <c r="K17" s="5">
        <f>-'INVENTARIO PRODUCTO TERMINADO'!J18</f>
        <v>0</v>
      </c>
      <c r="L17" s="5"/>
      <c r="M17" s="5">
        <f>-'INVENTARIO PRODUCTO TERMINADO'!L18</f>
        <v>-40</v>
      </c>
      <c r="N17" s="5">
        <v>-1</v>
      </c>
      <c r="O17" s="5">
        <f>-'INVENTARIO PRODUCTO TERMINADO'!N18</f>
        <v>0</v>
      </c>
      <c r="P17" s="5"/>
      <c r="Q17" s="5">
        <f>-'INVENTARIO PRODUCTO TERMINADO'!R18</f>
        <v>0</v>
      </c>
      <c r="R17" s="5"/>
      <c r="S17" s="5">
        <f>-'INVENTARIO PRODUCTO TERMINADO'!T18</f>
        <v>0</v>
      </c>
      <c r="T17" s="5"/>
      <c r="U17" s="5">
        <f>-'INVENTARIO PRODUCTO TERMINADO'!V18</f>
        <v>0</v>
      </c>
      <c r="V17" s="5"/>
      <c r="W17" s="5">
        <f>-'INVENTARIO PRODUCTO TERMINADO'!X18</f>
        <v>0</v>
      </c>
      <c r="X17" s="5"/>
      <c r="Y17" s="5">
        <f>-'INVENTARIO PRODUCTO TERMINADO'!Z18</f>
        <v>0</v>
      </c>
      <c r="Z17" s="5"/>
      <c r="AA17" s="5">
        <f>-'INVENTARIO PRODUCTO TERMINADO'!AB18</f>
        <v>0</v>
      </c>
      <c r="AB17" s="5"/>
      <c r="AC17" s="5">
        <f>-'INVENTARIO PRODUCTO TERMINADO'!AD18</f>
        <v>0</v>
      </c>
      <c r="AD17" s="5"/>
      <c r="AE17" s="5">
        <f>-'INVENTARIO PRODUCTO TERMINADO'!AF18</f>
        <v>0</v>
      </c>
      <c r="AF17" s="5"/>
      <c r="AG17" s="5">
        <f>-'INVENTARIO PRODUCTO TERMINADO'!AH18</f>
        <v>0</v>
      </c>
      <c r="AH17" s="5"/>
      <c r="AI17" s="5">
        <f>-'INVENTARIO PRODUCTO TERMINADO'!AJ18</f>
        <v>0</v>
      </c>
      <c r="AJ17" s="5"/>
      <c r="AK17" s="5">
        <f>-'INVENTARIO PRODUCTO TERMINADO'!AL18</f>
        <v>-7</v>
      </c>
      <c r="AL17" s="5"/>
      <c r="AM17" s="5">
        <f>-'INVENTARIO PRODUCTO TERMINADO'!AN18</f>
        <v>0</v>
      </c>
      <c r="AN17" s="5"/>
      <c r="AO17" s="5">
        <f>-'INVENTARIO PRODUCTO TERMINADO'!AP18</f>
        <v>0</v>
      </c>
      <c r="AP17" s="5"/>
      <c r="AQ17" s="5">
        <f>-'INVENTARIO PRODUCTO TERMINADO'!AR18</f>
        <v>0</v>
      </c>
      <c r="AR17" s="5">
        <v>-2</v>
      </c>
      <c r="AS17" s="5">
        <f>-'INVENTARIO PRODUCTO TERMINADO'!AT18</f>
        <v>0</v>
      </c>
      <c r="AT17" s="30"/>
      <c r="AU17" s="5">
        <f>-'INVENTARIO PRODUCTO TERMINADO'!AV18</f>
        <v>0</v>
      </c>
      <c r="AV17" s="5"/>
      <c r="AW17" s="5">
        <f>-'INVENTARIO PRODUCTO TERMINADO'!AX18</f>
        <v>0</v>
      </c>
      <c r="AX17" s="5"/>
      <c r="AY17" s="5">
        <f>-'INVENTARIO PRODUCTO TERMINADO'!AZ18</f>
        <v>-31</v>
      </c>
      <c r="AZ17" s="5"/>
      <c r="BA17" s="5">
        <f>-'INVENTARIO PRODUCTO TERMINADO'!BB18</f>
        <v>0</v>
      </c>
      <c r="BB17" s="5"/>
      <c r="BC17" s="5">
        <f>-'INVENTARIO PRODUCTO TERMINADO'!BD18</f>
        <v>0</v>
      </c>
      <c r="BD17" s="5"/>
      <c r="BE17" s="5">
        <f>-'INVENTARIO PRODUCTO TERMINADO'!BF18</f>
        <v>0</v>
      </c>
      <c r="BF17" s="5"/>
      <c r="BG17" s="5">
        <f>-'INVENTARIO PRODUCTO TERMINADO'!BH18</f>
        <v>-7</v>
      </c>
      <c r="BH17" s="5">
        <v>100</v>
      </c>
      <c r="BI17" s="5">
        <f>-'INVENTARIO PRODUCTO TERMINADO'!BJ18</f>
        <v>0</v>
      </c>
      <c r="BJ17" s="5"/>
      <c r="BK17" s="5">
        <f>-'INVENTARIO PRODUCTO TERMINADO'!BL18</f>
        <v>0</v>
      </c>
      <c r="BL17" s="5"/>
      <c r="BM17" s="5">
        <f>-'INVENTARIO PRODUCTO TERMINADO'!BN18</f>
        <v>-5</v>
      </c>
      <c r="BN17" s="5"/>
      <c r="BO17" s="5">
        <f>-'INVENTARIO PRODUCTO TERMINADO'!BP18</f>
        <v>0</v>
      </c>
      <c r="BP17" s="5"/>
      <c r="BQ17" s="5">
        <f>-'INVENTARIO PRODUCTO TERMINADO'!BR18</f>
        <v>0</v>
      </c>
      <c r="BR17" s="5"/>
      <c r="BS17" s="5">
        <f>-'INVENTARIO PRODUCTO TERMINADO'!BT18</f>
        <v>-22</v>
      </c>
      <c r="BT17" s="5"/>
      <c r="BU17" s="5">
        <f>-'INVENTARIO PRODUCTO TERMINADO'!BV18</f>
        <v>0</v>
      </c>
      <c r="BV17" s="5"/>
      <c r="BW17" s="5">
        <f>-'INVENTARIO PRODUCTO TERMINADO'!BX18</f>
        <v>0</v>
      </c>
      <c r="BX17" s="5"/>
      <c r="BY17" s="5">
        <f>-'INVENTARIO PRODUCTO TERMINADO'!BZ18</f>
        <v>0</v>
      </c>
      <c r="BZ17" s="5"/>
      <c r="CA17" s="5">
        <f>-'INVENTARIO PRODUCTO TERMINADO'!CB18</f>
        <v>0</v>
      </c>
      <c r="CB17" s="5"/>
      <c r="CC17" s="5">
        <f>-'INVENTARIO PRODUCTO TERMINADO'!CD18</f>
        <v>0</v>
      </c>
      <c r="CD17" s="5"/>
      <c r="CE17" s="5">
        <f>-'INVENTARIO PRODUCTO TERMINADO'!CF18</f>
        <v>0</v>
      </c>
      <c r="CF17" s="5"/>
      <c r="CG17" s="5">
        <f>-'INVENTARIO PRODUCTO TERMINADO'!CH18</f>
        <v>0</v>
      </c>
      <c r="CH17" s="5"/>
      <c r="CI17" s="5">
        <f>-'INVENTARIO PRODUCTO TERMINADO'!CJ18</f>
        <v>0</v>
      </c>
      <c r="CJ17" s="5"/>
      <c r="CK17" s="5">
        <f>-'INVENTARIO PRODUCTO TERMINADO'!CL18</f>
        <v>0</v>
      </c>
      <c r="CL17" s="5"/>
      <c r="CM17" s="5">
        <f>-'INVENTARIO PRODUCTO TERMINADO'!CR18</f>
        <v>0</v>
      </c>
    </row>
    <row r="18" spans="1:91" x14ac:dyDescent="0.25">
      <c r="A18" s="2" t="s">
        <v>230</v>
      </c>
      <c r="B18" s="3" t="s">
        <v>29</v>
      </c>
      <c r="C18" s="3" t="s">
        <v>203</v>
      </c>
      <c r="D18" s="6">
        <f t="shared" si="0"/>
        <v>140</v>
      </c>
      <c r="E18" s="4">
        <v>100</v>
      </c>
      <c r="F18" s="4">
        <f>D18-E18</f>
        <v>40</v>
      </c>
      <c r="G18" s="92">
        <v>45</v>
      </c>
      <c r="H18" s="5"/>
      <c r="I18" s="5">
        <f>-'INVENTARIO PRODUCTO TERMINADO'!H18</f>
        <v>0</v>
      </c>
      <c r="J18" s="5"/>
      <c r="K18" s="5">
        <f>-'INVENTARIO PRODUCTO TERMINADO'!J19</f>
        <v>0</v>
      </c>
      <c r="L18" s="5"/>
      <c r="M18" s="5">
        <f>-'INVENTARIO PRODUCTO TERMINADO'!L19</f>
        <v>0</v>
      </c>
      <c r="N18" s="5"/>
      <c r="O18" s="5">
        <f>-'INVENTARIO PRODUCTO TERMINADO'!N19</f>
        <v>-10</v>
      </c>
      <c r="P18" s="5"/>
      <c r="Q18" s="5">
        <f>-'INVENTARIO PRODUCTO TERMINADO'!R19</f>
        <v>-40</v>
      </c>
      <c r="R18" s="5"/>
      <c r="S18" s="5">
        <f>-'INVENTARIO PRODUCTO TERMINADO'!T19</f>
        <v>0</v>
      </c>
      <c r="T18" s="5"/>
      <c r="U18" s="5">
        <f>-'INVENTARIO PRODUCTO TERMINADO'!V19</f>
        <v>0</v>
      </c>
      <c r="V18" s="5"/>
      <c r="W18" s="5">
        <f>-'INVENTARIO PRODUCTO TERMINADO'!X19</f>
        <v>0</v>
      </c>
      <c r="X18" s="5"/>
      <c r="Y18" s="5">
        <f>-'INVENTARIO PRODUCTO TERMINADO'!Z19</f>
        <v>0</v>
      </c>
      <c r="Z18" s="5"/>
      <c r="AA18" s="5">
        <f>-'INVENTARIO PRODUCTO TERMINADO'!AB19</f>
        <v>0</v>
      </c>
      <c r="AB18" s="5"/>
      <c r="AC18" s="5">
        <f>-'INVENTARIO PRODUCTO TERMINADO'!AD19</f>
        <v>0</v>
      </c>
      <c r="AD18" s="5"/>
      <c r="AE18" s="5">
        <f>-'INVENTARIO PRODUCTO TERMINADO'!AF19</f>
        <v>0</v>
      </c>
      <c r="AF18" s="5"/>
      <c r="AG18" s="5">
        <f>-'INVENTARIO PRODUCTO TERMINADO'!AH19</f>
        <v>0</v>
      </c>
      <c r="AH18" s="5"/>
      <c r="AI18" s="5">
        <f>-'INVENTARIO PRODUCTO TERMINADO'!AJ19</f>
        <v>0</v>
      </c>
      <c r="AJ18" s="5"/>
      <c r="AK18" s="5">
        <f>-'INVENTARIO PRODUCTO TERMINADO'!AL19</f>
        <v>0</v>
      </c>
      <c r="AL18" s="5"/>
      <c r="AM18" s="5">
        <f>-'INVENTARIO PRODUCTO TERMINADO'!AN19</f>
        <v>0</v>
      </c>
      <c r="AN18" s="5"/>
      <c r="AO18" s="5">
        <f>-'INVENTARIO PRODUCTO TERMINADO'!AP19</f>
        <v>0</v>
      </c>
      <c r="AP18" s="5"/>
      <c r="AQ18" s="5">
        <f>-'INVENTARIO PRODUCTO TERMINADO'!AR19</f>
        <v>0</v>
      </c>
      <c r="AR18" s="5"/>
      <c r="AS18" s="5">
        <f>-'INVENTARIO PRODUCTO TERMINADO'!AT19</f>
        <v>0</v>
      </c>
      <c r="AT18" s="30">
        <v>145</v>
      </c>
      <c r="AU18" s="5">
        <f>-'INVENTARIO PRODUCTO TERMINADO'!AV19</f>
        <v>0</v>
      </c>
      <c r="AV18" s="5"/>
      <c r="AW18" s="5">
        <f>-'INVENTARIO PRODUCTO TERMINADO'!AX19</f>
        <v>0</v>
      </c>
      <c r="AX18" s="5"/>
      <c r="AY18" s="5">
        <f>-'INVENTARIO PRODUCTO TERMINADO'!AZ19</f>
        <v>0</v>
      </c>
      <c r="AZ18" s="5"/>
      <c r="BA18" s="5">
        <f>-'INVENTARIO PRODUCTO TERMINADO'!BB19</f>
        <v>0</v>
      </c>
      <c r="BB18" s="5"/>
      <c r="BC18" s="5">
        <f>-'INVENTARIO PRODUCTO TERMINADO'!BD19</f>
        <v>0</v>
      </c>
      <c r="BD18" s="5"/>
      <c r="BE18" s="5">
        <f>-'INVENTARIO PRODUCTO TERMINADO'!BF19</f>
        <v>0</v>
      </c>
      <c r="BF18" s="5"/>
      <c r="BG18" s="5">
        <f>-'INVENTARIO PRODUCTO TERMINADO'!BH19</f>
        <v>0</v>
      </c>
      <c r="BH18" s="5"/>
      <c r="BI18" s="5">
        <f>-'INVENTARIO PRODUCTO TERMINADO'!BJ19</f>
        <v>0</v>
      </c>
      <c r="BJ18" s="5"/>
      <c r="BK18" s="5">
        <f>-'INVENTARIO PRODUCTO TERMINADO'!BL19</f>
        <v>0</v>
      </c>
      <c r="BL18" s="5"/>
      <c r="BM18" s="5">
        <f>-'INVENTARIO PRODUCTO TERMINADO'!BN19</f>
        <v>0</v>
      </c>
      <c r="BN18" s="5"/>
      <c r="BO18" s="5">
        <f>-'INVENTARIO PRODUCTO TERMINADO'!BP19</f>
        <v>0</v>
      </c>
      <c r="BP18" s="5"/>
      <c r="BQ18" s="5">
        <f>-'INVENTARIO PRODUCTO TERMINADO'!BR19</f>
        <v>0</v>
      </c>
      <c r="BR18" s="5"/>
      <c r="BS18" s="5">
        <f>-'INVENTARIO PRODUCTO TERMINADO'!BT19</f>
        <v>0</v>
      </c>
      <c r="BT18" s="5"/>
      <c r="BU18" s="5">
        <f>-'INVENTARIO PRODUCTO TERMINADO'!BV19</f>
        <v>0</v>
      </c>
      <c r="BV18" s="5"/>
      <c r="BW18" s="5">
        <f>-'INVENTARIO PRODUCTO TERMINADO'!BX19</f>
        <v>0</v>
      </c>
      <c r="BX18" s="5"/>
      <c r="BY18" s="5">
        <f>-'INVENTARIO PRODUCTO TERMINADO'!BZ19</f>
        <v>0</v>
      </c>
      <c r="BZ18" s="5"/>
      <c r="CA18" s="5">
        <f>-'INVENTARIO PRODUCTO TERMINADO'!CB19</f>
        <v>0</v>
      </c>
      <c r="CB18" s="5"/>
      <c r="CC18" s="5">
        <f>-'INVENTARIO PRODUCTO TERMINADO'!CD19</f>
        <v>0</v>
      </c>
      <c r="CD18" s="5"/>
      <c r="CE18" s="5">
        <f>-'INVENTARIO PRODUCTO TERMINADO'!CF19</f>
        <v>0</v>
      </c>
      <c r="CF18" s="5"/>
      <c r="CG18" s="5">
        <f>-'INVENTARIO PRODUCTO TERMINADO'!CH19</f>
        <v>0</v>
      </c>
      <c r="CH18" s="5"/>
      <c r="CI18" s="5">
        <f>-'INVENTARIO PRODUCTO TERMINADO'!CJ19</f>
        <v>0</v>
      </c>
      <c r="CJ18" s="5"/>
      <c r="CK18" s="5">
        <f>-'INVENTARIO PRODUCTO TERMINADO'!CL19</f>
        <v>0</v>
      </c>
      <c r="CL18" s="5"/>
      <c r="CM18" s="5">
        <f>-'INVENTARIO PRODUCTO TERMINADO'!CR19</f>
        <v>0</v>
      </c>
    </row>
    <row r="19" spans="1:91" x14ac:dyDescent="0.25">
      <c r="A19" s="2" t="s">
        <v>231</v>
      </c>
      <c r="B19" s="3" t="s">
        <v>24</v>
      </c>
      <c r="C19" s="3" t="s">
        <v>197</v>
      </c>
      <c r="D19" s="6">
        <f t="shared" si="0"/>
        <v>618</v>
      </c>
      <c r="E19" s="4">
        <v>500</v>
      </c>
      <c r="F19" s="4">
        <f>D19-E19</f>
        <v>118</v>
      </c>
      <c r="G19" s="92">
        <v>618</v>
      </c>
      <c r="H19" s="5"/>
      <c r="I19" s="5">
        <f>-'INVENTARIO PRODUCTO TERMINADO'!H19</f>
        <v>0</v>
      </c>
      <c r="J19" s="33"/>
      <c r="K19" s="5">
        <f>-'INVENTARIO PRODUCTO TERMINADO'!J20</f>
        <v>0</v>
      </c>
      <c r="L19" s="5"/>
      <c r="M19" s="5">
        <f>-'INVENTARIO PRODUCTO TERMINADO'!L20</f>
        <v>0</v>
      </c>
      <c r="N19" s="5"/>
      <c r="O19" s="5">
        <f>-'INVENTARIO PRODUCTO TERMINADO'!N20</f>
        <v>0</v>
      </c>
      <c r="P19" s="5"/>
      <c r="Q19" s="5">
        <f>-'INVENTARIO PRODUCTO TERMINADO'!R20</f>
        <v>0</v>
      </c>
      <c r="R19" s="5"/>
      <c r="S19" s="5">
        <f>-'INVENTARIO PRODUCTO TERMINADO'!T20</f>
        <v>0</v>
      </c>
      <c r="T19" s="5"/>
      <c r="U19" s="5">
        <f>-'INVENTARIO PRODUCTO TERMINADO'!V20</f>
        <v>0</v>
      </c>
      <c r="V19" s="5"/>
      <c r="W19" s="5">
        <f>-'INVENTARIO PRODUCTO TERMINADO'!X20</f>
        <v>0</v>
      </c>
      <c r="X19" s="5"/>
      <c r="Y19" s="5">
        <f>-'INVENTARIO PRODUCTO TERMINADO'!Z20</f>
        <v>0</v>
      </c>
      <c r="Z19" s="5"/>
      <c r="AA19" s="5">
        <f>-'INVENTARIO PRODUCTO TERMINADO'!AB20</f>
        <v>0</v>
      </c>
      <c r="AB19" s="5"/>
      <c r="AC19" s="5">
        <f>-'INVENTARIO PRODUCTO TERMINADO'!AD20</f>
        <v>0</v>
      </c>
      <c r="AD19" s="5"/>
      <c r="AE19" s="5">
        <f>-'INVENTARIO PRODUCTO TERMINADO'!AF20</f>
        <v>0</v>
      </c>
      <c r="AF19" s="5"/>
      <c r="AG19" s="5">
        <f>-'INVENTARIO PRODUCTO TERMINADO'!AH20</f>
        <v>0</v>
      </c>
      <c r="AH19" s="5"/>
      <c r="AI19" s="5">
        <f>-'INVENTARIO PRODUCTO TERMINADO'!AJ20</f>
        <v>0</v>
      </c>
      <c r="AJ19" s="5"/>
      <c r="AK19" s="5">
        <f>-'INVENTARIO PRODUCTO TERMINADO'!AL20</f>
        <v>0</v>
      </c>
      <c r="AL19" s="5"/>
      <c r="AM19" s="5">
        <f>-'INVENTARIO PRODUCTO TERMINADO'!AN20</f>
        <v>0</v>
      </c>
      <c r="AN19" s="5"/>
      <c r="AO19" s="5">
        <f>-'INVENTARIO PRODUCTO TERMINADO'!AP20</f>
        <v>0</v>
      </c>
      <c r="AP19" s="5"/>
      <c r="AQ19" s="5">
        <f>-'INVENTARIO PRODUCTO TERMINADO'!AR20</f>
        <v>0</v>
      </c>
      <c r="AR19" s="5"/>
      <c r="AS19" s="5">
        <f>-'INVENTARIO PRODUCTO TERMINADO'!AT20</f>
        <v>0</v>
      </c>
      <c r="AT19" s="69"/>
      <c r="AU19" s="5">
        <f>-'INVENTARIO PRODUCTO TERMINADO'!AV20</f>
        <v>0</v>
      </c>
      <c r="AV19" s="5"/>
      <c r="AW19" s="5">
        <f>-'INVENTARIO PRODUCTO TERMINADO'!AX20</f>
        <v>0</v>
      </c>
      <c r="AX19" s="5"/>
      <c r="AY19" s="5">
        <f>-'INVENTARIO PRODUCTO TERMINADO'!AZ20</f>
        <v>0</v>
      </c>
      <c r="AZ19" s="5"/>
      <c r="BA19" s="5">
        <f>-'INVENTARIO PRODUCTO TERMINADO'!BB20</f>
        <v>0</v>
      </c>
      <c r="BB19" s="5"/>
      <c r="BC19" s="5">
        <f>-'INVENTARIO PRODUCTO TERMINADO'!BD20</f>
        <v>0</v>
      </c>
      <c r="BD19" s="5"/>
      <c r="BE19" s="5">
        <f>-'INVENTARIO PRODUCTO TERMINADO'!BF20</f>
        <v>0</v>
      </c>
      <c r="BF19" s="5"/>
      <c r="BG19" s="5">
        <f>-'INVENTARIO PRODUCTO TERMINADO'!BH20</f>
        <v>0</v>
      </c>
      <c r="BH19" s="5"/>
      <c r="BI19" s="5">
        <f>-'INVENTARIO PRODUCTO TERMINADO'!BJ20</f>
        <v>0</v>
      </c>
      <c r="BJ19" s="5"/>
      <c r="BK19" s="5">
        <f>-'INVENTARIO PRODUCTO TERMINADO'!BL20</f>
        <v>0</v>
      </c>
      <c r="BL19" s="5"/>
      <c r="BM19" s="5">
        <f>-'INVENTARIO PRODUCTO TERMINADO'!BN20</f>
        <v>0</v>
      </c>
      <c r="BN19" s="5"/>
      <c r="BO19" s="5">
        <f>-'INVENTARIO PRODUCTO TERMINADO'!BP20</f>
        <v>0</v>
      </c>
      <c r="BP19" s="5"/>
      <c r="BQ19" s="5">
        <f>-'INVENTARIO PRODUCTO TERMINADO'!BR20</f>
        <v>0</v>
      </c>
      <c r="BR19" s="5"/>
      <c r="BS19" s="5">
        <f>-'INVENTARIO PRODUCTO TERMINADO'!BT20</f>
        <v>0</v>
      </c>
      <c r="BT19" s="5"/>
      <c r="BU19" s="5">
        <f>-'INVENTARIO PRODUCTO TERMINADO'!BV20</f>
        <v>0</v>
      </c>
      <c r="BV19" s="5"/>
      <c r="BW19" s="5">
        <f>-'INVENTARIO PRODUCTO TERMINADO'!BX20</f>
        <v>0</v>
      </c>
      <c r="BX19" s="5"/>
      <c r="BY19" s="5">
        <f>-'INVENTARIO PRODUCTO TERMINADO'!BZ20</f>
        <v>0</v>
      </c>
      <c r="BZ19" s="5"/>
      <c r="CA19" s="5">
        <f>-'INVENTARIO PRODUCTO TERMINADO'!CB20</f>
        <v>0</v>
      </c>
      <c r="CB19" s="5"/>
      <c r="CC19" s="5">
        <f>-'INVENTARIO PRODUCTO TERMINADO'!CD20</f>
        <v>0</v>
      </c>
      <c r="CD19" s="5"/>
      <c r="CE19" s="5">
        <f>-'INVENTARIO PRODUCTO TERMINADO'!CF20</f>
        <v>0</v>
      </c>
      <c r="CF19" s="5"/>
      <c r="CG19" s="5">
        <f>-'INVENTARIO PRODUCTO TERMINADO'!CH20</f>
        <v>0</v>
      </c>
      <c r="CH19" s="5"/>
      <c r="CI19" s="5">
        <f>-'INVENTARIO PRODUCTO TERMINADO'!CJ20</f>
        <v>0</v>
      </c>
      <c r="CJ19" s="5"/>
      <c r="CK19" s="5">
        <f>-'INVENTARIO PRODUCTO TERMINADO'!CL20</f>
        <v>0</v>
      </c>
      <c r="CL19" s="5"/>
      <c r="CM19" s="5">
        <f>-'INVENTARIO PRODUCTO TERMINADO'!CR20</f>
        <v>0</v>
      </c>
    </row>
    <row r="20" spans="1:91" s="34" customFormat="1" x14ac:dyDescent="0.25">
      <c r="A20" s="2" t="s">
        <v>232</v>
      </c>
      <c r="B20" s="23" t="s">
        <v>684</v>
      </c>
      <c r="C20" s="23" t="s">
        <v>192</v>
      </c>
      <c r="D20" s="6">
        <f t="shared" si="0"/>
        <v>1000</v>
      </c>
      <c r="E20" s="24">
        <v>600</v>
      </c>
      <c r="F20" s="395">
        <f>+D20-E20</f>
        <v>400</v>
      </c>
      <c r="G20" s="92">
        <v>700</v>
      </c>
      <c r="H20" s="22">
        <v>105</v>
      </c>
      <c r="I20" s="5">
        <f>-'INVENTARIO PRODUCTO TERMINADO'!H20</f>
        <v>0</v>
      </c>
      <c r="J20" s="22"/>
      <c r="K20" s="5">
        <f>-'INVENTARIO PRODUCTO TERMINADO'!J21</f>
        <v>-200</v>
      </c>
      <c r="L20" s="22"/>
      <c r="M20" s="5">
        <f>-'INVENTARIO PRODUCTO TERMINADO'!L21</f>
        <v>0</v>
      </c>
      <c r="N20" s="22"/>
      <c r="O20" s="5">
        <f>-'INVENTARIO PRODUCTO TERMINADO'!N21</f>
        <v>0</v>
      </c>
      <c r="P20" s="22"/>
      <c r="Q20" s="5">
        <f>-'INVENTARIO PRODUCTO TERMINADO'!R21</f>
        <v>-105</v>
      </c>
      <c r="R20" s="22"/>
      <c r="S20" s="5">
        <f>-'INVENTARIO PRODUCTO TERMINADO'!T21</f>
        <v>0</v>
      </c>
      <c r="T20" s="22"/>
      <c r="U20" s="5">
        <f>-'INVENTARIO PRODUCTO TERMINADO'!V21</f>
        <v>0</v>
      </c>
      <c r="V20" s="22"/>
      <c r="W20" s="5">
        <f>-'INVENTARIO PRODUCTO TERMINADO'!X21</f>
        <v>0</v>
      </c>
      <c r="X20" s="22">
        <v>40</v>
      </c>
      <c r="Y20" s="5">
        <f>-'INVENTARIO PRODUCTO TERMINADO'!Z21</f>
        <v>-46</v>
      </c>
      <c r="Z20" s="22"/>
      <c r="AA20" s="5">
        <f>N41</f>
        <v>0</v>
      </c>
      <c r="AB20" s="22">
        <v>319</v>
      </c>
      <c r="AC20" s="5">
        <f>-'INVENTARIO PRODUCTO TERMINADO'!AD21</f>
        <v>0</v>
      </c>
      <c r="AE20" s="5">
        <f>-'INVENTARIO PRODUCTO TERMINADO'!AF21</f>
        <v>0</v>
      </c>
      <c r="AF20" s="22"/>
      <c r="AG20" s="5">
        <f>-'INVENTARIO PRODUCTO TERMINADO'!AH21</f>
        <v>-106</v>
      </c>
      <c r="AH20" s="22"/>
      <c r="AI20" s="5">
        <f>-'INVENTARIO PRODUCTO TERMINADO'!AJ21</f>
        <v>-89</v>
      </c>
      <c r="AJ20" s="22"/>
      <c r="AK20" s="5">
        <f>-'INVENTARIO PRODUCTO TERMINADO'!AL21</f>
        <v>-52</v>
      </c>
      <c r="AL20" s="22"/>
      <c r="AM20" s="5">
        <f>-'INVENTARIO PRODUCTO TERMINADO'!AN21</f>
        <v>-53</v>
      </c>
      <c r="AN20" s="22"/>
      <c r="AO20" s="5">
        <f>-'INVENTARIO PRODUCTO TERMINADO'!AP21</f>
        <v>0</v>
      </c>
      <c r="AP20" s="22"/>
      <c r="AQ20" s="5">
        <f>-'INVENTARIO PRODUCTO TERMINADO'!AR21</f>
        <v>-205</v>
      </c>
      <c r="AR20" s="22"/>
      <c r="AS20" s="5">
        <f>-'INVENTARIO PRODUCTO TERMINADO'!AT21</f>
        <v>0</v>
      </c>
      <c r="AT20" s="70"/>
      <c r="AU20" s="5">
        <f>-'INVENTARIO PRODUCTO TERMINADO'!AV21</f>
        <v>-70</v>
      </c>
      <c r="AV20" s="22"/>
      <c r="AW20" s="5">
        <f>-'INVENTARIO PRODUCTO TERMINADO'!AX21</f>
        <v>0</v>
      </c>
      <c r="AX20" s="22"/>
      <c r="AY20" s="5">
        <f>-'INVENTARIO PRODUCTO TERMINADO'!AZ21</f>
        <v>-127</v>
      </c>
      <c r="AZ20" s="22"/>
      <c r="BA20" s="5">
        <f>-'INVENTARIO PRODUCTO TERMINADO'!BB21</f>
        <v>0</v>
      </c>
      <c r="BB20" s="22"/>
      <c r="BC20" s="5">
        <f>-'INVENTARIO PRODUCTO TERMINADO'!BD21</f>
        <v>0</v>
      </c>
      <c r="BD20" s="22"/>
      <c r="BE20" s="5">
        <f>-'INVENTARIO PRODUCTO TERMINADO'!BF21</f>
        <v>0</v>
      </c>
      <c r="BF20" s="32"/>
      <c r="BG20" s="5">
        <f>-'INVENTARIO PRODUCTO TERMINADO'!BH21</f>
        <v>-200</v>
      </c>
      <c r="BH20" s="22">
        <f>89+669</f>
        <v>758</v>
      </c>
      <c r="BI20" s="5">
        <f>-'INVENTARIO PRODUCTO TERMINADO'!BJ21</f>
        <v>-38</v>
      </c>
      <c r="BJ20" s="32"/>
      <c r="BK20" s="5">
        <f>-'INVENTARIO PRODUCTO TERMINADO'!BL21</f>
        <v>-10</v>
      </c>
      <c r="BL20" s="22"/>
      <c r="BM20" s="5">
        <f>-'INVENTARIO PRODUCTO TERMINADO'!BN21</f>
        <v>-215</v>
      </c>
      <c r="BN20" s="22">
        <v>-200</v>
      </c>
      <c r="BO20" s="5">
        <f>-'INVENTARIO PRODUCTO TERMINADO'!BP21</f>
        <v>0</v>
      </c>
      <c r="BP20" s="22"/>
      <c r="BQ20" s="5">
        <f>-'INVENTARIO PRODUCTO TERMINADO'!BR21</f>
        <v>-50</v>
      </c>
      <c r="BR20" s="22">
        <v>244</v>
      </c>
      <c r="BS20" s="5">
        <f>-'INVENTARIO PRODUCTO TERMINADO'!BT21</f>
        <v>0</v>
      </c>
      <c r="BT20" s="22"/>
      <c r="BU20" s="5">
        <f>-'INVENTARIO PRODUCTO TERMINADO'!BV21</f>
        <v>-51</v>
      </c>
      <c r="BV20" s="22"/>
      <c r="BW20" s="5">
        <f>-'INVENTARIO PRODUCTO TERMINADO'!BX21</f>
        <v>-80</v>
      </c>
      <c r="BX20" s="22"/>
      <c r="BY20" s="5">
        <f>-'INVENTARIO PRODUCTO TERMINADO'!BZ21</f>
        <v>-100</v>
      </c>
      <c r="BZ20" s="22"/>
      <c r="CA20" s="5">
        <f>-'INVENTARIO PRODUCTO TERMINADO'!CB21</f>
        <v>-112</v>
      </c>
      <c r="CB20" s="22"/>
      <c r="CC20" s="5">
        <f>-'INVENTARIO PRODUCTO TERMINADO'!CD21</f>
        <v>0</v>
      </c>
      <c r="CD20" s="5"/>
      <c r="CE20" s="5">
        <f>-'INVENTARIO PRODUCTO TERMINADO'!CF21</f>
        <v>0</v>
      </c>
      <c r="CF20" s="5"/>
      <c r="CG20" s="5">
        <f>-'INVENTARIO PRODUCTO TERMINADO'!CH21</f>
        <v>0</v>
      </c>
      <c r="CH20" s="5"/>
      <c r="CI20" s="5">
        <f>-'INVENTARIO PRODUCTO TERMINADO'!CJ21</f>
        <v>-152</v>
      </c>
      <c r="CJ20" s="5"/>
      <c r="CK20" s="5">
        <f>-'INVENTARIO PRODUCTO TERMINADO'!CL21</f>
        <v>0</v>
      </c>
      <c r="CL20" s="5">
        <v>1095</v>
      </c>
      <c r="CM20" s="5">
        <f>-'INVENTARIO PRODUCTO TERMINADO'!CR21</f>
        <v>0</v>
      </c>
    </row>
    <row r="21" spans="1:91" s="81" customFormat="1" ht="15.75" x14ac:dyDescent="0.25">
      <c r="A21" s="73">
        <v>3</v>
      </c>
      <c r="B21" s="82" t="s">
        <v>239</v>
      </c>
      <c r="C21" s="74"/>
      <c r="D21" s="75"/>
      <c r="E21" s="76"/>
      <c r="F21" s="76"/>
      <c r="G21" s="77"/>
      <c r="H21" s="78"/>
      <c r="I21" s="78"/>
      <c r="J21" s="78"/>
      <c r="K21" s="78"/>
      <c r="L21" s="77"/>
      <c r="M21" s="78"/>
      <c r="N21" s="78"/>
      <c r="O21" s="78"/>
      <c r="P21" s="77"/>
      <c r="Q21" s="79"/>
      <c r="R21" s="77"/>
      <c r="S21" s="79"/>
      <c r="T21" s="78"/>
      <c r="U21" s="78"/>
      <c r="V21" s="77"/>
      <c r="W21" s="80"/>
      <c r="X21" s="78"/>
      <c r="Y21" s="79"/>
      <c r="Z21" s="79"/>
      <c r="AA21" s="80"/>
      <c r="AB21" s="77"/>
      <c r="AC21" s="78"/>
      <c r="AD21" s="77"/>
      <c r="AE21" s="78"/>
      <c r="AF21" s="77"/>
      <c r="AG21" s="79"/>
      <c r="AH21" s="77"/>
      <c r="AI21" s="79"/>
      <c r="AJ21" s="77"/>
      <c r="AK21" s="78"/>
      <c r="AL21" s="77"/>
      <c r="AM21" s="78"/>
      <c r="AN21" s="77"/>
      <c r="AO21" s="78"/>
      <c r="AP21" s="77"/>
      <c r="AQ21" s="79"/>
      <c r="AR21" s="77"/>
      <c r="AS21" s="78"/>
      <c r="AT21" s="77"/>
      <c r="AU21" s="78"/>
      <c r="AV21" s="77"/>
      <c r="AW21" s="78"/>
      <c r="AX21" s="77"/>
      <c r="AY21" s="79"/>
      <c r="AZ21" s="77"/>
      <c r="BA21" s="78"/>
      <c r="BB21" s="77"/>
      <c r="BC21" s="78"/>
      <c r="BD21" s="77"/>
      <c r="BE21" s="79"/>
      <c r="BF21" s="77"/>
      <c r="BG21" s="78"/>
      <c r="BH21" s="77"/>
      <c r="BI21" s="78"/>
      <c r="BJ21" s="77"/>
      <c r="BK21" s="79"/>
      <c r="BL21" s="77"/>
      <c r="BM21" s="78"/>
      <c r="BN21" s="77"/>
      <c r="BO21" s="78"/>
      <c r="BP21" s="77"/>
      <c r="BQ21" s="79"/>
      <c r="BR21" s="79"/>
      <c r="BS21" s="78"/>
      <c r="BT21" s="77"/>
      <c r="BU21" s="78"/>
      <c r="BV21" s="77"/>
      <c r="BW21" s="77"/>
      <c r="BX21" s="77"/>
      <c r="BY21" s="77"/>
      <c r="BZ21" s="77"/>
      <c r="CA21" s="79"/>
      <c r="CB21" s="78"/>
      <c r="CC21" s="77"/>
      <c r="CD21" s="77"/>
      <c r="CE21" s="79"/>
      <c r="CF21" s="77"/>
      <c r="CG21" s="77"/>
      <c r="CH21" s="77"/>
      <c r="CI21" s="77"/>
      <c r="CJ21" s="77"/>
      <c r="CK21" s="77"/>
      <c r="CL21" s="77"/>
      <c r="CM21" s="77"/>
    </row>
    <row r="22" spans="1:91" x14ac:dyDescent="0.25">
      <c r="A22" s="2" t="s">
        <v>233</v>
      </c>
      <c r="B22" s="3" t="s">
        <v>190</v>
      </c>
      <c r="C22" s="3" t="s">
        <v>208</v>
      </c>
      <c r="D22" s="6">
        <f t="shared" ref="D22:D27" si="2">SUM(G22:CM22)</f>
        <v>218</v>
      </c>
      <c r="E22" s="4">
        <v>100</v>
      </c>
      <c r="F22" s="4">
        <f>D22-E22</f>
        <v>118</v>
      </c>
      <c r="G22" s="92">
        <v>135</v>
      </c>
      <c r="H22" s="5"/>
      <c r="I22" s="5">
        <f>-'INVENTARIO PRODUCTO TERMINADO'!H22</f>
        <v>0</v>
      </c>
      <c r="J22" s="5"/>
      <c r="K22" s="5">
        <f>-'INVENTARIO PRODUCTO TERMINADO'!J23</f>
        <v>0</v>
      </c>
      <c r="L22" s="5"/>
      <c r="M22" s="5">
        <f>-'INVENTARIO PRODUCTO TERMINADO'!L23</f>
        <v>0</v>
      </c>
      <c r="N22" s="5"/>
      <c r="O22" s="5">
        <f>-'INVENTARIO PRODUCTO TERMINADO'!N23</f>
        <v>0</v>
      </c>
      <c r="P22" s="5"/>
      <c r="Q22" s="5">
        <f>-'INVENTARIO PRODUCTO TERMINADO'!R23</f>
        <v>0</v>
      </c>
      <c r="R22" s="5"/>
      <c r="S22" s="5">
        <f>-'INVENTARIO PRODUCTO TERMINADO'!T23</f>
        <v>0</v>
      </c>
      <c r="T22" s="5"/>
      <c r="U22" s="5">
        <f>-'INVENTARIO PRODUCTO TERMINADO'!V23</f>
        <v>0</v>
      </c>
      <c r="V22" s="5"/>
      <c r="W22" s="5">
        <f>-'INVENTARIO PRODUCTO TERMINADO'!X23</f>
        <v>0</v>
      </c>
      <c r="X22" s="5"/>
      <c r="Y22" s="5">
        <f>-'INVENTARIO PRODUCTO TERMINADO'!Z23</f>
        <v>0</v>
      </c>
      <c r="Z22" s="5"/>
      <c r="AA22" s="5">
        <f>-'INVENTARIO PRODUCTO TERMINADO'!AB23</f>
        <v>0</v>
      </c>
      <c r="AB22" s="5"/>
      <c r="AC22" s="5">
        <f>-'INVENTARIO PRODUCTO TERMINADO'!AD23</f>
        <v>0</v>
      </c>
      <c r="AD22" s="5"/>
      <c r="AE22" s="5">
        <f>-'INVENTARIO PRODUCTO TERMINADO'!AF23</f>
        <v>0</v>
      </c>
      <c r="AF22" s="5"/>
      <c r="AG22" s="5">
        <f>-'INVENTARIO PRODUCTO TERMINADO'!AH23</f>
        <v>0</v>
      </c>
      <c r="AH22" s="5"/>
      <c r="AI22" s="5">
        <f>-'INVENTARIO PRODUCTO TERMINADO'!AJ23</f>
        <v>0</v>
      </c>
      <c r="AJ22" s="5"/>
      <c r="AK22" s="5">
        <f>-'INVENTARIO PRODUCTO TERMINADO'!AL23</f>
        <v>0</v>
      </c>
      <c r="AL22" s="5"/>
      <c r="AM22" s="5">
        <f>-'INVENTARIO PRODUCTO TERMINADO'!AN23</f>
        <v>0</v>
      </c>
      <c r="AN22" s="5"/>
      <c r="AO22" s="5">
        <f>-'INVENTARIO PRODUCTO TERMINADO'!AP23</f>
        <v>0</v>
      </c>
      <c r="AP22" s="5"/>
      <c r="AQ22" s="5">
        <f>-'INVENTARIO PRODUCTO TERMINADO'!AR23</f>
        <v>-7</v>
      </c>
      <c r="AR22" s="5"/>
      <c r="AS22" s="5">
        <f>-'INVENTARIO PRODUCTO TERMINADO'!AT23</f>
        <v>0</v>
      </c>
      <c r="AT22" s="30"/>
      <c r="AU22" s="5">
        <f>-'INVENTARIO PRODUCTO TERMINADO'!AV23</f>
        <v>0</v>
      </c>
      <c r="AV22" s="5"/>
      <c r="AW22" s="5">
        <f>-'INVENTARIO PRODUCTO TERMINADO'!AX23</f>
        <v>-30</v>
      </c>
      <c r="AX22" s="5"/>
      <c r="AY22" s="5">
        <f>-'INVENTARIO PRODUCTO TERMINADO'!AZ23</f>
        <v>0</v>
      </c>
      <c r="AZ22" s="5"/>
      <c r="BA22" s="5">
        <f>-'INVENTARIO PRODUCTO TERMINADO'!BB23</f>
        <v>0</v>
      </c>
      <c r="BB22" s="5"/>
      <c r="BC22" s="5">
        <f>-'INVENTARIO PRODUCTO TERMINADO'!BD23</f>
        <v>0</v>
      </c>
      <c r="BD22" s="5"/>
      <c r="BE22" s="5">
        <f>-'INVENTARIO PRODUCTO TERMINADO'!BF23</f>
        <v>0</v>
      </c>
      <c r="BF22" s="5"/>
      <c r="BG22" s="5">
        <f>-'INVENTARIO PRODUCTO TERMINADO'!BH23</f>
        <v>0</v>
      </c>
      <c r="BH22" s="5">
        <v>150</v>
      </c>
      <c r="BI22" s="5">
        <f>-'INVENTARIO PRODUCTO TERMINADO'!BJ23</f>
        <v>0</v>
      </c>
      <c r="BJ22" s="5"/>
      <c r="BK22" s="5">
        <f>-'INVENTARIO PRODUCTO TERMINADO'!BL23</f>
        <v>0</v>
      </c>
      <c r="BL22" s="5"/>
      <c r="BM22" s="5">
        <f>-'INVENTARIO PRODUCTO TERMINADO'!BN23</f>
        <v>0</v>
      </c>
      <c r="BN22" s="5"/>
      <c r="BO22" s="5">
        <f>-'INVENTARIO PRODUCTO TERMINADO'!BP23</f>
        <v>0</v>
      </c>
      <c r="BP22" s="5"/>
      <c r="BQ22" s="5">
        <f>-'INVENTARIO PRODUCTO TERMINADO'!BR23</f>
        <v>0</v>
      </c>
      <c r="BR22" s="5"/>
      <c r="BS22" s="5">
        <f>-'INVENTARIO PRODUCTO TERMINADO'!BT23</f>
        <v>0</v>
      </c>
      <c r="BT22" s="5"/>
      <c r="BU22" s="5">
        <f>-'INVENTARIO PRODUCTO TERMINADO'!BV23</f>
        <v>0</v>
      </c>
      <c r="BV22" s="5"/>
      <c r="BW22" s="5">
        <f>-'INVENTARIO PRODUCTO TERMINADO'!BX23</f>
        <v>0</v>
      </c>
      <c r="BX22" s="5"/>
      <c r="BY22" s="5">
        <f>-'INVENTARIO PRODUCTO TERMINADO'!BZ23</f>
        <v>0</v>
      </c>
      <c r="BZ22" s="5"/>
      <c r="CA22" s="5">
        <f>-'INVENTARIO PRODUCTO TERMINADO'!CB23</f>
        <v>0</v>
      </c>
      <c r="CB22" s="5"/>
      <c r="CC22" s="5">
        <f>-'INVENTARIO PRODUCTO TERMINADO'!CD23</f>
        <v>0</v>
      </c>
      <c r="CD22" s="5"/>
      <c r="CE22" s="5">
        <f>-'INVENTARIO PRODUCTO TERMINADO'!CF23</f>
        <v>0</v>
      </c>
      <c r="CF22" s="5"/>
      <c r="CG22" s="5">
        <f>-'INVENTARIO PRODUCTO TERMINADO'!CH23</f>
        <v>0</v>
      </c>
      <c r="CH22" s="5"/>
      <c r="CI22" s="5">
        <f>-'INVENTARIO PRODUCTO TERMINADO'!CJ23</f>
        <v>-30</v>
      </c>
      <c r="CJ22" s="5"/>
      <c r="CK22" s="5">
        <f>-'INVENTARIO PRODUCTO TERMINADO'!CL23</f>
        <v>0</v>
      </c>
      <c r="CL22" s="5"/>
      <c r="CM22" s="5">
        <f>-'INVENTARIO PRODUCTO TERMINADO'!CR23</f>
        <v>0</v>
      </c>
    </row>
    <row r="23" spans="1:91" x14ac:dyDescent="0.25">
      <c r="A23" s="2" t="s">
        <v>234</v>
      </c>
      <c r="B23" s="3" t="s">
        <v>191</v>
      </c>
      <c r="C23" s="23" t="s">
        <v>209</v>
      </c>
      <c r="D23" s="6">
        <f t="shared" si="2"/>
        <v>223</v>
      </c>
      <c r="E23" s="4">
        <v>100</v>
      </c>
      <c r="F23" s="4">
        <f t="shared" ref="F23:F29" si="3">+D23-E23</f>
        <v>123</v>
      </c>
      <c r="G23" s="92">
        <v>127</v>
      </c>
      <c r="H23" s="5"/>
      <c r="I23" s="5">
        <f>-'INVENTARIO PRODUCTO TERMINADO'!H23</f>
        <v>0</v>
      </c>
      <c r="J23" s="5"/>
      <c r="K23" s="5">
        <f>-'INVENTARIO PRODUCTO TERMINADO'!J24</f>
        <v>0</v>
      </c>
      <c r="L23" s="5"/>
      <c r="M23" s="5">
        <f>-'INVENTARIO PRODUCTO TERMINADO'!L24</f>
        <v>0</v>
      </c>
      <c r="N23" s="5"/>
      <c r="O23" s="5">
        <f>-'INVENTARIO PRODUCTO TERMINADO'!N24</f>
        <v>0</v>
      </c>
      <c r="P23" s="5"/>
      <c r="Q23" s="5">
        <f>-'INVENTARIO PRODUCTO TERMINADO'!R24</f>
        <v>-26</v>
      </c>
      <c r="R23" s="5"/>
      <c r="S23" s="5">
        <f>-'INVENTARIO PRODUCTO TERMINADO'!T24</f>
        <v>0</v>
      </c>
      <c r="T23" s="5"/>
      <c r="U23" s="5">
        <f>-'INVENTARIO PRODUCTO TERMINADO'!V24</f>
        <v>0</v>
      </c>
      <c r="V23" s="5"/>
      <c r="W23" s="5">
        <f>-'INVENTARIO PRODUCTO TERMINADO'!X24</f>
        <v>0</v>
      </c>
      <c r="X23" s="5"/>
      <c r="Y23" s="5">
        <f>-'INVENTARIO PRODUCTO TERMINADO'!Z24</f>
        <v>0</v>
      </c>
      <c r="Z23" s="5"/>
      <c r="AA23" s="5">
        <f>-'INVENTARIO PRODUCTO TERMINADO'!AB24</f>
        <v>0</v>
      </c>
      <c r="AB23" s="5"/>
      <c r="AC23" s="5">
        <f>-'INVENTARIO PRODUCTO TERMINADO'!AD24</f>
        <v>0</v>
      </c>
      <c r="AD23" s="5"/>
      <c r="AE23" s="5">
        <f>-'INVENTARIO PRODUCTO TERMINADO'!AF24</f>
        <v>0</v>
      </c>
      <c r="AF23" s="5"/>
      <c r="AG23" s="5">
        <f>-'INVENTARIO PRODUCTO TERMINADO'!AH24</f>
        <v>0</v>
      </c>
      <c r="AH23" s="5"/>
      <c r="AI23" s="5">
        <f>-'INVENTARIO PRODUCTO TERMINADO'!AJ24</f>
        <v>0</v>
      </c>
      <c r="AJ23" s="5"/>
      <c r="AK23" s="5">
        <f>-'INVENTARIO PRODUCTO TERMINADO'!AL24</f>
        <v>0</v>
      </c>
      <c r="AL23" s="5"/>
      <c r="AM23" s="5">
        <f>-'INVENTARIO PRODUCTO TERMINADO'!AN24</f>
        <v>0</v>
      </c>
      <c r="AN23" s="5"/>
      <c r="AO23" s="5">
        <f>-'INVENTARIO PRODUCTO TERMINADO'!AP24</f>
        <v>0</v>
      </c>
      <c r="AP23" s="5"/>
      <c r="AQ23" s="5">
        <f>-'INVENTARIO PRODUCTO TERMINADO'!AR24</f>
        <v>0</v>
      </c>
      <c r="AR23" s="5"/>
      <c r="AS23" s="5">
        <f>-'INVENTARIO PRODUCTO TERMINADO'!AT24</f>
        <v>0</v>
      </c>
      <c r="AT23" s="30"/>
      <c r="AU23" s="5">
        <f>-'INVENTARIO PRODUCTO TERMINADO'!AV24</f>
        <v>0</v>
      </c>
      <c r="AV23" s="5"/>
      <c r="AW23" s="5">
        <f>-'INVENTARIO PRODUCTO TERMINADO'!AX24</f>
        <v>-35</v>
      </c>
      <c r="AX23" s="5"/>
      <c r="AY23" s="5">
        <f>-'INVENTARIO PRODUCTO TERMINADO'!AZ24</f>
        <v>0</v>
      </c>
      <c r="AZ23" s="5"/>
      <c r="BA23" s="5">
        <f>-'INVENTARIO PRODUCTO TERMINADO'!BB24</f>
        <v>0</v>
      </c>
      <c r="BB23" s="5"/>
      <c r="BC23" s="5">
        <f>-'INVENTARIO PRODUCTO TERMINADO'!BD24</f>
        <v>0</v>
      </c>
      <c r="BD23" s="5"/>
      <c r="BE23" s="5">
        <f>-'INVENTARIO PRODUCTO TERMINADO'!BF24</f>
        <v>0</v>
      </c>
      <c r="BF23" s="5"/>
      <c r="BG23" s="5">
        <f>-'INVENTARIO PRODUCTO TERMINADO'!BH24</f>
        <v>0</v>
      </c>
      <c r="BH23" s="5">
        <v>100</v>
      </c>
      <c r="BI23" s="5">
        <f>-'INVENTARIO PRODUCTO TERMINADO'!BJ24</f>
        <v>0</v>
      </c>
      <c r="BJ23" s="5"/>
      <c r="BK23" s="5">
        <f>-'INVENTARIO PRODUCTO TERMINADO'!BL24</f>
        <v>0</v>
      </c>
      <c r="BL23" s="5"/>
      <c r="BM23" s="5">
        <f>-'INVENTARIO PRODUCTO TERMINADO'!BN24</f>
        <v>0</v>
      </c>
      <c r="BN23" s="5"/>
      <c r="BO23" s="5">
        <f>-'INVENTARIO PRODUCTO TERMINADO'!BP24</f>
        <v>0</v>
      </c>
      <c r="BP23" s="5"/>
      <c r="BQ23" s="5">
        <f>-'INVENTARIO PRODUCTO TERMINADO'!BR24</f>
        <v>0</v>
      </c>
      <c r="BR23" s="5">
        <v>84</v>
      </c>
      <c r="BS23" s="5">
        <f>-'INVENTARIO PRODUCTO TERMINADO'!BT24</f>
        <v>-6</v>
      </c>
      <c r="BT23" s="5"/>
      <c r="BU23" s="5">
        <f>-'INVENTARIO PRODUCTO TERMINADO'!BV24</f>
        <v>0</v>
      </c>
      <c r="BV23" s="5"/>
      <c r="BW23" s="5">
        <f>-'INVENTARIO PRODUCTO TERMINADO'!BX24</f>
        <v>0</v>
      </c>
      <c r="BX23" s="5"/>
      <c r="BY23" s="5">
        <f>-'INVENTARIO PRODUCTO TERMINADO'!BZ24</f>
        <v>0</v>
      </c>
      <c r="BZ23" s="5"/>
      <c r="CA23" s="5">
        <f>-'INVENTARIO PRODUCTO TERMINADO'!CB24</f>
        <v>0</v>
      </c>
      <c r="CB23" s="5"/>
      <c r="CC23" s="5">
        <f>-'INVENTARIO PRODUCTO TERMINADO'!CD24</f>
        <v>0</v>
      </c>
      <c r="CD23" s="5"/>
      <c r="CE23" s="5">
        <f>-'INVENTARIO PRODUCTO TERMINADO'!CF24</f>
        <v>0</v>
      </c>
      <c r="CF23" s="5"/>
      <c r="CG23" s="5">
        <f>-'INVENTARIO PRODUCTO TERMINADO'!CH24</f>
        <v>0</v>
      </c>
      <c r="CH23" s="5"/>
      <c r="CI23" s="5">
        <f>-'INVENTARIO PRODUCTO TERMINADO'!CJ24</f>
        <v>-10</v>
      </c>
      <c r="CJ23" s="5"/>
      <c r="CK23" s="5">
        <f>-'INVENTARIO PRODUCTO TERMINADO'!CL24</f>
        <v>-11</v>
      </c>
      <c r="CL23" s="5"/>
      <c r="CM23" s="5">
        <f>-'INVENTARIO PRODUCTO TERMINADO'!CR24</f>
        <v>0</v>
      </c>
    </row>
    <row r="24" spans="1:91" x14ac:dyDescent="0.25">
      <c r="A24" s="2" t="s">
        <v>223</v>
      </c>
      <c r="B24" s="3" t="s">
        <v>189</v>
      </c>
      <c r="C24" s="23" t="s">
        <v>211</v>
      </c>
      <c r="D24" s="6">
        <f>SUM(G24:CM24)</f>
        <v>584</v>
      </c>
      <c r="E24" s="24">
        <v>300</v>
      </c>
      <c r="F24" s="4">
        <f>+D24-E24</f>
        <v>284</v>
      </c>
      <c r="G24" s="92">
        <v>271</v>
      </c>
      <c r="H24" s="22"/>
      <c r="I24" s="5">
        <f>-'INVENTARIO PRODUCTO TERMINADO'!H24</f>
        <v>0</v>
      </c>
      <c r="J24" s="22"/>
      <c r="K24" s="5">
        <f>-'INVENTARIO PRODUCTO TERMINADO'!J25</f>
        <v>0</v>
      </c>
      <c r="L24" s="52"/>
      <c r="M24" s="5">
        <f>-'INVENTARIO PRODUCTO TERMINADO'!L25</f>
        <v>-36</v>
      </c>
      <c r="N24" s="22"/>
      <c r="O24" s="5">
        <f>-'INVENTARIO PRODUCTO TERMINADO'!N25</f>
        <v>0</v>
      </c>
      <c r="P24" s="22"/>
      <c r="Q24" s="5">
        <f>-'INVENTARIO PRODUCTO TERMINADO'!R25</f>
        <v>-65</v>
      </c>
      <c r="R24" s="22"/>
      <c r="S24" s="5">
        <f>-'INVENTARIO PRODUCTO TERMINADO'!T25</f>
        <v>0</v>
      </c>
      <c r="T24" s="22"/>
      <c r="U24" s="5">
        <f>-'INVENTARIO PRODUCTO TERMINADO'!V25</f>
        <v>0</v>
      </c>
      <c r="V24" s="22"/>
      <c r="W24" s="5">
        <f>-'INVENTARIO PRODUCTO TERMINADO'!X25</f>
        <v>-12</v>
      </c>
      <c r="X24" s="22"/>
      <c r="Y24" s="5">
        <f>-'INVENTARIO PRODUCTO TERMINADO'!Z25</f>
        <v>0</v>
      </c>
      <c r="Z24" s="22"/>
      <c r="AA24" s="5">
        <f>-'INVENTARIO PRODUCTO TERMINADO'!AB25</f>
        <v>0</v>
      </c>
      <c r="AB24" s="22">
        <v>100</v>
      </c>
      <c r="AC24" s="5">
        <f>-'INVENTARIO PRODUCTO TERMINADO'!AD25</f>
        <v>0</v>
      </c>
      <c r="AD24" s="22"/>
      <c r="AE24" s="5">
        <f>-'INVENTARIO PRODUCTO TERMINADO'!AF25</f>
        <v>0</v>
      </c>
      <c r="AF24" s="22"/>
      <c r="AG24" s="5">
        <f>-'INVENTARIO PRODUCTO TERMINADO'!AH25</f>
        <v>0</v>
      </c>
      <c r="AH24" s="22"/>
      <c r="AI24" s="5">
        <f>-'INVENTARIO PRODUCTO TERMINADO'!AJ25</f>
        <v>0</v>
      </c>
      <c r="AJ24" s="22"/>
      <c r="AK24" s="5">
        <f>-'INVENTARIO PRODUCTO TERMINADO'!AL25</f>
        <v>-5</v>
      </c>
      <c r="AL24" s="22"/>
      <c r="AM24" s="5">
        <f>-'INVENTARIO PRODUCTO TERMINADO'!AN25</f>
        <v>0</v>
      </c>
      <c r="AN24" s="22"/>
      <c r="AO24" s="5">
        <f>-'INVENTARIO PRODUCTO TERMINADO'!AP25</f>
        <v>0</v>
      </c>
      <c r="AP24" s="22"/>
      <c r="AQ24" s="5">
        <f>-'INVENTARIO PRODUCTO TERMINADO'!AR25</f>
        <v>-10</v>
      </c>
      <c r="AR24" s="22"/>
      <c r="AS24" s="5">
        <f>-'INVENTARIO PRODUCTO TERMINADO'!AT25</f>
        <v>0</v>
      </c>
      <c r="AT24" s="70"/>
      <c r="AU24" s="5">
        <f>-'INVENTARIO PRODUCTO TERMINADO'!AV25</f>
        <v>0</v>
      </c>
      <c r="AV24" s="22"/>
      <c r="AW24" s="5">
        <f>-'INVENTARIO PRODUCTO TERMINADO'!AX25</f>
        <v>-38</v>
      </c>
      <c r="AX24" s="22"/>
      <c r="AY24" s="5">
        <f>-'INVENTARIO PRODUCTO TERMINADO'!AZ25</f>
        <v>-36</v>
      </c>
      <c r="AZ24" s="22"/>
      <c r="BA24" s="5">
        <f>-'INVENTARIO PRODUCTO TERMINADO'!BB25</f>
        <v>0</v>
      </c>
      <c r="BB24" s="22"/>
      <c r="BC24" s="5">
        <f>-'INVENTARIO PRODUCTO TERMINADO'!BD25</f>
        <v>0</v>
      </c>
      <c r="BD24" s="22"/>
      <c r="BE24" s="5">
        <f>-'INVENTARIO PRODUCTO TERMINADO'!BF25</f>
        <v>0</v>
      </c>
      <c r="BF24" s="22"/>
      <c r="BG24" s="5">
        <f>-'INVENTARIO PRODUCTO TERMINADO'!BH25</f>
        <v>-7</v>
      </c>
      <c r="BH24" s="22">
        <v>200</v>
      </c>
      <c r="BI24" s="5">
        <f>-'INVENTARIO PRODUCTO TERMINADO'!BJ25</f>
        <v>0</v>
      </c>
      <c r="BJ24" s="22"/>
      <c r="BK24" s="5">
        <f>-'INVENTARIO PRODUCTO TERMINADO'!BL25</f>
        <v>0</v>
      </c>
      <c r="BL24" s="22"/>
      <c r="BM24" s="5">
        <f>-'INVENTARIO PRODUCTO TERMINADO'!BN25</f>
        <v>0</v>
      </c>
      <c r="BN24" s="22"/>
      <c r="BO24" s="5">
        <f>-'INVENTARIO PRODUCTO TERMINADO'!BP25</f>
        <v>0</v>
      </c>
      <c r="BP24" s="22"/>
      <c r="BQ24" s="5">
        <f>-'INVENTARIO PRODUCTO TERMINADO'!BR25</f>
        <v>0</v>
      </c>
      <c r="BR24" s="22"/>
      <c r="BS24" s="5">
        <f>-'INVENTARIO PRODUCTO TERMINADO'!BT25</f>
        <v>-44</v>
      </c>
      <c r="BT24" s="22"/>
      <c r="BU24" s="5">
        <f>-'INVENTARIO PRODUCTO TERMINADO'!BV25</f>
        <v>0</v>
      </c>
      <c r="BV24" s="22"/>
      <c r="BW24" s="5">
        <f>-'INVENTARIO PRODUCTO TERMINADO'!BX25</f>
        <v>0</v>
      </c>
      <c r="BX24" s="22"/>
      <c r="BY24" s="5">
        <f>-'INVENTARIO PRODUCTO TERMINADO'!BZ25</f>
        <v>0</v>
      </c>
      <c r="BZ24" s="22"/>
      <c r="CA24" s="5">
        <f>-'INVENTARIO PRODUCTO TERMINADO'!CB25</f>
        <v>0</v>
      </c>
      <c r="CB24" s="22"/>
      <c r="CC24" s="5">
        <f>-'INVENTARIO PRODUCTO TERMINADO'!CD25</f>
        <v>0</v>
      </c>
      <c r="CD24" s="5"/>
      <c r="CE24" s="5">
        <f>-'INVENTARIO PRODUCTO TERMINADO'!CF25</f>
        <v>0</v>
      </c>
      <c r="CF24" s="5"/>
      <c r="CG24" s="5">
        <f>-'INVENTARIO PRODUCTO TERMINADO'!CH25</f>
        <v>-34</v>
      </c>
      <c r="CH24" s="5"/>
      <c r="CI24" s="5">
        <f>-'INVENTARIO PRODUCTO TERMINADO'!CJ25</f>
        <v>0</v>
      </c>
      <c r="CJ24" s="5"/>
      <c r="CK24" s="5">
        <f>-'INVENTARIO PRODUCTO TERMINADO'!CL25</f>
        <v>0</v>
      </c>
      <c r="CL24" s="5">
        <v>300</v>
      </c>
      <c r="CM24" s="5">
        <f>-'INVENTARIO PRODUCTO TERMINADO'!CR25</f>
        <v>0</v>
      </c>
    </row>
    <row r="25" spans="1:91" x14ac:dyDescent="0.25">
      <c r="A25" s="2" t="s">
        <v>235</v>
      </c>
      <c r="B25" s="3" t="s">
        <v>243</v>
      </c>
      <c r="C25" s="23" t="s">
        <v>213</v>
      </c>
      <c r="D25" s="6">
        <f t="shared" si="2"/>
        <v>1005</v>
      </c>
      <c r="E25" s="24">
        <v>300</v>
      </c>
      <c r="F25" s="4">
        <f t="shared" si="3"/>
        <v>705</v>
      </c>
      <c r="G25" s="92">
        <v>1107</v>
      </c>
      <c r="H25" s="22"/>
      <c r="I25" s="5">
        <f>-'INVENTARIO PRODUCTO TERMINADO'!H25</f>
        <v>0</v>
      </c>
      <c r="J25" s="22"/>
      <c r="K25" s="5">
        <f>-'INVENTARIO PRODUCTO TERMINADO'!J26</f>
        <v>0</v>
      </c>
      <c r="L25" s="52"/>
      <c r="M25" s="5">
        <f>-'INVENTARIO PRODUCTO TERMINADO'!L26</f>
        <v>0</v>
      </c>
      <c r="N25" s="22"/>
      <c r="O25" s="5">
        <f>-'INVENTARIO PRODUCTO TERMINADO'!N26</f>
        <v>0</v>
      </c>
      <c r="P25" s="22"/>
      <c r="Q25" s="5">
        <f>-'INVENTARIO PRODUCTO TERMINADO'!R26</f>
        <v>0</v>
      </c>
      <c r="R25" s="22"/>
      <c r="S25" s="5">
        <f>-'INVENTARIO PRODUCTO TERMINADO'!T26</f>
        <v>0</v>
      </c>
      <c r="T25" s="22"/>
      <c r="U25" s="5">
        <f>-'INVENTARIO PRODUCTO TERMINADO'!V26</f>
        <v>0</v>
      </c>
      <c r="V25" s="22"/>
      <c r="W25" s="5">
        <f>-'INVENTARIO PRODUCTO TERMINADO'!X26</f>
        <v>0</v>
      </c>
      <c r="X25" s="22"/>
      <c r="Y25" s="5">
        <f>-'INVENTARIO PRODUCTO TERMINADO'!Z26</f>
        <v>0</v>
      </c>
      <c r="Z25" s="22"/>
      <c r="AA25" s="5">
        <f>-'INVENTARIO PRODUCTO TERMINADO'!AB26</f>
        <v>0</v>
      </c>
      <c r="AB25" s="22"/>
      <c r="AC25" s="5">
        <f>-'INVENTARIO PRODUCTO TERMINADO'!AD26</f>
        <v>0</v>
      </c>
      <c r="AD25" s="22"/>
      <c r="AE25" s="5">
        <f>-'INVENTARIO PRODUCTO TERMINADO'!AF26</f>
        <v>0</v>
      </c>
      <c r="AF25" s="22"/>
      <c r="AG25" s="5">
        <f>-'INVENTARIO PRODUCTO TERMINADO'!AH26</f>
        <v>0</v>
      </c>
      <c r="AH25" s="22"/>
      <c r="AI25" s="5">
        <f>-'INVENTARIO PRODUCTO TERMINADO'!AJ26</f>
        <v>0</v>
      </c>
      <c r="AJ25" s="22"/>
      <c r="AK25" s="5">
        <f>-'INVENTARIO PRODUCTO TERMINADO'!AL26</f>
        <v>0</v>
      </c>
      <c r="AL25" s="22"/>
      <c r="AM25" s="5">
        <f>-'INVENTARIO PRODUCTO TERMINADO'!AN26</f>
        <v>0</v>
      </c>
      <c r="AN25" s="22"/>
      <c r="AO25" s="5">
        <f>-'INVENTARIO PRODUCTO TERMINADO'!AP26</f>
        <v>0</v>
      </c>
      <c r="AP25" s="22"/>
      <c r="AQ25" s="5">
        <f>-'INVENTARIO PRODUCTO TERMINADO'!AR26</f>
        <v>0</v>
      </c>
      <c r="AR25" s="22"/>
      <c r="AS25" s="5">
        <f>-'INVENTARIO PRODUCTO TERMINADO'!AT26</f>
        <v>0</v>
      </c>
      <c r="AT25" s="70"/>
      <c r="AU25" s="5">
        <f>-'INVENTARIO PRODUCTO TERMINADO'!AV26</f>
        <v>0</v>
      </c>
      <c r="AV25" s="22"/>
      <c r="AW25" s="5">
        <f>-'INVENTARIO PRODUCTO TERMINADO'!AX26</f>
        <v>0</v>
      </c>
      <c r="AX25" s="22"/>
      <c r="AY25" s="5">
        <f>-'INVENTARIO PRODUCTO TERMINADO'!AZ26</f>
        <v>0</v>
      </c>
      <c r="AZ25" s="22"/>
      <c r="BA25" s="5">
        <f>-'INVENTARIO PRODUCTO TERMINADO'!BB26</f>
        <v>0</v>
      </c>
      <c r="BB25" s="22"/>
      <c r="BC25" s="5">
        <f>-'INVENTARIO PRODUCTO TERMINADO'!BD26</f>
        <v>0</v>
      </c>
      <c r="BD25" s="22"/>
      <c r="BE25" s="5">
        <f>-'INVENTARIO PRODUCTO TERMINADO'!BF26</f>
        <v>0</v>
      </c>
      <c r="BF25" s="22"/>
      <c r="BG25" s="5">
        <f>-'INVENTARIO PRODUCTO TERMINADO'!BH26</f>
        <v>-56</v>
      </c>
      <c r="BH25" s="22"/>
      <c r="BI25" s="5">
        <f>-'INVENTARIO PRODUCTO TERMINADO'!BJ26</f>
        <v>0</v>
      </c>
      <c r="BJ25" s="22"/>
      <c r="BK25" s="5">
        <f>-'INVENTARIO PRODUCTO TERMINADO'!BL26</f>
        <v>0</v>
      </c>
      <c r="BL25" s="22"/>
      <c r="BM25" s="5">
        <f>-'INVENTARIO PRODUCTO TERMINADO'!BN26</f>
        <v>0</v>
      </c>
      <c r="BN25" s="22">
        <v>-20</v>
      </c>
      <c r="BO25" s="5">
        <f>-'INVENTARIO PRODUCTO TERMINADO'!BP26</f>
        <v>0</v>
      </c>
      <c r="BP25" s="22"/>
      <c r="BQ25" s="5">
        <f>-'INVENTARIO PRODUCTO TERMINADO'!BR26</f>
        <v>0</v>
      </c>
      <c r="BR25" s="22">
        <v>19</v>
      </c>
      <c r="BS25" s="5">
        <f>-'INVENTARIO PRODUCTO TERMINADO'!BT26</f>
        <v>0</v>
      </c>
      <c r="BT25" s="22"/>
      <c r="BU25" s="5">
        <f>-'INVENTARIO PRODUCTO TERMINADO'!BV26</f>
        <v>0</v>
      </c>
      <c r="BV25" s="22"/>
      <c r="BW25" s="5">
        <f>-'INVENTARIO PRODUCTO TERMINADO'!BX26</f>
        <v>0</v>
      </c>
      <c r="BX25" s="22"/>
      <c r="BY25" s="5">
        <f>-'INVENTARIO PRODUCTO TERMINADO'!BZ26</f>
        <v>0</v>
      </c>
      <c r="BZ25" s="22"/>
      <c r="CA25" s="5">
        <f>-'INVENTARIO PRODUCTO TERMINADO'!CB26</f>
        <v>0</v>
      </c>
      <c r="CB25" s="22"/>
      <c r="CC25" s="5">
        <f>-'INVENTARIO PRODUCTO TERMINADO'!CD26</f>
        <v>0</v>
      </c>
      <c r="CD25" s="5"/>
      <c r="CE25" s="5">
        <f>-'INVENTARIO PRODUCTO TERMINADO'!CF26</f>
        <v>0</v>
      </c>
      <c r="CF25" s="5"/>
      <c r="CG25" s="5">
        <f>-'INVENTARIO PRODUCTO TERMINADO'!CH26</f>
        <v>-45</v>
      </c>
      <c r="CH25" s="5"/>
      <c r="CI25" s="5">
        <f>-'INVENTARIO PRODUCTO TERMINADO'!CJ26</f>
        <v>0</v>
      </c>
      <c r="CJ25" s="5"/>
      <c r="CK25" s="5">
        <f>-'INVENTARIO PRODUCTO TERMINADO'!CL26</f>
        <v>0</v>
      </c>
      <c r="CL25" s="5"/>
      <c r="CM25" s="5">
        <f>-'INVENTARIO PRODUCTO TERMINADO'!CR26</f>
        <v>0</v>
      </c>
    </row>
    <row r="26" spans="1:91" s="34" customFormat="1" x14ac:dyDescent="0.25">
      <c r="A26" s="2" t="s">
        <v>236</v>
      </c>
      <c r="B26" s="23" t="s">
        <v>157</v>
      </c>
      <c r="C26" s="23" t="s">
        <v>160</v>
      </c>
      <c r="D26" s="6">
        <f t="shared" si="2"/>
        <v>376</v>
      </c>
      <c r="E26" s="24">
        <v>100</v>
      </c>
      <c r="F26" s="4">
        <f t="shared" si="3"/>
        <v>276</v>
      </c>
      <c r="G26" s="92">
        <v>37</v>
      </c>
      <c r="H26" s="44">
        <v>4</v>
      </c>
      <c r="I26" s="5">
        <f>-'INVENTARIO PRODUCTO TERMINADO'!H26</f>
        <v>0</v>
      </c>
      <c r="J26" s="22"/>
      <c r="K26" s="5">
        <f>-'INVENTARIO PRODUCTO TERMINADO'!J27</f>
        <v>0</v>
      </c>
      <c r="L26" s="22"/>
      <c r="M26" s="5">
        <f>-'INVENTARIO PRODUCTO TERMINADO'!L27</f>
        <v>0</v>
      </c>
      <c r="N26" s="22"/>
      <c r="O26" s="5">
        <f>-'INVENTARIO PRODUCTO TERMINADO'!N27</f>
        <v>0</v>
      </c>
      <c r="P26" s="22"/>
      <c r="Q26" s="5">
        <f>-'INVENTARIO PRODUCTO TERMINADO'!R34</f>
        <v>-6</v>
      </c>
      <c r="R26" s="22"/>
      <c r="S26" s="5">
        <f>-'INVENTARIO PRODUCTO TERMINADO'!T27</f>
        <v>0</v>
      </c>
      <c r="T26" s="22"/>
      <c r="U26" s="5">
        <f>-'INVENTARIO PRODUCTO TERMINADO'!V27</f>
        <v>0</v>
      </c>
      <c r="V26" s="22"/>
      <c r="W26" s="5">
        <f>-'INVENTARIO PRODUCTO TERMINADO'!X27</f>
        <v>0</v>
      </c>
      <c r="X26" s="22"/>
      <c r="Y26" s="5">
        <f>-'INVENTARIO PRODUCTO TERMINADO'!Z27</f>
        <v>0</v>
      </c>
      <c r="Z26" s="22"/>
      <c r="AA26" s="5">
        <f>-'INVENTARIO PRODUCTO TERMINADO'!AB27</f>
        <v>0</v>
      </c>
      <c r="AB26" s="22"/>
      <c r="AC26" s="5">
        <f>-'INVENTARIO PRODUCTO TERMINADO'!AD27</f>
        <v>0</v>
      </c>
      <c r="AD26" s="22"/>
      <c r="AE26" s="5">
        <f>-'INVENTARIO PRODUCTO TERMINADO'!AF27</f>
        <v>0</v>
      </c>
      <c r="AF26" s="22"/>
      <c r="AG26" s="5">
        <f>-'INVENTARIO PRODUCTO TERMINADO'!AH27</f>
        <v>0</v>
      </c>
      <c r="AH26" s="22"/>
      <c r="AI26" s="5">
        <f>-'INVENTARIO PRODUCTO TERMINADO'!AJ27</f>
        <v>0</v>
      </c>
      <c r="AJ26" s="22"/>
      <c r="AK26" s="5">
        <f>-'INVENTARIO PRODUCTO TERMINADO'!AL27</f>
        <v>0</v>
      </c>
      <c r="AL26" s="22"/>
      <c r="AM26" s="5">
        <f>-'INVENTARIO PRODUCTO TERMINADO'!AN27</f>
        <v>0</v>
      </c>
      <c r="AN26" s="22"/>
      <c r="AO26" s="5">
        <f>-'INVENTARIO PRODUCTO TERMINADO'!AP27</f>
        <v>0</v>
      </c>
      <c r="AP26" s="22"/>
      <c r="AQ26" s="5">
        <f>-'INVENTARIO PRODUCTO TERMINADO'!AR27</f>
        <v>0</v>
      </c>
      <c r="AR26" s="22"/>
      <c r="AS26" s="5">
        <f>-'INVENTARIO PRODUCTO TERMINADO'!AT27</f>
        <v>-42</v>
      </c>
      <c r="AT26" s="70"/>
      <c r="AU26" s="5">
        <f>-'INVENTARIO PRODUCTO TERMINADO'!AV27</f>
        <v>0</v>
      </c>
      <c r="AV26" s="22"/>
      <c r="AW26" s="5">
        <f>-'INVENTARIO PRODUCTO TERMINADO'!AX27</f>
        <v>0</v>
      </c>
      <c r="AX26" s="22">
        <v>152</v>
      </c>
      <c r="AY26" s="5">
        <f>-'INVENTARIO PRODUCTO TERMINADO'!AZ27</f>
        <v>0</v>
      </c>
      <c r="AZ26" s="22"/>
      <c r="BA26" s="5">
        <f>-'INVENTARIO PRODUCTO TERMINADO'!BB27</f>
        <v>0</v>
      </c>
      <c r="BB26" s="22"/>
      <c r="BC26" s="5">
        <f>-'INVENTARIO PRODUCTO TERMINADO'!BD27</f>
        <v>0</v>
      </c>
      <c r="BD26" s="22"/>
      <c r="BE26" s="5">
        <f>-'INVENTARIO PRODUCTO TERMINADO'!BF27</f>
        <v>0</v>
      </c>
      <c r="BF26" s="22"/>
      <c r="BG26" s="5">
        <f>-'INVENTARIO PRODUCTO TERMINADO'!BH27</f>
        <v>0</v>
      </c>
      <c r="BH26" s="22"/>
      <c r="BI26" s="5">
        <f>-'INVENTARIO PRODUCTO TERMINADO'!BJ27</f>
        <v>-41</v>
      </c>
      <c r="BJ26" s="22"/>
      <c r="BK26" s="5">
        <f>-'INVENTARIO PRODUCTO TERMINADO'!BL27</f>
        <v>0</v>
      </c>
      <c r="BL26" s="22"/>
      <c r="BM26" s="5">
        <f>-'INVENTARIO PRODUCTO TERMINADO'!BN27</f>
        <v>0</v>
      </c>
      <c r="BN26" s="22">
        <v>-30</v>
      </c>
      <c r="BO26" s="5">
        <f>-'INVENTARIO PRODUCTO TERMINADO'!BP27</f>
        <v>0</v>
      </c>
      <c r="BP26" s="22"/>
      <c r="BQ26" s="5">
        <f>-'INVENTARIO PRODUCTO TERMINADO'!BR27</f>
        <v>0</v>
      </c>
      <c r="BR26" s="22">
        <v>26</v>
      </c>
      <c r="BS26" s="5">
        <f>-'INVENTARIO PRODUCTO TERMINADO'!BT27</f>
        <v>-15</v>
      </c>
      <c r="BT26" s="22"/>
      <c r="BU26" s="5">
        <f>-'INVENTARIO PRODUCTO TERMINADO'!BV27</f>
        <v>0</v>
      </c>
      <c r="BV26" s="22"/>
      <c r="BW26" s="5">
        <f>-'INVENTARIO PRODUCTO TERMINADO'!BX27</f>
        <v>0</v>
      </c>
      <c r="BX26" s="22"/>
      <c r="BY26" s="5">
        <f>-'INVENTARIO PRODUCTO TERMINADO'!BZ27</f>
        <v>0</v>
      </c>
      <c r="BZ26" s="22"/>
      <c r="CA26" s="5">
        <f>-'INVENTARIO PRODUCTO TERMINADO'!CB27</f>
        <v>0</v>
      </c>
      <c r="CB26" s="22"/>
      <c r="CC26" s="5">
        <f>-'INVENTARIO PRODUCTO TERMINADO'!CD27</f>
        <v>0</v>
      </c>
      <c r="CD26" s="5"/>
      <c r="CE26" s="5">
        <f>-'INVENTARIO PRODUCTO TERMINADO'!CF27</f>
        <v>0</v>
      </c>
      <c r="CF26" s="5"/>
      <c r="CG26" s="5">
        <f>-'INVENTARIO PRODUCTO TERMINADO'!CH27</f>
        <v>-9</v>
      </c>
      <c r="CH26" s="5"/>
      <c r="CI26" s="5">
        <f>-'INVENTARIO PRODUCTO TERMINADO'!CJ27</f>
        <v>0</v>
      </c>
      <c r="CJ26" s="5"/>
      <c r="CK26" s="5">
        <f>-'INVENTARIO PRODUCTO TERMINADO'!CL27</f>
        <v>0</v>
      </c>
      <c r="CL26" s="5">
        <v>300</v>
      </c>
      <c r="CM26" s="5">
        <f>-'INVENTARIO PRODUCTO TERMINADO'!CR27</f>
        <v>0</v>
      </c>
    </row>
    <row r="27" spans="1:91" x14ac:dyDescent="0.25">
      <c r="A27" s="2" t="s">
        <v>237</v>
      </c>
      <c r="B27" s="23" t="s">
        <v>170</v>
      </c>
      <c r="C27" s="35" t="s">
        <v>210</v>
      </c>
      <c r="D27" s="6">
        <f t="shared" si="2"/>
        <v>118</v>
      </c>
      <c r="E27" s="24">
        <v>50</v>
      </c>
      <c r="F27" s="4">
        <f t="shared" si="3"/>
        <v>68</v>
      </c>
      <c r="G27" s="92">
        <v>140</v>
      </c>
      <c r="H27" s="22"/>
      <c r="I27" s="5">
        <f>-'INVENTARIO PRODUCTO TERMINADO'!H27</f>
        <v>0</v>
      </c>
      <c r="J27" s="22"/>
      <c r="K27" s="5">
        <f>-'INVENTARIO PRODUCTO TERMINADO'!J28</f>
        <v>0</v>
      </c>
      <c r="L27" s="52"/>
      <c r="M27" s="5">
        <f>-'INVENTARIO PRODUCTO TERMINADO'!L28</f>
        <v>0</v>
      </c>
      <c r="N27" s="22"/>
      <c r="O27" s="5">
        <f>-'INVENTARIO PRODUCTO TERMINADO'!N28</f>
        <v>0</v>
      </c>
      <c r="P27" s="22"/>
      <c r="Q27" s="5">
        <f>-'INVENTARIO PRODUCTO TERMINADO'!R28</f>
        <v>0</v>
      </c>
      <c r="R27" s="22"/>
      <c r="S27" s="5">
        <f>-'INVENTARIO PRODUCTO TERMINADO'!T28</f>
        <v>0</v>
      </c>
      <c r="T27" s="22"/>
      <c r="U27" s="5">
        <f>-'INVENTARIO PRODUCTO TERMINADO'!V28</f>
        <v>0</v>
      </c>
      <c r="V27" s="22"/>
      <c r="W27" s="5">
        <f>-'INVENTARIO PRODUCTO TERMINADO'!X28</f>
        <v>0</v>
      </c>
      <c r="X27" s="22"/>
      <c r="Y27" s="5">
        <f>-'INVENTARIO PRODUCTO TERMINADO'!Z28</f>
        <v>0</v>
      </c>
      <c r="Z27" s="22"/>
      <c r="AA27" s="5">
        <f>-'INVENTARIO PRODUCTO TERMINADO'!AB28</f>
        <v>0</v>
      </c>
      <c r="AB27" s="22"/>
      <c r="AC27" s="5">
        <f>-'INVENTARIO PRODUCTO TERMINADO'!AD28</f>
        <v>0</v>
      </c>
      <c r="AD27" s="22"/>
      <c r="AE27" s="5">
        <f>-'INVENTARIO PRODUCTO TERMINADO'!AF28</f>
        <v>0</v>
      </c>
      <c r="AF27" s="22"/>
      <c r="AG27" s="5">
        <f>-'INVENTARIO PRODUCTO TERMINADO'!AH28</f>
        <v>0</v>
      </c>
      <c r="AH27" s="22"/>
      <c r="AI27" s="5">
        <f>-'INVENTARIO PRODUCTO TERMINADO'!AJ28</f>
        <v>0</v>
      </c>
      <c r="AJ27" s="22"/>
      <c r="AK27" s="5">
        <f>-'INVENTARIO PRODUCTO TERMINADO'!AL28</f>
        <v>0</v>
      </c>
      <c r="AL27" s="22"/>
      <c r="AM27" s="5">
        <f>-'INVENTARIO PRODUCTO TERMINADO'!AN28</f>
        <v>0</v>
      </c>
      <c r="AN27" s="22"/>
      <c r="AO27" s="5">
        <f>-'INVENTARIO PRODUCTO TERMINADO'!AP28</f>
        <v>0</v>
      </c>
      <c r="AP27" s="22"/>
      <c r="AQ27" s="5">
        <f>-'INVENTARIO PRODUCTO TERMINADO'!AR28</f>
        <v>0</v>
      </c>
      <c r="AR27" s="22"/>
      <c r="AS27" s="5">
        <f>-'INVENTARIO PRODUCTO TERMINADO'!AT28</f>
        <v>0</v>
      </c>
      <c r="AT27" s="70"/>
      <c r="AU27" s="5">
        <f>-'INVENTARIO PRODUCTO TERMINADO'!AV28</f>
        <v>0</v>
      </c>
      <c r="AV27" s="22"/>
      <c r="AW27" s="5">
        <f>-'INVENTARIO PRODUCTO TERMINADO'!AX28</f>
        <v>0</v>
      </c>
      <c r="AX27" s="22"/>
      <c r="AY27" s="5">
        <f>-'INVENTARIO PRODUCTO TERMINADO'!AZ28</f>
        <v>0</v>
      </c>
      <c r="AZ27" s="22"/>
      <c r="BA27" s="5">
        <f>-'INVENTARIO PRODUCTO TERMINADO'!BB28</f>
        <v>0</v>
      </c>
      <c r="BB27" s="22"/>
      <c r="BC27" s="5">
        <f>-'INVENTARIO PRODUCTO TERMINADO'!BD28</f>
        <v>0</v>
      </c>
      <c r="BD27" s="22"/>
      <c r="BE27" s="5">
        <f>-'INVENTARIO PRODUCTO TERMINADO'!BF28</f>
        <v>0</v>
      </c>
      <c r="BF27" s="22"/>
      <c r="BG27" s="5">
        <f>-'INVENTARIO PRODUCTO TERMINADO'!BH28</f>
        <v>0</v>
      </c>
      <c r="BH27" s="22"/>
      <c r="BI27" s="5">
        <f>-'INVENTARIO PRODUCTO TERMINADO'!BJ28</f>
        <v>-21</v>
      </c>
      <c r="BJ27" s="22"/>
      <c r="BK27" s="5">
        <f>-'INVENTARIO PRODUCTO TERMINADO'!BL28</f>
        <v>0</v>
      </c>
      <c r="BL27" s="22"/>
      <c r="BM27" s="5">
        <f>-'INVENTARIO PRODUCTO TERMINADO'!BN28</f>
        <v>0</v>
      </c>
      <c r="BN27" s="22">
        <v>-15</v>
      </c>
      <c r="BO27" s="5">
        <f>-'INVENTARIO PRODUCTO TERMINADO'!BP28</f>
        <v>0</v>
      </c>
      <c r="BP27" s="22"/>
      <c r="BQ27" s="5">
        <f>-'INVENTARIO PRODUCTO TERMINADO'!BR28</f>
        <v>0</v>
      </c>
      <c r="BR27" s="22">
        <v>14</v>
      </c>
      <c r="BS27" s="5">
        <f>-'INVENTARIO PRODUCTO TERMINADO'!BT28</f>
        <v>0</v>
      </c>
      <c r="BT27" s="22"/>
      <c r="BU27" s="5">
        <f>-'INVENTARIO PRODUCTO TERMINADO'!BV28</f>
        <v>0</v>
      </c>
      <c r="BV27" s="22"/>
      <c r="BW27" s="5">
        <f>-'INVENTARIO PRODUCTO TERMINADO'!BX28</f>
        <v>0</v>
      </c>
      <c r="BX27" s="22"/>
      <c r="BY27" s="5">
        <f>-'INVENTARIO PRODUCTO TERMINADO'!BZ28</f>
        <v>0</v>
      </c>
      <c r="BZ27" s="22"/>
      <c r="CA27" s="5">
        <f>-'INVENTARIO PRODUCTO TERMINADO'!CB28</f>
        <v>0</v>
      </c>
      <c r="CB27" s="22"/>
      <c r="CC27" s="5">
        <f>-'INVENTARIO PRODUCTO TERMINADO'!CD28</f>
        <v>0</v>
      </c>
      <c r="CD27" s="5"/>
      <c r="CE27" s="5">
        <f>-'INVENTARIO PRODUCTO TERMINADO'!CF28</f>
        <v>0</v>
      </c>
      <c r="CF27" s="5"/>
      <c r="CG27" s="5">
        <f>-'INVENTARIO PRODUCTO TERMINADO'!CH28</f>
        <v>0</v>
      </c>
      <c r="CH27" s="5"/>
      <c r="CI27" s="5">
        <f>-'INVENTARIO PRODUCTO TERMINADO'!CJ28</f>
        <v>0</v>
      </c>
      <c r="CJ27" s="5"/>
      <c r="CK27" s="5">
        <f>-'INVENTARIO PRODUCTO TERMINADO'!CL28</f>
        <v>0</v>
      </c>
      <c r="CL27" s="5"/>
      <c r="CM27" s="5">
        <f>-'INVENTARIO PRODUCTO TERMINADO'!CR28</f>
        <v>0</v>
      </c>
    </row>
    <row r="28" spans="1:91" s="81" customFormat="1" ht="15.75" x14ac:dyDescent="0.25">
      <c r="A28" s="73">
        <v>4</v>
      </c>
      <c r="B28" s="82" t="s">
        <v>218</v>
      </c>
      <c r="C28" s="74"/>
      <c r="D28" s="75"/>
      <c r="E28" s="76"/>
      <c r="F28" s="76"/>
      <c r="G28" s="77"/>
      <c r="H28" s="78"/>
      <c r="I28" s="78"/>
      <c r="J28" s="78"/>
      <c r="K28" s="78"/>
      <c r="L28" s="77"/>
      <c r="M28" s="78"/>
      <c r="N28" s="78"/>
      <c r="O28" s="78"/>
      <c r="P28" s="77"/>
      <c r="Q28" s="79"/>
      <c r="R28" s="77"/>
      <c r="S28" s="79"/>
      <c r="T28" s="78"/>
      <c r="U28" s="78"/>
      <c r="V28" s="77"/>
      <c r="W28" s="80"/>
      <c r="X28" s="78"/>
      <c r="Y28" s="79"/>
      <c r="Z28" s="79"/>
      <c r="AA28" s="80"/>
      <c r="AB28" s="77"/>
      <c r="AC28" s="78"/>
      <c r="AD28" s="77"/>
      <c r="AE28" s="78"/>
      <c r="AF28" s="77"/>
      <c r="AG28" s="79"/>
      <c r="AH28" s="77"/>
      <c r="AI28" s="79"/>
      <c r="AJ28" s="77"/>
      <c r="AK28" s="78"/>
      <c r="AL28" s="77"/>
      <c r="AM28" s="78"/>
      <c r="AN28" s="77"/>
      <c r="AO28" s="78"/>
      <c r="AP28" s="77"/>
      <c r="AQ28" s="79"/>
      <c r="AR28" s="77"/>
      <c r="AS28" s="78"/>
      <c r="AT28" s="77"/>
      <c r="AU28" s="78"/>
      <c r="AV28" s="77"/>
      <c r="AW28" s="78"/>
      <c r="AX28" s="77"/>
      <c r="AY28" s="79"/>
      <c r="AZ28" s="77"/>
      <c r="BA28" s="78"/>
      <c r="BB28" s="77"/>
      <c r="BC28" s="78"/>
      <c r="BD28" s="77"/>
      <c r="BE28" s="79"/>
      <c r="BF28" s="77"/>
      <c r="BG28" s="78"/>
      <c r="BH28" s="77"/>
      <c r="BI28" s="78"/>
      <c r="BJ28" s="77"/>
      <c r="BK28" s="79"/>
      <c r="BL28" s="77"/>
      <c r="BM28" s="78"/>
      <c r="BN28" s="77"/>
      <c r="BO28" s="78"/>
      <c r="BP28" s="77"/>
      <c r="BQ28" s="79"/>
      <c r="BR28" s="79"/>
      <c r="BS28" s="78"/>
      <c r="BT28" s="77"/>
      <c r="BU28" s="78"/>
      <c r="BV28" s="77"/>
      <c r="BW28" s="77"/>
      <c r="BX28" s="77"/>
      <c r="BY28" s="77"/>
      <c r="BZ28" s="77"/>
      <c r="CA28" s="79"/>
      <c r="CB28" s="78"/>
      <c r="CC28" s="77"/>
      <c r="CD28" s="77"/>
      <c r="CE28" s="79"/>
      <c r="CF28" s="77"/>
      <c r="CG28" s="77"/>
      <c r="CH28" s="77"/>
      <c r="CI28" s="77"/>
      <c r="CJ28" s="77"/>
      <c r="CK28" s="77"/>
      <c r="CL28" s="77"/>
      <c r="CM28" s="77"/>
    </row>
    <row r="29" spans="1:91" x14ac:dyDescent="0.25">
      <c r="A29" s="2" t="s">
        <v>238</v>
      </c>
      <c r="B29" s="3" t="s">
        <v>31</v>
      </c>
      <c r="C29" s="3" t="s">
        <v>318</v>
      </c>
      <c r="D29" s="6">
        <f>SUM(G29:CM29)</f>
        <v>250</v>
      </c>
      <c r="E29" s="4">
        <v>100</v>
      </c>
      <c r="F29" s="4">
        <f t="shared" si="3"/>
        <v>150</v>
      </c>
      <c r="G29" s="92">
        <v>157</v>
      </c>
      <c r="H29" s="5"/>
      <c r="I29" s="5">
        <f>-'INVENTARIO PRODUCTO TERMINADO'!H29</f>
        <v>0</v>
      </c>
      <c r="J29" s="5"/>
      <c r="K29" s="5">
        <f>-'INVENTARIO PRODUCTO TERMINADO'!J30</f>
        <v>-58</v>
      </c>
      <c r="L29" s="5"/>
      <c r="M29" s="5">
        <f>-'INVENTARIO PRODUCTO TERMINADO'!L30</f>
        <v>0</v>
      </c>
      <c r="N29" s="5">
        <v>-4</v>
      </c>
      <c r="O29" s="5">
        <f>-'INVENTARIO PRODUCTO TERMINADO'!N30</f>
        <v>0</v>
      </c>
      <c r="P29" s="5"/>
      <c r="Q29" s="5">
        <f>-'INVENTARIO PRODUCTO TERMINADO'!R30</f>
        <v>0</v>
      </c>
      <c r="R29" s="5"/>
      <c r="S29" s="5">
        <f>-'INVENTARIO PRODUCTO TERMINADO'!T30</f>
        <v>0</v>
      </c>
      <c r="T29" s="5"/>
      <c r="U29" s="5">
        <f>-'INVENTARIO PRODUCTO TERMINADO'!V30</f>
        <v>0</v>
      </c>
      <c r="V29" s="5"/>
      <c r="W29" s="5">
        <f>-'INVENTARIO PRODUCTO TERMINADO'!X30</f>
        <v>0</v>
      </c>
      <c r="X29" s="5"/>
      <c r="Y29" s="5">
        <f>-'INVENTARIO PRODUCTO TERMINADO'!Z30</f>
        <v>0</v>
      </c>
      <c r="Z29" s="5"/>
      <c r="AA29" s="5">
        <f>-'INVENTARIO PRODUCTO TERMINADO'!AB30</f>
        <v>0</v>
      </c>
      <c r="AB29" s="5"/>
      <c r="AC29" s="5">
        <f>-'INVENTARIO PRODUCTO TERMINADO'!AD30</f>
        <v>0</v>
      </c>
      <c r="AD29" s="5"/>
      <c r="AE29" s="5">
        <f>-'INVENTARIO PRODUCTO TERMINADO'!AF30</f>
        <v>0</v>
      </c>
      <c r="AF29" s="5"/>
      <c r="AG29" s="5">
        <f>-'INVENTARIO PRODUCTO TERMINADO'!AH30</f>
        <v>0</v>
      </c>
      <c r="AH29" s="5"/>
      <c r="AI29" s="5">
        <f>-'INVENTARIO PRODUCTO TERMINADO'!AJ30</f>
        <v>0</v>
      </c>
      <c r="AJ29" s="5"/>
      <c r="AK29" s="5">
        <f>-'INVENTARIO PRODUCTO TERMINADO'!AL30</f>
        <v>0</v>
      </c>
      <c r="AL29" s="5"/>
      <c r="AM29" s="5">
        <f>-'INVENTARIO PRODUCTO TERMINADO'!AN30</f>
        <v>0</v>
      </c>
      <c r="AN29" s="5"/>
      <c r="AO29" s="5">
        <f>-'INVENTARIO PRODUCTO TERMINADO'!AP30</f>
        <v>0</v>
      </c>
      <c r="AP29" s="5"/>
      <c r="AQ29" s="5">
        <f>-'INVENTARIO PRODUCTO TERMINADO'!AR30</f>
        <v>0</v>
      </c>
      <c r="AR29" s="5"/>
      <c r="AS29" s="5">
        <f>-'INVENTARIO PRODUCTO TERMINADO'!AT30</f>
        <v>0</v>
      </c>
      <c r="AT29" s="30"/>
      <c r="AU29" s="5">
        <f>-'INVENTARIO PRODUCTO TERMINADO'!AV30</f>
        <v>0</v>
      </c>
      <c r="AV29" s="5"/>
      <c r="AW29" s="5">
        <f>-'INVENTARIO PRODUCTO TERMINADO'!AX30</f>
        <v>0</v>
      </c>
      <c r="AX29" s="5"/>
      <c r="AY29" s="5">
        <f>-'INVENTARIO PRODUCTO TERMINADO'!AZ30</f>
        <v>0</v>
      </c>
      <c r="AZ29" s="5"/>
      <c r="BA29" s="5">
        <f>-'INVENTARIO PRODUCTO TERMINADO'!BB30</f>
        <v>0</v>
      </c>
      <c r="BB29" s="5"/>
      <c r="BC29" s="5">
        <f>-'INVENTARIO PRODUCTO TERMINADO'!BD30</f>
        <v>0</v>
      </c>
      <c r="BD29" s="5"/>
      <c r="BE29" s="5">
        <f>-'INVENTARIO PRODUCTO TERMINADO'!BF30</f>
        <v>0</v>
      </c>
      <c r="BF29" s="5"/>
      <c r="BG29" s="5">
        <f>-'INVENTARIO PRODUCTO TERMINADO'!BH30</f>
        <v>-81</v>
      </c>
      <c r="BH29" s="5"/>
      <c r="BI29" s="5">
        <f>-'INVENTARIO PRODUCTO TERMINADO'!BJ30</f>
        <v>0</v>
      </c>
      <c r="BJ29" s="5"/>
      <c r="BK29" s="5">
        <f>-'INVENTARIO PRODUCTO TERMINADO'!BL30</f>
        <v>0</v>
      </c>
      <c r="BL29" s="5"/>
      <c r="BM29" s="5">
        <f>-'INVENTARIO PRODUCTO TERMINADO'!BN30</f>
        <v>0</v>
      </c>
      <c r="BN29" s="5"/>
      <c r="BO29" s="5">
        <f>-'INVENTARIO PRODUCTO TERMINADO'!BP30</f>
        <v>0</v>
      </c>
      <c r="BP29" s="5"/>
      <c r="BQ29" s="5">
        <f>-'INVENTARIO PRODUCTO TERMINADO'!BR30</f>
        <v>0</v>
      </c>
      <c r="BR29" s="5">
        <v>236</v>
      </c>
      <c r="BS29" s="5">
        <f>-'INVENTARIO PRODUCTO TERMINADO'!BT30</f>
        <v>0</v>
      </c>
      <c r="BT29" s="5"/>
      <c r="BU29" s="5">
        <f>-'INVENTARIO PRODUCTO TERMINADO'!BV30</f>
        <v>0</v>
      </c>
      <c r="BV29" s="5"/>
      <c r="BW29" s="5">
        <f>-'INVENTARIO PRODUCTO TERMINADO'!BX30</f>
        <v>0</v>
      </c>
      <c r="BX29" s="5"/>
      <c r="BY29" s="5">
        <f>-'INVENTARIO PRODUCTO TERMINADO'!BZ30</f>
        <v>0</v>
      </c>
      <c r="BZ29" s="5"/>
      <c r="CA29" s="5">
        <f>-'INVENTARIO PRODUCTO TERMINADO'!CB30</f>
        <v>0</v>
      </c>
      <c r="CB29" s="5"/>
      <c r="CC29" s="5">
        <f>-'INVENTARIO PRODUCTO TERMINADO'!CD30</f>
        <v>0</v>
      </c>
      <c r="CD29" s="5"/>
      <c r="CE29" s="5">
        <f>-'INVENTARIO PRODUCTO TERMINADO'!CF30</f>
        <v>0</v>
      </c>
      <c r="CF29" s="5"/>
      <c r="CG29" s="5">
        <f>-'INVENTARIO PRODUCTO TERMINADO'!CH30</f>
        <v>0</v>
      </c>
      <c r="CH29" s="5"/>
      <c r="CI29" s="5">
        <f>-'INVENTARIO PRODUCTO TERMINADO'!CJ30</f>
        <v>0</v>
      </c>
      <c r="CJ29" s="5"/>
      <c r="CK29" s="5">
        <f>-'INVENTARIO PRODUCTO TERMINADO'!CL30</f>
        <v>0</v>
      </c>
      <c r="CL29" s="5"/>
      <c r="CM29" s="5">
        <f>-'INVENTARIO PRODUCTO TERMINADO'!CR30</f>
        <v>0</v>
      </c>
    </row>
    <row r="30" spans="1:91" x14ac:dyDescent="0.25">
      <c r="A30" s="2" t="s">
        <v>245</v>
      </c>
      <c r="B30" s="3" t="s">
        <v>26</v>
      </c>
      <c r="C30" s="3" t="s">
        <v>202</v>
      </c>
      <c r="D30" s="6">
        <f>SUM(G30:CM30)</f>
        <v>120</v>
      </c>
      <c r="E30" s="4">
        <v>200</v>
      </c>
      <c r="F30" s="4">
        <f>D30-E30</f>
        <v>-80</v>
      </c>
      <c r="G30" s="92">
        <v>560</v>
      </c>
      <c r="H30" s="5"/>
      <c r="I30" s="5">
        <f>-'INVENTARIO PRODUCTO TERMINADO'!H30</f>
        <v>0</v>
      </c>
      <c r="J30" s="5"/>
      <c r="K30" s="5">
        <f>-'INVENTARIO PRODUCTO TERMINADO'!J31</f>
        <v>0</v>
      </c>
      <c r="L30" s="5"/>
      <c r="M30" s="5">
        <f>-'INVENTARIO PRODUCTO TERMINADO'!L31</f>
        <v>0</v>
      </c>
      <c r="N30" s="5"/>
      <c r="O30" s="5">
        <f>-'INVENTARIO PRODUCTO TERMINADO'!N31</f>
        <v>0</v>
      </c>
      <c r="P30" s="5"/>
      <c r="Q30" s="5">
        <f>-'INVENTARIO PRODUCTO TERMINADO'!R31</f>
        <v>-160</v>
      </c>
      <c r="R30" s="5"/>
      <c r="S30" s="5">
        <f>-'INVENTARIO PRODUCTO TERMINADO'!T31</f>
        <v>0</v>
      </c>
      <c r="T30" s="5"/>
      <c r="U30" s="5">
        <f>-'INVENTARIO PRODUCTO TERMINADO'!V31</f>
        <v>0</v>
      </c>
      <c r="V30" s="5"/>
      <c r="W30" s="5">
        <f>-'INVENTARIO PRODUCTO TERMINADO'!X31</f>
        <v>0</v>
      </c>
      <c r="X30" s="5"/>
      <c r="Y30" s="5">
        <f>-'INVENTARIO PRODUCTO TERMINADO'!Z31</f>
        <v>0</v>
      </c>
      <c r="Z30" s="5"/>
      <c r="AA30" s="5">
        <f>-'INVENTARIO PRODUCTO TERMINADO'!AB31</f>
        <v>0</v>
      </c>
      <c r="AB30" s="5"/>
      <c r="AC30" s="5">
        <f>-'INVENTARIO PRODUCTO TERMINADO'!AD31</f>
        <v>0</v>
      </c>
      <c r="AD30" s="5"/>
      <c r="AE30" s="5">
        <f>-'INVENTARIO PRODUCTO TERMINADO'!AF31</f>
        <v>0</v>
      </c>
      <c r="AF30" s="5"/>
      <c r="AG30" s="5">
        <f>-'INVENTARIO PRODUCTO TERMINADO'!AH31</f>
        <v>0</v>
      </c>
      <c r="AH30" s="5"/>
      <c r="AI30" s="5">
        <f>-'INVENTARIO PRODUCTO TERMINADO'!AJ31</f>
        <v>0</v>
      </c>
      <c r="AJ30" s="5"/>
      <c r="AK30" s="5">
        <f>-'INVENTARIO PRODUCTO TERMINADO'!AL31</f>
        <v>0</v>
      </c>
      <c r="AL30" s="5"/>
      <c r="AM30" s="5">
        <f>-'INVENTARIO PRODUCTO TERMINADO'!AN31</f>
        <v>0</v>
      </c>
      <c r="AN30" s="5"/>
      <c r="AO30" s="5">
        <f>-'INVENTARIO PRODUCTO TERMINADO'!AP31</f>
        <v>0</v>
      </c>
      <c r="AP30" s="5"/>
      <c r="AQ30" s="5">
        <f>-'INVENTARIO PRODUCTO TERMINADO'!AR31</f>
        <v>0</v>
      </c>
      <c r="AR30" s="5"/>
      <c r="AS30" s="5">
        <f>-'INVENTARIO PRODUCTO TERMINADO'!AT31</f>
        <v>0</v>
      </c>
      <c r="AT30" s="30"/>
      <c r="AU30" s="5">
        <f>-'INVENTARIO PRODUCTO TERMINADO'!AV31</f>
        <v>0</v>
      </c>
      <c r="AV30" s="5"/>
      <c r="AW30" s="5">
        <f>-'INVENTARIO PRODUCTO TERMINADO'!AX31</f>
        <v>0</v>
      </c>
      <c r="AX30" s="5"/>
      <c r="AY30" s="5">
        <f>-'INVENTARIO PRODUCTO TERMINADO'!AZ31</f>
        <v>0</v>
      </c>
      <c r="AZ30" s="5"/>
      <c r="BA30" s="5">
        <f>-'INVENTARIO PRODUCTO TERMINADO'!BB31</f>
        <v>0</v>
      </c>
      <c r="BB30" s="5"/>
      <c r="BC30" s="5">
        <f>-'INVENTARIO PRODUCTO TERMINADO'!BD31</f>
        <v>0</v>
      </c>
      <c r="BD30" s="5"/>
      <c r="BE30" s="5">
        <f>-'INVENTARIO PRODUCTO TERMINADO'!BF31</f>
        <v>0</v>
      </c>
      <c r="BF30" s="5"/>
      <c r="BG30" s="5">
        <f>-'INVENTARIO PRODUCTO TERMINADO'!BH31</f>
        <v>0</v>
      </c>
      <c r="BH30" s="5"/>
      <c r="BI30" s="5">
        <f>-'INVENTARIO PRODUCTO TERMINADO'!BJ31</f>
        <v>0</v>
      </c>
      <c r="BJ30" s="5"/>
      <c r="BK30" s="5">
        <f>-'INVENTARIO PRODUCTO TERMINADO'!BL31</f>
        <v>0</v>
      </c>
      <c r="BL30" s="5"/>
      <c r="BM30" s="5">
        <f>-'INVENTARIO PRODUCTO TERMINADO'!BN31</f>
        <v>-40</v>
      </c>
      <c r="BN30" s="5">
        <v>-80</v>
      </c>
      <c r="BO30" s="5">
        <f>-'INVENTARIO PRODUCTO TERMINADO'!BP31</f>
        <v>0</v>
      </c>
      <c r="BP30" s="5"/>
      <c r="BQ30" s="5">
        <f>-'INVENTARIO PRODUCTO TERMINADO'!BR31</f>
        <v>0</v>
      </c>
      <c r="BR30" s="5">
        <v>20</v>
      </c>
      <c r="BS30" s="5">
        <f>-'INVENTARIO PRODUCTO TERMINADO'!BT31</f>
        <v>-12</v>
      </c>
      <c r="BT30" s="5"/>
      <c r="BU30" s="5">
        <f>-'INVENTARIO PRODUCTO TERMINADO'!BV31</f>
        <v>0</v>
      </c>
      <c r="BV30" s="5"/>
      <c r="BW30" s="5">
        <f>-'INVENTARIO PRODUCTO TERMINADO'!BX31</f>
        <v>0</v>
      </c>
      <c r="BX30" s="5"/>
      <c r="BY30" s="5">
        <f>-'INVENTARIO PRODUCTO TERMINADO'!BZ31</f>
        <v>-40</v>
      </c>
      <c r="BZ30" s="5"/>
      <c r="CA30" s="5">
        <f>-'INVENTARIO PRODUCTO TERMINADO'!CB31</f>
        <v>-20</v>
      </c>
      <c r="CB30" s="5"/>
      <c r="CC30" s="5">
        <f>-'INVENTARIO PRODUCTO TERMINADO'!CD31</f>
        <v>0</v>
      </c>
      <c r="CD30" s="5"/>
      <c r="CE30" s="5">
        <f>-'INVENTARIO PRODUCTO TERMINADO'!CF31</f>
        <v>0</v>
      </c>
      <c r="CF30" s="5"/>
      <c r="CG30" s="5">
        <f>-'INVENTARIO PRODUCTO TERMINADO'!CH31</f>
        <v>0</v>
      </c>
      <c r="CH30" s="5"/>
      <c r="CI30" s="5">
        <f>-'INVENTARIO PRODUCTO TERMINADO'!CJ31</f>
        <v>-94</v>
      </c>
      <c r="CJ30" s="5"/>
      <c r="CK30" s="5">
        <f>-'INVENTARIO PRODUCTO TERMINADO'!CL31</f>
        <v>-14</v>
      </c>
      <c r="CL30" s="5"/>
      <c r="CM30" s="5">
        <f>-'INVENTARIO PRODUCTO TERMINADO'!CR31</f>
        <v>0</v>
      </c>
    </row>
    <row r="31" spans="1:91" x14ac:dyDescent="0.25">
      <c r="A31" s="2" t="s">
        <v>246</v>
      </c>
      <c r="B31" s="3" t="s">
        <v>27</v>
      </c>
      <c r="C31" s="3" t="s">
        <v>200</v>
      </c>
      <c r="D31" s="6">
        <f>SUM(G31:CM31)</f>
        <v>431</v>
      </c>
      <c r="E31" s="4">
        <v>100</v>
      </c>
      <c r="F31" s="4">
        <f>D31-E31</f>
        <v>331</v>
      </c>
      <c r="G31" s="92">
        <v>135</v>
      </c>
      <c r="H31" s="5"/>
      <c r="I31" s="5">
        <f>-'INVENTARIO PRODUCTO TERMINADO'!H31</f>
        <v>0</v>
      </c>
      <c r="J31" s="5"/>
      <c r="K31" s="5">
        <f>-'INVENTARIO PRODUCTO TERMINADO'!J32</f>
        <v>0</v>
      </c>
      <c r="L31" s="5"/>
      <c r="M31" s="5">
        <f>-'INVENTARIO PRODUCTO TERMINADO'!L32</f>
        <v>0</v>
      </c>
      <c r="N31" s="5"/>
      <c r="O31" s="5">
        <f>-'INVENTARIO PRODUCTO TERMINADO'!N32</f>
        <v>0</v>
      </c>
      <c r="P31" s="5"/>
      <c r="Q31" s="5">
        <f>-'INVENTARIO PRODUCTO TERMINADO'!R32</f>
        <v>0</v>
      </c>
      <c r="R31" s="5"/>
      <c r="S31" s="5">
        <f>-'INVENTARIO PRODUCTO TERMINADO'!T32</f>
        <v>0</v>
      </c>
      <c r="T31" s="5"/>
      <c r="U31" s="5">
        <f>-'INVENTARIO PRODUCTO TERMINADO'!V32</f>
        <v>0</v>
      </c>
      <c r="V31" s="5"/>
      <c r="W31" s="5">
        <f>-'INVENTARIO PRODUCTO TERMINADO'!X32</f>
        <v>0</v>
      </c>
      <c r="X31" s="5"/>
      <c r="Y31" s="5">
        <f>-'INVENTARIO PRODUCTO TERMINADO'!Z32</f>
        <v>-9</v>
      </c>
      <c r="Z31" s="5"/>
      <c r="AA31" s="5">
        <f>-'INVENTARIO PRODUCTO TERMINADO'!AB32</f>
        <v>0</v>
      </c>
      <c r="AB31" s="5"/>
      <c r="AC31" s="5">
        <f>-'INVENTARIO PRODUCTO TERMINADO'!AD32</f>
        <v>0</v>
      </c>
      <c r="AD31" s="5"/>
      <c r="AE31" s="5">
        <f>-'INVENTARIO PRODUCTO TERMINADO'!AF32</f>
        <v>0</v>
      </c>
      <c r="AF31" s="5"/>
      <c r="AG31" s="5">
        <f>-'INVENTARIO PRODUCTO TERMINADO'!AH32</f>
        <v>0</v>
      </c>
      <c r="AH31" s="5"/>
      <c r="AI31" s="5">
        <f>-'INVENTARIO PRODUCTO TERMINADO'!AJ32</f>
        <v>0</v>
      </c>
      <c r="AJ31" s="5"/>
      <c r="AK31" s="5">
        <f>-'INVENTARIO PRODUCTO TERMINADO'!AL32</f>
        <v>0</v>
      </c>
      <c r="AL31" s="5"/>
      <c r="AM31" s="5">
        <f>-'INVENTARIO PRODUCTO TERMINADO'!AN32</f>
        <v>0</v>
      </c>
      <c r="AN31" s="5"/>
      <c r="AO31" s="5">
        <f>-'INVENTARIO PRODUCTO TERMINADO'!AP32</f>
        <v>0</v>
      </c>
      <c r="AP31" s="5"/>
      <c r="AQ31" s="5">
        <f>-'INVENTARIO PRODUCTO TERMINADO'!AR32</f>
        <v>0</v>
      </c>
      <c r="AR31" s="5"/>
      <c r="AS31" s="5">
        <f>-'INVENTARIO PRODUCTO TERMINADO'!AT32</f>
        <v>0</v>
      </c>
      <c r="AT31" s="30"/>
      <c r="AU31" s="5">
        <f>-'INVENTARIO PRODUCTO TERMINADO'!AV32</f>
        <v>0</v>
      </c>
      <c r="AV31" s="5"/>
      <c r="AW31" s="5">
        <f>-'INVENTARIO PRODUCTO TERMINADO'!AX32</f>
        <v>0</v>
      </c>
      <c r="AX31" s="5"/>
      <c r="AY31" s="5">
        <f>-'INVENTARIO PRODUCTO TERMINADO'!AZ32</f>
        <v>-20</v>
      </c>
      <c r="AZ31" s="5"/>
      <c r="BA31" s="5">
        <f>-'INVENTARIO PRODUCTO TERMINADO'!BB32</f>
        <v>0</v>
      </c>
      <c r="BB31" s="5"/>
      <c r="BC31" s="5">
        <f>-'INVENTARIO PRODUCTO TERMINADO'!BD32</f>
        <v>0</v>
      </c>
      <c r="BD31" s="5"/>
      <c r="BE31" s="5">
        <f>-'INVENTARIO PRODUCTO TERMINADO'!BF32</f>
        <v>0</v>
      </c>
      <c r="BF31" s="5"/>
      <c r="BG31" s="5">
        <f>-'INVENTARIO PRODUCTO TERMINADO'!BH32</f>
        <v>0</v>
      </c>
      <c r="BH31" s="5"/>
      <c r="BI31" s="5">
        <f>-'INVENTARIO PRODUCTO TERMINADO'!BJ32</f>
        <v>0</v>
      </c>
      <c r="BJ31" s="5"/>
      <c r="BK31" s="5">
        <f>-'INVENTARIO PRODUCTO TERMINADO'!BL32</f>
        <v>0</v>
      </c>
      <c r="BL31" s="5"/>
      <c r="BM31" s="5">
        <f>-'INVENTARIO PRODUCTO TERMINADO'!BN32</f>
        <v>-123</v>
      </c>
      <c r="BN31" s="5">
        <v>-140</v>
      </c>
      <c r="BO31" s="5">
        <f>-'INVENTARIO PRODUCTO TERMINADO'!BP32</f>
        <v>0</v>
      </c>
      <c r="BP31" s="5"/>
      <c r="BQ31" s="5">
        <f>-'INVENTARIO PRODUCTO TERMINADO'!BR32</f>
        <v>0</v>
      </c>
      <c r="BR31" s="5">
        <v>306</v>
      </c>
      <c r="BS31" s="5">
        <f>-'INVENTARIO PRODUCTO TERMINADO'!BT32</f>
        <v>-13</v>
      </c>
      <c r="BT31" s="5"/>
      <c r="BU31" s="5">
        <f>-'INVENTARIO PRODUCTO TERMINADO'!BV32</f>
        <v>0</v>
      </c>
      <c r="BV31" s="5"/>
      <c r="BW31" s="5">
        <f>-'INVENTARIO PRODUCTO TERMINADO'!BX32</f>
        <v>0</v>
      </c>
      <c r="BX31" s="5"/>
      <c r="BY31" s="5">
        <f>-'INVENTARIO PRODUCTO TERMINADO'!BZ32</f>
        <v>0</v>
      </c>
      <c r="BZ31" s="5"/>
      <c r="CA31" s="5">
        <f>-'INVENTARIO PRODUCTO TERMINADO'!CB32</f>
        <v>-60</v>
      </c>
      <c r="CB31" s="5"/>
      <c r="CC31" s="5">
        <f>-'INVENTARIO PRODUCTO TERMINADO'!CD32</f>
        <v>0</v>
      </c>
      <c r="CD31" s="5"/>
      <c r="CE31" s="5">
        <f>-'INVENTARIO PRODUCTO TERMINADO'!CF32</f>
        <v>0</v>
      </c>
      <c r="CF31" s="5"/>
      <c r="CG31" s="5">
        <f>-'INVENTARIO PRODUCTO TERMINADO'!CH32</f>
        <v>0</v>
      </c>
      <c r="CH31" s="5"/>
      <c r="CI31" s="5">
        <f>-'INVENTARIO PRODUCTO TERMINADO'!CJ32</f>
        <v>-145</v>
      </c>
      <c r="CJ31" s="5"/>
      <c r="CK31" s="5">
        <f>-'INVENTARIO PRODUCTO TERMINADO'!CL32</f>
        <v>0</v>
      </c>
      <c r="CL31" s="5">
        <v>500</v>
      </c>
      <c r="CM31" s="5">
        <f>-'INVENTARIO PRODUCTO TERMINADO'!CR32</f>
        <v>0</v>
      </c>
    </row>
    <row r="32" spans="1:91" x14ac:dyDescent="0.25">
      <c r="A32" s="2" t="s">
        <v>247</v>
      </c>
      <c r="B32" s="3" t="s">
        <v>25</v>
      </c>
      <c r="C32" s="3" t="s">
        <v>201</v>
      </c>
      <c r="D32" s="6">
        <f>SUM(G32:CM32)</f>
        <v>291</v>
      </c>
      <c r="E32" s="4">
        <v>100</v>
      </c>
      <c r="F32" s="4">
        <f>D32-E32</f>
        <v>191</v>
      </c>
      <c r="G32" s="92">
        <v>132</v>
      </c>
      <c r="H32" s="5"/>
      <c r="I32" s="5">
        <f>-'INVENTARIO PRODUCTO TERMINADO'!H32</f>
        <v>0</v>
      </c>
      <c r="J32" s="30"/>
      <c r="K32" s="5">
        <f>-'INVENTARIO PRODUCTO TERMINADO'!J33</f>
        <v>0</v>
      </c>
      <c r="L32" s="5"/>
      <c r="M32" s="5">
        <f>-'INVENTARIO PRODUCTO TERMINADO'!L33</f>
        <v>0</v>
      </c>
      <c r="N32" s="5"/>
      <c r="O32" s="5">
        <f>-'INVENTARIO PRODUCTO TERMINADO'!N33</f>
        <v>0</v>
      </c>
      <c r="P32" s="5"/>
      <c r="Q32" s="5">
        <f>-'INVENTARIO PRODUCTO TERMINADO'!R33</f>
        <v>0</v>
      </c>
      <c r="R32" s="5"/>
      <c r="S32" s="5">
        <f>-'INVENTARIO PRODUCTO TERMINADO'!T33</f>
        <v>0</v>
      </c>
      <c r="T32" s="5"/>
      <c r="U32" s="5">
        <f>-'INVENTARIO PRODUCTO TERMINADO'!V33</f>
        <v>0</v>
      </c>
      <c r="V32" s="5"/>
      <c r="W32" s="5">
        <f>-'INVENTARIO PRODUCTO TERMINADO'!X33</f>
        <v>0</v>
      </c>
      <c r="X32" s="5"/>
      <c r="Y32" s="5">
        <f>-'INVENTARIO PRODUCTO TERMINADO'!Z33</f>
        <v>0</v>
      </c>
      <c r="Z32" s="5"/>
      <c r="AA32" s="5">
        <f>-'INVENTARIO PRODUCTO TERMINADO'!AB33</f>
        <v>0</v>
      </c>
      <c r="AB32" s="5"/>
      <c r="AC32" s="5">
        <f>-'INVENTARIO PRODUCTO TERMINADO'!AD33</f>
        <v>0</v>
      </c>
      <c r="AD32" s="5"/>
      <c r="AE32" s="5">
        <f>-'INVENTARIO PRODUCTO TERMINADO'!AF33</f>
        <v>0</v>
      </c>
      <c r="AF32" s="5"/>
      <c r="AG32" s="5">
        <f>-'INVENTARIO PRODUCTO TERMINADO'!AH33</f>
        <v>-100</v>
      </c>
      <c r="AH32" s="5"/>
      <c r="AI32" s="5">
        <f>-'INVENTARIO PRODUCTO TERMINADO'!AJ33</f>
        <v>0</v>
      </c>
      <c r="AJ32" s="5"/>
      <c r="AK32" s="5">
        <f>-'INVENTARIO PRODUCTO TERMINADO'!AL33</f>
        <v>0</v>
      </c>
      <c r="AL32" s="5"/>
      <c r="AM32" s="5">
        <f>-'INVENTARIO PRODUCTO TERMINADO'!AN33</f>
        <v>0</v>
      </c>
      <c r="AN32" s="5"/>
      <c r="AO32" s="5">
        <f>-'INVENTARIO PRODUCTO TERMINADO'!AP33</f>
        <v>0</v>
      </c>
      <c r="AP32" s="5"/>
      <c r="AQ32" s="5">
        <f>-'INVENTARIO PRODUCTO TERMINADO'!AR33</f>
        <v>0</v>
      </c>
      <c r="AR32" s="5"/>
      <c r="AS32" s="5">
        <f>-'INVENTARIO PRODUCTO TERMINADO'!AT33</f>
        <v>0</v>
      </c>
      <c r="AT32" s="30"/>
      <c r="AU32" s="5">
        <f>-'INVENTARIO PRODUCTO TERMINADO'!AV33</f>
        <v>0</v>
      </c>
      <c r="AV32" s="5"/>
      <c r="AW32" s="5">
        <f>-'INVENTARIO PRODUCTO TERMINADO'!AX33</f>
        <v>0</v>
      </c>
      <c r="AX32" s="5"/>
      <c r="AY32" s="5">
        <f>-'INVENTARIO PRODUCTO TERMINADO'!AZ33</f>
        <v>-41</v>
      </c>
      <c r="AZ32" s="5"/>
      <c r="BA32" s="5">
        <f>-'INVENTARIO PRODUCTO TERMINADO'!BB33</f>
        <v>0</v>
      </c>
      <c r="BB32" s="5"/>
      <c r="BC32" s="5">
        <f>-'INVENTARIO PRODUCTO TERMINADO'!BD33</f>
        <v>-100</v>
      </c>
      <c r="BD32" s="5"/>
      <c r="BE32" s="5">
        <f>-'INVENTARIO PRODUCTO TERMINADO'!BF33</f>
        <v>0</v>
      </c>
      <c r="BF32" s="5"/>
      <c r="BG32" s="5">
        <f>-'INVENTARIO PRODUCTO TERMINADO'!BH33</f>
        <v>0</v>
      </c>
      <c r="BH32" s="5">
        <f>68+300</f>
        <v>368</v>
      </c>
      <c r="BI32" s="5">
        <f>-'INVENTARIO PRODUCTO TERMINADO'!BJ33</f>
        <v>0</v>
      </c>
      <c r="BJ32" s="5"/>
      <c r="BK32" s="5">
        <f>-'INVENTARIO PRODUCTO TERMINADO'!BL33</f>
        <v>0</v>
      </c>
      <c r="BL32" s="5"/>
      <c r="BM32" s="5">
        <f>-'INVENTARIO PRODUCTO TERMINADO'!BN33</f>
        <v>0</v>
      </c>
      <c r="BN32" s="5">
        <v>-40</v>
      </c>
      <c r="BO32" s="5">
        <f>-'INVENTARIO PRODUCTO TERMINADO'!BP33</f>
        <v>0</v>
      </c>
      <c r="BP32" s="5"/>
      <c r="BQ32" s="5">
        <f>-'INVENTARIO PRODUCTO TERMINADO'!BR33</f>
        <v>0</v>
      </c>
      <c r="BR32" s="5">
        <v>82</v>
      </c>
      <c r="BS32" s="5">
        <f>-'INVENTARIO PRODUCTO TERMINADO'!BT33</f>
        <v>0</v>
      </c>
      <c r="BT32" s="5"/>
      <c r="BU32" s="5">
        <f>-'INVENTARIO PRODUCTO TERMINADO'!BV33</f>
        <v>0</v>
      </c>
      <c r="BV32" s="5"/>
      <c r="BW32" s="5">
        <f>-'INVENTARIO PRODUCTO TERMINADO'!BX33</f>
        <v>0</v>
      </c>
      <c r="BX32" s="5"/>
      <c r="BY32" s="5">
        <f>-'INVENTARIO PRODUCTO TERMINADO'!BZ33</f>
        <v>0</v>
      </c>
      <c r="BZ32" s="5"/>
      <c r="CA32" s="5">
        <f>-'INVENTARIO PRODUCTO TERMINADO'!CB33</f>
        <v>0</v>
      </c>
      <c r="CB32" s="5"/>
      <c r="CC32" s="5">
        <f>-'INVENTARIO PRODUCTO TERMINADO'!CD33</f>
        <v>0</v>
      </c>
      <c r="CD32" s="5"/>
      <c r="CE32" s="5">
        <f>-'INVENTARIO PRODUCTO TERMINADO'!CF33</f>
        <v>0</v>
      </c>
      <c r="CF32" s="5"/>
      <c r="CG32" s="5">
        <f>-'INVENTARIO PRODUCTO TERMINADO'!CH33</f>
        <v>0</v>
      </c>
      <c r="CH32" s="5"/>
      <c r="CI32" s="5">
        <f>-'INVENTARIO PRODUCTO TERMINADO'!CJ33</f>
        <v>0</v>
      </c>
      <c r="CJ32" s="5"/>
      <c r="CK32" s="5">
        <f>-'INVENTARIO PRODUCTO TERMINADO'!CL33</f>
        <v>-10</v>
      </c>
      <c r="CL32" s="5"/>
      <c r="CM32" s="5">
        <f>-'INVENTARIO PRODUCTO TERMINADO'!CR33</f>
        <v>0</v>
      </c>
    </row>
    <row r="33" spans="1:91" x14ac:dyDescent="0.25">
      <c r="A33" s="2" t="s">
        <v>248</v>
      </c>
      <c r="B33" s="3" t="s">
        <v>240</v>
      </c>
      <c r="C33" s="3" t="s">
        <v>241</v>
      </c>
      <c r="D33" s="6">
        <f>SUM(G33:CM33)</f>
        <v>154</v>
      </c>
      <c r="E33" s="4">
        <v>100</v>
      </c>
      <c r="F33" s="4">
        <f>D33-E33</f>
        <v>54</v>
      </c>
      <c r="G33" s="92">
        <v>60</v>
      </c>
      <c r="H33" s="5"/>
      <c r="I33" s="5">
        <f>-'INVENTARIO PRODUCTO TERMINADO'!H33</f>
        <v>0</v>
      </c>
      <c r="J33" s="30"/>
      <c r="K33" s="5">
        <f>-'INVENTARIO PRODUCTO TERMINADO'!J34</f>
        <v>0</v>
      </c>
      <c r="L33" s="5"/>
      <c r="M33" s="5">
        <f>-'INVENTARIO PRODUCTO TERMINADO'!L34</f>
        <v>0</v>
      </c>
      <c r="N33" s="5"/>
      <c r="O33" s="5">
        <f>-'INVENTARIO PRODUCTO TERMINADO'!N34</f>
        <v>0</v>
      </c>
      <c r="P33" s="5"/>
      <c r="Q33" s="5">
        <f>-'INVENTARIO PRODUCTO TERMINADO'!R34</f>
        <v>-6</v>
      </c>
      <c r="R33" s="5"/>
      <c r="S33" s="5">
        <f>-'INVENTARIO PRODUCTO TERMINADO'!T34</f>
        <v>0</v>
      </c>
      <c r="T33" s="5"/>
      <c r="U33" s="5">
        <f>-'INVENTARIO PRODUCTO TERMINADO'!V34</f>
        <v>0</v>
      </c>
      <c r="V33" s="5"/>
      <c r="W33" s="5">
        <f>-'INVENTARIO PRODUCTO TERMINADO'!X34</f>
        <v>0</v>
      </c>
      <c r="X33" s="5"/>
      <c r="Y33" s="5">
        <f>-'INVENTARIO PRODUCTO TERMINADO'!Z34</f>
        <v>0</v>
      </c>
      <c r="Z33" s="5"/>
      <c r="AA33" s="5">
        <f>-'INVENTARIO PRODUCTO TERMINADO'!AB34</f>
        <v>0</v>
      </c>
      <c r="AB33" s="5"/>
      <c r="AC33" s="5">
        <f>-'INVENTARIO PRODUCTO TERMINADO'!AD34</f>
        <v>0</v>
      </c>
      <c r="AD33" s="5"/>
      <c r="AE33" s="5">
        <f>-'INVENTARIO PRODUCTO TERMINADO'!AF34</f>
        <v>0</v>
      </c>
      <c r="AF33" s="5"/>
      <c r="AG33" s="5">
        <f>-'INVENTARIO PRODUCTO TERMINADO'!AH34</f>
        <v>0</v>
      </c>
      <c r="AH33" s="5"/>
      <c r="AI33" s="5">
        <f>-'INVENTARIO PRODUCTO TERMINADO'!AJ34</f>
        <v>0</v>
      </c>
      <c r="AJ33" s="5"/>
      <c r="AK33" s="5">
        <f>-'INVENTARIO PRODUCTO TERMINADO'!AL34</f>
        <v>0</v>
      </c>
      <c r="AL33" s="5"/>
      <c r="AM33" s="5">
        <f>-'INVENTARIO PRODUCTO TERMINADO'!AN34</f>
        <v>0</v>
      </c>
      <c r="AN33" s="5"/>
      <c r="AO33" s="5">
        <f>-'INVENTARIO PRODUCTO TERMINADO'!AP34</f>
        <v>0</v>
      </c>
      <c r="AP33" s="5"/>
      <c r="AQ33" s="5">
        <f>-'INVENTARIO PRODUCTO TERMINADO'!AR34</f>
        <v>0</v>
      </c>
      <c r="AR33" s="5"/>
      <c r="AS33" s="5">
        <f>-'INVENTARIO PRODUCTO TERMINADO'!AT34</f>
        <v>0</v>
      </c>
      <c r="AT33" s="30"/>
      <c r="AU33" s="5">
        <f>-'INVENTARIO PRODUCTO TERMINADO'!AV34</f>
        <v>0</v>
      </c>
      <c r="AV33" s="5"/>
      <c r="AW33" s="5">
        <f>-'INVENTARIO PRODUCTO TERMINADO'!AX34</f>
        <v>0</v>
      </c>
      <c r="AX33" s="5">
        <v>110</v>
      </c>
      <c r="AY33" s="5">
        <f>-'INVENTARIO PRODUCTO TERMINADO'!AZ34</f>
        <v>0</v>
      </c>
      <c r="AZ33" s="5"/>
      <c r="BA33" s="5">
        <f>-'INVENTARIO PRODUCTO TERMINADO'!BB34</f>
        <v>0</v>
      </c>
      <c r="BB33" s="5"/>
      <c r="BC33" s="5">
        <f>-'INVENTARIO PRODUCTO TERMINADO'!BD34</f>
        <v>0</v>
      </c>
      <c r="BD33" s="5"/>
      <c r="BE33" s="5">
        <f>-'INVENTARIO PRODUCTO TERMINADO'!BF34</f>
        <v>0</v>
      </c>
      <c r="BF33" s="5"/>
      <c r="BG33" s="5">
        <f>-'INVENTARIO PRODUCTO TERMINADO'!BH34</f>
        <v>0</v>
      </c>
      <c r="BH33" s="5"/>
      <c r="BI33" s="5">
        <f>-'INVENTARIO PRODUCTO TERMINADO'!BJ34</f>
        <v>0</v>
      </c>
      <c r="BJ33" s="5"/>
      <c r="BK33" s="5">
        <f>-'INVENTARIO PRODUCTO TERMINADO'!BL34</f>
        <v>0</v>
      </c>
      <c r="BL33" s="5"/>
      <c r="BM33" s="5">
        <f>-'INVENTARIO PRODUCTO TERMINADO'!BN34</f>
        <v>0</v>
      </c>
      <c r="BN33" s="5"/>
      <c r="BO33" s="5">
        <f>-'INVENTARIO PRODUCTO TERMINADO'!BP34</f>
        <v>0</v>
      </c>
      <c r="BP33" s="5"/>
      <c r="BQ33" s="5">
        <f>-'INVENTARIO PRODUCTO TERMINADO'!BR34</f>
        <v>0</v>
      </c>
      <c r="BR33" s="5"/>
      <c r="BS33" s="5">
        <f>-'INVENTARIO PRODUCTO TERMINADO'!BT34</f>
        <v>0</v>
      </c>
      <c r="BT33" s="5"/>
      <c r="BU33" s="5">
        <f>-'INVENTARIO PRODUCTO TERMINADO'!BV34</f>
        <v>-10</v>
      </c>
      <c r="BV33" s="5"/>
      <c r="BW33" s="5">
        <f>-'INVENTARIO PRODUCTO TERMINADO'!BX34</f>
        <v>0</v>
      </c>
      <c r="BX33" s="5"/>
      <c r="BY33" s="5">
        <f>-'INVENTARIO PRODUCTO TERMINADO'!BZ34</f>
        <v>0</v>
      </c>
      <c r="BZ33" s="5"/>
      <c r="CA33" s="5">
        <f>-'INVENTARIO PRODUCTO TERMINADO'!CB34</f>
        <v>0</v>
      </c>
      <c r="CB33" s="5"/>
      <c r="CC33" s="5">
        <f>-'INVENTARIO PRODUCTO TERMINADO'!CD34</f>
        <v>0</v>
      </c>
      <c r="CD33" s="5"/>
      <c r="CE33" s="5">
        <f>-'INVENTARIO PRODUCTO TERMINADO'!CF34</f>
        <v>0</v>
      </c>
      <c r="CF33" s="5"/>
      <c r="CG33" s="5">
        <f>-'INVENTARIO PRODUCTO TERMINADO'!CH34</f>
        <v>0</v>
      </c>
      <c r="CH33" s="5"/>
      <c r="CI33" s="5">
        <f>-'INVENTARIO PRODUCTO TERMINADO'!CJ34</f>
        <v>0</v>
      </c>
      <c r="CJ33" s="5"/>
      <c r="CK33" s="5">
        <f>-'INVENTARIO PRODUCTO TERMINADO'!CL34</f>
        <v>0</v>
      </c>
      <c r="CL33" s="5"/>
      <c r="CM33" s="5">
        <f>-'INVENTARIO PRODUCTO TERMINADO'!CR34</f>
        <v>0</v>
      </c>
    </row>
    <row r="34" spans="1:91" x14ac:dyDescent="0.25">
      <c r="A34" s="73"/>
      <c r="B34" s="74"/>
      <c r="C34" s="83"/>
      <c r="D34" s="75"/>
      <c r="E34" s="76"/>
      <c r="F34" s="76"/>
      <c r="G34" s="75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8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</row>
    <row r="35" spans="1:91" x14ac:dyDescent="0.25">
      <c r="L35" t="s">
        <v>747</v>
      </c>
      <c r="BN35" s="7"/>
    </row>
    <row r="37" spans="1:91" x14ac:dyDescent="0.25">
      <c r="BF37" s="64"/>
    </row>
    <row r="38" spans="1:91" x14ac:dyDescent="0.25">
      <c r="AB38" t="s">
        <v>845</v>
      </c>
      <c r="AQ38" s="1"/>
    </row>
  </sheetData>
  <mergeCells count="43">
    <mergeCell ref="CF4:CG4"/>
    <mergeCell ref="CH4:CI4"/>
    <mergeCell ref="CJ4:CK4"/>
    <mergeCell ref="CL4:CM4"/>
    <mergeCell ref="BV4:BW4"/>
    <mergeCell ref="CB4:CC4"/>
    <mergeCell ref="CD4:CE4"/>
    <mergeCell ref="AV4:AW4"/>
    <mergeCell ref="AX4:AY4"/>
    <mergeCell ref="BZ4:CA4"/>
    <mergeCell ref="BX4:BY4"/>
    <mergeCell ref="AZ4:BA4"/>
    <mergeCell ref="BL4:BM4"/>
    <mergeCell ref="BN4:BO4"/>
    <mergeCell ref="BP4:BQ4"/>
    <mergeCell ref="BB4:BC4"/>
    <mergeCell ref="BD4:BE4"/>
    <mergeCell ref="BF4:BG4"/>
    <mergeCell ref="BH4:BI4"/>
    <mergeCell ref="BJ4:BK4"/>
    <mergeCell ref="BR4:BS4"/>
    <mergeCell ref="BT4:BU4"/>
    <mergeCell ref="AL4:AM4"/>
    <mergeCell ref="AN4:AO4"/>
    <mergeCell ref="AP4:AQ4"/>
    <mergeCell ref="AR4:AS4"/>
    <mergeCell ref="AT4:AU4"/>
    <mergeCell ref="CN4:CO4"/>
    <mergeCell ref="AH4:AI4"/>
    <mergeCell ref="H4:I4"/>
    <mergeCell ref="Z4:AA4"/>
    <mergeCell ref="AB4:AC4"/>
    <mergeCell ref="AD4:AE4"/>
    <mergeCell ref="AF4:AG4"/>
    <mergeCell ref="R4:S4"/>
    <mergeCell ref="T4:U4"/>
    <mergeCell ref="V4:W4"/>
    <mergeCell ref="X4:Y4"/>
    <mergeCell ref="J4:K4"/>
    <mergeCell ref="L4:M4"/>
    <mergeCell ref="N4:O4"/>
    <mergeCell ref="P4:Q4"/>
    <mergeCell ref="AJ4:AK4"/>
  </mergeCells>
  <conditionalFormatting sqref="F7 F15 F9">
    <cfRule type="cellIs" dxfId="55" priority="195" operator="lessThanOrEqual">
      <formula>0</formula>
    </cfRule>
    <cfRule type="cellIs" dxfId="54" priority="196" operator="greaterThan">
      <formula>0</formula>
    </cfRule>
  </conditionalFormatting>
  <conditionalFormatting sqref="F16:F17">
    <cfRule type="cellIs" dxfId="53" priority="165" operator="lessThanOrEqual">
      <formula>0</formula>
    </cfRule>
    <cfRule type="cellIs" dxfId="52" priority="166" operator="greaterThan">
      <formula>0</formula>
    </cfRule>
  </conditionalFormatting>
  <conditionalFormatting sqref="F22">
    <cfRule type="cellIs" dxfId="51" priority="63" operator="lessThanOrEqual">
      <formula>0</formula>
    </cfRule>
    <cfRule type="cellIs" dxfId="50" priority="64" operator="greaterThan">
      <formula>0</formula>
    </cfRule>
  </conditionalFormatting>
  <conditionalFormatting sqref="F23">
    <cfRule type="cellIs" dxfId="49" priority="61" operator="lessThanOrEqual">
      <formula>0</formula>
    </cfRule>
    <cfRule type="cellIs" dxfId="48" priority="62" operator="greaterThan">
      <formula>0</formula>
    </cfRule>
  </conditionalFormatting>
  <conditionalFormatting sqref="F20">
    <cfRule type="cellIs" dxfId="47" priority="67" operator="lessThanOrEqual">
      <formula>0</formula>
    </cfRule>
    <cfRule type="cellIs" dxfId="46" priority="68" operator="greaterThan">
      <formula>0</formula>
    </cfRule>
  </conditionalFormatting>
  <conditionalFormatting sqref="F32">
    <cfRule type="cellIs" dxfId="45" priority="29" operator="lessThanOrEqual">
      <formula>0</formula>
    </cfRule>
    <cfRule type="cellIs" dxfId="44" priority="30" operator="greaterThan">
      <formula>0</formula>
    </cfRule>
  </conditionalFormatting>
  <conditionalFormatting sqref="F12">
    <cfRule type="cellIs" dxfId="43" priority="73" operator="lessThanOrEqual">
      <formula>0</formula>
    </cfRule>
    <cfRule type="cellIs" dxfId="42" priority="74" operator="greaterThan">
      <formula>0</formula>
    </cfRule>
  </conditionalFormatting>
  <conditionalFormatting sqref="F18">
    <cfRule type="cellIs" dxfId="41" priority="71" operator="lessThanOrEqual">
      <formula>0</formula>
    </cfRule>
    <cfRule type="cellIs" dxfId="40" priority="72" operator="greaterThan">
      <formula>0</formula>
    </cfRule>
  </conditionalFormatting>
  <conditionalFormatting sqref="F19">
    <cfRule type="cellIs" dxfId="39" priority="69" operator="lessThanOrEqual">
      <formula>0</formula>
    </cfRule>
    <cfRule type="cellIs" dxfId="38" priority="70" operator="greaterThan">
      <formula>0</formula>
    </cfRule>
  </conditionalFormatting>
  <conditionalFormatting sqref="F20">
    <cfRule type="cellIs" dxfId="37" priority="65" operator="lessThanOrEqual">
      <formula>0</formula>
    </cfRule>
    <cfRule type="cellIs" dxfId="36" priority="66" operator="greaterThan">
      <formula>0</formula>
    </cfRule>
  </conditionalFormatting>
  <conditionalFormatting sqref="F23">
    <cfRule type="cellIs" dxfId="35" priority="57" operator="lessThanOrEqual">
      <formula>0</formula>
    </cfRule>
    <cfRule type="cellIs" dxfId="34" priority="58" operator="greaterThan">
      <formula>0</formula>
    </cfRule>
  </conditionalFormatting>
  <conditionalFormatting sqref="F23">
    <cfRule type="cellIs" dxfId="33" priority="59" operator="lessThanOrEqual">
      <formula>0</formula>
    </cfRule>
    <cfRule type="cellIs" dxfId="32" priority="60" operator="greaterThan">
      <formula>0</formula>
    </cfRule>
  </conditionalFormatting>
  <conditionalFormatting sqref="F24">
    <cfRule type="cellIs" dxfId="31" priority="55" operator="lessThanOrEqual">
      <formula>0</formula>
    </cfRule>
    <cfRule type="cellIs" dxfId="30" priority="56" operator="greaterThan">
      <formula>0</formula>
    </cfRule>
  </conditionalFormatting>
  <conditionalFormatting sqref="F24">
    <cfRule type="cellIs" dxfId="29" priority="53" operator="lessThanOrEqual">
      <formula>0</formula>
    </cfRule>
    <cfRule type="cellIs" dxfId="28" priority="54" operator="greaterThan">
      <formula>0</formula>
    </cfRule>
  </conditionalFormatting>
  <conditionalFormatting sqref="F26">
    <cfRule type="cellIs" dxfId="27" priority="51" operator="lessThanOrEqual">
      <formula>0</formula>
    </cfRule>
    <cfRule type="cellIs" dxfId="26" priority="52" operator="greaterThan">
      <formula>0</formula>
    </cfRule>
  </conditionalFormatting>
  <conditionalFormatting sqref="F26">
    <cfRule type="cellIs" dxfId="25" priority="49" operator="lessThanOrEqual">
      <formula>0</formula>
    </cfRule>
    <cfRule type="cellIs" dxfId="24" priority="50" operator="greaterThan">
      <formula>0</formula>
    </cfRule>
  </conditionalFormatting>
  <conditionalFormatting sqref="F27">
    <cfRule type="cellIs" dxfId="23" priority="45" operator="lessThanOrEqual">
      <formula>0</formula>
    </cfRule>
    <cfRule type="cellIs" dxfId="22" priority="46" operator="greaterThan">
      <formula>0</formula>
    </cfRule>
  </conditionalFormatting>
  <conditionalFormatting sqref="F27">
    <cfRule type="cellIs" dxfId="21" priority="43" operator="lessThanOrEqual">
      <formula>0</formula>
    </cfRule>
    <cfRule type="cellIs" dxfId="20" priority="44" operator="greaterThan">
      <formula>0</formula>
    </cfRule>
  </conditionalFormatting>
  <conditionalFormatting sqref="F30">
    <cfRule type="cellIs" dxfId="19" priority="33" operator="lessThanOrEqual">
      <formula>0</formula>
    </cfRule>
    <cfRule type="cellIs" dxfId="18" priority="34" operator="greaterThan">
      <formula>0</formula>
    </cfRule>
  </conditionalFormatting>
  <conditionalFormatting sqref="F31">
    <cfRule type="cellIs" dxfId="17" priority="31" operator="lessThanOrEqual">
      <formula>0</formula>
    </cfRule>
    <cfRule type="cellIs" dxfId="16" priority="32" operator="greaterThan">
      <formula>0</formula>
    </cfRule>
  </conditionalFormatting>
  <conditionalFormatting sqref="F25">
    <cfRule type="cellIs" dxfId="15" priority="23" operator="lessThanOrEqual">
      <formula>0</formula>
    </cfRule>
    <cfRule type="cellIs" dxfId="14" priority="24" operator="greaterThan">
      <formula>0</formula>
    </cfRule>
  </conditionalFormatting>
  <conditionalFormatting sqref="F25">
    <cfRule type="cellIs" dxfId="13" priority="21" operator="lessThanOrEqual">
      <formula>0</formula>
    </cfRule>
    <cfRule type="cellIs" dxfId="12" priority="22" operator="greaterThan">
      <formula>0</formula>
    </cfRule>
  </conditionalFormatting>
  <conditionalFormatting sqref="F10">
    <cfRule type="cellIs" dxfId="11" priority="13" operator="lessThanOrEqual">
      <formula>0</formula>
    </cfRule>
    <cfRule type="cellIs" dxfId="10" priority="14" operator="greaterThan">
      <formula>0</formula>
    </cfRule>
  </conditionalFormatting>
  <conditionalFormatting sqref="F33">
    <cfRule type="cellIs" dxfId="9" priority="11" operator="lessThanOrEqual">
      <formula>0</formula>
    </cfRule>
    <cfRule type="cellIs" dxfId="8" priority="12" operator="greaterThan">
      <formula>0</formula>
    </cfRule>
  </conditionalFormatting>
  <conditionalFormatting sqref="F29">
    <cfRule type="cellIs" dxfId="7" priority="7" operator="lessThanOrEqual">
      <formula>0</formula>
    </cfRule>
    <cfRule type="cellIs" dxfId="6" priority="8" operator="greaterThan">
      <formula>0</formula>
    </cfRule>
  </conditionalFormatting>
  <conditionalFormatting sqref="F29">
    <cfRule type="cellIs" dxfId="5" priority="5" operator="lessThanOrEqual">
      <formula>0</formula>
    </cfRule>
    <cfRule type="cellIs" dxfId="4" priority="6" operator="greaterThan">
      <formula>0</formula>
    </cfRule>
  </conditionalFormatting>
  <conditionalFormatting sqref="F13:F14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F8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WD41"/>
  <sheetViews>
    <sheetView showGridLines="0" zoomScale="80" zoomScaleNormal="80" workbookViewId="0">
      <pane xSplit="4" ySplit="5" topLeftCell="E6" activePane="bottomRight" state="frozen"/>
      <selection activeCell="AU15" activeCellId="3" sqref="AW26 AT18 AT17 AU15"/>
      <selection pane="topRight" activeCell="AU15" activeCellId="3" sqref="AW26 AT18 AT17 AU15"/>
      <selection pane="bottomLeft" activeCell="AU15" activeCellId="3" sqref="AW26 AT18 AT17 AU15"/>
      <selection pane="bottomRight" activeCell="K33" sqref="K33"/>
    </sheetView>
  </sheetViews>
  <sheetFormatPr baseColWidth="10" defaultRowHeight="15" x14ac:dyDescent="0.25"/>
  <cols>
    <col min="1" max="1" width="4.7109375" customWidth="1"/>
    <col min="2" max="2" width="55.7109375" customWidth="1"/>
    <col min="3" max="3" width="18.7109375" customWidth="1"/>
    <col min="4" max="4" width="14.28515625" customWidth="1"/>
    <col min="5" max="7" width="22.28515625" customWidth="1"/>
    <col min="8" max="8" width="21.42578125" customWidth="1"/>
    <col min="17" max="17" width="11.5703125" bestFit="1" customWidth="1"/>
    <col min="18" max="18" width="11.5703125" customWidth="1"/>
    <col min="44" max="44" width="14.5703125" bestFit="1" customWidth="1"/>
    <col min="45" max="45" width="12.42578125" customWidth="1"/>
  </cols>
  <sheetData>
    <row r="1" spans="1:92 16150:16150" ht="80.099999999999994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</row>
    <row r="2" spans="1:92 16150:16150" ht="26.25" x14ac:dyDescent="0.25">
      <c r="A2" s="9"/>
      <c r="B2" s="9" t="s">
        <v>745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</row>
    <row r="3" spans="1:92 16150:16150" x14ac:dyDescent="0.25">
      <c r="I3" s="54"/>
    </row>
    <row r="4" spans="1:92 16150:16150" x14ac:dyDescent="0.25">
      <c r="A4" s="22"/>
      <c r="B4" s="22"/>
      <c r="C4" s="22"/>
      <c r="D4" s="22"/>
      <c r="E4" s="22"/>
      <c r="F4" s="22"/>
      <c r="G4" s="22"/>
      <c r="H4" s="72" t="s">
        <v>686</v>
      </c>
      <c r="I4" s="961">
        <v>44818</v>
      </c>
      <c r="J4" s="962"/>
      <c r="K4" s="961">
        <v>44827</v>
      </c>
      <c r="L4" s="962"/>
      <c r="M4" s="961">
        <v>44830</v>
      </c>
      <c r="N4" s="962"/>
      <c r="O4" s="961">
        <f>'INVENTARIO PRODUCTO TERMINADO'!N4:O4</f>
        <v>0</v>
      </c>
      <c r="P4" s="962"/>
      <c r="Q4" s="961" t="e">
        <f>'INVENTARIO PRODUCTO TERMINADO'!R4:S4</f>
        <v>#VALUE!</v>
      </c>
      <c r="R4" s="962"/>
      <c r="S4" s="961" t="e">
        <f>'INVENTARIO PRODUCTO TERMINADO'!T4:U4</f>
        <v>#VALUE!</v>
      </c>
      <c r="T4" s="962"/>
      <c r="U4" s="961" t="e">
        <f>'INVENTARIO PRODUCTO TERMINADO'!V4:W4</f>
        <v>#VALUE!</v>
      </c>
      <c r="V4" s="962"/>
      <c r="W4" s="961" t="e">
        <f>'INVENTARIO PRODUCTO TERMINADO'!X4:Y4</f>
        <v>#VALUE!</v>
      </c>
      <c r="X4" s="962"/>
      <c r="Y4" s="961" t="e">
        <f>'INVENTARIO PRODUCTO TERMINADO'!Z4:AA4</f>
        <v>#VALUE!</v>
      </c>
      <c r="Z4" s="962"/>
      <c r="AA4" s="961" t="e">
        <f>'INVENTARIO PRODUCTO TERMINADO'!AB4:AC4</f>
        <v>#VALUE!</v>
      </c>
      <c r="AB4" s="962"/>
      <c r="AC4" s="961" t="e">
        <f>'INVENTARIO PRODUCTO TERMINADO'!AD4:AE4</f>
        <v>#VALUE!</v>
      </c>
      <c r="AD4" s="962"/>
      <c r="AE4" s="961" t="e">
        <f>'INVENTARIO PRODUCTO TERMINADO'!AF4:AG4</f>
        <v>#VALUE!</v>
      </c>
      <c r="AF4" s="962"/>
      <c r="AG4" s="961" t="e">
        <f>'INVENTARIO PRODUCTO TERMINADO'!AH4:AI4</f>
        <v>#VALUE!</v>
      </c>
      <c r="AH4" s="962"/>
      <c r="AI4" s="961" t="e">
        <f>'INVENTARIO PRODUCTO TERMINADO'!AJ4:AK4</f>
        <v>#VALUE!</v>
      </c>
      <c r="AJ4" s="962"/>
      <c r="AK4" s="961" t="e">
        <f>'INVENTARIO PRODUCTO TERMINADO'!AL4:AM4</f>
        <v>#VALUE!</v>
      </c>
      <c r="AL4" s="962"/>
      <c r="AM4" s="961" t="e">
        <f>'INVENTARIO PRODUCTO TERMINADO'!AN4:AO4</f>
        <v>#VALUE!</v>
      </c>
      <c r="AN4" s="962"/>
      <c r="AO4" s="961" t="e">
        <f>'INVENTARIO PRODUCTO TERMINADO'!AP4:AQ4</f>
        <v>#VALUE!</v>
      </c>
      <c r="AP4" s="962"/>
      <c r="AQ4" s="961" t="e">
        <f>'INVENTARIO PRODUCTO TERMINADO'!AR4:AS4</f>
        <v>#VALUE!</v>
      </c>
      <c r="AR4" s="962"/>
      <c r="AS4" s="961" t="e">
        <f>'INVENTARIO PRODUCTO TERMINADO'!AT4:AU4</f>
        <v>#VALUE!</v>
      </c>
      <c r="AT4" s="962"/>
      <c r="AU4" s="961" t="e">
        <f>'INVENTARIO PRODUCTO TERMINADO'!AV4:AW4</f>
        <v>#VALUE!</v>
      </c>
      <c r="AV4" s="962"/>
      <c r="AW4" s="961" t="e">
        <f>'INVENTARIO PRODUCTO TERMINADO'!AX4:AY4</f>
        <v>#VALUE!</v>
      </c>
      <c r="AX4" s="962"/>
      <c r="AY4" s="961" t="e">
        <f>'INVENTARIO PRODUCTO TERMINADO'!AZ4:BA4</f>
        <v>#VALUE!</v>
      </c>
      <c r="AZ4" s="962"/>
      <c r="BA4" s="961" t="e">
        <f>'INVENTARIO PRODUCTO TERMINADO'!BB4:BC4</f>
        <v>#VALUE!</v>
      </c>
      <c r="BB4" s="962"/>
      <c r="BC4" s="961" t="e">
        <f>'INVENTARIO PRODUCTO TERMINADO'!BD4:BE4</f>
        <v>#VALUE!</v>
      </c>
      <c r="BD4" s="962"/>
      <c r="BE4" s="961" t="e">
        <f>'INVENTARIO PRODUCTO TERMINADO'!BF4:BG4</f>
        <v>#VALUE!</v>
      </c>
      <c r="BF4" s="962"/>
      <c r="BG4" s="961" t="e">
        <f>'INVENTARIO PRODUCTO TERMINADO'!BH4:BI4</f>
        <v>#VALUE!</v>
      </c>
      <c r="BH4" s="962"/>
      <c r="BI4" s="961" t="e">
        <f>'INVENTARIO PRODUCTO TERMINADO'!BJ4:BK4</f>
        <v>#VALUE!</v>
      </c>
      <c r="BJ4" s="962"/>
      <c r="BK4" s="961" t="e">
        <f>'INVENTARIO PRODUCTO TERMINADO'!BL4:BM4</f>
        <v>#VALUE!</v>
      </c>
      <c r="BL4" s="962"/>
      <c r="BM4" s="961" t="e">
        <f>'INVENTARIO PRODUCTO TERMINADO'!BN4:BO4</f>
        <v>#VALUE!</v>
      </c>
      <c r="BN4" s="962"/>
      <c r="BO4" s="961" t="e">
        <f>'INVENTARIO PRODUCTO TERMINADO'!BP4:BQ4</f>
        <v>#VALUE!</v>
      </c>
      <c r="BP4" s="962"/>
      <c r="BQ4" s="961" t="e">
        <f>'INVENTARIO PRODUCTO TERMINADO'!BR4:BS4</f>
        <v>#VALUE!</v>
      </c>
      <c r="BR4" s="962"/>
    </row>
    <row r="5" spans="1:92 16150:16150" ht="30" x14ac:dyDescent="0.25">
      <c r="A5" s="11" t="s">
        <v>6</v>
      </c>
      <c r="B5" s="11" t="s">
        <v>7</v>
      </c>
      <c r="C5" s="11" t="s">
        <v>41</v>
      </c>
      <c r="D5" s="11" t="s">
        <v>0</v>
      </c>
      <c r="E5" s="20" t="s">
        <v>39</v>
      </c>
      <c r="F5" s="20" t="s">
        <v>40</v>
      </c>
      <c r="G5" s="20" t="s">
        <v>339</v>
      </c>
      <c r="H5" s="55" t="s">
        <v>244</v>
      </c>
      <c r="I5" s="11" t="s">
        <v>4</v>
      </c>
      <c r="J5" s="11" t="s">
        <v>5</v>
      </c>
      <c r="K5" s="11" t="s">
        <v>4</v>
      </c>
      <c r="L5" s="11" t="s">
        <v>5</v>
      </c>
      <c r="M5" s="11" t="s">
        <v>4</v>
      </c>
      <c r="N5" s="11" t="s">
        <v>5</v>
      </c>
      <c r="O5" s="11" t="s">
        <v>4</v>
      </c>
      <c r="P5" s="11" t="s">
        <v>5</v>
      </c>
      <c r="Q5" s="11" t="s">
        <v>4</v>
      </c>
      <c r="R5" s="11" t="s">
        <v>5</v>
      </c>
      <c r="S5" s="11" t="s">
        <v>4</v>
      </c>
      <c r="T5" s="11" t="s">
        <v>5</v>
      </c>
      <c r="U5" s="11" t="s">
        <v>4</v>
      </c>
      <c r="V5" s="11" t="s">
        <v>5</v>
      </c>
      <c r="W5" s="11" t="s">
        <v>4</v>
      </c>
      <c r="X5" s="11" t="s">
        <v>5</v>
      </c>
      <c r="Y5" s="11" t="s">
        <v>4</v>
      </c>
      <c r="Z5" s="11" t="s">
        <v>5</v>
      </c>
      <c r="AA5" s="11" t="s">
        <v>4</v>
      </c>
      <c r="AB5" s="11" t="s">
        <v>5</v>
      </c>
      <c r="AC5" s="11" t="s">
        <v>4</v>
      </c>
      <c r="AD5" s="11" t="s">
        <v>5</v>
      </c>
      <c r="AE5" s="11" t="s">
        <v>4</v>
      </c>
      <c r="AF5" s="11" t="s">
        <v>5</v>
      </c>
      <c r="AG5" s="11" t="s">
        <v>4</v>
      </c>
      <c r="AH5" s="11" t="s">
        <v>5</v>
      </c>
      <c r="AI5" s="11" t="s">
        <v>4</v>
      </c>
      <c r="AJ5" s="11" t="s">
        <v>5</v>
      </c>
      <c r="AK5" s="11" t="s">
        <v>4</v>
      </c>
      <c r="AL5" s="11" t="s">
        <v>5</v>
      </c>
      <c r="AM5" s="11" t="s">
        <v>4</v>
      </c>
      <c r="AN5" s="11" t="s">
        <v>5</v>
      </c>
      <c r="AO5" s="11" t="s">
        <v>4</v>
      </c>
      <c r="AP5" s="11" t="s">
        <v>5</v>
      </c>
      <c r="AQ5" s="11" t="s">
        <v>4</v>
      </c>
      <c r="AR5" s="11" t="s">
        <v>5</v>
      </c>
      <c r="AS5" s="11" t="s">
        <v>4</v>
      </c>
      <c r="AT5" s="11" t="s">
        <v>5</v>
      </c>
      <c r="AU5" s="11" t="s">
        <v>4</v>
      </c>
      <c r="AV5" s="11" t="s">
        <v>5</v>
      </c>
      <c r="AW5" s="11" t="s">
        <v>4</v>
      </c>
      <c r="AX5" s="11" t="s">
        <v>5</v>
      </c>
      <c r="AY5" s="11" t="s">
        <v>4</v>
      </c>
      <c r="AZ5" s="11" t="s">
        <v>5</v>
      </c>
      <c r="BA5" s="11" t="s">
        <v>4</v>
      </c>
      <c r="BB5" s="11" t="s">
        <v>5</v>
      </c>
      <c r="BC5" s="11" t="s">
        <v>4</v>
      </c>
      <c r="BD5" s="11" t="s">
        <v>5</v>
      </c>
      <c r="BE5" s="11" t="s">
        <v>4</v>
      </c>
      <c r="BF5" s="11" t="s">
        <v>5</v>
      </c>
      <c r="BG5" s="11" t="s">
        <v>4</v>
      </c>
      <c r="BH5" s="11" t="s">
        <v>5</v>
      </c>
      <c r="BI5" s="11" t="s">
        <v>4</v>
      </c>
      <c r="BJ5" s="11" t="s">
        <v>5</v>
      </c>
      <c r="BK5" s="11" t="s">
        <v>4</v>
      </c>
      <c r="BL5" s="11" t="s">
        <v>5</v>
      </c>
      <c r="BM5" s="11" t="s">
        <v>4</v>
      </c>
      <c r="BN5" s="11" t="s">
        <v>5</v>
      </c>
      <c r="BO5" s="11" t="s">
        <v>4</v>
      </c>
      <c r="BP5" s="11" t="s">
        <v>5</v>
      </c>
      <c r="BQ5" s="11" t="s">
        <v>4</v>
      </c>
      <c r="BR5" s="11" t="s">
        <v>5</v>
      </c>
    </row>
    <row r="6" spans="1:92 16150:16150" s="81" customFormat="1" ht="18" customHeight="1" thickBot="1" x14ac:dyDescent="0.3">
      <c r="A6" s="2"/>
      <c r="B6" s="75"/>
      <c r="C6" s="75"/>
      <c r="D6" s="75"/>
      <c r="F6" s="75"/>
      <c r="G6" s="75"/>
      <c r="H6" s="75"/>
      <c r="I6" s="77"/>
      <c r="J6" s="77"/>
      <c r="K6" s="84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8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</row>
    <row r="7" spans="1:92 16150:16150" ht="17.25" customHeight="1" x14ac:dyDescent="0.25">
      <c r="A7" s="2">
        <v>1</v>
      </c>
      <c r="B7" s="408" t="s">
        <v>689</v>
      </c>
      <c r="C7" s="3"/>
      <c r="D7" s="6">
        <f t="shared" ref="D7:D34" si="0">SUM(H7:CN7)</f>
        <v>1</v>
      </c>
      <c r="E7" s="415" t="s">
        <v>690</v>
      </c>
      <c r="F7" s="422" t="s">
        <v>353</v>
      </c>
      <c r="G7" s="432" t="s">
        <v>691</v>
      </c>
      <c r="H7" s="411">
        <v>1</v>
      </c>
      <c r="I7" s="2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29"/>
      <c r="AL7" s="5"/>
      <c r="AM7" s="5"/>
      <c r="AN7" s="5"/>
      <c r="AO7" s="5"/>
      <c r="AP7" s="5"/>
      <c r="AQ7" s="5"/>
      <c r="AR7" s="5"/>
      <c r="AS7" s="5"/>
      <c r="AT7" s="5"/>
      <c r="AU7" s="30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92 16150:16150" x14ac:dyDescent="0.25">
      <c r="A8" s="2">
        <v>2</v>
      </c>
      <c r="B8" s="409" t="s">
        <v>692</v>
      </c>
      <c r="C8" s="3"/>
      <c r="D8" s="6">
        <f t="shared" si="0"/>
        <v>1</v>
      </c>
      <c r="E8" s="416" t="s">
        <v>693</v>
      </c>
      <c r="F8" s="423" t="s">
        <v>353</v>
      </c>
      <c r="G8" s="432" t="s">
        <v>691</v>
      </c>
      <c r="H8" s="412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30"/>
      <c r="AB8" s="5"/>
      <c r="AC8" s="5"/>
      <c r="AD8" s="5"/>
      <c r="AE8" s="5"/>
      <c r="AF8" s="5"/>
      <c r="AG8" s="5"/>
      <c r="AH8" s="5"/>
      <c r="AI8" s="5"/>
      <c r="AJ8" s="5"/>
      <c r="AK8" s="29"/>
      <c r="AL8" s="5"/>
      <c r="AM8" s="5"/>
      <c r="AN8" s="5"/>
      <c r="AO8" s="5"/>
      <c r="AP8" s="5"/>
      <c r="AQ8" s="5"/>
      <c r="AR8" s="5"/>
      <c r="AS8" s="5"/>
      <c r="AT8" s="5"/>
      <c r="AU8" s="30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28"/>
      <c r="BR8" s="5"/>
      <c r="WWD8" s="5" t="e">
        <f>-'INVENTARIO PRODUCTO TERMINADO'!#REF!</f>
        <v>#REF!</v>
      </c>
    </row>
    <row r="9" spans="1:92 16150:16150" x14ac:dyDescent="0.25">
      <c r="A9" s="2">
        <v>3</v>
      </c>
      <c r="B9" s="409" t="s">
        <v>694</v>
      </c>
      <c r="C9" s="23"/>
      <c r="D9" s="6">
        <f t="shared" si="0"/>
        <v>5</v>
      </c>
      <c r="E9" s="416" t="s">
        <v>695</v>
      </c>
      <c r="F9" s="423" t="s">
        <v>696</v>
      </c>
      <c r="G9" s="431" t="s">
        <v>697</v>
      </c>
      <c r="H9" s="412">
        <v>3</v>
      </c>
      <c r="I9" s="5"/>
      <c r="J9" s="5"/>
      <c r="K9" s="5"/>
      <c r="L9" s="5"/>
      <c r="M9" s="5">
        <v>2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30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WWD9" s="5" t="e">
        <f>-'INVENTARIO PRODUCTO TERMINADO'!#REF!</f>
        <v>#REF!</v>
      </c>
    </row>
    <row r="10" spans="1:92 16150:16150" x14ac:dyDescent="0.25">
      <c r="A10" s="2">
        <v>4</v>
      </c>
      <c r="B10" s="409" t="s">
        <v>698</v>
      </c>
      <c r="C10" s="23"/>
      <c r="D10" s="6">
        <v>0</v>
      </c>
      <c r="E10" s="416" t="s">
        <v>699</v>
      </c>
      <c r="F10" s="423" t="s">
        <v>424</v>
      </c>
      <c r="G10" s="429" t="s">
        <v>700</v>
      </c>
      <c r="H10" s="412">
        <v>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30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WWD10" s="50"/>
    </row>
    <row r="11" spans="1:92 16150:16150" s="81" customFormat="1" x14ac:dyDescent="0.25">
      <c r="A11" s="2">
        <v>5</v>
      </c>
      <c r="B11" s="409" t="s">
        <v>701</v>
      </c>
      <c r="C11" s="409"/>
      <c r="D11" s="6">
        <f t="shared" si="0"/>
        <v>7</v>
      </c>
      <c r="E11" s="417" t="s">
        <v>690</v>
      </c>
      <c r="F11" s="424" t="s">
        <v>44</v>
      </c>
      <c r="G11" s="429" t="s">
        <v>702</v>
      </c>
      <c r="H11" s="412">
        <v>7</v>
      </c>
      <c r="I11" s="78"/>
      <c r="J11" s="78"/>
      <c r="K11" s="78"/>
      <c r="L11" s="78"/>
      <c r="M11" s="77"/>
      <c r="N11" s="78"/>
      <c r="O11" s="78"/>
      <c r="P11" s="78"/>
      <c r="Q11" s="77"/>
      <c r="R11" s="79"/>
      <c r="S11" s="77"/>
      <c r="T11" s="79"/>
      <c r="U11" s="78"/>
      <c r="V11" s="78"/>
      <c r="W11" s="77"/>
      <c r="X11" s="80"/>
      <c r="Y11" s="78"/>
      <c r="Z11" s="79"/>
      <c r="AA11" s="79"/>
      <c r="AB11" s="80"/>
      <c r="AC11" s="77"/>
      <c r="AD11" s="78"/>
      <c r="AE11" s="77"/>
      <c r="AF11" s="78"/>
      <c r="AG11" s="77"/>
      <c r="AH11" s="79"/>
      <c r="AI11" s="77"/>
      <c r="AJ11" s="79"/>
      <c r="AK11" s="77"/>
      <c r="AL11" s="78"/>
      <c r="AM11" s="77"/>
      <c r="AN11" s="78"/>
      <c r="AO11" s="77"/>
      <c r="AP11" s="78"/>
      <c r="AQ11" s="77"/>
      <c r="AR11" s="79"/>
      <c r="AS11" s="77"/>
      <c r="AT11" s="78"/>
      <c r="AU11" s="77"/>
      <c r="AV11" s="78"/>
      <c r="AW11" s="77"/>
      <c r="AX11" s="78"/>
      <c r="AY11" s="77"/>
      <c r="AZ11" s="79"/>
      <c r="BA11" s="77"/>
      <c r="BB11" s="78"/>
      <c r="BC11" s="77"/>
      <c r="BD11" s="78"/>
      <c r="BE11" s="77"/>
      <c r="BF11" s="79"/>
      <c r="BG11" s="77"/>
      <c r="BH11" s="78"/>
      <c r="BI11" s="77"/>
      <c r="BJ11" s="78"/>
      <c r="BK11" s="77"/>
      <c r="BL11" s="79"/>
      <c r="BM11" s="77"/>
      <c r="BN11" s="78"/>
      <c r="BO11" s="77"/>
      <c r="BP11" s="78"/>
      <c r="BQ11" s="77"/>
      <c r="BR11" s="79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</row>
    <row r="12" spans="1:92 16150:16150" x14ac:dyDescent="0.25">
      <c r="A12" s="2">
        <v>6</v>
      </c>
      <c r="B12" s="409" t="s">
        <v>703</v>
      </c>
      <c r="C12" s="3"/>
      <c r="D12" s="6">
        <f t="shared" si="0"/>
        <v>1</v>
      </c>
      <c r="E12" s="416" t="s">
        <v>704</v>
      </c>
      <c r="F12" s="424" t="s">
        <v>353</v>
      </c>
      <c r="G12" s="429" t="s">
        <v>710</v>
      </c>
      <c r="H12" s="412"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30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WWD12" s="5">
        <f>-'INVENTARIO PRODUCTO TERMINADO'!XCK13</f>
        <v>0</v>
      </c>
    </row>
    <row r="13" spans="1:92 16150:16150" x14ac:dyDescent="0.25">
      <c r="A13" s="2">
        <v>7</v>
      </c>
      <c r="B13" s="409" t="s">
        <v>705</v>
      </c>
      <c r="C13" s="3"/>
      <c r="D13" s="6">
        <f t="shared" si="0"/>
        <v>1</v>
      </c>
      <c r="E13" s="416" t="s">
        <v>706</v>
      </c>
      <c r="F13" s="423" t="s">
        <v>353</v>
      </c>
      <c r="G13" s="431" t="s">
        <v>707</v>
      </c>
      <c r="H13" s="412">
        <v>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30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</row>
    <row r="14" spans="1:92 16150:16150" ht="28.5" customHeight="1" x14ac:dyDescent="0.25">
      <c r="A14" s="2">
        <v>8</v>
      </c>
      <c r="B14" s="409" t="s">
        <v>708</v>
      </c>
      <c r="C14" s="3"/>
      <c r="D14" s="6">
        <f t="shared" si="0"/>
        <v>3</v>
      </c>
      <c r="E14" s="418" t="s">
        <v>709</v>
      </c>
      <c r="F14" s="423" t="s">
        <v>353</v>
      </c>
      <c r="G14" s="429" t="s">
        <v>710</v>
      </c>
      <c r="H14" s="412">
        <v>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30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</row>
    <row r="15" spans="1:92 16150:16150" x14ac:dyDescent="0.25">
      <c r="A15" s="2">
        <v>9</v>
      </c>
      <c r="B15" s="409" t="s">
        <v>711</v>
      </c>
      <c r="C15" s="3"/>
      <c r="D15" s="6">
        <f t="shared" si="0"/>
        <v>5</v>
      </c>
      <c r="E15" s="419" t="s">
        <v>690</v>
      </c>
      <c r="F15" s="425" t="s">
        <v>712</v>
      </c>
      <c r="G15" s="430" t="s">
        <v>710</v>
      </c>
      <c r="H15" s="412">
        <v>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30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</row>
    <row r="16" spans="1:92 16150:16150" x14ac:dyDescent="0.25">
      <c r="A16" s="2">
        <v>10</v>
      </c>
      <c r="B16" s="409" t="s">
        <v>713</v>
      </c>
      <c r="C16" s="3"/>
      <c r="D16" s="6">
        <f t="shared" si="0"/>
        <v>1</v>
      </c>
      <c r="E16" s="416" t="s">
        <v>714</v>
      </c>
      <c r="F16" s="423" t="s">
        <v>43</v>
      </c>
      <c r="G16" s="429" t="s">
        <v>691</v>
      </c>
      <c r="H16" s="412">
        <v>1</v>
      </c>
      <c r="I16" s="22"/>
      <c r="J16" s="5"/>
      <c r="K16" s="22"/>
      <c r="L16" s="5"/>
      <c r="M16" s="52"/>
      <c r="N16" s="5"/>
      <c r="O16" s="22"/>
      <c r="P16" s="5"/>
      <c r="Q16" s="22"/>
      <c r="R16" s="5"/>
      <c r="S16" s="22"/>
      <c r="T16" s="5"/>
      <c r="U16" s="22"/>
      <c r="V16" s="5"/>
      <c r="W16" s="22"/>
      <c r="X16" s="5"/>
      <c r="Y16" s="22"/>
      <c r="Z16" s="5"/>
      <c r="AA16" s="22"/>
      <c r="AB16" s="5"/>
      <c r="AC16" s="22"/>
      <c r="AD16" s="5"/>
      <c r="AE16" s="22"/>
      <c r="AF16" s="5"/>
      <c r="AG16" s="22"/>
      <c r="AH16" s="5"/>
      <c r="AI16" s="22"/>
      <c r="AJ16" s="5"/>
      <c r="AK16" s="22"/>
      <c r="AL16" s="5"/>
      <c r="AM16" s="22"/>
      <c r="AN16" s="5"/>
      <c r="AO16" s="22"/>
      <c r="AP16" s="5"/>
      <c r="AQ16" s="22"/>
      <c r="AR16" s="5"/>
      <c r="AS16" s="22"/>
      <c r="AT16" s="5"/>
      <c r="AU16" s="70"/>
      <c r="AV16" s="5"/>
      <c r="AW16" s="22"/>
      <c r="AX16" s="5"/>
      <c r="AY16" s="22"/>
      <c r="AZ16" s="5"/>
      <c r="BA16" s="22"/>
      <c r="BB16" s="5"/>
      <c r="BC16" s="22"/>
      <c r="BD16" s="5"/>
      <c r="BE16" s="22"/>
      <c r="BF16" s="5"/>
      <c r="BG16" s="22"/>
      <c r="BH16" s="5"/>
      <c r="BI16" s="22"/>
      <c r="BJ16" s="5"/>
      <c r="BK16" s="22"/>
      <c r="BL16" s="5"/>
      <c r="BM16" s="5"/>
      <c r="BN16" s="5"/>
      <c r="BO16" s="5"/>
      <c r="BP16" s="5"/>
      <c r="BQ16" s="5"/>
      <c r="BR16" s="5"/>
    </row>
    <row r="17" spans="1:92" x14ac:dyDescent="0.25">
      <c r="A17" s="2">
        <v>11</v>
      </c>
      <c r="B17" s="409" t="s">
        <v>715</v>
      </c>
      <c r="C17" s="23"/>
      <c r="D17" s="6">
        <f t="shared" si="0"/>
        <v>3</v>
      </c>
      <c r="E17" s="416" t="s">
        <v>716</v>
      </c>
      <c r="F17" s="423" t="s">
        <v>43</v>
      </c>
      <c r="G17" s="429" t="s">
        <v>710</v>
      </c>
      <c r="H17" s="412">
        <v>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30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</row>
    <row r="18" spans="1:92" x14ac:dyDescent="0.25">
      <c r="A18" s="2">
        <v>12</v>
      </c>
      <c r="B18" s="409" t="s">
        <v>717</v>
      </c>
      <c r="C18" s="3"/>
      <c r="D18" s="6">
        <f t="shared" si="0"/>
        <v>5</v>
      </c>
      <c r="E18" s="416" t="s">
        <v>718</v>
      </c>
      <c r="F18" s="426" t="s">
        <v>719</v>
      </c>
      <c r="G18" s="431" t="s">
        <v>710</v>
      </c>
      <c r="H18" s="412">
        <v>6</v>
      </c>
      <c r="I18" s="5"/>
      <c r="J18" s="5">
        <v>-1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30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</row>
    <row r="19" spans="1:92" x14ac:dyDescent="0.25">
      <c r="A19" s="2">
        <v>13</v>
      </c>
      <c r="B19" s="409" t="s">
        <v>720</v>
      </c>
      <c r="C19" s="3"/>
      <c r="D19" s="6">
        <f t="shared" si="0"/>
        <v>0</v>
      </c>
      <c r="E19" s="416" t="s">
        <v>690</v>
      </c>
      <c r="F19" s="423" t="s">
        <v>424</v>
      </c>
      <c r="G19" s="431" t="s">
        <v>738</v>
      </c>
      <c r="H19" s="412"/>
      <c r="I19" s="5"/>
      <c r="J19" s="5"/>
      <c r="K19" s="33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69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</row>
    <row r="20" spans="1:92" s="34" customFormat="1" x14ac:dyDescent="0.25">
      <c r="A20" s="2">
        <v>14</v>
      </c>
      <c r="B20" s="409" t="s">
        <v>721</v>
      </c>
      <c r="C20" s="23"/>
      <c r="D20" s="6">
        <f t="shared" si="0"/>
        <v>2</v>
      </c>
      <c r="E20" s="416" t="s">
        <v>722</v>
      </c>
      <c r="F20" s="423" t="s">
        <v>43</v>
      </c>
      <c r="G20" s="429" t="s">
        <v>723</v>
      </c>
      <c r="H20" s="412">
        <v>2</v>
      </c>
      <c r="I20" s="22"/>
      <c r="J20" s="5"/>
      <c r="K20" s="22"/>
      <c r="L20" s="5"/>
      <c r="M20" s="22"/>
      <c r="N20" s="5"/>
      <c r="O20" s="22"/>
      <c r="P20" s="5"/>
      <c r="Q20" s="22"/>
      <c r="R20" s="5"/>
      <c r="S20" s="22"/>
      <c r="T20" s="5"/>
      <c r="U20" s="22"/>
      <c r="V20" s="5"/>
      <c r="W20" s="22"/>
      <c r="X20" s="5"/>
      <c r="Y20" s="22"/>
      <c r="Z20" s="5"/>
      <c r="AA20" s="22"/>
      <c r="AB20" s="5"/>
      <c r="AC20" s="22"/>
      <c r="AD20" s="5"/>
      <c r="AF20" s="5"/>
      <c r="AG20" s="22"/>
      <c r="AH20" s="5"/>
      <c r="AI20" s="22"/>
      <c r="AJ20" s="5"/>
      <c r="AK20" s="22"/>
      <c r="AL20" s="5"/>
      <c r="AM20" s="22"/>
      <c r="AN20" s="5"/>
      <c r="AO20" s="22"/>
      <c r="AP20" s="5"/>
      <c r="AQ20" s="22"/>
      <c r="AR20" s="5"/>
      <c r="AS20" s="22"/>
      <c r="AT20" s="5"/>
      <c r="AU20" s="70"/>
      <c r="AV20" s="5"/>
      <c r="AW20" s="22"/>
      <c r="AX20" s="5"/>
      <c r="AY20" s="22"/>
      <c r="AZ20" s="5"/>
      <c r="BA20" s="22"/>
      <c r="BB20" s="5"/>
      <c r="BC20" s="22"/>
      <c r="BD20" s="5"/>
      <c r="BE20" s="22"/>
      <c r="BF20" s="5"/>
      <c r="BG20" s="32"/>
      <c r="BH20" s="5"/>
      <c r="BI20" s="22"/>
      <c r="BJ20" s="5"/>
      <c r="BK20" s="32"/>
      <c r="BL20" s="5"/>
      <c r="BM20" s="22"/>
      <c r="BN20" s="5"/>
      <c r="BO20" s="22"/>
      <c r="BP20" s="5"/>
      <c r="BQ20" s="22"/>
      <c r="BR20" s="5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</row>
    <row r="21" spans="1:92" s="81" customFormat="1" ht="18.75" customHeight="1" x14ac:dyDescent="0.25">
      <c r="A21" s="2">
        <v>15</v>
      </c>
      <c r="B21" s="409" t="s">
        <v>724</v>
      </c>
      <c r="C21" s="409"/>
      <c r="D21" s="6">
        <f t="shared" si="0"/>
        <v>2</v>
      </c>
      <c r="E21" s="416" t="s">
        <v>725</v>
      </c>
      <c r="F21" s="423" t="s">
        <v>43</v>
      </c>
      <c r="G21" s="429" t="s">
        <v>726</v>
      </c>
      <c r="H21" s="412">
        <v>2</v>
      </c>
      <c r="I21" s="78"/>
      <c r="J21" s="78"/>
      <c r="K21" s="78"/>
      <c r="L21" s="78"/>
      <c r="M21" s="77"/>
      <c r="N21" s="78"/>
      <c r="O21" s="78"/>
      <c r="P21" s="78"/>
      <c r="Q21" s="77"/>
      <c r="R21" s="79"/>
      <c r="S21" s="77"/>
      <c r="T21" s="79"/>
      <c r="U21" s="78"/>
      <c r="V21" s="78"/>
      <c r="W21" s="77"/>
      <c r="X21" s="80"/>
      <c r="Y21" s="78"/>
      <c r="Z21" s="79"/>
      <c r="AA21" s="79"/>
      <c r="AB21" s="80"/>
      <c r="AC21" s="77"/>
      <c r="AD21" s="78"/>
      <c r="AE21" s="77"/>
      <c r="AF21" s="78"/>
      <c r="AG21" s="77"/>
      <c r="AH21" s="79"/>
      <c r="AI21" s="77"/>
      <c r="AJ21" s="79"/>
      <c r="AK21" s="77"/>
      <c r="AL21" s="78"/>
      <c r="AM21" s="77"/>
      <c r="AN21" s="78"/>
      <c r="AO21" s="77"/>
      <c r="AP21" s="78"/>
      <c r="AQ21" s="77"/>
      <c r="AR21" s="79"/>
      <c r="AS21" s="77"/>
      <c r="AT21" s="78"/>
      <c r="AU21" s="77"/>
      <c r="AV21" s="78"/>
      <c r="AW21" s="77"/>
      <c r="AX21" s="78"/>
      <c r="AY21" s="77"/>
      <c r="AZ21" s="79"/>
      <c r="BA21" s="77"/>
      <c r="BB21" s="78"/>
      <c r="BC21" s="77"/>
      <c r="BD21" s="78"/>
      <c r="BE21" s="77"/>
      <c r="BF21" s="79"/>
      <c r="BG21" s="77"/>
      <c r="BH21" s="78"/>
      <c r="BI21" s="77"/>
      <c r="BJ21" s="78"/>
      <c r="BK21" s="77"/>
      <c r="BL21" s="79"/>
      <c r="BM21" s="77"/>
      <c r="BN21" s="78"/>
      <c r="BO21" s="77"/>
      <c r="BP21" s="78"/>
      <c r="BQ21" s="77"/>
      <c r="BR21" s="79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</row>
    <row r="22" spans="1:92" x14ac:dyDescent="0.25">
      <c r="A22" s="2">
        <v>16</v>
      </c>
      <c r="B22" s="409" t="s">
        <v>727</v>
      </c>
      <c r="C22" s="3"/>
      <c r="D22" s="6">
        <f t="shared" si="0"/>
        <v>1</v>
      </c>
      <c r="E22" s="416" t="s">
        <v>728</v>
      </c>
      <c r="F22" s="423" t="s">
        <v>44</v>
      </c>
      <c r="G22" s="429" t="s">
        <v>729</v>
      </c>
      <c r="H22" s="412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30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</row>
    <row r="23" spans="1:92" x14ac:dyDescent="0.25">
      <c r="A23" s="2">
        <v>17</v>
      </c>
      <c r="B23" s="409" t="s">
        <v>730</v>
      </c>
      <c r="C23" s="23"/>
      <c r="D23" s="6">
        <f t="shared" si="0"/>
        <v>4</v>
      </c>
      <c r="E23" s="416" t="s">
        <v>731</v>
      </c>
      <c r="F23" s="423" t="s">
        <v>732</v>
      </c>
      <c r="G23" s="429" t="s">
        <v>723</v>
      </c>
      <c r="H23" s="412">
        <v>4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30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</row>
    <row r="24" spans="1:92" x14ac:dyDescent="0.25">
      <c r="A24" s="2">
        <v>18</v>
      </c>
      <c r="B24" s="409" t="s">
        <v>733</v>
      </c>
      <c r="C24" s="23"/>
      <c r="D24" s="6">
        <f t="shared" si="0"/>
        <v>1</v>
      </c>
      <c r="E24" s="419" t="s">
        <v>690</v>
      </c>
      <c r="F24" s="425" t="s">
        <v>43</v>
      </c>
      <c r="G24" s="429" t="s">
        <v>734</v>
      </c>
      <c r="H24" s="412">
        <v>1</v>
      </c>
      <c r="I24" s="22"/>
      <c r="J24" s="5"/>
      <c r="K24" s="22"/>
      <c r="L24" s="5"/>
      <c r="M24" s="52"/>
      <c r="N24" s="5"/>
      <c r="O24" s="22"/>
      <c r="P24" s="5"/>
      <c r="Q24" s="22"/>
      <c r="R24" s="5"/>
      <c r="S24" s="22"/>
      <c r="T24" s="5"/>
      <c r="U24" s="22"/>
      <c r="V24" s="5"/>
      <c r="W24" s="22"/>
      <c r="X24" s="5"/>
      <c r="Y24" s="22"/>
      <c r="Z24" s="5"/>
      <c r="AA24" s="22"/>
      <c r="AB24" s="5"/>
      <c r="AC24" s="22"/>
      <c r="AD24" s="5"/>
      <c r="AE24" s="22"/>
      <c r="AF24" s="5"/>
      <c r="AG24" s="22"/>
      <c r="AH24" s="5"/>
      <c r="AI24" s="22"/>
      <c r="AJ24" s="5"/>
      <c r="AK24" s="22"/>
      <c r="AL24" s="5"/>
      <c r="AM24" s="22"/>
      <c r="AN24" s="5"/>
      <c r="AO24" s="22"/>
      <c r="AP24" s="5"/>
      <c r="AQ24" s="22"/>
      <c r="AR24" s="5"/>
      <c r="AS24" s="22"/>
      <c r="AT24" s="5"/>
      <c r="AU24" s="70"/>
      <c r="AV24" s="5"/>
      <c r="AW24" s="22"/>
      <c r="AX24" s="5"/>
      <c r="AY24" s="22"/>
      <c r="AZ24" s="5"/>
      <c r="BA24" s="22"/>
      <c r="BB24" s="5"/>
      <c r="BC24" s="22"/>
      <c r="BD24" s="5"/>
      <c r="BE24" s="22"/>
      <c r="BF24" s="5"/>
      <c r="BG24" s="22"/>
      <c r="BH24" s="5"/>
      <c r="BI24" s="22"/>
      <c r="BJ24" s="5"/>
      <c r="BK24" s="22"/>
      <c r="BL24" s="5"/>
      <c r="BM24" s="22"/>
      <c r="BN24" s="5"/>
      <c r="BO24" s="22"/>
      <c r="BP24" s="5"/>
      <c r="BQ24" s="22"/>
      <c r="BR24" s="5"/>
    </row>
    <row r="25" spans="1:92" x14ac:dyDescent="0.25">
      <c r="A25" s="2">
        <v>19</v>
      </c>
      <c r="B25" s="409" t="s">
        <v>815</v>
      </c>
      <c r="C25" s="23"/>
      <c r="D25" s="6">
        <f t="shared" si="0"/>
        <v>1</v>
      </c>
      <c r="E25" s="420" t="s">
        <v>690</v>
      </c>
      <c r="F25" s="427" t="s">
        <v>43</v>
      </c>
      <c r="G25" s="429" t="s">
        <v>710</v>
      </c>
      <c r="H25" s="413">
        <v>1</v>
      </c>
      <c r="I25" s="22"/>
      <c r="J25" s="5"/>
      <c r="K25" s="22"/>
      <c r="L25" s="5"/>
      <c r="M25" s="52"/>
      <c r="N25" s="5"/>
      <c r="O25" s="22"/>
      <c r="P25" s="5"/>
      <c r="Q25" s="22"/>
      <c r="R25" s="5"/>
      <c r="S25" s="22"/>
      <c r="T25" s="5"/>
      <c r="U25" s="22"/>
      <c r="V25" s="5"/>
      <c r="W25" s="22"/>
      <c r="X25" s="5"/>
      <c r="Y25" s="22"/>
      <c r="Z25" s="5"/>
      <c r="AA25" s="22"/>
      <c r="AB25" s="5"/>
      <c r="AC25" s="22"/>
      <c r="AD25" s="5"/>
      <c r="AE25" s="22"/>
      <c r="AF25" s="5"/>
      <c r="AG25" s="22"/>
      <c r="AH25" s="5"/>
      <c r="AI25" s="22"/>
      <c r="AJ25" s="5"/>
      <c r="AK25" s="22"/>
      <c r="AL25" s="5"/>
      <c r="AM25" s="22"/>
      <c r="AN25" s="5"/>
      <c r="AO25" s="22"/>
      <c r="AP25" s="5"/>
      <c r="AQ25" s="22"/>
      <c r="AR25" s="5"/>
      <c r="AS25" s="22"/>
      <c r="AT25" s="5"/>
      <c r="AU25" s="70"/>
      <c r="AV25" s="5"/>
      <c r="AW25" s="22"/>
      <c r="AX25" s="5"/>
      <c r="AY25" s="22"/>
      <c r="AZ25" s="5"/>
      <c r="BA25" s="22"/>
      <c r="BB25" s="5"/>
      <c r="BC25" s="22"/>
      <c r="BD25" s="5"/>
      <c r="BE25" s="22"/>
      <c r="BF25" s="5"/>
      <c r="BG25" s="22"/>
      <c r="BH25" s="5"/>
      <c r="BI25" s="22"/>
      <c r="BJ25" s="5"/>
      <c r="BK25" s="22"/>
      <c r="BL25" s="5"/>
      <c r="BM25" s="22"/>
      <c r="BN25" s="5"/>
      <c r="BO25" s="22"/>
      <c r="BP25" s="5"/>
      <c r="BQ25" s="22"/>
      <c r="BR25" s="5"/>
    </row>
    <row r="26" spans="1:92" s="34" customFormat="1" x14ac:dyDescent="0.25">
      <c r="A26" s="2">
        <v>20</v>
      </c>
      <c r="B26" s="410" t="s">
        <v>735</v>
      </c>
      <c r="C26" s="23"/>
      <c r="D26" s="6">
        <f t="shared" si="0"/>
        <v>1</v>
      </c>
      <c r="E26" s="421" t="s">
        <v>690</v>
      </c>
      <c r="F26" s="428" t="s">
        <v>44</v>
      </c>
      <c r="G26" s="429" t="s">
        <v>697</v>
      </c>
      <c r="H26" s="414">
        <v>1</v>
      </c>
      <c r="I26" s="44"/>
      <c r="J26" s="5"/>
      <c r="K26" s="22"/>
      <c r="L26" s="5"/>
      <c r="M26" s="22"/>
      <c r="N26" s="5"/>
      <c r="O26" s="22"/>
      <c r="P26" s="5"/>
      <c r="Q26" s="22"/>
      <c r="R26" s="5"/>
      <c r="S26" s="22"/>
      <c r="T26" s="5"/>
      <c r="U26" s="22"/>
      <c r="V26" s="5"/>
      <c r="W26" s="22"/>
      <c r="X26" s="5"/>
      <c r="Y26" s="22"/>
      <c r="Z26" s="5"/>
      <c r="AA26" s="22"/>
      <c r="AB26" s="5"/>
      <c r="AC26" s="22"/>
      <c r="AD26" s="5"/>
      <c r="AE26" s="22"/>
      <c r="AF26" s="5"/>
      <c r="AG26" s="22"/>
      <c r="AH26" s="5"/>
      <c r="AI26" s="22"/>
      <c r="AJ26" s="5"/>
      <c r="AK26" s="22"/>
      <c r="AL26" s="5"/>
      <c r="AM26" s="22"/>
      <c r="AN26" s="5"/>
      <c r="AO26" s="22"/>
      <c r="AP26" s="5"/>
      <c r="AQ26" s="22"/>
      <c r="AR26" s="5"/>
      <c r="AS26" s="22"/>
      <c r="AT26" s="5"/>
      <c r="AU26" s="70"/>
      <c r="AV26" s="5"/>
      <c r="AW26" s="22"/>
      <c r="AX26" s="5"/>
      <c r="AY26" s="22"/>
      <c r="AZ26" s="5"/>
      <c r="BA26" s="22"/>
      <c r="BB26" s="5"/>
      <c r="BC26" s="22"/>
      <c r="BD26" s="5"/>
      <c r="BE26" s="22"/>
      <c r="BF26" s="5"/>
      <c r="BG26" s="22"/>
      <c r="BH26" s="5"/>
      <c r="BI26" s="22"/>
      <c r="BJ26" s="5"/>
      <c r="BK26" s="22"/>
      <c r="BL26" s="5"/>
      <c r="BM26" s="22"/>
      <c r="BN26" s="5"/>
      <c r="BO26" s="22"/>
      <c r="BP26" s="5"/>
      <c r="BQ26" s="22"/>
      <c r="BR26" s="5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</row>
    <row r="27" spans="1:92" x14ac:dyDescent="0.25">
      <c r="A27" s="2">
        <v>21</v>
      </c>
      <c r="B27" s="409" t="s">
        <v>736</v>
      </c>
      <c r="C27" s="35"/>
      <c r="D27" s="6">
        <f t="shared" si="0"/>
        <v>1</v>
      </c>
      <c r="E27" s="418" t="s">
        <v>737</v>
      </c>
      <c r="F27" s="423" t="s">
        <v>44</v>
      </c>
      <c r="G27" s="431" t="s">
        <v>691</v>
      </c>
      <c r="H27" s="412">
        <v>1</v>
      </c>
      <c r="I27" s="22"/>
      <c r="J27" s="5"/>
      <c r="K27" s="22"/>
      <c r="L27" s="5"/>
      <c r="M27" s="52"/>
      <c r="N27" s="5"/>
      <c r="O27" s="22"/>
      <c r="P27" s="5"/>
      <c r="Q27" s="22"/>
      <c r="R27" s="5"/>
      <c r="S27" s="22"/>
      <c r="T27" s="5"/>
      <c r="U27" s="22"/>
      <c r="V27" s="5"/>
      <c r="W27" s="22"/>
      <c r="X27" s="5"/>
      <c r="Y27" s="22"/>
      <c r="Z27" s="5"/>
      <c r="AA27" s="22"/>
      <c r="AB27" s="5"/>
      <c r="AC27" s="22"/>
      <c r="AD27" s="5"/>
      <c r="AE27" s="22"/>
      <c r="AF27" s="5"/>
      <c r="AG27" s="22"/>
      <c r="AH27" s="5"/>
      <c r="AI27" s="22"/>
      <c r="AJ27" s="5"/>
      <c r="AK27" s="22"/>
      <c r="AL27" s="5"/>
      <c r="AM27" s="22"/>
      <c r="AN27" s="5"/>
      <c r="AO27" s="22"/>
      <c r="AP27" s="5"/>
      <c r="AQ27" s="22"/>
      <c r="AR27" s="5"/>
      <c r="AS27" s="22"/>
      <c r="AT27" s="5"/>
      <c r="AU27" s="70"/>
      <c r="AV27" s="5"/>
      <c r="AW27" s="22"/>
      <c r="AX27" s="5"/>
      <c r="AY27" s="22"/>
      <c r="AZ27" s="5"/>
      <c r="BA27" s="22"/>
      <c r="BB27" s="5"/>
      <c r="BC27" s="22"/>
      <c r="BD27" s="5"/>
      <c r="BE27" s="22"/>
      <c r="BF27" s="5"/>
      <c r="BG27" s="22"/>
      <c r="BH27" s="5"/>
      <c r="BI27" s="22"/>
      <c r="BJ27" s="5"/>
      <c r="BK27" s="22"/>
      <c r="BL27" s="5"/>
      <c r="BM27" s="22"/>
      <c r="BN27" s="5"/>
      <c r="BO27" s="22"/>
      <c r="BP27" s="5"/>
      <c r="BQ27" s="22"/>
      <c r="BR27" s="5"/>
    </row>
    <row r="28" spans="1:92" s="81" customFormat="1" x14ac:dyDescent="0.25">
      <c r="A28" s="2">
        <v>22</v>
      </c>
      <c r="B28" s="409" t="s">
        <v>742</v>
      </c>
      <c r="C28" s="409"/>
      <c r="D28" s="6">
        <f t="shared" si="0"/>
        <v>1</v>
      </c>
      <c r="E28" s="433" t="s">
        <v>743</v>
      </c>
      <c r="F28" s="434" t="s">
        <v>744</v>
      </c>
      <c r="G28" s="431" t="s">
        <v>691</v>
      </c>
      <c r="H28" s="412">
        <v>1</v>
      </c>
      <c r="I28" s="78"/>
      <c r="J28" s="78"/>
      <c r="K28" s="78"/>
      <c r="L28" s="78"/>
      <c r="M28" s="77"/>
      <c r="N28" s="78"/>
      <c r="O28" s="78"/>
      <c r="P28" s="78"/>
      <c r="Q28" s="77"/>
      <c r="R28" s="79"/>
      <c r="S28" s="77"/>
      <c r="T28" s="79"/>
      <c r="U28" s="78"/>
      <c r="V28" s="78"/>
      <c r="W28" s="77"/>
      <c r="X28" s="80"/>
      <c r="Y28" s="78"/>
      <c r="Z28" s="79"/>
      <c r="AA28" s="79"/>
      <c r="AB28" s="80"/>
      <c r="AC28" s="77"/>
      <c r="AD28" s="78"/>
      <c r="AE28" s="77"/>
      <c r="AF28" s="78"/>
      <c r="AG28" s="77"/>
      <c r="AH28" s="79"/>
      <c r="AI28" s="77"/>
      <c r="AJ28" s="79"/>
      <c r="AK28" s="77"/>
      <c r="AL28" s="78"/>
      <c r="AM28" s="77"/>
      <c r="AN28" s="78"/>
      <c r="AO28" s="77"/>
      <c r="AP28" s="78"/>
      <c r="AQ28" s="77"/>
      <c r="AR28" s="79"/>
      <c r="AS28" s="77"/>
      <c r="AT28" s="78"/>
      <c r="AU28" s="77"/>
      <c r="AV28" s="78"/>
      <c r="AW28" s="77"/>
      <c r="AX28" s="78"/>
      <c r="AY28" s="77"/>
      <c r="AZ28" s="79"/>
      <c r="BA28" s="77"/>
      <c r="BB28" s="78"/>
      <c r="BC28" s="77"/>
      <c r="BD28" s="78"/>
      <c r="BE28" s="77"/>
      <c r="BF28" s="79"/>
      <c r="BG28" s="77"/>
      <c r="BH28" s="78"/>
      <c r="BI28" s="77"/>
      <c r="BJ28" s="78"/>
      <c r="BK28" s="77"/>
      <c r="BL28" s="79"/>
      <c r="BM28" s="77"/>
      <c r="BN28" s="78"/>
      <c r="BO28" s="77"/>
      <c r="BP28" s="78"/>
      <c r="BQ28" s="77"/>
      <c r="BR28" s="79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</row>
    <row r="29" spans="1:92" x14ac:dyDescent="0.25">
      <c r="A29" s="2">
        <v>23</v>
      </c>
      <c r="B29" s="409" t="s">
        <v>799</v>
      </c>
      <c r="C29" s="3"/>
      <c r="D29" s="6">
        <v>1</v>
      </c>
      <c r="E29" s="433" t="s">
        <v>800</v>
      </c>
      <c r="F29" s="434" t="s">
        <v>44</v>
      </c>
      <c r="G29" s="431" t="s">
        <v>691</v>
      </c>
      <c r="H29" s="412"/>
      <c r="I29" s="5">
        <v>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30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</row>
    <row r="30" spans="1:92" x14ac:dyDescent="0.25">
      <c r="A30" s="2">
        <v>24</v>
      </c>
      <c r="B30" s="409" t="s">
        <v>816</v>
      </c>
      <c r="C30" s="3"/>
      <c r="D30" s="6">
        <f t="shared" si="0"/>
        <v>2</v>
      </c>
      <c r="E30" s="641" t="s">
        <v>821</v>
      </c>
      <c r="F30" s="642" t="s">
        <v>353</v>
      </c>
      <c r="G30" s="431" t="s">
        <v>691</v>
      </c>
      <c r="H30" s="412"/>
      <c r="I30" s="5"/>
      <c r="J30" s="5"/>
      <c r="K30" s="5">
        <v>2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30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</row>
    <row r="31" spans="1:92" x14ac:dyDescent="0.25">
      <c r="A31" s="2">
        <v>25</v>
      </c>
      <c r="B31" s="409" t="s">
        <v>817</v>
      </c>
      <c r="C31" s="3"/>
      <c r="D31" s="6">
        <f t="shared" si="0"/>
        <v>2</v>
      </c>
      <c r="E31" s="641" t="s">
        <v>821</v>
      </c>
      <c r="F31" s="644" t="s">
        <v>353</v>
      </c>
      <c r="G31" s="431" t="s">
        <v>691</v>
      </c>
      <c r="H31" s="92"/>
      <c r="I31" s="5"/>
      <c r="J31" s="5"/>
      <c r="K31" s="5">
        <v>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30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</row>
    <row r="32" spans="1:92" x14ac:dyDescent="0.25">
      <c r="A32" s="2">
        <v>26</v>
      </c>
      <c r="B32" s="409" t="s">
        <v>818</v>
      </c>
      <c r="C32" s="3"/>
      <c r="D32" s="6">
        <f t="shared" si="0"/>
        <v>2</v>
      </c>
      <c r="E32" s="641" t="s">
        <v>821</v>
      </c>
      <c r="F32" s="644" t="s">
        <v>353</v>
      </c>
      <c r="G32" s="431" t="s">
        <v>691</v>
      </c>
      <c r="H32" s="92"/>
      <c r="I32" s="5"/>
      <c r="J32" s="5"/>
      <c r="K32" s="30">
        <v>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30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70" x14ac:dyDescent="0.25">
      <c r="A33" s="2">
        <v>27</v>
      </c>
      <c r="B33" s="409" t="s">
        <v>822</v>
      </c>
      <c r="C33" s="3"/>
      <c r="D33" s="6">
        <f t="shared" si="0"/>
        <v>1</v>
      </c>
      <c r="E33" s="641" t="s">
        <v>823</v>
      </c>
      <c r="F33" s="644" t="s">
        <v>824</v>
      </c>
      <c r="G33" s="431" t="s">
        <v>691</v>
      </c>
      <c r="H33" s="92"/>
      <c r="I33" s="5"/>
      <c r="J33" s="5"/>
      <c r="K33" s="30">
        <v>1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30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</row>
    <row r="34" spans="1:70" x14ac:dyDescent="0.25">
      <c r="A34" s="2">
        <v>28</v>
      </c>
      <c r="B34" s="409" t="s">
        <v>826</v>
      </c>
      <c r="C34" s="3"/>
      <c r="D34" s="6">
        <f t="shared" si="0"/>
        <v>2</v>
      </c>
      <c r="E34" s="641" t="s">
        <v>825</v>
      </c>
      <c r="F34" s="644" t="s">
        <v>827</v>
      </c>
      <c r="G34" s="431" t="s">
        <v>691</v>
      </c>
      <c r="H34" s="92"/>
      <c r="I34" s="5"/>
      <c r="J34" s="5"/>
      <c r="K34" s="30"/>
      <c r="L34" s="5"/>
      <c r="M34" s="5">
        <v>2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0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</row>
    <row r="35" spans="1:70" x14ac:dyDescent="0.25">
      <c r="A35" s="2">
        <v>29</v>
      </c>
      <c r="B35" s="3" t="s">
        <v>819</v>
      </c>
      <c r="C35" s="3"/>
      <c r="D35" s="6">
        <f t="shared" ref="D35" si="1">SUM(H35:CN35)</f>
        <v>2</v>
      </c>
      <c r="E35" s="643" t="s">
        <v>820</v>
      </c>
      <c r="F35" s="644" t="s">
        <v>42</v>
      </c>
      <c r="G35" s="431" t="s">
        <v>691</v>
      </c>
      <c r="H35" s="92"/>
      <c r="I35" s="5"/>
      <c r="J35" s="5"/>
      <c r="K35" s="30">
        <v>2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30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</row>
    <row r="36" spans="1:70" x14ac:dyDescent="0.25">
      <c r="A36" s="2"/>
      <c r="B36" s="3"/>
      <c r="C36" s="3"/>
      <c r="D36" s="6"/>
      <c r="E36" s="643"/>
      <c r="F36" s="644"/>
      <c r="G36" s="431"/>
      <c r="H36" s="92"/>
      <c r="I36" s="5"/>
      <c r="J36" s="5"/>
      <c r="K36" s="30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30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</row>
    <row r="37" spans="1:70" x14ac:dyDescent="0.25">
      <c r="A37" s="75"/>
      <c r="B37" s="75"/>
      <c r="C37" s="75"/>
      <c r="D37" s="75"/>
      <c r="E37" s="75"/>
      <c r="F37" s="75"/>
      <c r="G37" s="75"/>
      <c r="H37" s="75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8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</row>
    <row r="38" spans="1:70" x14ac:dyDescent="0.25">
      <c r="BO38" s="7"/>
    </row>
    <row r="41" spans="1:70" x14ac:dyDescent="0.25">
      <c r="AR41" s="1"/>
    </row>
  </sheetData>
  <mergeCells count="31">
    <mergeCell ref="BQ4:BR4"/>
    <mergeCell ref="BE4:BF4"/>
    <mergeCell ref="BG4:BH4"/>
    <mergeCell ref="BI4:BJ4"/>
    <mergeCell ref="BK4:BL4"/>
    <mergeCell ref="BM4:BN4"/>
    <mergeCell ref="BO4:BP4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H53"/>
  <sheetViews>
    <sheetView showGridLines="0" zoomScale="82" zoomScaleNormal="82" workbookViewId="0">
      <pane xSplit="5" ySplit="5" topLeftCell="F6" activePane="bottomRight" state="frozen"/>
      <selection activeCell="AU15" activeCellId="3" sqref="AW26 AT18 AT17 AU15"/>
      <selection pane="topRight" activeCell="AU15" activeCellId="3" sqref="AW26 AT18 AT17 AU15"/>
      <selection pane="bottomLeft" activeCell="AU15" activeCellId="3" sqref="AW26 AT18 AT17 AU15"/>
      <selection pane="bottomRight" activeCell="G22" sqref="G22"/>
    </sheetView>
  </sheetViews>
  <sheetFormatPr baseColWidth="10" defaultRowHeight="15" x14ac:dyDescent="0.25"/>
  <cols>
    <col min="1" max="1" width="4.7109375" customWidth="1"/>
    <col min="2" max="2" width="14" customWidth="1"/>
    <col min="3" max="3" width="61.42578125" customWidth="1"/>
    <col min="4" max="4" width="22.140625" customWidth="1"/>
    <col min="5" max="7" width="20.42578125" customWidth="1"/>
    <col min="8" max="8" width="4.85546875" customWidth="1"/>
    <col min="9" max="9" width="5" customWidth="1"/>
    <col min="10" max="10" width="6.28515625" customWidth="1"/>
    <col min="11" max="11" width="17.5703125" customWidth="1"/>
    <col min="12" max="12" width="38" customWidth="1"/>
    <col min="13" max="13" width="26.5703125" customWidth="1"/>
    <col min="14" max="14" width="24" customWidth="1"/>
    <col min="15" max="15" width="18.7109375" customWidth="1"/>
    <col min="16" max="16" width="16.28515625" customWidth="1"/>
  </cols>
  <sheetData>
    <row r="1" spans="1:86" ht="80.099999999999994" customHeight="1" x14ac:dyDescent="0.25">
      <c r="A1" s="8"/>
      <c r="B1" s="8"/>
      <c r="C1" s="8"/>
      <c r="D1" s="8"/>
      <c r="E1" s="8"/>
      <c r="F1" s="8"/>
      <c r="G1" s="8"/>
      <c r="J1" s="8"/>
      <c r="K1" s="8"/>
      <c r="L1" s="8"/>
      <c r="M1" s="8"/>
      <c r="N1" s="8"/>
      <c r="O1" s="8"/>
      <c r="P1" s="8"/>
      <c r="Q1" s="8"/>
    </row>
    <row r="2" spans="1:86" ht="26.25" x14ac:dyDescent="0.25">
      <c r="A2" s="9" t="s">
        <v>356</v>
      </c>
      <c r="B2" s="9"/>
      <c r="C2" s="9"/>
      <c r="D2" s="9"/>
      <c r="E2" s="9"/>
      <c r="F2" s="9"/>
      <c r="G2" s="9"/>
      <c r="J2" s="9" t="s">
        <v>412</v>
      </c>
      <c r="K2" s="9"/>
      <c r="L2" s="9"/>
      <c r="M2" s="9"/>
      <c r="N2" s="9"/>
      <c r="O2" s="9"/>
      <c r="P2" s="9"/>
      <c r="Q2" s="9"/>
    </row>
    <row r="4" spans="1:86" x14ac:dyDescent="0.25">
      <c r="A4" s="54"/>
      <c r="J4" s="54"/>
    </row>
    <row r="5" spans="1:86" ht="30.75" thickBot="1" x14ac:dyDescent="0.3">
      <c r="A5" s="20" t="s">
        <v>6</v>
      </c>
      <c r="B5" s="20" t="s">
        <v>41</v>
      </c>
      <c r="C5" s="20" t="s">
        <v>7</v>
      </c>
      <c r="D5" s="20" t="s">
        <v>39</v>
      </c>
      <c r="E5" s="20" t="s">
        <v>40</v>
      </c>
      <c r="F5" s="20" t="s">
        <v>339</v>
      </c>
      <c r="G5" s="20" t="s">
        <v>0</v>
      </c>
      <c r="J5" s="20" t="s">
        <v>6</v>
      </c>
      <c r="K5" s="20" t="s">
        <v>41</v>
      </c>
      <c r="L5" s="20" t="s">
        <v>7</v>
      </c>
      <c r="M5" s="20" t="s">
        <v>39</v>
      </c>
      <c r="N5" s="20" t="s">
        <v>40</v>
      </c>
      <c r="O5" s="20" t="s">
        <v>339</v>
      </c>
      <c r="P5" s="20" t="s">
        <v>0</v>
      </c>
    </row>
    <row r="6" spans="1:86" ht="15.75" thickBot="1" x14ac:dyDescent="0.3">
      <c r="A6" s="174">
        <v>1</v>
      </c>
      <c r="B6" s="179" t="s">
        <v>395</v>
      </c>
      <c r="C6" s="177" t="s">
        <v>396</v>
      </c>
      <c r="D6" s="172" t="s">
        <v>314</v>
      </c>
      <c r="E6" s="172" t="s">
        <v>397</v>
      </c>
      <c r="F6" s="182" t="s">
        <v>404</v>
      </c>
      <c r="G6" s="184">
        <v>2</v>
      </c>
      <c r="H6" s="1"/>
      <c r="I6" s="1"/>
      <c r="J6" s="174">
        <v>1</v>
      </c>
      <c r="K6" s="179" t="s">
        <v>413</v>
      </c>
      <c r="L6" s="177" t="s">
        <v>463</v>
      </c>
      <c r="M6" s="172" t="s">
        <v>372</v>
      </c>
      <c r="N6" s="172" t="s">
        <v>351</v>
      </c>
      <c r="O6" s="182" t="s">
        <v>404</v>
      </c>
      <c r="P6" s="184">
        <v>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</row>
    <row r="7" spans="1:86" ht="15.75" thickBot="1" x14ac:dyDescent="0.3">
      <c r="A7" s="174">
        <v>2</v>
      </c>
      <c r="B7" s="180" t="s">
        <v>427</v>
      </c>
      <c r="C7" s="164" t="s">
        <v>398</v>
      </c>
      <c r="D7" s="4" t="s">
        <v>315</v>
      </c>
      <c r="E7" s="4" t="s">
        <v>43</v>
      </c>
      <c r="F7" s="10" t="s">
        <v>404</v>
      </c>
      <c r="G7" s="185">
        <v>3</v>
      </c>
      <c r="H7" s="1"/>
      <c r="I7" s="1"/>
      <c r="J7" s="175">
        <v>2</v>
      </c>
      <c r="K7" s="180" t="s">
        <v>413</v>
      </c>
      <c r="L7" s="164" t="s">
        <v>462</v>
      </c>
      <c r="M7" s="4" t="s">
        <v>468</v>
      </c>
      <c r="N7" s="4" t="s">
        <v>44</v>
      </c>
      <c r="O7" s="10" t="s">
        <v>464</v>
      </c>
      <c r="P7" s="185">
        <v>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 ht="15.75" customHeight="1" thickBot="1" x14ac:dyDescent="0.3">
      <c r="A8" s="174">
        <v>3</v>
      </c>
      <c r="B8" s="180" t="s">
        <v>359</v>
      </c>
      <c r="C8" s="164" t="s">
        <v>344</v>
      </c>
      <c r="D8" s="4" t="s">
        <v>316</v>
      </c>
      <c r="E8" s="4" t="s">
        <v>350</v>
      </c>
      <c r="F8" s="10" t="s">
        <v>399</v>
      </c>
      <c r="G8" s="185">
        <v>1</v>
      </c>
      <c r="H8" s="1"/>
      <c r="I8" s="1"/>
      <c r="J8" s="175">
        <v>3</v>
      </c>
      <c r="K8" s="180" t="s">
        <v>413</v>
      </c>
      <c r="L8" s="164" t="s">
        <v>462</v>
      </c>
      <c r="M8" s="4"/>
      <c r="N8" s="4" t="s">
        <v>43</v>
      </c>
      <c r="O8" s="10" t="s">
        <v>465</v>
      </c>
      <c r="P8" s="185"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</row>
    <row r="9" spans="1:86" ht="16.5" customHeight="1" thickBot="1" x14ac:dyDescent="0.3">
      <c r="A9" s="174">
        <v>4</v>
      </c>
      <c r="B9" s="180" t="s">
        <v>401</v>
      </c>
      <c r="C9" s="164" t="s">
        <v>402</v>
      </c>
      <c r="D9" s="4" t="s">
        <v>316</v>
      </c>
      <c r="E9" s="4" t="s">
        <v>44</v>
      </c>
      <c r="F9" s="10" t="s">
        <v>399</v>
      </c>
      <c r="G9" s="185">
        <v>1</v>
      </c>
      <c r="H9" s="1"/>
      <c r="I9" s="1"/>
      <c r="J9" s="175">
        <v>4</v>
      </c>
      <c r="K9" s="180" t="s">
        <v>365</v>
      </c>
      <c r="L9" s="164" t="s">
        <v>357</v>
      </c>
      <c r="M9" s="4" t="s">
        <v>316</v>
      </c>
      <c r="N9" s="4" t="s">
        <v>44</v>
      </c>
      <c r="O9" s="10" t="s">
        <v>404</v>
      </c>
      <c r="P9" s="185">
        <v>8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</row>
    <row r="10" spans="1:86" ht="18" customHeight="1" thickBot="1" x14ac:dyDescent="0.3">
      <c r="A10" s="174">
        <v>5</v>
      </c>
      <c r="B10" s="180" t="s">
        <v>403</v>
      </c>
      <c r="C10" s="164" t="s">
        <v>428</v>
      </c>
      <c r="D10" s="153" t="s">
        <v>429</v>
      </c>
      <c r="E10" s="153" t="s">
        <v>42</v>
      </c>
      <c r="F10" s="10" t="s">
        <v>430</v>
      </c>
      <c r="G10" s="185">
        <v>2</v>
      </c>
      <c r="H10" s="1"/>
      <c r="I10" s="1"/>
      <c r="J10" s="175">
        <v>5</v>
      </c>
      <c r="K10" s="180" t="s">
        <v>366</v>
      </c>
      <c r="L10" s="164" t="s">
        <v>439</v>
      </c>
      <c r="M10" s="153" t="s">
        <v>410</v>
      </c>
      <c r="N10" s="4" t="s">
        <v>44</v>
      </c>
      <c r="O10" s="10" t="s">
        <v>404</v>
      </c>
      <c r="P10" s="185">
        <v>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</row>
    <row r="11" spans="1:86" ht="17.25" customHeight="1" thickBot="1" x14ac:dyDescent="0.3">
      <c r="A11" s="174">
        <v>6</v>
      </c>
      <c r="B11" s="180" t="s">
        <v>403</v>
      </c>
      <c r="C11" s="164" t="s">
        <v>428</v>
      </c>
      <c r="D11" s="4" t="s">
        <v>407</v>
      </c>
      <c r="E11" s="153" t="s">
        <v>353</v>
      </c>
      <c r="F11" s="10" t="s">
        <v>430</v>
      </c>
      <c r="G11" s="185">
        <v>1</v>
      </c>
      <c r="J11" s="175">
        <v>6</v>
      </c>
      <c r="K11" s="180" t="s">
        <v>366</v>
      </c>
      <c r="L11" s="164" t="s">
        <v>439</v>
      </c>
      <c r="M11" s="153" t="s">
        <v>121</v>
      </c>
      <c r="N11" s="4" t="s">
        <v>44</v>
      </c>
      <c r="O11" s="10" t="s">
        <v>420</v>
      </c>
      <c r="P11" s="185">
        <v>1</v>
      </c>
    </row>
    <row r="12" spans="1:86" ht="15.75" thickBot="1" x14ac:dyDescent="0.3">
      <c r="A12" s="174">
        <v>7</v>
      </c>
      <c r="B12" s="180" t="s">
        <v>360</v>
      </c>
      <c r="C12" s="164" t="s">
        <v>431</v>
      </c>
      <c r="D12" s="4" t="s">
        <v>429</v>
      </c>
      <c r="E12" s="4" t="s">
        <v>352</v>
      </c>
      <c r="F12" s="10" t="s">
        <v>430</v>
      </c>
      <c r="G12" s="185">
        <v>5</v>
      </c>
      <c r="J12" s="175">
        <v>7</v>
      </c>
      <c r="K12" s="180" t="s">
        <v>367</v>
      </c>
      <c r="L12" s="164" t="s">
        <v>422</v>
      </c>
      <c r="M12" s="4" t="s">
        <v>426</v>
      </c>
      <c r="N12" s="4" t="s">
        <v>424</v>
      </c>
      <c r="O12" s="10" t="s">
        <v>425</v>
      </c>
      <c r="P12" s="185">
        <v>2</v>
      </c>
    </row>
    <row r="13" spans="1:86" ht="15.75" thickBot="1" x14ac:dyDescent="0.3">
      <c r="A13" s="174">
        <v>8</v>
      </c>
      <c r="B13" s="180" t="s">
        <v>361</v>
      </c>
      <c r="C13" s="164" t="s">
        <v>345</v>
      </c>
      <c r="D13" s="4" t="s">
        <v>348</v>
      </c>
      <c r="E13" s="4" t="s">
        <v>42</v>
      </c>
      <c r="F13" s="10" t="s">
        <v>399</v>
      </c>
      <c r="G13" s="185">
        <v>2</v>
      </c>
      <c r="J13" s="175">
        <v>8</v>
      </c>
      <c r="K13" s="180" t="s">
        <v>466</v>
      </c>
      <c r="L13" s="164" t="s">
        <v>440</v>
      </c>
      <c r="M13" s="4" t="s">
        <v>316</v>
      </c>
      <c r="N13" s="4" t="s">
        <v>353</v>
      </c>
      <c r="O13" s="10" t="s">
        <v>404</v>
      </c>
      <c r="P13" s="185">
        <v>6</v>
      </c>
    </row>
    <row r="14" spans="1:86" ht="15.75" thickBot="1" x14ac:dyDescent="0.3">
      <c r="A14" s="174">
        <v>9</v>
      </c>
      <c r="B14" s="181" t="s">
        <v>739</v>
      </c>
      <c r="C14" s="192" t="s">
        <v>740</v>
      </c>
      <c r="D14" s="188" t="s">
        <v>741</v>
      </c>
      <c r="E14" s="188" t="s">
        <v>44</v>
      </c>
      <c r="F14" s="190" t="s">
        <v>399</v>
      </c>
      <c r="G14" s="191">
        <v>3</v>
      </c>
      <c r="J14" s="175"/>
      <c r="K14" s="180"/>
      <c r="L14" s="164"/>
      <c r="M14" s="4"/>
      <c r="N14" s="4"/>
      <c r="O14" s="10"/>
      <c r="P14" s="185"/>
    </row>
    <row r="15" spans="1:86" ht="15.75" thickBot="1" x14ac:dyDescent="0.3">
      <c r="A15" s="174">
        <v>10</v>
      </c>
      <c r="B15" s="180" t="s">
        <v>405</v>
      </c>
      <c r="C15" s="164" t="s">
        <v>408</v>
      </c>
      <c r="D15" s="159" t="s">
        <v>407</v>
      </c>
      <c r="E15" s="159" t="s">
        <v>353</v>
      </c>
      <c r="F15" s="189" t="s">
        <v>399</v>
      </c>
      <c r="G15" s="185">
        <v>3</v>
      </c>
      <c r="J15" s="175">
        <v>9</v>
      </c>
      <c r="K15" s="180" t="s">
        <v>368</v>
      </c>
      <c r="L15" s="164" t="s">
        <v>441</v>
      </c>
      <c r="M15" s="4" t="s">
        <v>313</v>
      </c>
      <c r="N15" s="4" t="s">
        <v>421</v>
      </c>
      <c r="O15" s="10" t="s">
        <v>404</v>
      </c>
      <c r="P15" s="185">
        <v>1</v>
      </c>
    </row>
    <row r="16" spans="1:86" ht="15.75" thickBot="1" x14ac:dyDescent="0.3">
      <c r="A16" s="174">
        <v>11</v>
      </c>
      <c r="B16" s="180" t="s">
        <v>411</v>
      </c>
      <c r="C16" s="164" t="s">
        <v>432</v>
      </c>
      <c r="D16" s="4" t="s">
        <v>409</v>
      </c>
      <c r="E16" s="4" t="s">
        <v>355</v>
      </c>
      <c r="F16" s="10" t="s">
        <v>399</v>
      </c>
      <c r="G16" s="185">
        <v>0</v>
      </c>
      <c r="J16" s="175">
        <v>10</v>
      </c>
      <c r="K16" s="180" t="s">
        <v>415</v>
      </c>
      <c r="L16" s="164" t="s">
        <v>416</v>
      </c>
      <c r="M16" s="4" t="s">
        <v>316</v>
      </c>
      <c r="N16" s="4" t="s">
        <v>44</v>
      </c>
      <c r="O16" s="10" t="s">
        <v>420</v>
      </c>
      <c r="P16" s="185">
        <v>2</v>
      </c>
    </row>
    <row r="17" spans="1:86" ht="15.75" thickBot="1" x14ac:dyDescent="0.3">
      <c r="A17" s="174">
        <v>12</v>
      </c>
      <c r="B17" s="180" t="s">
        <v>363</v>
      </c>
      <c r="C17" s="164" t="s">
        <v>346</v>
      </c>
      <c r="D17" s="4" t="s">
        <v>316</v>
      </c>
      <c r="E17" s="4" t="s">
        <v>44</v>
      </c>
      <c r="F17" s="10" t="s">
        <v>399</v>
      </c>
      <c r="G17" s="185">
        <v>2</v>
      </c>
      <c r="H17" s="1"/>
      <c r="I17" s="1"/>
      <c r="J17" s="175">
        <v>11</v>
      </c>
      <c r="K17" s="180" t="s">
        <v>369</v>
      </c>
      <c r="L17" s="164" t="s">
        <v>467</v>
      </c>
      <c r="M17" s="4" t="s">
        <v>409</v>
      </c>
      <c r="N17" s="4" t="s">
        <v>355</v>
      </c>
      <c r="O17" s="10" t="s">
        <v>404</v>
      </c>
      <c r="P17" s="185">
        <v>5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spans="1:86" ht="15.75" thickBot="1" x14ac:dyDescent="0.3">
      <c r="A18" s="174">
        <v>13</v>
      </c>
      <c r="B18" s="180" t="s">
        <v>435</v>
      </c>
      <c r="C18" s="164" t="s">
        <v>433</v>
      </c>
      <c r="D18" s="4" t="s">
        <v>349</v>
      </c>
      <c r="E18" s="4" t="s">
        <v>44</v>
      </c>
      <c r="F18" s="10" t="s">
        <v>399</v>
      </c>
      <c r="G18" s="185">
        <v>2</v>
      </c>
      <c r="H18" s="1"/>
      <c r="I18" s="1"/>
      <c r="J18" s="175">
        <v>12</v>
      </c>
      <c r="K18" s="180" t="s">
        <v>370</v>
      </c>
      <c r="L18" s="164" t="s">
        <v>431</v>
      </c>
      <c r="M18" s="4" t="s">
        <v>442</v>
      </c>
      <c r="N18" s="4" t="s">
        <v>352</v>
      </c>
      <c r="O18" s="10" t="s">
        <v>419</v>
      </c>
      <c r="P18" s="185">
        <v>6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spans="1:86" ht="16.5" customHeight="1" thickBot="1" x14ac:dyDescent="0.3">
      <c r="A19" s="174">
        <v>14</v>
      </c>
      <c r="B19" s="180" t="s">
        <v>436</v>
      </c>
      <c r="C19" s="164" t="s">
        <v>434</v>
      </c>
      <c r="D19" s="4" t="s">
        <v>349</v>
      </c>
      <c r="E19" s="4" t="s">
        <v>43</v>
      </c>
      <c r="F19" s="10" t="s">
        <v>399</v>
      </c>
      <c r="G19" s="185">
        <v>36</v>
      </c>
      <c r="H19" s="1"/>
      <c r="I19" s="1"/>
      <c r="J19" s="175">
        <v>13</v>
      </c>
      <c r="K19" s="180" t="s">
        <v>371</v>
      </c>
      <c r="L19" s="164" t="s">
        <v>345</v>
      </c>
      <c r="M19" s="4" t="s">
        <v>348</v>
      </c>
      <c r="N19" s="4" t="s">
        <v>42</v>
      </c>
      <c r="O19" s="10" t="s">
        <v>404</v>
      </c>
      <c r="P19" s="185">
        <v>12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</row>
    <row r="20" spans="1:86" ht="15.75" customHeight="1" thickBot="1" x14ac:dyDescent="0.3">
      <c r="A20" s="174">
        <v>15</v>
      </c>
      <c r="B20" s="180" t="s">
        <v>364</v>
      </c>
      <c r="C20" s="164" t="s">
        <v>437</v>
      </c>
      <c r="D20" s="4" t="s">
        <v>313</v>
      </c>
      <c r="E20" s="4" t="s">
        <v>354</v>
      </c>
      <c r="F20" s="10" t="s">
        <v>399</v>
      </c>
      <c r="G20" s="185">
        <v>2</v>
      </c>
      <c r="H20" s="1"/>
      <c r="I20" s="1"/>
      <c r="J20" s="175">
        <v>14</v>
      </c>
      <c r="K20" s="180" t="s">
        <v>417</v>
      </c>
      <c r="L20" s="164" t="s">
        <v>358</v>
      </c>
      <c r="M20" s="4" t="s">
        <v>316</v>
      </c>
      <c r="N20" s="4" t="s">
        <v>406</v>
      </c>
      <c r="O20" s="10" t="s">
        <v>404</v>
      </c>
      <c r="P20" s="185">
        <v>12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</row>
    <row r="21" spans="1:86" ht="15.75" thickBot="1" x14ac:dyDescent="0.3">
      <c r="A21" s="174">
        <v>16</v>
      </c>
      <c r="B21" s="180" t="s">
        <v>414</v>
      </c>
      <c r="C21" s="164" t="s">
        <v>438</v>
      </c>
      <c r="D21" s="4" t="s">
        <v>316</v>
      </c>
      <c r="E21" s="4" t="s">
        <v>353</v>
      </c>
      <c r="F21" s="10" t="s">
        <v>399</v>
      </c>
      <c r="G21" s="185">
        <v>1</v>
      </c>
      <c r="J21" s="175">
        <v>15</v>
      </c>
      <c r="K21" s="180" t="s">
        <v>423</v>
      </c>
      <c r="L21" s="164" t="s">
        <v>347</v>
      </c>
      <c r="M21" s="4" t="s">
        <v>316</v>
      </c>
      <c r="N21" s="4" t="s">
        <v>353</v>
      </c>
      <c r="O21" s="10" t="s">
        <v>404</v>
      </c>
      <c r="P21" s="185">
        <v>5</v>
      </c>
    </row>
    <row r="22" spans="1:86" ht="15.75" thickBot="1" x14ac:dyDescent="0.3">
      <c r="A22" s="174">
        <v>17</v>
      </c>
      <c r="B22" s="180" t="s">
        <v>418</v>
      </c>
      <c r="C22" s="164" t="s">
        <v>358</v>
      </c>
      <c r="D22" s="4" t="s">
        <v>316</v>
      </c>
      <c r="E22" s="4" t="s">
        <v>406</v>
      </c>
      <c r="F22" s="10" t="s">
        <v>399</v>
      </c>
      <c r="G22" s="185">
        <v>0</v>
      </c>
      <c r="J22" s="175">
        <v>16</v>
      </c>
      <c r="K22" s="180" t="s">
        <v>681</v>
      </c>
      <c r="L22" s="164" t="s">
        <v>680</v>
      </c>
      <c r="M22" s="4" t="s">
        <v>316</v>
      </c>
      <c r="N22" s="4" t="s">
        <v>44</v>
      </c>
      <c r="O22" s="10" t="s">
        <v>404</v>
      </c>
      <c r="P22" s="185">
        <v>6</v>
      </c>
    </row>
    <row r="23" spans="1:86" ht="15.75" thickBot="1" x14ac:dyDescent="0.3">
      <c r="A23" s="174">
        <v>18</v>
      </c>
      <c r="B23" s="180" t="s">
        <v>362</v>
      </c>
      <c r="C23" s="164" t="s">
        <v>347</v>
      </c>
      <c r="D23" s="4" t="s">
        <v>316</v>
      </c>
      <c r="E23" s="4" t="s">
        <v>353</v>
      </c>
      <c r="F23" s="10" t="s">
        <v>399</v>
      </c>
      <c r="G23" s="185">
        <v>0</v>
      </c>
      <c r="J23" s="175">
        <v>17</v>
      </c>
      <c r="K23" s="180"/>
      <c r="L23" s="164"/>
      <c r="M23" s="4"/>
      <c r="N23" s="4"/>
      <c r="O23" s="10"/>
      <c r="P23" s="185"/>
    </row>
    <row r="24" spans="1:86" ht="15.75" thickBot="1" x14ac:dyDescent="0.3">
      <c r="A24" s="174">
        <v>19</v>
      </c>
      <c r="B24" s="180" t="s">
        <v>682</v>
      </c>
      <c r="C24" s="164" t="s">
        <v>683</v>
      </c>
      <c r="D24" s="159" t="s">
        <v>316</v>
      </c>
      <c r="E24" s="159" t="s">
        <v>44</v>
      </c>
      <c r="F24" s="10" t="s">
        <v>399</v>
      </c>
      <c r="G24" s="185">
        <v>0</v>
      </c>
      <c r="J24" s="175">
        <v>18</v>
      </c>
      <c r="K24" s="180"/>
      <c r="L24" s="134"/>
      <c r="M24" s="22"/>
      <c r="N24" s="22"/>
      <c r="O24" s="144"/>
      <c r="P24" s="186"/>
    </row>
    <row r="25" spans="1:86" ht="15.75" thickBot="1" x14ac:dyDescent="0.3">
      <c r="A25" s="174">
        <v>20</v>
      </c>
      <c r="B25" s="180" t="s">
        <v>403</v>
      </c>
      <c r="C25" s="192" t="s">
        <v>809</v>
      </c>
      <c r="D25" s="153" t="s">
        <v>429</v>
      </c>
      <c r="E25" s="188" t="s">
        <v>810</v>
      </c>
      <c r="F25" s="10" t="s">
        <v>399</v>
      </c>
      <c r="G25" s="191">
        <v>1</v>
      </c>
      <c r="J25" s="176">
        <v>19</v>
      </c>
      <c r="K25" s="181"/>
      <c r="L25" s="178"/>
      <c r="M25" s="173"/>
      <c r="N25" s="173"/>
      <c r="O25" s="183"/>
      <c r="P25" s="187"/>
    </row>
    <row r="27" spans="1:86" x14ac:dyDescent="0.25">
      <c r="A27" s="142" t="s">
        <v>400</v>
      </c>
      <c r="J27" s="57" t="s">
        <v>373</v>
      </c>
    </row>
    <row r="28" spans="1:86" x14ac:dyDescent="0.25">
      <c r="A28" s="142"/>
    </row>
    <row r="30" spans="1:86" x14ac:dyDescent="0.25">
      <c r="E30" s="142"/>
    </row>
    <row r="34" spans="2:4" x14ac:dyDescent="0.25">
      <c r="B34" s="151"/>
      <c r="C34" s="34"/>
    </row>
    <row r="35" spans="2:4" x14ac:dyDescent="0.25">
      <c r="B35" s="151"/>
      <c r="C35" s="34"/>
    </row>
    <row r="36" spans="2:4" x14ac:dyDescent="0.25">
      <c r="B36" s="151"/>
      <c r="C36" s="34"/>
    </row>
    <row r="37" spans="2:4" x14ac:dyDescent="0.25">
      <c r="B37" s="151"/>
      <c r="C37" s="34"/>
    </row>
    <row r="38" spans="2:4" x14ac:dyDescent="0.25">
      <c r="B38" s="151"/>
      <c r="C38" s="34"/>
    </row>
    <row r="39" spans="2:4" x14ac:dyDescent="0.25">
      <c r="B39" s="151"/>
      <c r="C39" s="34"/>
      <c r="D39" s="34"/>
    </row>
    <row r="40" spans="2:4" x14ac:dyDescent="0.25">
      <c r="B40" s="151"/>
      <c r="C40" s="34"/>
    </row>
    <row r="41" spans="2:4" x14ac:dyDescent="0.25">
      <c r="B41" s="151"/>
      <c r="C41" s="34"/>
    </row>
    <row r="42" spans="2:4" x14ac:dyDescent="0.25">
      <c r="B42" s="151"/>
      <c r="C42" s="34"/>
    </row>
    <row r="43" spans="2:4" x14ac:dyDescent="0.25">
      <c r="B43" s="151"/>
      <c r="C43" s="34"/>
    </row>
    <row r="44" spans="2:4" x14ac:dyDescent="0.25">
      <c r="B44" s="151"/>
      <c r="C44" s="34"/>
    </row>
    <row r="45" spans="2:4" x14ac:dyDescent="0.25">
      <c r="B45" s="151"/>
      <c r="C45" s="34"/>
    </row>
    <row r="46" spans="2:4" x14ac:dyDescent="0.25">
      <c r="B46" s="151"/>
      <c r="C46" s="34"/>
    </row>
    <row r="47" spans="2:4" x14ac:dyDescent="0.25">
      <c r="B47" s="152"/>
      <c r="C47" s="34"/>
    </row>
    <row r="48" spans="2:4" x14ac:dyDescent="0.25">
      <c r="B48" s="152"/>
      <c r="C48" s="34"/>
    </row>
    <row r="49" spans="2:3" x14ac:dyDescent="0.25">
      <c r="B49" s="34"/>
      <c r="C49" s="34"/>
    </row>
    <row r="50" spans="2:3" x14ac:dyDescent="0.25">
      <c r="C50" s="34"/>
    </row>
    <row r="51" spans="2:3" x14ac:dyDescent="0.25">
      <c r="C51" s="34"/>
    </row>
    <row r="52" spans="2:3" x14ac:dyDescent="0.25">
      <c r="C52" s="34"/>
    </row>
    <row r="53" spans="2:3" x14ac:dyDescent="0.25">
      <c r="C53" s="34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E26" sqref="E26"/>
    </sheetView>
  </sheetViews>
  <sheetFormatPr baseColWidth="10" defaultRowHeight="15" x14ac:dyDescent="0.25"/>
  <cols>
    <col min="1" max="1" width="4.7109375" customWidth="1"/>
    <col min="2" max="2" width="14" customWidth="1"/>
    <col min="3" max="3" width="55.7109375" customWidth="1"/>
    <col min="4" max="4" width="22.140625" customWidth="1"/>
    <col min="5" max="6" width="20.42578125" customWidth="1"/>
  </cols>
  <sheetData>
    <row r="1" spans="1:6" ht="80.099999999999994" customHeight="1" x14ac:dyDescent="0.25">
      <c r="A1" s="8"/>
      <c r="B1" s="8"/>
      <c r="C1" s="8"/>
      <c r="D1" s="8"/>
      <c r="E1" s="8"/>
      <c r="F1" s="8"/>
    </row>
    <row r="2" spans="1:6" ht="26.25" x14ac:dyDescent="0.25">
      <c r="A2" s="9"/>
      <c r="B2" s="9"/>
      <c r="C2" s="9" t="s">
        <v>338</v>
      </c>
      <c r="D2" s="9"/>
      <c r="E2" s="9"/>
      <c r="F2" s="9"/>
    </row>
    <row r="5" spans="1:6" ht="30" x14ac:dyDescent="0.25">
      <c r="A5" s="11" t="s">
        <v>6</v>
      </c>
      <c r="B5" s="11" t="s">
        <v>41</v>
      </c>
      <c r="C5" s="11" t="s">
        <v>7</v>
      </c>
      <c r="D5" s="11" t="s">
        <v>39</v>
      </c>
      <c r="E5" s="11" t="s">
        <v>40</v>
      </c>
      <c r="F5" s="11" t="s">
        <v>0</v>
      </c>
    </row>
    <row r="6" spans="1:6" x14ac:dyDescent="0.25">
      <c r="A6" s="2">
        <v>1</v>
      </c>
      <c r="B6" s="160" t="s">
        <v>46</v>
      </c>
      <c r="C6" s="160" t="s">
        <v>45</v>
      </c>
      <c r="D6" s="10"/>
      <c r="E6" s="10"/>
      <c r="F6" s="6">
        <v>0</v>
      </c>
    </row>
    <row r="7" spans="1:6" x14ac:dyDescent="0.25">
      <c r="A7" s="2">
        <v>2</v>
      </c>
      <c r="B7" s="160" t="s">
        <v>48</v>
      </c>
      <c r="C7" s="160" t="s">
        <v>47</v>
      </c>
      <c r="D7" s="10"/>
      <c r="E7" s="10"/>
      <c r="F7" s="6">
        <v>0</v>
      </c>
    </row>
    <row r="8" spans="1:6" x14ac:dyDescent="0.25">
      <c r="A8" s="2">
        <v>3</v>
      </c>
      <c r="B8" s="160" t="s">
        <v>50</v>
      </c>
      <c r="C8" s="160" t="s">
        <v>49</v>
      </c>
      <c r="D8" s="10"/>
      <c r="E8" s="10"/>
      <c r="F8" s="6">
        <v>0</v>
      </c>
    </row>
    <row r="9" spans="1:6" x14ac:dyDescent="0.25">
      <c r="A9" s="2">
        <v>4</v>
      </c>
      <c r="B9" s="160" t="s">
        <v>52</v>
      </c>
      <c r="C9" s="160" t="s">
        <v>51</v>
      </c>
      <c r="D9" s="10"/>
      <c r="E9" s="10"/>
      <c r="F9" s="6">
        <v>0</v>
      </c>
    </row>
    <row r="10" spans="1:6" x14ac:dyDescent="0.25">
      <c r="A10" s="2">
        <v>5</v>
      </c>
      <c r="B10" s="160" t="s">
        <v>54</v>
      </c>
      <c r="C10" s="160" t="s">
        <v>53</v>
      </c>
      <c r="D10" s="10"/>
      <c r="E10" s="10"/>
      <c r="F10" s="6">
        <v>0</v>
      </c>
    </row>
    <row r="11" spans="1:6" x14ac:dyDescent="0.25">
      <c r="A11" s="2">
        <v>6</v>
      </c>
      <c r="B11" s="160" t="s">
        <v>55</v>
      </c>
      <c r="C11" s="160" t="s">
        <v>56</v>
      </c>
      <c r="D11" s="4"/>
      <c r="E11" s="136"/>
      <c r="F11" s="6">
        <v>0</v>
      </c>
    </row>
    <row r="12" spans="1:6" x14ac:dyDescent="0.25">
      <c r="A12" s="2">
        <v>7</v>
      </c>
      <c r="B12" s="160" t="s">
        <v>58</v>
      </c>
      <c r="C12" s="161" t="s">
        <v>57</v>
      </c>
      <c r="D12" s="137"/>
      <c r="E12" s="136"/>
      <c r="F12" s="21"/>
    </row>
    <row r="13" spans="1:6" x14ac:dyDescent="0.25">
      <c r="A13" s="2">
        <v>8</v>
      </c>
      <c r="B13" s="160" t="s">
        <v>60</v>
      </c>
      <c r="C13" s="161" t="s">
        <v>59</v>
      </c>
      <c r="D13" s="137"/>
      <c r="E13" s="136"/>
      <c r="F13" s="6">
        <v>0</v>
      </c>
    </row>
    <row r="14" spans="1:6" x14ac:dyDescent="0.25">
      <c r="A14" s="2">
        <v>9</v>
      </c>
      <c r="B14" s="162" t="s">
        <v>61</v>
      </c>
      <c r="C14" s="163" t="s">
        <v>62</v>
      </c>
      <c r="D14" s="139"/>
      <c r="E14" s="19"/>
      <c r="F14" s="18"/>
    </row>
    <row r="15" spans="1:6" x14ac:dyDescent="0.25">
      <c r="A15" s="2">
        <v>10</v>
      </c>
      <c r="B15" s="160" t="s">
        <v>64</v>
      </c>
      <c r="C15" s="161" t="s">
        <v>63</v>
      </c>
      <c r="D15" s="136"/>
      <c r="E15" s="10"/>
      <c r="F15" s="6">
        <v>0</v>
      </c>
    </row>
    <row r="16" spans="1:6" x14ac:dyDescent="0.25">
      <c r="A16" s="2">
        <v>11</v>
      </c>
      <c r="B16" s="160" t="s">
        <v>66</v>
      </c>
      <c r="C16" s="161" t="s">
        <v>65</v>
      </c>
      <c r="D16" s="10"/>
      <c r="E16" s="10"/>
      <c r="F16" s="6">
        <v>0</v>
      </c>
    </row>
    <row r="17" spans="1:6" x14ac:dyDescent="0.25">
      <c r="A17" s="2">
        <v>12</v>
      </c>
      <c r="B17" s="160" t="s">
        <v>68</v>
      </c>
      <c r="C17" s="161" t="s">
        <v>67</v>
      </c>
      <c r="D17" s="10"/>
      <c r="E17" s="10"/>
      <c r="F17" s="6">
        <v>0</v>
      </c>
    </row>
    <row r="18" spans="1:6" x14ac:dyDescent="0.25">
      <c r="A18" s="2">
        <v>13</v>
      </c>
      <c r="B18" s="160" t="s">
        <v>69</v>
      </c>
      <c r="C18" s="161" t="s">
        <v>70</v>
      </c>
      <c r="D18" s="4"/>
      <c r="E18" s="10"/>
      <c r="F18" s="6">
        <v>0</v>
      </c>
    </row>
    <row r="19" spans="1:6" x14ac:dyDescent="0.25">
      <c r="A19" s="2">
        <v>14</v>
      </c>
      <c r="B19" s="160" t="s">
        <v>72</v>
      </c>
      <c r="C19" s="161" t="s">
        <v>71</v>
      </c>
      <c r="D19" s="10"/>
      <c r="E19" s="10"/>
      <c r="F19" s="6">
        <v>0</v>
      </c>
    </row>
    <row r="20" spans="1:6" x14ac:dyDescent="0.25">
      <c r="A20" s="2">
        <v>15</v>
      </c>
      <c r="B20" s="160" t="s">
        <v>74</v>
      </c>
      <c r="C20" s="161" t="s">
        <v>73</v>
      </c>
      <c r="D20" s="4"/>
      <c r="E20" s="136"/>
      <c r="F20" s="21"/>
    </row>
    <row r="21" spans="1:6" x14ac:dyDescent="0.25">
      <c r="A21" s="2">
        <v>16</v>
      </c>
      <c r="B21" s="160" t="s">
        <v>76</v>
      </c>
      <c r="C21" s="161" t="s">
        <v>75</v>
      </c>
      <c r="D21" s="4"/>
      <c r="E21" s="136"/>
      <c r="F21" s="6">
        <v>0</v>
      </c>
    </row>
    <row r="22" spans="1:6" x14ac:dyDescent="0.25">
      <c r="A22" s="2">
        <v>17</v>
      </c>
      <c r="B22" s="162" t="s">
        <v>61</v>
      </c>
      <c r="C22" s="163" t="s">
        <v>77</v>
      </c>
      <c r="D22" s="138"/>
      <c r="E22" s="19"/>
      <c r="F22" s="18"/>
    </row>
    <row r="23" spans="1:6" x14ac:dyDescent="0.25">
      <c r="A23" s="2">
        <v>18</v>
      </c>
      <c r="B23" s="160" t="s">
        <v>79</v>
      </c>
      <c r="C23" s="161" t="s">
        <v>78</v>
      </c>
      <c r="D23" s="4"/>
      <c r="E23" s="136"/>
      <c r="F23" s="6">
        <v>0</v>
      </c>
    </row>
    <row r="24" spans="1:6" x14ac:dyDescent="0.25">
      <c r="A24" s="2">
        <v>19</v>
      </c>
      <c r="B24" s="160" t="s">
        <v>81</v>
      </c>
      <c r="C24" s="160" t="s">
        <v>80</v>
      </c>
      <c r="D24" s="4"/>
      <c r="E24" s="136"/>
      <c r="F24" s="21"/>
    </row>
    <row r="25" spans="1:6" x14ac:dyDescent="0.25">
      <c r="A25" s="2">
        <v>20</v>
      </c>
      <c r="B25" s="160" t="s">
        <v>83</v>
      </c>
      <c r="C25" s="160" t="s">
        <v>82</v>
      </c>
      <c r="D25" s="4"/>
      <c r="E25" s="136"/>
      <c r="F25" s="6">
        <v>0</v>
      </c>
    </row>
    <row r="26" spans="1:6" x14ac:dyDescent="0.25">
      <c r="A26" s="2">
        <v>21</v>
      </c>
      <c r="B26" s="126" t="s">
        <v>84</v>
      </c>
      <c r="C26" s="164" t="s">
        <v>85</v>
      </c>
      <c r="D26" s="4"/>
      <c r="E26" s="437" t="s">
        <v>317</v>
      </c>
      <c r="F26" s="143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4</vt:i4>
      </vt:variant>
    </vt:vector>
  </HeadingPairs>
  <TitlesOfParts>
    <vt:vector size="15" baseType="lpstr">
      <vt:lpstr>FORMULA 17-10-22 </vt:lpstr>
      <vt:lpstr>FORMULA 05-09-22</vt:lpstr>
      <vt:lpstr>Dosis y Calidad</vt:lpstr>
      <vt:lpstr>INVENTARIO MATERIAS PRIMAS</vt:lpstr>
      <vt:lpstr>INVENTARIO PRODUCTO TERMINADO</vt:lpstr>
      <vt:lpstr>INVENTARIO BOLSAS TERMINADA</vt:lpstr>
      <vt:lpstr> INVENTARIOOOO</vt:lpstr>
      <vt:lpstr>INVENTARIO DE ESI</vt:lpstr>
      <vt:lpstr>INVENTARIO CRUZ ROJA</vt:lpstr>
      <vt:lpstr>INVENTARIO DE H.E.P</vt:lpstr>
      <vt:lpstr>INVENTARIO H.P</vt:lpstr>
      <vt:lpstr>'Dosis y Calidad'!Área_de_impresión</vt:lpstr>
      <vt:lpstr>'FORMULA 05-09-22'!Área_de_impresión</vt:lpstr>
      <vt:lpstr>'FORMULA 17-10-22 '!Área_de_impresión</vt:lpstr>
      <vt:lpstr>'INVENTARIO DE ESI'!Área_de_impresión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thetethrg</cp:lastModifiedBy>
  <cp:lastPrinted>2022-09-08T13:55:42Z</cp:lastPrinted>
  <dcterms:created xsi:type="dcterms:W3CDTF">2018-01-04T14:49:19Z</dcterms:created>
  <dcterms:modified xsi:type="dcterms:W3CDTF">2023-01-10T14:46:49Z</dcterms:modified>
</cp:coreProperties>
</file>