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2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21.164\WEB_Backup\DS July 24 Batch Data\Yogesh Tekawade\"/>
    </mc:Choice>
  </mc:AlternateContent>
  <xr:revisionPtr revIDLastSave="0" documentId="13_ncr:1_{2F5462FC-0F6D-42A0-9992-EB6CBB4B2E5A}" xr6:coauthVersionLast="36" xr6:coauthVersionMax="36" xr10:uidLastSave="{00000000-0000-0000-0000-000000000000}"/>
  <bookViews>
    <workbookView xWindow="0" yWindow="0" windowWidth="24000" windowHeight="9525" tabRatio="804" activeTab="2" xr2:uid="{00000000-000D-0000-FFFF-FFFF00000000}"/>
  </bookViews>
  <sheets>
    <sheet name="Salary Sheet" sheetId="1" r:id="rId1"/>
    <sheet name="Product List" sheetId="2" r:id="rId2"/>
    <sheet name="Mark Sheet" sheetId="3" r:id="rId3"/>
    <sheet name="Time Sheet" sheetId="4" r:id="rId4"/>
    <sheet name="REGIONWISE ORDER" sheetId="5" r:id="rId5"/>
    <sheet name="Date &amp; Time" sheetId="6" r:id="rId6"/>
  </sheets>
  <definedNames>
    <definedName name="_xlnm._FilterDatabase" localSheetId="0" hidden="1">'Salary Sheet'!$B$3:$O$15</definedName>
    <definedName name="Z_040B4F36_7090_4437_BB1D_6D678277E015_.wvu.FilterData" localSheetId="0" hidden="1">'Salary Sheet'!$B$3:$O$15</definedName>
  </definedNames>
  <calcPr calcId="191029"/>
  <customWorkbookViews>
    <customWorkbookView name="Web - Personal View" guid="{040B4F36-7090-4437-BB1D-6D678277E015}" mergeInterval="0" personalView="1" maximized="1" xWindow="-8" yWindow="-8" windowWidth="1616" windowHeight="876" activeSheetId="3" showComments="commIndAndComment"/>
  </customWorkbookViews>
</workbook>
</file>

<file path=xl/calcChain.xml><?xml version="1.0" encoding="utf-8"?>
<calcChain xmlns="http://schemas.openxmlformats.org/spreadsheetml/2006/main">
  <c r="N4" i="1" l="1"/>
  <c r="C37" i="6"/>
  <c r="D37" i="6" s="1"/>
  <c r="C29" i="6"/>
  <c r="B19" i="6"/>
  <c r="D34" i="6" l="1"/>
  <c r="D35" i="6"/>
  <c r="D36" i="6"/>
  <c r="D33" i="6"/>
  <c r="D31" i="6"/>
  <c r="C109" i="6"/>
  <c r="D102" i="6"/>
  <c r="D103" i="6"/>
  <c r="D104" i="6"/>
  <c r="D105" i="6"/>
  <c r="D101" i="6"/>
  <c r="D71" i="6"/>
  <c r="D70" i="6"/>
  <c r="D69" i="6"/>
  <c r="D68" i="6"/>
  <c r="D67" i="6"/>
  <c r="D64" i="6"/>
  <c r="D63" i="6"/>
  <c r="D62" i="6"/>
  <c r="D61" i="6"/>
  <c r="D60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74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76" i="6"/>
  <c r="G75" i="6"/>
  <c r="G74" i="6"/>
  <c r="J79" i="6" l="1"/>
  <c r="J80" i="6"/>
  <c r="J81" i="6"/>
  <c r="J82" i="6"/>
  <c r="J83" i="6"/>
  <c r="J84" i="6"/>
  <c r="J85" i="6"/>
  <c r="J86" i="6"/>
  <c r="J87" i="6"/>
  <c r="J88" i="6"/>
  <c r="J89" i="6"/>
  <c r="J90" i="6"/>
  <c r="J91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H79" i="6"/>
  <c r="K79" i="6" s="1"/>
  <c r="H80" i="6"/>
  <c r="H81" i="6"/>
  <c r="H82" i="6"/>
  <c r="H83" i="6"/>
  <c r="K83" i="6" s="1"/>
  <c r="H84" i="6"/>
  <c r="H85" i="6"/>
  <c r="H86" i="6"/>
  <c r="H87" i="6"/>
  <c r="K87" i="6" s="1"/>
  <c r="H88" i="6"/>
  <c r="H89" i="6"/>
  <c r="H90" i="6"/>
  <c r="H91" i="6"/>
  <c r="K91" i="6" s="1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D81" i="6"/>
  <c r="D82" i="6"/>
  <c r="D83" i="6"/>
  <c r="D84" i="6"/>
  <c r="D85" i="6"/>
  <c r="D86" i="6"/>
  <c r="D87" i="6"/>
  <c r="D88" i="6"/>
  <c r="D89" i="6"/>
  <c r="D90" i="6"/>
  <c r="D91" i="6"/>
  <c r="D80" i="6"/>
  <c r="D79" i="6"/>
  <c r="J78" i="6"/>
  <c r="I78" i="6"/>
  <c r="H78" i="6"/>
  <c r="C82" i="6"/>
  <c r="D78" i="6"/>
  <c r="E78" i="6"/>
  <c r="J77" i="6"/>
  <c r="O4" i="3"/>
  <c r="E74" i="6"/>
  <c r="H74" i="6"/>
  <c r="I74" i="6"/>
  <c r="J74" i="6"/>
  <c r="K90" i="6" l="1"/>
  <c r="K86" i="6"/>
  <c r="K82" i="6"/>
  <c r="K89" i="6"/>
  <c r="K85" i="6"/>
  <c r="K81" i="6"/>
  <c r="K88" i="6"/>
  <c r="K84" i="6"/>
  <c r="K80" i="6"/>
  <c r="F82" i="6"/>
  <c r="K74" i="6"/>
  <c r="K78" i="6"/>
  <c r="C78" i="6"/>
  <c r="F78" i="6" s="1"/>
  <c r="C79" i="6"/>
  <c r="F79" i="6" s="1"/>
  <c r="C80" i="6"/>
  <c r="F80" i="6" s="1"/>
  <c r="C81" i="6"/>
  <c r="F81" i="6" s="1"/>
  <c r="C83" i="6"/>
  <c r="F83" i="6" s="1"/>
  <c r="C84" i="6"/>
  <c r="F84" i="6" s="1"/>
  <c r="C85" i="6"/>
  <c r="F85" i="6" s="1"/>
  <c r="C86" i="6"/>
  <c r="F86" i="6" s="1"/>
  <c r="C87" i="6"/>
  <c r="F87" i="6" s="1"/>
  <c r="C88" i="6"/>
  <c r="F88" i="6" s="1"/>
  <c r="C89" i="6"/>
  <c r="F89" i="6" s="1"/>
  <c r="C90" i="6"/>
  <c r="F90" i="6" s="1"/>
  <c r="C91" i="6"/>
  <c r="F91" i="6" s="1"/>
  <c r="C74" i="6"/>
  <c r="C76" i="6"/>
  <c r="J76" i="6"/>
  <c r="I77" i="6"/>
  <c r="I76" i="6"/>
  <c r="H77" i="6"/>
  <c r="H76" i="6"/>
  <c r="E77" i="6"/>
  <c r="E76" i="6"/>
  <c r="D77" i="6"/>
  <c r="D76" i="6"/>
  <c r="C77" i="6"/>
  <c r="J75" i="6"/>
  <c r="I75" i="6"/>
  <c r="H75" i="6"/>
  <c r="E75" i="6"/>
  <c r="D75" i="6"/>
  <c r="C75" i="6"/>
  <c r="D74" i="6"/>
  <c r="F74" i="6" s="1"/>
  <c r="F22" i="6"/>
  <c r="I6" i="5"/>
  <c r="J6" i="5"/>
  <c r="K6" i="5"/>
  <c r="G7" i="5"/>
  <c r="H7" i="5"/>
  <c r="I7" i="5"/>
  <c r="J7" i="5"/>
  <c r="K7" i="5"/>
  <c r="G8" i="5"/>
  <c r="H8" i="5"/>
  <c r="I8" i="5"/>
  <c r="J8" i="5"/>
  <c r="K8" i="5"/>
  <c r="G9" i="5"/>
  <c r="H9" i="5"/>
  <c r="I9" i="5"/>
  <c r="J9" i="5"/>
  <c r="K9" i="5"/>
  <c r="F7" i="5"/>
  <c r="F8" i="5"/>
  <c r="F9" i="5"/>
  <c r="H6" i="5"/>
  <c r="G6" i="5"/>
  <c r="F6" i="5"/>
  <c r="H7" i="4"/>
  <c r="H12" i="4"/>
  <c r="H9" i="4"/>
  <c r="H10" i="4"/>
  <c r="H11" i="4"/>
  <c r="H8" i="4"/>
  <c r="G12" i="4"/>
  <c r="G8" i="4"/>
  <c r="G9" i="4"/>
  <c r="G10" i="4"/>
  <c r="G11" i="4"/>
  <c r="G7" i="4"/>
  <c r="O5" i="3"/>
  <c r="O6" i="3"/>
  <c r="O7" i="3"/>
  <c r="O8" i="3"/>
  <c r="O9" i="3"/>
  <c r="O10" i="3"/>
  <c r="O11" i="3"/>
  <c r="O12" i="3"/>
  <c r="O13" i="3"/>
  <c r="K76" i="6" l="1"/>
  <c r="F77" i="6"/>
  <c r="F75" i="6"/>
  <c r="F76" i="6"/>
  <c r="K77" i="6"/>
  <c r="K75" i="6"/>
  <c r="M5" i="3"/>
  <c r="M6" i="3"/>
  <c r="M7" i="3"/>
  <c r="M8" i="3"/>
  <c r="M9" i="3"/>
  <c r="M10" i="3"/>
  <c r="M11" i="3"/>
  <c r="M12" i="3"/>
  <c r="M13" i="3"/>
  <c r="M4" i="3"/>
  <c r="L5" i="3"/>
  <c r="L6" i="3"/>
  <c r="L7" i="3"/>
  <c r="L8" i="3"/>
  <c r="L9" i="3"/>
  <c r="L10" i="3"/>
  <c r="L11" i="3"/>
  <c r="L12" i="3"/>
  <c r="L13" i="3"/>
  <c r="L4" i="3"/>
  <c r="K10" i="3"/>
  <c r="K11" i="3"/>
  <c r="K12" i="3"/>
  <c r="K13" i="3"/>
  <c r="K9" i="3"/>
  <c r="K8" i="3"/>
  <c r="K7" i="3"/>
  <c r="K6" i="3"/>
  <c r="K5" i="3"/>
  <c r="K4" i="3"/>
  <c r="H15" i="1" l="1"/>
  <c r="J3" i="2"/>
  <c r="J6" i="2"/>
  <c r="J7" i="2"/>
  <c r="J8" i="2"/>
  <c r="J9" i="2"/>
  <c r="J10" i="2"/>
  <c r="I8" i="2"/>
  <c r="I9" i="2"/>
  <c r="I10" i="2"/>
  <c r="I7" i="2"/>
  <c r="J5" i="2"/>
  <c r="I6" i="2"/>
  <c r="I5" i="2"/>
  <c r="I4" i="2"/>
  <c r="J4" i="2"/>
  <c r="H4" i="2"/>
  <c r="H5" i="2"/>
  <c r="H6" i="2"/>
  <c r="H7" i="2"/>
  <c r="H8" i="2"/>
  <c r="H9" i="2"/>
  <c r="H10" i="2"/>
  <c r="I3" i="2"/>
  <c r="H3" i="2"/>
  <c r="G10" i="2"/>
  <c r="G9" i="2"/>
  <c r="G8" i="2"/>
  <c r="G7" i="2"/>
  <c r="G6" i="2"/>
  <c r="G5" i="2"/>
  <c r="G4" i="2"/>
  <c r="G3" i="2"/>
  <c r="O7" i="1" l="1"/>
  <c r="O8" i="1"/>
  <c r="O9" i="1"/>
  <c r="O10" i="1"/>
  <c r="O11" i="1"/>
  <c r="O12" i="1"/>
  <c r="O13" i="1"/>
  <c r="O14" i="1"/>
  <c r="O15" i="1"/>
  <c r="N7" i="1"/>
  <c r="N8" i="1"/>
  <c r="N9" i="1"/>
  <c r="N10" i="1"/>
  <c r="N11" i="1"/>
  <c r="N12" i="1"/>
  <c r="N13" i="1"/>
  <c r="N14" i="1"/>
  <c r="N15" i="1"/>
  <c r="M7" i="1"/>
  <c r="M8" i="1"/>
  <c r="M9" i="1"/>
  <c r="M10" i="1"/>
  <c r="M11" i="1"/>
  <c r="M12" i="1"/>
  <c r="M13" i="1"/>
  <c r="M14" i="1"/>
  <c r="M15" i="1"/>
  <c r="M6" i="1"/>
  <c r="K7" i="1"/>
  <c r="K8" i="1"/>
  <c r="K9" i="1"/>
  <c r="K10" i="1"/>
  <c r="K11" i="1"/>
  <c r="K12" i="1"/>
  <c r="K13" i="1"/>
  <c r="K14" i="1"/>
  <c r="K15" i="1"/>
  <c r="J7" i="1"/>
  <c r="J8" i="1"/>
  <c r="J9" i="1"/>
  <c r="J10" i="1"/>
  <c r="J11" i="1"/>
  <c r="J12" i="1"/>
  <c r="J13" i="1"/>
  <c r="J14" i="1"/>
  <c r="J15" i="1"/>
  <c r="O6" i="1"/>
  <c r="I7" i="1"/>
  <c r="I8" i="1"/>
  <c r="I9" i="1"/>
  <c r="I10" i="1"/>
  <c r="I11" i="1"/>
  <c r="I12" i="1"/>
  <c r="I13" i="1"/>
  <c r="I14" i="1"/>
  <c r="I15" i="1"/>
  <c r="H7" i="1"/>
  <c r="H8" i="1"/>
  <c r="H9" i="1"/>
  <c r="H10" i="1"/>
  <c r="H11" i="1"/>
  <c r="H12" i="1"/>
  <c r="H13" i="1"/>
  <c r="H14" i="1"/>
  <c r="H6" i="1"/>
  <c r="G7" i="1"/>
  <c r="G8" i="1"/>
  <c r="G9" i="1"/>
  <c r="G10" i="1"/>
  <c r="G11" i="1"/>
  <c r="G12" i="1"/>
  <c r="G13" i="1"/>
  <c r="G14" i="1"/>
  <c r="G15" i="1"/>
  <c r="N6" i="1"/>
  <c r="O4" i="1"/>
  <c r="O5" i="1"/>
  <c r="N5" i="1"/>
  <c r="K6" i="1"/>
  <c r="K5" i="1"/>
  <c r="J6" i="1"/>
  <c r="I6" i="1"/>
  <c r="G6" i="1"/>
  <c r="H5" i="1"/>
  <c r="J5" i="1" s="1"/>
  <c r="M5" i="1" s="1"/>
  <c r="I5" i="1"/>
  <c r="G5" i="1"/>
  <c r="M4" i="1"/>
  <c r="K4" i="1"/>
  <c r="J4" i="1"/>
  <c r="I4" i="1"/>
  <c r="H4" i="1"/>
  <c r="G4" i="1"/>
  <c r="C55" i="6" l="1"/>
  <c r="C46" i="6"/>
  <c r="C97" i="6" l="1"/>
  <c r="F97" i="6" s="1"/>
  <c r="C98" i="6"/>
  <c r="F98" i="6" s="1"/>
  <c r="C96" i="6"/>
  <c r="F96" i="6" s="1"/>
  <c r="D98" i="6" l="1"/>
  <c r="E98" i="6"/>
  <c r="D97" i="6"/>
  <c r="E97" i="6"/>
  <c r="E96" i="6"/>
  <c r="D96" i="6"/>
  <c r="C10" i="6"/>
  <c r="J10" i="6" s="1"/>
  <c r="G10" i="6" l="1"/>
  <c r="I10" i="6"/>
  <c r="H10" i="6"/>
  <c r="E10" i="6"/>
  <c r="F10" i="6"/>
  <c r="D10" i="6"/>
  <c r="C17" i="6"/>
  <c r="C16" i="6"/>
  <c r="C15" i="6"/>
  <c r="C14" i="6"/>
  <c r="C13" i="6"/>
  <c r="E13" i="6" s="1"/>
  <c r="C12" i="6"/>
  <c r="C11" i="6"/>
  <c r="J11" i="6" s="1"/>
  <c r="B21" i="6"/>
  <c r="C4" i="6"/>
  <c r="F11" i="6" l="1"/>
  <c r="I11" i="6"/>
  <c r="D13" i="6"/>
  <c r="H13" i="6"/>
  <c r="I13" i="6"/>
  <c r="F13" i="6"/>
  <c r="G13" i="6"/>
  <c r="D17" i="6"/>
  <c r="H17" i="6"/>
  <c r="E17" i="6"/>
  <c r="I17" i="6"/>
  <c r="G17" i="6"/>
  <c r="F17" i="6"/>
  <c r="F14" i="6"/>
  <c r="I14" i="6"/>
  <c r="G14" i="6"/>
  <c r="E14" i="6"/>
  <c r="D14" i="6"/>
  <c r="H14" i="6"/>
  <c r="D15" i="6"/>
  <c r="H15" i="6"/>
  <c r="E15" i="6"/>
  <c r="I15" i="6"/>
  <c r="G15" i="6"/>
  <c r="F15" i="6"/>
  <c r="F16" i="6"/>
  <c r="E16" i="6"/>
  <c r="G16" i="6"/>
  <c r="D16" i="6"/>
  <c r="H16" i="6"/>
  <c r="I16" i="6"/>
  <c r="D12" i="6"/>
  <c r="I12" i="6"/>
  <c r="F12" i="6"/>
  <c r="G12" i="6"/>
  <c r="H12" i="6"/>
  <c r="G11" i="6"/>
  <c r="H11" i="6"/>
  <c r="E12" i="6"/>
  <c r="E11" i="6"/>
  <c r="D11" i="6"/>
  <c r="B7" i="4"/>
  <c r="B8" i="4" s="1"/>
  <c r="B9" i="4" s="1"/>
  <c r="B10" i="4" s="1"/>
  <c r="B11" i="4" s="1"/>
</calcChain>
</file>

<file path=xl/sharedStrings.xml><?xml version="1.0" encoding="utf-8"?>
<sst xmlns="http://schemas.openxmlformats.org/spreadsheetml/2006/main" count="225" uniqueCount="159">
  <si>
    <t xml:space="preserve">Sr No </t>
  </si>
  <si>
    <t>Name Of Employee</t>
  </si>
  <si>
    <t>Gender</t>
  </si>
  <si>
    <t>Dept</t>
  </si>
  <si>
    <t>Basic</t>
  </si>
  <si>
    <t>Total</t>
  </si>
  <si>
    <t>PT DED</t>
  </si>
  <si>
    <t>IT DED</t>
  </si>
  <si>
    <t>Total DED</t>
  </si>
  <si>
    <t>Net Salary</t>
  </si>
  <si>
    <t>Akshay Kawedia</t>
  </si>
  <si>
    <t xml:space="preserve">Abhay Kawedia </t>
  </si>
  <si>
    <t xml:space="preserve">Mayur Palresha </t>
  </si>
  <si>
    <t xml:space="preserve">Farheen Shaikh </t>
  </si>
  <si>
    <t xml:space="preserve">Snehal Rede </t>
  </si>
  <si>
    <t xml:space="preserve">Vishal Sangle </t>
  </si>
  <si>
    <t>Vinit Shingavi</t>
  </si>
  <si>
    <t xml:space="preserve">Priyanka Kawedia </t>
  </si>
  <si>
    <t xml:space="preserve">Nikita Rajavat </t>
  </si>
  <si>
    <t xml:space="preserve">Ankit Chavan </t>
  </si>
  <si>
    <t xml:space="preserve">Tanvi Joshi </t>
  </si>
  <si>
    <t xml:space="preserve">Akshay Oswal </t>
  </si>
  <si>
    <t>M</t>
  </si>
  <si>
    <t>QC</t>
  </si>
  <si>
    <t>OP</t>
  </si>
  <si>
    <t>DOC</t>
  </si>
  <si>
    <t>HR</t>
  </si>
  <si>
    <t>AC</t>
  </si>
  <si>
    <t>Product No</t>
  </si>
  <si>
    <t>Product Name</t>
  </si>
  <si>
    <t>Price (Rs)</t>
  </si>
  <si>
    <t>Qty in stock</t>
  </si>
  <si>
    <t xml:space="preserve">Order qty ( Sale ) </t>
  </si>
  <si>
    <t>Qty Available</t>
  </si>
  <si>
    <t>Sdex</t>
  </si>
  <si>
    <t>Lenalid</t>
  </si>
  <si>
    <t xml:space="preserve">Megalis </t>
  </si>
  <si>
    <t>Benoquin</t>
  </si>
  <si>
    <t>Azee</t>
  </si>
  <si>
    <t>Palbace</t>
  </si>
  <si>
    <t>Hyalgan</t>
  </si>
  <si>
    <t>Roll No</t>
  </si>
  <si>
    <t>Student name</t>
  </si>
  <si>
    <t>Class</t>
  </si>
  <si>
    <t>Marathi</t>
  </si>
  <si>
    <t>Hindi</t>
  </si>
  <si>
    <t>English</t>
  </si>
  <si>
    <t>History</t>
  </si>
  <si>
    <t>Maths</t>
  </si>
  <si>
    <t>Geography</t>
  </si>
  <si>
    <t>Science</t>
  </si>
  <si>
    <t>Avg</t>
  </si>
  <si>
    <t>Result</t>
  </si>
  <si>
    <t>Grade</t>
  </si>
  <si>
    <t>VIII</t>
  </si>
  <si>
    <t>X</t>
  </si>
  <si>
    <t>IX</t>
  </si>
  <si>
    <t>Region</t>
  </si>
  <si>
    <t>Pass %</t>
  </si>
  <si>
    <t>Pune</t>
  </si>
  <si>
    <t>Mumbai</t>
  </si>
  <si>
    <t>Nagpur</t>
  </si>
  <si>
    <t>Nashik</t>
  </si>
  <si>
    <t>Day</t>
  </si>
  <si>
    <t>Arrive</t>
  </si>
  <si>
    <t>Lunch In</t>
  </si>
  <si>
    <t xml:space="preserve">Depart </t>
  </si>
  <si>
    <t>DA</t>
  </si>
  <si>
    <t>HRA</t>
  </si>
  <si>
    <t>TA</t>
  </si>
  <si>
    <t>PF DED</t>
  </si>
  <si>
    <t>Present</t>
  </si>
  <si>
    <t>Pass</t>
  </si>
  <si>
    <t>Reject</t>
  </si>
  <si>
    <t>Absent</t>
  </si>
  <si>
    <t>Reject %</t>
  </si>
  <si>
    <t>Absent %</t>
  </si>
  <si>
    <t>Present %</t>
  </si>
  <si>
    <t>Amt with discount</t>
  </si>
  <si>
    <t>Time Sheet for Flexi</t>
  </si>
  <si>
    <t>Week beginning</t>
  </si>
  <si>
    <t>Normal Hours</t>
  </si>
  <si>
    <t>Total Hours</t>
  </si>
  <si>
    <t>Start Date</t>
  </si>
  <si>
    <t>End Date</t>
  </si>
  <si>
    <t>Difference (Day)</t>
  </si>
  <si>
    <t>Difference (Month)</t>
  </si>
  <si>
    <t>"M"</t>
  </si>
  <si>
    <t>Difference (Year)</t>
  </si>
  <si>
    <t>"Y"</t>
  </si>
  <si>
    <t>Now</t>
  </si>
  <si>
    <t>Today</t>
  </si>
  <si>
    <t>"d"</t>
  </si>
  <si>
    <t>Days between the two dates.</t>
  </si>
  <si>
    <t>"m"</t>
  </si>
  <si>
    <t>Months between the two dates.</t>
  </si>
  <si>
    <t>"y"</t>
  </si>
  <si>
    <t>Years between the two dates.</t>
  </si>
  <si>
    <t>"yd"</t>
  </si>
  <si>
    <t>Days between the dates, as if the dates were in the same year.</t>
  </si>
  <si>
    <t>"ym"</t>
  </si>
  <si>
    <t>Months between the dates, as if the dates were in the same year.</t>
  </si>
  <si>
    <t>"md"</t>
  </si>
  <si>
    <t>Days between the two dates, as if the dates were in the same month and year.</t>
  </si>
  <si>
    <t>Workday</t>
  </si>
  <si>
    <t>Number of Days</t>
  </si>
  <si>
    <t>Holiday 1</t>
  </si>
  <si>
    <t>Holiday 2</t>
  </si>
  <si>
    <t>Workday.INTL</t>
  </si>
  <si>
    <t>NETWORKDAYS</t>
  </si>
  <si>
    <t>Strart</t>
  </si>
  <si>
    <t>Finish</t>
  </si>
  <si>
    <t>NETWORKDAYS.INTL</t>
  </si>
  <si>
    <t>EOMONTH</t>
  </si>
  <si>
    <t>Month</t>
  </si>
  <si>
    <t>DAY</t>
  </si>
  <si>
    <t>Full Date</t>
  </si>
  <si>
    <t>EDATE</t>
  </si>
  <si>
    <t>YEAR</t>
  </si>
  <si>
    <t>Date</t>
  </si>
  <si>
    <t>YEARFRAC</t>
  </si>
  <si>
    <t xml:space="preserve">              2 : 29 or 30 or 31 days per month divided by 360.</t>
  </si>
  <si>
    <t xml:space="preserve">              3 : 29 or 30 0r 31 days per month divided by 365.</t>
  </si>
  <si>
    <t xml:space="preserve">              4 : European 29 or 30 or 31 days divided by 360.</t>
  </si>
  <si>
    <t>Days360</t>
  </si>
  <si>
    <t>StartDate</t>
  </si>
  <si>
    <t>Days Between</t>
  </si>
  <si>
    <t>HOUR</t>
  </si>
  <si>
    <t>MINUTE</t>
  </si>
  <si>
    <t>SECOND</t>
  </si>
  <si>
    <t>D</t>
  </si>
  <si>
    <t>Y</t>
  </si>
  <si>
    <t>YD</t>
  </si>
  <si>
    <t>YM</t>
  </si>
  <si>
    <t>MD</t>
  </si>
  <si>
    <t>Months</t>
  </si>
  <si>
    <t>MONTH</t>
  </si>
  <si>
    <t>DATE</t>
  </si>
  <si>
    <t>TIME</t>
  </si>
  <si>
    <t>Mix</t>
  </si>
  <si>
    <t>WEEKNUM</t>
  </si>
  <si>
    <t>Weeknumber</t>
  </si>
  <si>
    <t>Male</t>
  </si>
  <si>
    <t>Female</t>
  </si>
  <si>
    <t>MIX</t>
  </si>
  <si>
    <t>Lunch out</t>
  </si>
  <si>
    <t>actual</t>
  </si>
  <si>
    <t>datedif</t>
  </si>
  <si>
    <t>Days</t>
  </si>
  <si>
    <t>Pen</t>
  </si>
  <si>
    <t>Abhay Kawedia</t>
  </si>
  <si>
    <t>Snehal Rede</t>
  </si>
  <si>
    <t>Ankit Chavan</t>
  </si>
  <si>
    <t>Holiday 3</t>
  </si>
  <si>
    <t>Holiday 4</t>
  </si>
  <si>
    <t xml:space="preserve">Percentage </t>
  </si>
  <si>
    <t>Discount = 12%</t>
  </si>
  <si>
    <t>Formula=(Price*Sale)*88%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</si>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</sst>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[$-409]d/mmm/yy;@"/>
    <numFmt numFmtId="165" formatCode="[$-409]d/mmm/yyyy;@"/>
    <numFmt numFmtId="166" formatCode="yyyy/mm/dd\ hh:mm:ss"/>
    <numFmt numFmtId="167" formatCode="[$-409]h:mm\ AM/PM;@"/>
    <numFmt numFmtId="168" formatCode="0.0%"/>
    <numFmt numFmtId="169" formatCode="0.000"/>
    <numFmt numFmtId="170" formatCode="[hh]:mm"/>
    <numFmt numFmtId="171" formatCode="[$-F800]dddd\,\ mmmm\ dd\,\ yyyy"/>
    <numFmt numFmtId="172" formatCode="[$-F400]h:mm:ss\ AM/PM"/>
    <numFmt numFmtId="173" formatCode="0.0E+00"/>
    <numFmt numFmtId="174" formatCode="&quot;₹&quot;\ #,##0.00"/>
    <numFmt numFmtId="175" formatCode="ddmmmyy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CC99"/>
      </patternFill>
    </fill>
    <fill>
      <patternFill patternType="solid">
        <fgColor rgb="FFA5A5A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6" fillId="4" borderId="0" applyNumberFormat="0" applyFont="0" applyBorder="0" applyAlignment="0" applyProtection="0"/>
    <xf numFmtId="0" fontId="6" fillId="5" borderId="0" applyNumberFormat="0" applyFont="0" applyBorder="0" applyAlignment="0" applyProtection="0"/>
    <xf numFmtId="0" fontId="1" fillId="7" borderId="0" applyNumberFormat="0" applyBorder="0" applyAlignment="0" applyProtection="0"/>
    <xf numFmtId="0" fontId="10" fillId="8" borderId="11" applyNumberFormat="0" applyAlignment="0" applyProtection="0"/>
    <xf numFmtId="0" fontId="11" fillId="9" borderId="12" applyNumberFormat="0" applyAlignment="0" applyProtection="0"/>
  </cellStyleXfs>
  <cellXfs count="113">
    <xf numFmtId="0" fontId="0" fillId="0" borderId="0" xfId="0"/>
    <xf numFmtId="0" fontId="0" fillId="0" borderId="1" xfId="0" applyBorder="1"/>
    <xf numFmtId="1" fontId="0" fillId="0" borderId="0" xfId="0" applyNumberFormat="1"/>
    <xf numFmtId="2" fontId="0" fillId="0" borderId="0" xfId="0" applyNumberFormat="1"/>
    <xf numFmtId="14" fontId="0" fillId="0" borderId="0" xfId="0" applyNumberFormat="1"/>
    <xf numFmtId="2" fontId="0" fillId="0" borderId="1" xfId="0" applyNumberFormat="1" applyBorder="1"/>
    <xf numFmtId="0" fontId="4" fillId="2" borderId="1" xfId="0" applyFont="1" applyFill="1" applyBorder="1" applyAlignment="1">
      <alignment horizontal="center" vertical="center"/>
    </xf>
    <xf numFmtId="15" fontId="4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46" fontId="4" fillId="2" borderId="1" xfId="0" applyNumberFormat="1" applyFont="1" applyFill="1" applyBorder="1" applyAlignment="1">
      <alignment horizontal="center" vertical="center"/>
    </xf>
    <xf numFmtId="46" fontId="2" fillId="0" borderId="0" xfId="0" applyNumberFormat="1" applyFont="1" applyFill="1" applyBorder="1" applyAlignment="1">
      <alignment horizontal="center" vertical="center"/>
    </xf>
    <xf numFmtId="15" fontId="0" fillId="3" borderId="1" xfId="0" applyNumberFormat="1" applyFill="1" applyBorder="1" applyAlignment="1">
      <alignment horizontal="center" vertical="center"/>
    </xf>
    <xf numFmtId="20" fontId="0" fillId="3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5" fillId="0" borderId="0" xfId="0" applyFont="1" applyFill="1"/>
    <xf numFmtId="0" fontId="5" fillId="0" borderId="1" xfId="0" applyFont="1" applyFill="1" applyBorder="1"/>
    <xf numFmtId="0" fontId="5" fillId="0" borderId="5" xfId="0" applyFont="1" applyFill="1" applyBorder="1"/>
    <xf numFmtId="0" fontId="5" fillId="0" borderId="7" xfId="0" applyFont="1" applyFill="1" applyBorder="1"/>
    <xf numFmtId="0" fontId="5" fillId="0" borderId="8" xfId="0" applyFont="1" applyFill="1" applyBorder="1"/>
    <xf numFmtId="0" fontId="5" fillId="0" borderId="1" xfId="2" applyFont="1" applyFill="1" applyBorder="1" applyAlignment="1">
      <alignment horizontal="center"/>
    </xf>
    <xf numFmtId="0" fontId="5" fillId="0" borderId="1" xfId="2" applyFont="1" applyFill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5" fillId="0" borderId="0" xfId="0" applyFont="1" applyFill="1" applyBorder="1"/>
    <xf numFmtId="15" fontId="6" fillId="0" borderId="1" xfId="3" applyNumberFormat="1" applyFont="1" applyFill="1" applyBorder="1" applyAlignment="1">
      <alignment horizontal="right"/>
    </xf>
    <xf numFmtId="1" fontId="6" fillId="0" borderId="1" xfId="3" applyNumberFormat="1" applyFont="1" applyFill="1" applyBorder="1" applyAlignment="1">
      <alignment horizontal="right"/>
    </xf>
    <xf numFmtId="14" fontId="5" fillId="0" borderId="1" xfId="0" applyNumberFormat="1" applyFont="1" applyFill="1" applyBorder="1"/>
    <xf numFmtId="0" fontId="8" fillId="0" borderId="1" xfId="2" applyFont="1" applyFill="1" applyBorder="1" applyAlignment="1">
      <alignment horizontal="center"/>
    </xf>
    <xf numFmtId="0" fontId="8" fillId="0" borderId="0" xfId="2" applyFont="1" applyFill="1" applyBorder="1" applyAlignment="1">
      <alignment horizontal="center"/>
    </xf>
    <xf numFmtId="15" fontId="6" fillId="0" borderId="1" xfId="3" applyNumberFormat="1" applyFont="1" applyFill="1" applyBorder="1" applyAlignment="1">
      <alignment horizontal="left"/>
    </xf>
    <xf numFmtId="15" fontId="6" fillId="0" borderId="0" xfId="3" applyNumberFormat="1" applyFont="1" applyFill="1" applyBorder="1" applyAlignment="1">
      <alignment horizontal="right"/>
    </xf>
    <xf numFmtId="0" fontId="7" fillId="0" borderId="1" xfId="2" applyFont="1" applyFill="1" applyBorder="1" applyAlignment="1">
      <alignment horizontal="center"/>
    </xf>
    <xf numFmtId="15" fontId="6" fillId="0" borderId="1" xfId="3" applyNumberFormat="1" applyFont="1" applyFill="1" applyBorder="1" applyAlignment="1"/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7" fillId="0" borderId="0" xfId="0" applyFont="1" applyFill="1"/>
    <xf numFmtId="0" fontId="5" fillId="0" borderId="2" xfId="0" applyFont="1" applyFill="1" applyBorder="1"/>
    <xf numFmtId="0" fontId="5" fillId="0" borderId="3" xfId="0" applyFont="1" applyFill="1" applyBorder="1"/>
    <xf numFmtId="14" fontId="5" fillId="0" borderId="0" xfId="0" applyNumberFormat="1" applyFont="1" applyFill="1"/>
    <xf numFmtId="22" fontId="5" fillId="0" borderId="1" xfId="0" applyNumberFormat="1" applyFont="1" applyFill="1" applyBorder="1"/>
    <xf numFmtId="22" fontId="5" fillId="0" borderId="0" xfId="0" applyNumberFormat="1" applyFont="1" applyFill="1" applyBorder="1"/>
    <xf numFmtId="14" fontId="5" fillId="0" borderId="0" xfId="0" applyNumberFormat="1" applyFont="1" applyFill="1" applyBorder="1"/>
    <xf numFmtId="164" fontId="5" fillId="0" borderId="0" xfId="0" applyNumberFormat="1" applyFont="1" applyFill="1" applyBorder="1"/>
    <xf numFmtId="0" fontId="5" fillId="0" borderId="9" xfId="0" applyFont="1" applyFill="1" applyBorder="1"/>
    <xf numFmtId="164" fontId="5" fillId="0" borderId="0" xfId="0" applyNumberFormat="1" applyFont="1" applyFill="1"/>
    <xf numFmtId="0" fontId="5" fillId="0" borderId="0" xfId="0" applyFont="1" applyFill="1" applyAlignment="1">
      <alignment vertical="center"/>
    </xf>
    <xf numFmtId="0" fontId="7" fillId="0" borderId="1" xfId="0" applyFont="1" applyFill="1" applyBorder="1"/>
    <xf numFmtId="1" fontId="5" fillId="0" borderId="1" xfId="0" applyNumberFormat="1" applyFont="1" applyFill="1" applyBorder="1" applyAlignment="1">
      <alignment horizontal="right"/>
    </xf>
    <xf numFmtId="165" fontId="5" fillId="0" borderId="0" xfId="0" applyNumberFormat="1" applyFont="1" applyFill="1" applyBorder="1"/>
    <xf numFmtId="164" fontId="5" fillId="0" borderId="0" xfId="0" applyNumberFormat="1" applyFont="1" applyFill="1" applyBorder="1" applyAlignment="1">
      <alignment horizontal="right"/>
    </xf>
    <xf numFmtId="166" fontId="5" fillId="0" borderId="1" xfId="0" applyNumberFormat="1" applyFont="1" applyFill="1" applyBorder="1" applyAlignment="1">
      <alignment vertical="top"/>
    </xf>
    <xf numFmtId="0" fontId="5" fillId="0" borderId="0" xfId="0" applyFont="1" applyFill="1" applyAlignment="1"/>
    <xf numFmtId="0" fontId="5" fillId="0" borderId="6" xfId="0" applyFont="1" applyFill="1" applyBorder="1"/>
    <xf numFmtId="2" fontId="5" fillId="0" borderId="1" xfId="0" applyNumberFormat="1" applyFont="1" applyFill="1" applyBorder="1"/>
    <xf numFmtId="0" fontId="5" fillId="0" borderId="4" xfId="0" applyFont="1" applyFill="1" applyBorder="1"/>
    <xf numFmtId="0" fontId="5" fillId="0" borderId="10" xfId="0" applyFont="1" applyFill="1" applyBorder="1"/>
    <xf numFmtId="0" fontId="6" fillId="0" borderId="1" xfId="3" applyFont="1" applyFill="1" applyBorder="1" applyAlignment="1">
      <alignment horizontal="left"/>
    </xf>
    <xf numFmtId="15" fontId="5" fillId="0" borderId="1" xfId="0" applyNumberFormat="1" applyFont="1" applyFill="1" applyBorder="1" applyAlignment="1">
      <alignment horizontal="right"/>
    </xf>
    <xf numFmtId="9" fontId="0" fillId="0" borderId="0" xfId="0" applyNumberFormat="1"/>
    <xf numFmtId="20" fontId="5" fillId="0" borderId="0" xfId="0" applyNumberFormat="1" applyFont="1" applyFill="1"/>
    <xf numFmtId="0" fontId="5" fillId="0" borderId="0" xfId="0" applyNumberFormat="1" applyFont="1" applyFill="1"/>
    <xf numFmtId="0" fontId="5" fillId="0" borderId="0" xfId="0" applyNumberFormat="1" applyFont="1" applyFill="1" applyAlignment="1">
      <alignment horizontal="center"/>
    </xf>
    <xf numFmtId="0" fontId="0" fillId="0" borderId="1" xfId="0" applyFill="1" applyBorder="1"/>
    <xf numFmtId="0" fontId="9" fillId="6" borderId="1" xfId="0" applyFont="1" applyFill="1" applyBorder="1"/>
    <xf numFmtId="168" fontId="0" fillId="0" borderId="0" xfId="1" applyNumberFormat="1" applyFont="1"/>
    <xf numFmtId="0" fontId="7" fillId="0" borderId="1" xfId="0" applyFont="1" applyFill="1" applyBorder="1" applyAlignment="1">
      <alignment horizontal="center" vertical="center"/>
    </xf>
    <xf numFmtId="0" fontId="5" fillId="0" borderId="0" xfId="2" applyNumberFormat="1" applyFont="1" applyFill="1" applyBorder="1" applyAlignment="1">
      <alignment horizontal="left"/>
    </xf>
    <xf numFmtId="15" fontId="5" fillId="0" borderId="1" xfId="0" applyNumberFormat="1" applyFont="1" applyFill="1" applyBorder="1"/>
    <xf numFmtId="0" fontId="0" fillId="0" borderId="0" xfId="0" applyNumberFormat="1"/>
    <xf numFmtId="0" fontId="0" fillId="0" borderId="0" xfId="0" applyNumberFormat="1" applyFill="1"/>
    <xf numFmtId="18" fontId="5" fillId="0" borderId="1" xfId="0" applyNumberFormat="1" applyFont="1" applyFill="1" applyBorder="1"/>
    <xf numFmtId="167" fontId="5" fillId="0" borderId="1" xfId="0" applyNumberFormat="1" applyFont="1" applyFill="1" applyBorder="1"/>
    <xf numFmtId="0" fontId="7" fillId="0" borderId="1" xfId="0" applyFont="1" applyFill="1" applyBorder="1" applyAlignment="1">
      <alignment horizontal="center"/>
    </xf>
    <xf numFmtId="0" fontId="5" fillId="0" borderId="0" xfId="0" applyFont="1"/>
    <xf numFmtId="169" fontId="5" fillId="0" borderId="0" xfId="0" applyNumberFormat="1" applyFont="1"/>
    <xf numFmtId="2" fontId="5" fillId="0" borderId="0" xfId="0" applyNumberFormat="1" applyFont="1" applyFill="1"/>
    <xf numFmtId="0" fontId="5" fillId="0" borderId="1" xfId="0" applyFont="1" applyBorder="1"/>
    <xf numFmtId="0" fontId="7" fillId="0" borderId="1" xfId="2" applyFont="1" applyFill="1" applyBorder="1" applyAlignment="1">
      <alignment horizontal="center" vertical="center"/>
    </xf>
    <xf numFmtId="2" fontId="0" fillId="0" borderId="0" xfId="1" applyNumberFormat="1" applyFont="1"/>
    <xf numFmtId="12" fontId="5" fillId="0" borderId="0" xfId="0" applyNumberFormat="1" applyFont="1"/>
    <xf numFmtId="0" fontId="7" fillId="0" borderId="0" xfId="0" applyFont="1" applyFill="1" applyBorder="1"/>
    <xf numFmtId="14" fontId="5" fillId="0" borderId="0" xfId="0" applyNumberFormat="1" applyFont="1"/>
    <xf numFmtId="0" fontId="7" fillId="0" borderId="0" xfId="0" applyFont="1" applyFill="1" applyAlignment="1">
      <alignment vertical="center"/>
    </xf>
    <xf numFmtId="0" fontId="7" fillId="0" borderId="0" xfId="0" applyFont="1" applyFill="1" applyAlignment="1"/>
    <xf numFmtId="15" fontId="5" fillId="0" borderId="0" xfId="0" applyNumberFormat="1" applyFont="1" applyFill="1" applyBorder="1"/>
    <xf numFmtId="22" fontId="0" fillId="0" borderId="0" xfId="0" applyNumberFormat="1"/>
    <xf numFmtId="0" fontId="5" fillId="0" borderId="1" xfId="0" applyNumberFormat="1" applyFont="1" applyFill="1" applyBorder="1"/>
    <xf numFmtId="10" fontId="0" fillId="0" borderId="0" xfId="0" applyNumberFormat="1"/>
    <xf numFmtId="170" fontId="0" fillId="3" borderId="1" xfId="0" applyNumberFormat="1" applyFill="1" applyBorder="1"/>
    <xf numFmtId="171" fontId="0" fillId="0" borderId="0" xfId="0" applyNumberFormat="1"/>
    <xf numFmtId="49" fontId="0" fillId="0" borderId="0" xfId="0" applyNumberFormat="1" applyFill="1"/>
    <xf numFmtId="172" fontId="0" fillId="0" borderId="0" xfId="0" applyNumberFormat="1"/>
    <xf numFmtId="173" fontId="0" fillId="0" borderId="0" xfId="0" applyNumberFormat="1"/>
    <xf numFmtId="174" fontId="0" fillId="0" borderId="0" xfId="0" applyNumberFormat="1"/>
    <xf numFmtId="13" fontId="0" fillId="0" borderId="0" xfId="0" applyNumberFormat="1"/>
    <xf numFmtId="20" fontId="0" fillId="0" borderId="0" xfId="0" applyNumberFormat="1"/>
    <xf numFmtId="170" fontId="0" fillId="0" borderId="0" xfId="0" applyNumberFormat="1"/>
    <xf numFmtId="175" fontId="0" fillId="0" borderId="0" xfId="0" applyNumberFormat="1"/>
    <xf numFmtId="21" fontId="0" fillId="0" borderId="0" xfId="0" applyNumberFormat="1"/>
    <xf numFmtId="1" fontId="0" fillId="0" borderId="1" xfId="0" applyNumberFormat="1" applyFill="1" applyBorder="1" applyProtection="1">
      <protection locked="0"/>
    </xf>
    <xf numFmtId="1" fontId="0" fillId="0" borderId="1" xfId="0" applyNumberFormat="1" applyFill="1" applyBorder="1"/>
    <xf numFmtId="0" fontId="0" fillId="4" borderId="1" xfId="2" applyFont="1" applyBorder="1"/>
    <xf numFmtId="0" fontId="0" fillId="4" borderId="1" xfId="2" applyFont="1" applyBorder="1" applyAlignment="1">
      <alignment wrapText="1"/>
    </xf>
    <xf numFmtId="0" fontId="0" fillId="0" borderId="0" xfId="0" applyFill="1" applyAlignment="1">
      <alignment horizontal="center"/>
    </xf>
    <xf numFmtId="0" fontId="1" fillId="7" borderId="1" xfId="4" applyBorder="1"/>
    <xf numFmtId="0" fontId="1" fillId="7" borderId="1" xfId="4" applyBorder="1" applyProtection="1">
      <protection locked="0"/>
    </xf>
    <xf numFmtId="0" fontId="1" fillId="7" borderId="1" xfId="4" applyNumberFormat="1" applyBorder="1"/>
    <xf numFmtId="0" fontId="10" fillId="8" borderId="11" xfId="5"/>
    <xf numFmtId="0" fontId="11" fillId="9" borderId="12" xfId="6"/>
    <xf numFmtId="10" fontId="11" fillId="9" borderId="12" xfId="6" applyNumberFormat="1"/>
    <xf numFmtId="14" fontId="0" fillId="0" borderId="0" xfId="0" applyNumberFormat="1" applyFill="1" applyBorder="1"/>
    <xf numFmtId="0" fontId="3" fillId="2" borderId="0" xfId="0" applyFont="1" applyFill="1" applyAlignment="1">
      <alignment horizontal="center" vertical="center"/>
    </xf>
    <xf numFmtId="9" fontId="0" fillId="0" borderId="1" xfId="1" applyFont="1" applyBorder="1"/>
  </cellXfs>
  <cellStyles count="7">
    <cellStyle name="20% - Accent1" xfId="4" builtinId="30"/>
    <cellStyle name="Check Cell" xfId="6" builtinId="23"/>
    <cellStyle name="GreyOrWhite" xfId="2" xr:uid="{00000000-0005-0000-0000-000000000000}"/>
    <cellStyle name="Input" xfId="5" builtinId="20"/>
    <cellStyle name="Normal" xfId="0" builtinId="0"/>
    <cellStyle name="Percent" xfId="1" builtinId="5"/>
    <cellStyle name="Yellow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31"/>
  <sheetViews>
    <sheetView zoomScaleNormal="100" workbookViewId="0">
      <selection activeCell="H20" sqref="H20"/>
    </sheetView>
  </sheetViews>
  <sheetFormatPr defaultRowHeight="15" x14ac:dyDescent="0.25"/>
  <cols>
    <col min="1" max="1" width="3.42578125" customWidth="1"/>
    <col min="2" max="2" width="6.140625" customWidth="1"/>
    <col min="3" max="3" width="19.5703125" customWidth="1"/>
    <col min="5" max="5" width="7" customWidth="1"/>
    <col min="7" max="7" width="9" customWidth="1"/>
    <col min="8" max="8" width="7.85546875" customWidth="1"/>
    <col min="9" max="9" width="6.7109375" customWidth="1"/>
    <col min="10" max="10" width="11" customWidth="1"/>
    <col min="11" max="11" width="8.42578125" customWidth="1"/>
    <col min="12" max="12" width="10.7109375" customWidth="1"/>
    <col min="13" max="13" width="11.7109375" customWidth="1"/>
    <col min="14" max="14" width="9.42578125" bestFit="1" customWidth="1"/>
    <col min="15" max="15" width="10" customWidth="1"/>
    <col min="16" max="16" width="9.28515625" bestFit="1" customWidth="1"/>
  </cols>
  <sheetData>
    <row r="2" spans="2:16" x14ac:dyDescent="0.25">
      <c r="G2" s="58">
        <v>0.8</v>
      </c>
      <c r="H2" s="58">
        <v>0.25</v>
      </c>
      <c r="I2" s="58">
        <v>0.1</v>
      </c>
      <c r="K2" s="58">
        <v>0.125</v>
      </c>
      <c r="L2" s="87"/>
    </row>
    <row r="3" spans="2:16" x14ac:dyDescent="0.25">
      <c r="B3" s="63" t="s">
        <v>0</v>
      </c>
      <c r="C3" s="63" t="s">
        <v>1</v>
      </c>
      <c r="D3" s="63" t="s">
        <v>2</v>
      </c>
      <c r="E3" s="63" t="s">
        <v>3</v>
      </c>
      <c r="F3" s="63" t="s">
        <v>4</v>
      </c>
      <c r="G3" s="63" t="s">
        <v>67</v>
      </c>
      <c r="H3" s="63" t="s">
        <v>68</v>
      </c>
      <c r="I3" s="63" t="s">
        <v>69</v>
      </c>
      <c r="J3" s="63" t="s">
        <v>5</v>
      </c>
      <c r="K3" s="63" t="s">
        <v>70</v>
      </c>
      <c r="L3" s="63" t="s">
        <v>6</v>
      </c>
      <c r="M3" s="63" t="s">
        <v>7</v>
      </c>
      <c r="N3" s="63" t="s">
        <v>8</v>
      </c>
      <c r="O3" s="63" t="s">
        <v>9</v>
      </c>
    </row>
    <row r="4" spans="2:16" x14ac:dyDescent="0.25">
      <c r="B4" s="62">
        <v>1</v>
      </c>
      <c r="C4" s="62" t="s">
        <v>10</v>
      </c>
      <c r="D4" s="62" t="s">
        <v>142</v>
      </c>
      <c r="E4" s="62" t="s">
        <v>23</v>
      </c>
      <c r="F4" s="99">
        <v>13973.249409913455</v>
      </c>
      <c r="G4" s="100">
        <f>F4*80%</f>
        <v>11178.599527930764</v>
      </c>
      <c r="H4" s="100">
        <f>F4*25%</f>
        <v>3493.3123524783637</v>
      </c>
      <c r="I4" s="100">
        <f>F4*10%</f>
        <v>1397.3249409913456</v>
      </c>
      <c r="J4" s="100">
        <f>SUM(F4:I4)</f>
        <v>30042.486231313924</v>
      </c>
      <c r="K4" s="100">
        <f>(F4+G4)*13%</f>
        <v>3269.7403619197485</v>
      </c>
      <c r="L4" s="100">
        <v>200</v>
      </c>
      <c r="M4" s="100">
        <f>J4*10%</f>
        <v>3004.2486231313924</v>
      </c>
      <c r="N4" s="100">
        <f>SUM(K4:M4)</f>
        <v>6473.9889850511408</v>
      </c>
      <c r="O4" s="100">
        <f>J4-N4</f>
        <v>23568.497246262785</v>
      </c>
      <c r="P4" s="2"/>
    </row>
    <row r="5" spans="2:16" x14ac:dyDescent="0.25">
      <c r="B5" s="62">
        <v>2</v>
      </c>
      <c r="C5" s="62" t="s">
        <v>150</v>
      </c>
      <c r="D5" s="62" t="s">
        <v>142</v>
      </c>
      <c r="E5" s="62" t="s">
        <v>23</v>
      </c>
      <c r="F5" s="99">
        <v>14540</v>
      </c>
      <c r="G5" s="100">
        <f>F5*80%</f>
        <v>11632</v>
      </c>
      <c r="H5" s="100">
        <f>F5*25%</f>
        <v>3635</v>
      </c>
      <c r="I5" s="100">
        <f>F5*10%</f>
        <v>1454</v>
      </c>
      <c r="J5" s="100">
        <f>SUM(F5:I5)</f>
        <v>31261</v>
      </c>
      <c r="K5" s="100">
        <f>J5*13%</f>
        <v>4063.9300000000003</v>
      </c>
      <c r="L5" s="100">
        <v>200</v>
      </c>
      <c r="M5" s="100">
        <f>J5*10%</f>
        <v>3126.1000000000004</v>
      </c>
      <c r="N5" s="100">
        <f>SUM(K5:M5)</f>
        <v>7390.0300000000007</v>
      </c>
      <c r="O5" s="100">
        <f>J5-N5</f>
        <v>23870.97</v>
      </c>
    </row>
    <row r="6" spans="2:16" x14ac:dyDescent="0.25">
      <c r="B6" s="62">
        <v>3</v>
      </c>
      <c r="C6" s="62" t="s">
        <v>12</v>
      </c>
      <c r="D6" s="62" t="s">
        <v>142</v>
      </c>
      <c r="E6" s="62" t="s">
        <v>24</v>
      </c>
      <c r="F6" s="99">
        <v>56214</v>
      </c>
      <c r="G6" s="100">
        <f>F6*80%</f>
        <v>44971.200000000004</v>
      </c>
      <c r="H6" s="100">
        <f>F6*25%</f>
        <v>14053.5</v>
      </c>
      <c r="I6" s="100">
        <f>F6*10%</f>
        <v>5621.4000000000005</v>
      </c>
      <c r="J6" s="100">
        <f>SUM(G6:I6)</f>
        <v>64646.100000000006</v>
      </c>
      <c r="K6" s="100">
        <f>J6*13%</f>
        <v>8403.9930000000004</v>
      </c>
      <c r="L6" s="100">
        <v>200</v>
      </c>
      <c r="M6" s="100">
        <f>J6*10%</f>
        <v>6464.6100000000006</v>
      </c>
      <c r="N6" s="100">
        <f>SUM(K6:M6)</f>
        <v>15068.603000000001</v>
      </c>
      <c r="O6" s="100">
        <f>J6-N6</f>
        <v>49577.497000000003</v>
      </c>
    </row>
    <row r="7" spans="2:16" x14ac:dyDescent="0.25">
      <c r="B7" s="62">
        <v>4</v>
      </c>
      <c r="C7" s="62" t="s">
        <v>13</v>
      </c>
      <c r="D7" s="62" t="s">
        <v>143</v>
      </c>
      <c r="E7" s="62" t="s">
        <v>25</v>
      </c>
      <c r="F7" s="99">
        <v>5452</v>
      </c>
      <c r="G7" s="100">
        <f t="shared" ref="G7:G15" si="0">F7*80%</f>
        <v>4361.6000000000004</v>
      </c>
      <c r="H7" s="100">
        <f t="shared" ref="H7:H14" si="1">F7*25%</f>
        <v>1363</v>
      </c>
      <c r="I7" s="100">
        <f t="shared" ref="I7:I15" si="2">F7*10%</f>
        <v>545.20000000000005</v>
      </c>
      <c r="J7" s="100">
        <f t="shared" ref="J7:J15" si="3">SUM(G7:I7)</f>
        <v>6269.8</v>
      </c>
      <c r="K7" s="100">
        <f t="shared" ref="K7:K15" si="4">J7*13%</f>
        <v>815.07400000000007</v>
      </c>
      <c r="L7" s="100">
        <v>200</v>
      </c>
      <c r="M7" s="100">
        <f t="shared" ref="M7:M15" si="5">J7*10%</f>
        <v>626.98</v>
      </c>
      <c r="N7" s="100">
        <f t="shared" ref="N7:N15" si="6">SUM(K7:M7)</f>
        <v>1642.0540000000001</v>
      </c>
      <c r="O7" s="100">
        <f t="shared" ref="O7:O15" si="7">J7-N7</f>
        <v>4627.7460000000001</v>
      </c>
    </row>
    <row r="8" spans="2:16" x14ac:dyDescent="0.25">
      <c r="B8" s="62">
        <v>5</v>
      </c>
      <c r="C8" s="62" t="s">
        <v>151</v>
      </c>
      <c r="D8" s="62" t="s">
        <v>143</v>
      </c>
      <c r="E8" s="62" t="s">
        <v>26</v>
      </c>
      <c r="F8" s="99">
        <v>7356</v>
      </c>
      <c r="G8" s="100">
        <f t="shared" si="0"/>
        <v>5884.8</v>
      </c>
      <c r="H8" s="100">
        <f t="shared" si="1"/>
        <v>1839</v>
      </c>
      <c r="I8" s="100">
        <f t="shared" si="2"/>
        <v>735.6</v>
      </c>
      <c r="J8" s="100">
        <f t="shared" si="3"/>
        <v>8459.4</v>
      </c>
      <c r="K8" s="100">
        <f t="shared" si="4"/>
        <v>1099.722</v>
      </c>
      <c r="L8" s="100">
        <v>200</v>
      </c>
      <c r="M8" s="100">
        <f t="shared" si="5"/>
        <v>845.94</v>
      </c>
      <c r="N8" s="100">
        <f t="shared" si="6"/>
        <v>2145.6620000000003</v>
      </c>
      <c r="O8" s="100">
        <f t="shared" si="7"/>
        <v>6313.7379999999994</v>
      </c>
    </row>
    <row r="9" spans="2:16" x14ac:dyDescent="0.25">
      <c r="B9" s="62">
        <v>6</v>
      </c>
      <c r="C9" s="62" t="s">
        <v>15</v>
      </c>
      <c r="D9" s="62" t="s">
        <v>142</v>
      </c>
      <c r="E9" s="62" t="s">
        <v>24</v>
      </c>
      <c r="F9" s="99">
        <v>29245</v>
      </c>
      <c r="G9" s="100">
        <f t="shared" si="0"/>
        <v>23396</v>
      </c>
      <c r="H9" s="100">
        <f t="shared" si="1"/>
        <v>7311.25</v>
      </c>
      <c r="I9" s="100">
        <f t="shared" si="2"/>
        <v>2924.5</v>
      </c>
      <c r="J9" s="100">
        <f t="shared" si="3"/>
        <v>33631.75</v>
      </c>
      <c r="K9" s="100">
        <f t="shared" si="4"/>
        <v>4372.1275000000005</v>
      </c>
      <c r="L9" s="100">
        <v>200</v>
      </c>
      <c r="M9" s="100">
        <f t="shared" si="5"/>
        <v>3363.1750000000002</v>
      </c>
      <c r="N9" s="100">
        <f t="shared" si="6"/>
        <v>7935.3025000000007</v>
      </c>
      <c r="O9" s="100">
        <f t="shared" si="7"/>
        <v>25696.447499999998</v>
      </c>
    </row>
    <row r="10" spans="2:16" x14ac:dyDescent="0.25">
      <c r="B10" s="62">
        <v>7</v>
      </c>
      <c r="C10" s="62" t="s">
        <v>16</v>
      </c>
      <c r="D10" s="62" t="s">
        <v>142</v>
      </c>
      <c r="E10" s="62" t="s">
        <v>24</v>
      </c>
      <c r="F10" s="99">
        <v>3110</v>
      </c>
      <c r="G10" s="100">
        <f t="shared" si="0"/>
        <v>2488</v>
      </c>
      <c r="H10" s="100">
        <f t="shared" si="1"/>
        <v>777.5</v>
      </c>
      <c r="I10" s="100">
        <f t="shared" si="2"/>
        <v>311</v>
      </c>
      <c r="J10" s="100">
        <f t="shared" si="3"/>
        <v>3576.5</v>
      </c>
      <c r="K10" s="100">
        <f t="shared" si="4"/>
        <v>464.94499999999999</v>
      </c>
      <c r="L10" s="100">
        <v>200</v>
      </c>
      <c r="M10" s="100">
        <f t="shared" si="5"/>
        <v>357.65000000000003</v>
      </c>
      <c r="N10" s="100">
        <f t="shared" si="6"/>
        <v>1022.595</v>
      </c>
      <c r="O10" s="100">
        <f t="shared" si="7"/>
        <v>2553.9049999999997</v>
      </c>
    </row>
    <row r="11" spans="2:16" x14ac:dyDescent="0.25">
      <c r="B11" s="62">
        <v>8</v>
      </c>
      <c r="C11" s="62" t="s">
        <v>17</v>
      </c>
      <c r="D11" s="62" t="s">
        <v>143</v>
      </c>
      <c r="E11" s="62" t="s">
        <v>26</v>
      </c>
      <c r="F11" s="99">
        <v>24605</v>
      </c>
      <c r="G11" s="100">
        <f t="shared" si="0"/>
        <v>19684</v>
      </c>
      <c r="H11" s="100">
        <f t="shared" si="1"/>
        <v>6151.25</v>
      </c>
      <c r="I11" s="100">
        <f t="shared" si="2"/>
        <v>2460.5</v>
      </c>
      <c r="J11" s="100">
        <f t="shared" si="3"/>
        <v>28295.75</v>
      </c>
      <c r="K11" s="100">
        <f t="shared" si="4"/>
        <v>3678.4475000000002</v>
      </c>
      <c r="L11" s="100">
        <v>200</v>
      </c>
      <c r="M11" s="100">
        <f t="shared" si="5"/>
        <v>2829.5750000000003</v>
      </c>
      <c r="N11" s="100">
        <f t="shared" si="6"/>
        <v>6708.0225000000009</v>
      </c>
      <c r="O11" s="100">
        <f t="shared" si="7"/>
        <v>21587.727500000001</v>
      </c>
    </row>
    <row r="12" spans="2:16" x14ac:dyDescent="0.25">
      <c r="B12" s="62">
        <v>9</v>
      </c>
      <c r="C12" s="62" t="s">
        <v>18</v>
      </c>
      <c r="D12" s="62" t="s">
        <v>143</v>
      </c>
      <c r="E12" s="62" t="s">
        <v>26</v>
      </c>
      <c r="F12" s="99">
        <v>3698</v>
      </c>
      <c r="G12" s="100">
        <f t="shared" si="0"/>
        <v>2958.4</v>
      </c>
      <c r="H12" s="100">
        <f t="shared" si="1"/>
        <v>924.5</v>
      </c>
      <c r="I12" s="100">
        <f t="shared" si="2"/>
        <v>369.8</v>
      </c>
      <c r="J12" s="100">
        <f t="shared" si="3"/>
        <v>4252.7</v>
      </c>
      <c r="K12" s="100">
        <f t="shared" si="4"/>
        <v>552.851</v>
      </c>
      <c r="L12" s="100">
        <v>200</v>
      </c>
      <c r="M12" s="100">
        <f t="shared" si="5"/>
        <v>425.27</v>
      </c>
      <c r="N12" s="100">
        <f t="shared" si="6"/>
        <v>1178.1210000000001</v>
      </c>
      <c r="O12" s="100">
        <f t="shared" si="7"/>
        <v>3074.5789999999997</v>
      </c>
    </row>
    <row r="13" spans="2:16" x14ac:dyDescent="0.25">
      <c r="B13" s="62">
        <v>10</v>
      </c>
      <c r="C13" s="62" t="s">
        <v>152</v>
      </c>
      <c r="D13" s="62" t="s">
        <v>142</v>
      </c>
      <c r="E13" s="62" t="s">
        <v>24</v>
      </c>
      <c r="F13" s="99">
        <v>22587</v>
      </c>
      <c r="G13" s="100">
        <f t="shared" si="0"/>
        <v>18069.600000000002</v>
      </c>
      <c r="H13" s="100">
        <f t="shared" si="1"/>
        <v>5646.75</v>
      </c>
      <c r="I13" s="100">
        <f t="shared" si="2"/>
        <v>2258.7000000000003</v>
      </c>
      <c r="J13" s="100">
        <f t="shared" si="3"/>
        <v>25975.050000000003</v>
      </c>
      <c r="K13" s="100">
        <f t="shared" si="4"/>
        <v>3376.7565000000004</v>
      </c>
      <c r="L13" s="100">
        <v>200</v>
      </c>
      <c r="M13" s="100">
        <f t="shared" si="5"/>
        <v>2597.5050000000006</v>
      </c>
      <c r="N13" s="100">
        <f t="shared" si="6"/>
        <v>6174.2615000000005</v>
      </c>
      <c r="O13" s="100">
        <f t="shared" si="7"/>
        <v>19800.788500000002</v>
      </c>
    </row>
    <row r="14" spans="2:16" x14ac:dyDescent="0.25">
      <c r="B14" s="62">
        <v>11</v>
      </c>
      <c r="C14" s="62" t="s">
        <v>20</v>
      </c>
      <c r="D14" s="62" t="s">
        <v>143</v>
      </c>
      <c r="E14" s="62" t="s">
        <v>27</v>
      </c>
      <c r="F14" s="99">
        <v>18470</v>
      </c>
      <c r="G14" s="100">
        <f t="shared" si="0"/>
        <v>14776</v>
      </c>
      <c r="H14" s="100">
        <f t="shared" si="1"/>
        <v>4617.5</v>
      </c>
      <c r="I14" s="100">
        <f t="shared" si="2"/>
        <v>1847</v>
      </c>
      <c r="J14" s="100">
        <f t="shared" si="3"/>
        <v>21240.5</v>
      </c>
      <c r="K14" s="100">
        <f t="shared" si="4"/>
        <v>2761.2649999999999</v>
      </c>
      <c r="L14" s="100">
        <v>200</v>
      </c>
      <c r="M14" s="100">
        <f t="shared" si="5"/>
        <v>2124.0500000000002</v>
      </c>
      <c r="N14" s="100">
        <f t="shared" si="6"/>
        <v>5085.3150000000005</v>
      </c>
      <c r="O14" s="100">
        <f t="shared" si="7"/>
        <v>16155.184999999999</v>
      </c>
    </row>
    <row r="15" spans="2:16" x14ac:dyDescent="0.25">
      <c r="B15" s="62">
        <v>12</v>
      </c>
      <c r="C15" s="62" t="s">
        <v>21</v>
      </c>
      <c r="D15" s="62" t="s">
        <v>142</v>
      </c>
      <c r="E15" s="62" t="s">
        <v>27</v>
      </c>
      <c r="F15" s="99">
        <v>11234</v>
      </c>
      <c r="G15" s="100">
        <f t="shared" si="0"/>
        <v>8987.2000000000007</v>
      </c>
      <c r="H15" s="100">
        <f>F15*25%</f>
        <v>2808.5</v>
      </c>
      <c r="I15" s="100">
        <f t="shared" si="2"/>
        <v>1123.4000000000001</v>
      </c>
      <c r="J15" s="100">
        <f t="shared" si="3"/>
        <v>12919.1</v>
      </c>
      <c r="K15" s="100">
        <f t="shared" si="4"/>
        <v>1679.4830000000002</v>
      </c>
      <c r="L15" s="100">
        <v>200</v>
      </c>
      <c r="M15" s="100">
        <f t="shared" si="5"/>
        <v>1291.9100000000001</v>
      </c>
      <c r="N15" s="100">
        <f t="shared" si="6"/>
        <v>3171.393</v>
      </c>
      <c r="O15" s="100">
        <f t="shared" si="7"/>
        <v>9747.7070000000003</v>
      </c>
    </row>
    <row r="18" spans="6:15" x14ac:dyDescent="0.25">
      <c r="F18" s="2"/>
    </row>
    <row r="26" spans="6:15" x14ac:dyDescent="0.25">
      <c r="H26" s="2"/>
    </row>
    <row r="28" spans="6:15" x14ac:dyDescent="0.25">
      <c r="O28" s="2"/>
    </row>
    <row r="31" spans="6:15" x14ac:dyDescent="0.25">
      <c r="I31" s="3"/>
    </row>
  </sheetData>
  <customSheetViews>
    <customSheetView guid="{040B4F36-7090-4437-BB1D-6D678277E015}" scale="130">
      <selection activeCell="G17" sqref="G17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44"/>
  <sheetViews>
    <sheetView zoomScaleNormal="100" workbookViewId="0">
      <selection activeCell="I21" sqref="I21"/>
    </sheetView>
  </sheetViews>
  <sheetFormatPr defaultRowHeight="15" x14ac:dyDescent="0.25"/>
  <cols>
    <col min="1" max="1" width="6.5703125" style="14" customWidth="1"/>
    <col min="2" max="2" width="10.85546875" style="14" bestFit="1" customWidth="1"/>
    <col min="3" max="3" width="13.7109375" style="14" bestFit="1" customWidth="1"/>
    <col min="4" max="4" width="9.28515625" style="14" bestFit="1" customWidth="1"/>
    <col min="5" max="5" width="11.28515625" style="14" bestFit="1" customWidth="1"/>
    <col min="6" max="6" width="16.5703125" style="14" customWidth="1"/>
    <col min="7" max="7" width="12.85546875" style="14" bestFit="1" customWidth="1"/>
    <col min="8" max="8" width="17.42578125" style="14" bestFit="1" customWidth="1"/>
    <col min="9" max="9" width="24.85546875" style="14" bestFit="1" customWidth="1"/>
    <col min="10" max="10" width="7" style="14" bestFit="1" customWidth="1"/>
    <col min="11" max="16384" width="9.140625" style="14"/>
  </cols>
  <sheetData>
    <row r="1" spans="2:12" x14ac:dyDescent="0.25">
      <c r="H1" s="103" t="s">
        <v>156</v>
      </c>
    </row>
    <row r="2" spans="2:12" ht="19.5" customHeight="1" x14ac:dyDescent="0.25">
      <c r="B2" s="101" t="s">
        <v>28</v>
      </c>
      <c r="C2" s="101" t="s">
        <v>29</v>
      </c>
      <c r="D2" s="101" t="s">
        <v>30</v>
      </c>
      <c r="E2" s="101" t="s">
        <v>31</v>
      </c>
      <c r="F2" s="101" t="s">
        <v>32</v>
      </c>
      <c r="G2" s="101" t="s">
        <v>33</v>
      </c>
      <c r="H2" s="102" t="s">
        <v>78</v>
      </c>
      <c r="I2" s="90" t="s">
        <v>157</v>
      </c>
    </row>
    <row r="3" spans="2:12" x14ac:dyDescent="0.25">
      <c r="B3" s="104">
        <v>1</v>
      </c>
      <c r="C3" s="104" t="s">
        <v>149</v>
      </c>
      <c r="D3" s="104">
        <v>18</v>
      </c>
      <c r="E3" s="104">
        <v>20</v>
      </c>
      <c r="F3" s="105">
        <v>15</v>
      </c>
      <c r="G3" s="104">
        <f t="shared" ref="G3:G10" si="0">E3-F3</f>
        <v>5</v>
      </c>
      <c r="H3" s="106">
        <f>(D3*88%)*F3</f>
        <v>237.6</v>
      </c>
      <c r="I3" s="14">
        <f>(D3*F3)*88%</f>
        <v>237.6</v>
      </c>
      <c r="J3" s="14">
        <f>((D3-D3*12%))*F3</f>
        <v>237.6</v>
      </c>
      <c r="L3"/>
    </row>
    <row r="4" spans="2:12" x14ac:dyDescent="0.25">
      <c r="B4" s="104">
        <v>2</v>
      </c>
      <c r="C4" s="104" t="s">
        <v>34</v>
      </c>
      <c r="D4" s="104">
        <v>35</v>
      </c>
      <c r="E4" s="104">
        <v>85</v>
      </c>
      <c r="F4" s="105">
        <v>5</v>
      </c>
      <c r="G4" s="104">
        <f t="shared" si="0"/>
        <v>80</v>
      </c>
      <c r="H4" s="106">
        <f t="shared" ref="H4:H10" si="1">(D4*88%)*F4</f>
        <v>154</v>
      </c>
      <c r="I4" s="14">
        <f>(D4*F4)*88%</f>
        <v>154</v>
      </c>
      <c r="J4" s="14">
        <f>((D4-D4*12%))*F4</f>
        <v>154</v>
      </c>
    </row>
    <row r="5" spans="2:12" x14ac:dyDescent="0.25">
      <c r="B5" s="104">
        <v>3</v>
      </c>
      <c r="C5" s="104" t="s">
        <v>35</v>
      </c>
      <c r="D5" s="104">
        <v>63</v>
      </c>
      <c r="E5" s="104">
        <v>60</v>
      </c>
      <c r="F5" s="105">
        <v>3</v>
      </c>
      <c r="G5" s="104">
        <f t="shared" si="0"/>
        <v>57</v>
      </c>
      <c r="H5" s="106">
        <f t="shared" si="1"/>
        <v>166.32</v>
      </c>
      <c r="I5" s="14">
        <f>(D5*F5)*88%</f>
        <v>166.32</v>
      </c>
      <c r="J5" s="14">
        <f>((D5-D5*12%))*F5</f>
        <v>166.32</v>
      </c>
    </row>
    <row r="6" spans="2:12" x14ac:dyDescent="0.25">
      <c r="B6" s="104">
        <v>4</v>
      </c>
      <c r="C6" s="104" t="s">
        <v>36</v>
      </c>
      <c r="D6" s="104">
        <v>65</v>
      </c>
      <c r="E6" s="104">
        <v>10</v>
      </c>
      <c r="F6" s="105">
        <v>4</v>
      </c>
      <c r="G6" s="104">
        <f t="shared" si="0"/>
        <v>6</v>
      </c>
      <c r="H6" s="106">
        <f t="shared" si="1"/>
        <v>228.8</v>
      </c>
      <c r="I6" s="14">
        <f>(D6*F6)*88%</f>
        <v>228.8</v>
      </c>
      <c r="J6" s="14">
        <f t="shared" ref="J6:J10" si="2">((D6-D6*12%))*F6</f>
        <v>228.8</v>
      </c>
    </row>
    <row r="7" spans="2:12" x14ac:dyDescent="0.25">
      <c r="B7" s="104">
        <v>5</v>
      </c>
      <c r="C7" s="104" t="s">
        <v>37</v>
      </c>
      <c r="D7" s="104">
        <v>250</v>
      </c>
      <c r="E7" s="104">
        <v>12</v>
      </c>
      <c r="F7" s="105">
        <v>8</v>
      </c>
      <c r="G7" s="104">
        <f t="shared" si="0"/>
        <v>4</v>
      </c>
      <c r="H7" s="106">
        <f t="shared" si="1"/>
        <v>1760</v>
      </c>
      <c r="I7" s="14">
        <f>(D7*F7)*88%</f>
        <v>1760</v>
      </c>
      <c r="J7" s="14">
        <f t="shared" si="2"/>
        <v>1760</v>
      </c>
    </row>
    <row r="8" spans="2:12" x14ac:dyDescent="0.25">
      <c r="B8" s="104">
        <v>6</v>
      </c>
      <c r="C8" s="104" t="s">
        <v>38</v>
      </c>
      <c r="D8" s="104">
        <v>70</v>
      </c>
      <c r="E8" s="104">
        <v>14</v>
      </c>
      <c r="F8" s="105">
        <v>7</v>
      </c>
      <c r="G8" s="104">
        <f t="shared" si="0"/>
        <v>7</v>
      </c>
      <c r="H8" s="106">
        <f t="shared" si="1"/>
        <v>431.2</v>
      </c>
      <c r="I8" s="14">
        <f t="shared" ref="I8:I10" si="3">(D8*F8)*88%</f>
        <v>431.2</v>
      </c>
      <c r="J8" s="14">
        <f t="shared" si="2"/>
        <v>431.2</v>
      </c>
    </row>
    <row r="9" spans="2:12" x14ac:dyDescent="0.25">
      <c r="B9" s="104">
        <v>7</v>
      </c>
      <c r="C9" s="104" t="s">
        <v>39</v>
      </c>
      <c r="D9" s="104">
        <v>60</v>
      </c>
      <c r="E9" s="104">
        <v>18</v>
      </c>
      <c r="F9" s="105">
        <v>2</v>
      </c>
      <c r="G9" s="104">
        <f t="shared" si="0"/>
        <v>16</v>
      </c>
      <c r="H9" s="106">
        <f t="shared" si="1"/>
        <v>105.6</v>
      </c>
      <c r="I9" s="14">
        <f t="shared" si="3"/>
        <v>105.6</v>
      </c>
      <c r="J9" s="14">
        <f t="shared" si="2"/>
        <v>105.6</v>
      </c>
    </row>
    <row r="10" spans="2:12" x14ac:dyDescent="0.25">
      <c r="B10" s="104">
        <v>8</v>
      </c>
      <c r="C10" s="104" t="s">
        <v>40</v>
      </c>
      <c r="D10" s="104">
        <v>90</v>
      </c>
      <c r="E10" s="104">
        <v>20</v>
      </c>
      <c r="F10" s="105">
        <v>10</v>
      </c>
      <c r="G10" s="104">
        <f t="shared" si="0"/>
        <v>10</v>
      </c>
      <c r="H10" s="106">
        <f t="shared" si="1"/>
        <v>792</v>
      </c>
      <c r="I10" s="14">
        <f t="shared" si="3"/>
        <v>792</v>
      </c>
      <c r="J10" s="14">
        <f t="shared" si="2"/>
        <v>792</v>
      </c>
    </row>
    <row r="19" spans="5:20" x14ac:dyDescent="0.25"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5:20" x14ac:dyDescent="0.25"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5:20" x14ac:dyDescent="0.25"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5:20" x14ac:dyDescent="0.25"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5:20" x14ac:dyDescent="0.25"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5:20" x14ac:dyDescent="0.25"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</row>
    <row r="25" spans="5:20" x14ac:dyDescent="0.25"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5:20" x14ac:dyDescent="0.25"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</row>
    <row r="27" spans="5:20" x14ac:dyDescent="0.25"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</row>
    <row r="28" spans="5:20" x14ac:dyDescent="0.25"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5:20" x14ac:dyDescent="0.25"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</row>
    <row r="30" spans="5:20" x14ac:dyDescent="0.25"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</row>
    <row r="31" spans="5:20" x14ac:dyDescent="0.25"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</row>
    <row r="32" spans="5:20" x14ac:dyDescent="0.25"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</row>
    <row r="33" spans="5:20" x14ac:dyDescent="0.25"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</row>
    <row r="34" spans="5:20" x14ac:dyDescent="0.25"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</row>
    <row r="35" spans="5:20" x14ac:dyDescent="0.25"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</row>
    <row r="36" spans="5:20" x14ac:dyDescent="0.25"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</row>
    <row r="37" spans="5:20" x14ac:dyDescent="0.25"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</row>
    <row r="38" spans="5:20" x14ac:dyDescent="0.25"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</row>
    <row r="39" spans="5:20" x14ac:dyDescent="0.25"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</row>
    <row r="40" spans="5:20" x14ac:dyDescent="0.25"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</row>
    <row r="41" spans="5:20" x14ac:dyDescent="0.25"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</row>
    <row r="42" spans="5:20" x14ac:dyDescent="0.25"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</row>
    <row r="43" spans="5:20" x14ac:dyDescent="0.25"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</row>
    <row r="44" spans="5:20" x14ac:dyDescent="0.25"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</row>
  </sheetData>
  <scenarios current="0" show="0">
    <scenario name="shivajinagar" locked="1" count="8" user="Author" comment="Created by Author on 1/29/2019">
      <inputCells r="D3" val="18"/>
      <inputCells r="D4" val="35"/>
      <inputCells r="D5" val="63"/>
      <inputCells r="D6" val="65"/>
      <inputCells r="D7" val="250"/>
      <inputCells r="D8" val="70"/>
      <inputCells r="D9" val="60"/>
      <inputCells r="D10" val="90"/>
    </scenario>
    <scenario name="Kothrud" locked="1" count="8" user="Author" comment="Created by Author on 1/29/2019">
      <inputCells r="D3" val="20"/>
      <inputCells r="D4" val="40"/>
      <inputCells r="D5" val="65"/>
      <inputCells r="D6" val="70"/>
      <inputCells r="D7" val="260"/>
      <inputCells r="D8" val="80"/>
      <inputCells r="D9" val="65"/>
      <inputCells r="D10" val="93"/>
    </scenario>
    <scenario name="Kolhapur" locked="1" count="8" user="Author" comment="Created by Author on 1/29/2019">
      <inputCells r="D3" val="35"/>
      <inputCells r="D4" val="60"/>
      <inputCells r="D5" val="90"/>
      <inputCells r="D6" val="100"/>
      <inputCells r="D7" val="400"/>
      <inputCells r="D8" val="90"/>
      <inputCells r="D9" val="85"/>
      <inputCells r="D10" val="110"/>
    </scenario>
    <scenario name="Balewadi" locked="1" count="8" user="Author" comment="Created by Author on 1/29/2019">
      <inputCells r="D3" val="22"/>
      <inputCells r="D4" val="40"/>
      <inputCells r="D5" val="67"/>
      <inputCells r="D6" val="70"/>
      <inputCells r="D7" val="260"/>
      <inputCells r="D8" val="75"/>
      <inputCells r="D9" val="68"/>
      <inputCells r="D10" val="100"/>
    </scenario>
  </scenarios>
  <customSheetViews>
    <customSheetView guid="{040B4F36-7090-4437-BB1D-6D678277E015}" scale="110">
      <selection activeCell="H21" sqref="H21"/>
      <pageMargins left="0.7" right="0.7" top="0.75" bottom="0.75" header="0.3" footer="0.3"/>
    </customSheetView>
  </customSheetView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O17"/>
  <sheetViews>
    <sheetView tabSelected="1" zoomScaleNormal="100" workbookViewId="0">
      <selection activeCell="N22" sqref="N22"/>
    </sheetView>
  </sheetViews>
  <sheetFormatPr defaultRowHeight="15" x14ac:dyDescent="0.25"/>
  <cols>
    <col min="1" max="1" width="7.42578125" bestFit="1" customWidth="1"/>
    <col min="2" max="2" width="17.28515625" bestFit="1" customWidth="1"/>
    <col min="5" max="5" width="6.42578125" customWidth="1"/>
    <col min="6" max="6" width="7.28515625" bestFit="1" customWidth="1"/>
    <col min="7" max="7" width="8.42578125" customWidth="1"/>
    <col min="8" max="8" width="8.5703125" customWidth="1"/>
    <col min="9" max="9" width="10.5703125" bestFit="1" customWidth="1"/>
    <col min="11" max="11" width="9.85546875" customWidth="1"/>
    <col min="12" max="12" width="8.5703125" customWidth="1"/>
    <col min="13" max="14" width="9.140625" customWidth="1"/>
    <col min="15" max="15" width="11.42578125" bestFit="1" customWidth="1"/>
  </cols>
  <sheetData>
    <row r="3" spans="1:15" x14ac:dyDescent="0.25">
      <c r="A3" s="1" t="s">
        <v>41</v>
      </c>
      <c r="B3" s="1" t="s">
        <v>42</v>
      </c>
      <c r="C3" s="1" t="s">
        <v>43</v>
      </c>
      <c r="D3" s="1" t="s">
        <v>44</v>
      </c>
      <c r="E3" s="1" t="s">
        <v>45</v>
      </c>
      <c r="F3" s="1" t="s">
        <v>46</v>
      </c>
      <c r="G3" s="1" t="s">
        <v>47</v>
      </c>
      <c r="H3" s="1" t="s">
        <v>48</v>
      </c>
      <c r="I3" s="1" t="s">
        <v>49</v>
      </c>
      <c r="J3" s="1" t="s">
        <v>50</v>
      </c>
      <c r="K3" s="1" t="s">
        <v>5</v>
      </c>
      <c r="L3" s="1" t="s">
        <v>51</v>
      </c>
      <c r="M3" s="1" t="s">
        <v>52</v>
      </c>
      <c r="N3" s="1" t="s">
        <v>53</v>
      </c>
      <c r="O3" s="1" t="s">
        <v>155</v>
      </c>
    </row>
    <row r="4" spans="1:15" x14ac:dyDescent="0.25">
      <c r="A4" s="1">
        <v>1</v>
      </c>
      <c r="B4" s="1" t="s">
        <v>10</v>
      </c>
      <c r="C4" s="1" t="s">
        <v>54</v>
      </c>
      <c r="D4" s="1">
        <v>98</v>
      </c>
      <c r="E4" s="1">
        <v>89</v>
      </c>
      <c r="F4" s="1">
        <v>85</v>
      </c>
      <c r="G4" s="1">
        <v>99</v>
      </c>
      <c r="H4" s="1">
        <v>87</v>
      </c>
      <c r="I4" s="1">
        <v>95</v>
      </c>
      <c r="J4" s="1">
        <v>89</v>
      </c>
      <c r="K4" s="1">
        <f t="shared" ref="K4:K9" si="0">SUM(D4:J4)</f>
        <v>642</v>
      </c>
      <c r="L4" s="5">
        <f>AVERAGE(D4:J4)</f>
        <v>91.714285714285708</v>
      </c>
      <c r="M4" s="1" t="str">
        <f>IF(L4&gt;=35,"Pass","Fail")</f>
        <v>Pass</v>
      </c>
      <c r="N4" s="1"/>
      <c r="O4" s="112">
        <f>(K4/700)</f>
        <v>0.91714285714285715</v>
      </c>
    </row>
    <row r="5" spans="1:15" x14ac:dyDescent="0.25">
      <c r="A5" s="1">
        <v>2</v>
      </c>
      <c r="B5" s="1" t="s">
        <v>11</v>
      </c>
      <c r="C5" s="1" t="s">
        <v>55</v>
      </c>
      <c r="D5" s="1">
        <v>48</v>
      </c>
      <c r="E5" s="1">
        <v>56</v>
      </c>
      <c r="F5" s="1">
        <v>62</v>
      </c>
      <c r="G5" s="1">
        <v>39</v>
      </c>
      <c r="H5" s="1">
        <v>82</v>
      </c>
      <c r="I5" s="1">
        <v>70</v>
      </c>
      <c r="J5" s="1">
        <v>67</v>
      </c>
      <c r="K5" s="1">
        <f t="shared" si="0"/>
        <v>424</v>
      </c>
      <c r="L5" s="5">
        <f t="shared" ref="L5:L13" si="1">AVERAGE(D5:J5)</f>
        <v>60.571428571428569</v>
      </c>
      <c r="M5" s="1" t="str">
        <f t="shared" ref="M5:M13" si="2">IF(L5&gt;=35,"Pass","Fail")</f>
        <v>Pass</v>
      </c>
      <c r="N5" s="1"/>
      <c r="O5" s="112">
        <f t="shared" ref="O5:O13" si="3">(K5/700)</f>
        <v>0.60571428571428576</v>
      </c>
    </row>
    <row r="6" spans="1:15" x14ac:dyDescent="0.25">
      <c r="A6" s="1">
        <v>3</v>
      </c>
      <c r="B6" s="1" t="s">
        <v>12</v>
      </c>
      <c r="C6" s="1" t="s">
        <v>55</v>
      </c>
      <c r="D6" s="1">
        <v>49</v>
      </c>
      <c r="E6" s="1">
        <v>57</v>
      </c>
      <c r="F6" s="1">
        <v>63</v>
      </c>
      <c r="G6" s="1">
        <v>71</v>
      </c>
      <c r="H6" s="1">
        <v>84</v>
      </c>
      <c r="I6" s="1">
        <v>71</v>
      </c>
      <c r="J6" s="1">
        <v>70</v>
      </c>
      <c r="K6" s="1">
        <f t="shared" si="0"/>
        <v>465</v>
      </c>
      <c r="L6" s="5">
        <f t="shared" si="1"/>
        <v>66.428571428571431</v>
      </c>
      <c r="M6" s="1" t="str">
        <f t="shared" si="2"/>
        <v>Pass</v>
      </c>
      <c r="N6" s="1"/>
      <c r="O6" s="112">
        <f t="shared" si="3"/>
        <v>0.66428571428571426</v>
      </c>
    </row>
    <row r="7" spans="1:15" x14ac:dyDescent="0.25">
      <c r="A7" s="1">
        <v>4</v>
      </c>
      <c r="B7" s="1" t="s">
        <v>13</v>
      </c>
      <c r="C7" s="1" t="s">
        <v>56</v>
      </c>
      <c r="D7" s="1">
        <v>50</v>
      </c>
      <c r="E7" s="1">
        <v>58</v>
      </c>
      <c r="F7" s="1">
        <v>64</v>
      </c>
      <c r="G7" s="1">
        <v>34</v>
      </c>
      <c r="H7" s="1">
        <v>86</v>
      </c>
      <c r="I7" s="1">
        <v>72</v>
      </c>
      <c r="J7" s="1">
        <v>73</v>
      </c>
      <c r="K7" s="1">
        <f t="shared" si="0"/>
        <v>437</v>
      </c>
      <c r="L7" s="5">
        <f t="shared" si="1"/>
        <v>62.428571428571431</v>
      </c>
      <c r="M7" s="1" t="str">
        <f t="shared" si="2"/>
        <v>Pass</v>
      </c>
      <c r="N7" s="1"/>
      <c r="O7" s="112">
        <f t="shared" si="3"/>
        <v>0.62428571428571433</v>
      </c>
    </row>
    <row r="8" spans="1:15" x14ac:dyDescent="0.25">
      <c r="A8" s="1">
        <v>5</v>
      </c>
      <c r="B8" s="1" t="s">
        <v>14</v>
      </c>
      <c r="C8" s="1" t="s">
        <v>56</v>
      </c>
      <c r="D8" s="1">
        <v>51</v>
      </c>
      <c r="E8" s="1">
        <v>59</v>
      </c>
      <c r="F8" s="1">
        <v>65</v>
      </c>
      <c r="G8" s="1">
        <v>73</v>
      </c>
      <c r="H8" s="1">
        <v>45</v>
      </c>
      <c r="I8" s="1">
        <v>46</v>
      </c>
      <c r="J8" s="1">
        <v>55</v>
      </c>
      <c r="K8" s="1">
        <f t="shared" si="0"/>
        <v>394</v>
      </c>
      <c r="L8" s="5">
        <f t="shared" si="1"/>
        <v>56.285714285714285</v>
      </c>
      <c r="M8" s="1" t="str">
        <f t="shared" si="2"/>
        <v>Pass</v>
      </c>
      <c r="N8" s="1"/>
      <c r="O8" s="112">
        <f t="shared" si="3"/>
        <v>0.56285714285714283</v>
      </c>
    </row>
    <row r="9" spans="1:15" x14ac:dyDescent="0.25">
      <c r="A9" s="1">
        <v>6</v>
      </c>
      <c r="B9" s="1" t="s">
        <v>15</v>
      </c>
      <c r="C9" s="1" t="s">
        <v>54</v>
      </c>
      <c r="D9" s="1">
        <v>52</v>
      </c>
      <c r="E9" s="1">
        <v>60</v>
      </c>
      <c r="F9" s="1">
        <v>66</v>
      </c>
      <c r="G9" s="1">
        <v>74</v>
      </c>
      <c r="H9" s="1">
        <v>90</v>
      </c>
      <c r="I9" s="1">
        <v>72</v>
      </c>
      <c r="J9" s="1">
        <v>81</v>
      </c>
      <c r="K9" s="1">
        <f t="shared" si="0"/>
        <v>495</v>
      </c>
      <c r="L9" s="5">
        <f t="shared" si="1"/>
        <v>70.714285714285708</v>
      </c>
      <c r="M9" s="1" t="str">
        <f t="shared" si="2"/>
        <v>Pass</v>
      </c>
      <c r="N9" s="1"/>
      <c r="O9" s="112">
        <f t="shared" si="3"/>
        <v>0.70714285714285718</v>
      </c>
    </row>
    <row r="10" spans="1:15" x14ac:dyDescent="0.25">
      <c r="A10" s="1">
        <v>7</v>
      </c>
      <c r="B10" s="1" t="s">
        <v>16</v>
      </c>
      <c r="C10" s="1" t="s">
        <v>54</v>
      </c>
      <c r="D10" s="1">
        <v>52</v>
      </c>
      <c r="E10" s="1">
        <v>60</v>
      </c>
      <c r="F10" s="1">
        <v>66</v>
      </c>
      <c r="G10" s="1">
        <v>74</v>
      </c>
      <c r="H10" s="1">
        <v>89</v>
      </c>
      <c r="I10" s="1">
        <v>75</v>
      </c>
      <c r="J10" s="1">
        <v>79</v>
      </c>
      <c r="K10" s="1">
        <f t="shared" ref="K10:K13" si="4">SUM(D10:J10)</f>
        <v>495</v>
      </c>
      <c r="L10" s="5">
        <f t="shared" si="1"/>
        <v>70.714285714285708</v>
      </c>
      <c r="M10" s="1" t="str">
        <f t="shared" si="2"/>
        <v>Pass</v>
      </c>
      <c r="N10" s="1"/>
      <c r="O10" s="112">
        <f t="shared" si="3"/>
        <v>0.70714285714285718</v>
      </c>
    </row>
    <row r="11" spans="1:15" x14ac:dyDescent="0.25">
      <c r="A11" s="1">
        <v>8</v>
      </c>
      <c r="B11" s="1" t="s">
        <v>17</v>
      </c>
      <c r="C11" s="1" t="s">
        <v>54</v>
      </c>
      <c r="D11" s="1">
        <v>52</v>
      </c>
      <c r="E11" s="1">
        <v>25</v>
      </c>
      <c r="F11" s="1">
        <v>66</v>
      </c>
      <c r="G11" s="1">
        <v>44</v>
      </c>
      <c r="H11" s="1">
        <v>45</v>
      </c>
      <c r="I11" s="1">
        <v>45</v>
      </c>
      <c r="J11" s="1">
        <v>25</v>
      </c>
      <c r="K11" s="1">
        <f t="shared" si="4"/>
        <v>302</v>
      </c>
      <c r="L11" s="5">
        <f t="shared" si="1"/>
        <v>43.142857142857146</v>
      </c>
      <c r="M11" s="1" t="str">
        <f t="shared" si="2"/>
        <v>Pass</v>
      </c>
      <c r="N11" s="1"/>
      <c r="O11" s="112">
        <f t="shared" si="3"/>
        <v>0.43142857142857144</v>
      </c>
    </row>
    <row r="12" spans="1:15" x14ac:dyDescent="0.25">
      <c r="A12" s="1">
        <v>9</v>
      </c>
      <c r="B12" s="1" t="s">
        <v>18</v>
      </c>
      <c r="C12" s="1" t="s">
        <v>56</v>
      </c>
      <c r="D12" s="1">
        <v>55</v>
      </c>
      <c r="E12" s="1">
        <v>63</v>
      </c>
      <c r="F12" s="1">
        <v>69</v>
      </c>
      <c r="G12" s="1">
        <v>77</v>
      </c>
      <c r="H12" s="1">
        <v>96</v>
      </c>
      <c r="I12" s="1">
        <v>77</v>
      </c>
      <c r="J12" s="1">
        <v>88</v>
      </c>
      <c r="K12" s="1">
        <f t="shared" si="4"/>
        <v>525</v>
      </c>
      <c r="L12" s="5">
        <f t="shared" si="1"/>
        <v>75</v>
      </c>
      <c r="M12" s="1" t="str">
        <f t="shared" si="2"/>
        <v>Pass</v>
      </c>
      <c r="N12" s="1"/>
      <c r="O12" s="112">
        <f t="shared" si="3"/>
        <v>0.75</v>
      </c>
    </row>
    <row r="13" spans="1:15" x14ac:dyDescent="0.25">
      <c r="A13" s="1">
        <v>10</v>
      </c>
      <c r="B13" s="1" t="s">
        <v>19</v>
      </c>
      <c r="C13" s="1" t="s">
        <v>55</v>
      </c>
      <c r="D13" s="1">
        <v>56</v>
      </c>
      <c r="E13" s="1">
        <v>64</v>
      </c>
      <c r="F13" s="1">
        <v>70</v>
      </c>
      <c r="G13" s="1">
        <v>78</v>
      </c>
      <c r="H13" s="1">
        <v>98</v>
      </c>
      <c r="I13" s="1">
        <v>78</v>
      </c>
      <c r="J13" s="1">
        <v>91</v>
      </c>
      <c r="K13" s="1">
        <f t="shared" si="4"/>
        <v>535</v>
      </c>
      <c r="L13" s="5">
        <f t="shared" si="1"/>
        <v>76.428571428571431</v>
      </c>
      <c r="M13" s="1" t="str">
        <f t="shared" si="2"/>
        <v>Pass</v>
      </c>
      <c r="N13" s="1"/>
      <c r="O13" s="112">
        <f t="shared" si="3"/>
        <v>0.76428571428571423</v>
      </c>
    </row>
    <row r="16" spans="1:15" x14ac:dyDescent="0.25">
      <c r="J16" s="3"/>
    </row>
    <row r="17" spans="10:10" x14ac:dyDescent="0.25">
      <c r="J17" s="64"/>
    </row>
  </sheetData>
  <customSheetViews>
    <customSheetView guid="{040B4F36-7090-4437-BB1D-6D678277E015}" scale="148">
      <selection activeCell="H15" sqref="H1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H23"/>
  <sheetViews>
    <sheetView zoomScale="140" zoomScaleNormal="140" workbookViewId="0">
      <selection activeCell="C21" sqref="C21"/>
    </sheetView>
  </sheetViews>
  <sheetFormatPr defaultRowHeight="15" x14ac:dyDescent="0.25"/>
  <cols>
    <col min="2" max="2" width="15.7109375" bestFit="1" customWidth="1"/>
    <col min="3" max="3" width="20" bestFit="1" customWidth="1"/>
    <col min="4" max="4" width="12.7109375" bestFit="1" customWidth="1"/>
    <col min="5" max="5" width="12" bestFit="1" customWidth="1"/>
    <col min="6" max="6" width="13.28515625" bestFit="1" customWidth="1"/>
    <col min="7" max="7" width="15.7109375" bestFit="1" customWidth="1"/>
    <col min="8" max="8" width="16.140625" bestFit="1" customWidth="1"/>
  </cols>
  <sheetData>
    <row r="3" spans="2:8" ht="18.75" x14ac:dyDescent="0.25">
      <c r="B3" s="111" t="s">
        <v>79</v>
      </c>
      <c r="C3" s="111"/>
      <c r="D3" s="111"/>
      <c r="E3" s="111"/>
      <c r="F3" s="111"/>
      <c r="G3" s="111"/>
    </row>
    <row r="4" spans="2:8" x14ac:dyDescent="0.25">
      <c r="B4" s="6" t="s">
        <v>80</v>
      </c>
      <c r="C4" s="7">
        <v>43146</v>
      </c>
      <c r="D4" s="8"/>
      <c r="E4" s="8"/>
      <c r="F4" s="6" t="s">
        <v>81</v>
      </c>
      <c r="G4" s="9">
        <v>1.6666666666666667</v>
      </c>
    </row>
    <row r="5" spans="2:8" x14ac:dyDescent="0.25">
      <c r="B5" s="8"/>
      <c r="C5" s="8"/>
      <c r="D5" s="8"/>
      <c r="E5" s="8"/>
      <c r="F5" s="8"/>
      <c r="G5" s="10"/>
    </row>
    <row r="6" spans="2:8" x14ac:dyDescent="0.25">
      <c r="B6" s="6" t="s">
        <v>63</v>
      </c>
      <c r="C6" s="6" t="s">
        <v>64</v>
      </c>
      <c r="D6" s="6" t="s">
        <v>65</v>
      </c>
      <c r="E6" s="6" t="s">
        <v>145</v>
      </c>
      <c r="F6" s="6" t="s">
        <v>66</v>
      </c>
      <c r="G6" s="6" t="s">
        <v>5</v>
      </c>
    </row>
    <row r="7" spans="2:8" x14ac:dyDescent="0.25">
      <c r="B7" s="11">
        <f>C4</f>
        <v>43146</v>
      </c>
      <c r="C7" s="12">
        <v>0.33333333333333331</v>
      </c>
      <c r="D7" s="12">
        <v>0.54166666666666663</v>
      </c>
      <c r="E7" s="12">
        <v>0.58333333333333337</v>
      </c>
      <c r="F7" s="12">
        <v>0.73263888888888884</v>
      </c>
      <c r="G7" s="88">
        <f>(F7-C7)-(E7-D7)</f>
        <v>0.35763888888888878</v>
      </c>
      <c r="H7" s="95">
        <f>(D7-C7)+(F7-E7)</f>
        <v>0.35763888888888878</v>
      </c>
    </row>
    <row r="8" spans="2:8" x14ac:dyDescent="0.25">
      <c r="B8" s="11">
        <f>B7+1</f>
        <v>43147</v>
      </c>
      <c r="C8" s="12">
        <v>0.35416666666666669</v>
      </c>
      <c r="D8" s="12">
        <v>0.52083333333333337</v>
      </c>
      <c r="E8" s="12">
        <v>0.5625</v>
      </c>
      <c r="F8" s="12">
        <v>0.77430555555555503</v>
      </c>
      <c r="G8" s="88">
        <f t="shared" ref="G8:G11" si="0">(F8-C8)-(E8-D8)</f>
        <v>0.37847222222222171</v>
      </c>
      <c r="H8" s="95">
        <f>(D8-C8)+(F8-E8)</f>
        <v>0.37847222222222171</v>
      </c>
    </row>
    <row r="9" spans="2:8" x14ac:dyDescent="0.25">
      <c r="B9" s="11">
        <f>B8+1</f>
        <v>43148</v>
      </c>
      <c r="C9" s="12">
        <v>0.375</v>
      </c>
      <c r="D9" s="12">
        <v>0.54166666666666663</v>
      </c>
      <c r="E9" s="12">
        <v>0.56597222222222221</v>
      </c>
      <c r="F9" s="12">
        <v>0.81597222222222199</v>
      </c>
      <c r="G9" s="88">
        <f t="shared" si="0"/>
        <v>0.41666666666666641</v>
      </c>
      <c r="H9" s="95">
        <f t="shared" ref="H9:H11" si="1">(D9-C9)+(F9-E9)</f>
        <v>0.41666666666666641</v>
      </c>
    </row>
    <row r="10" spans="2:8" x14ac:dyDescent="0.25">
      <c r="B10" s="11">
        <f>B9+1</f>
        <v>43149</v>
      </c>
      <c r="C10" s="12">
        <v>0.33333333333333331</v>
      </c>
      <c r="D10" s="12">
        <v>0.54166666666666663</v>
      </c>
      <c r="E10" s="12">
        <v>0.58333333333333337</v>
      </c>
      <c r="F10" s="12">
        <v>0.85763888888888895</v>
      </c>
      <c r="G10" s="88">
        <f t="shared" si="0"/>
        <v>0.48263888888888884</v>
      </c>
      <c r="H10" s="95">
        <f t="shared" si="1"/>
        <v>0.4826388888888889</v>
      </c>
    </row>
    <row r="11" spans="2:8" x14ac:dyDescent="0.25">
      <c r="B11" s="11">
        <f>B10+1</f>
        <v>43150</v>
      </c>
      <c r="C11" s="12">
        <v>0.34722222222222227</v>
      </c>
      <c r="D11" s="12">
        <v>0.5</v>
      </c>
      <c r="E11" s="12">
        <v>0.54166666666666663</v>
      </c>
      <c r="F11" s="12">
        <v>0.89930555555555503</v>
      </c>
      <c r="G11" s="88">
        <f t="shared" si="0"/>
        <v>0.51041666666666619</v>
      </c>
      <c r="H11" s="95">
        <f t="shared" si="1"/>
        <v>0.51041666666666607</v>
      </c>
    </row>
    <row r="12" spans="2:8" x14ac:dyDescent="0.25">
      <c r="B12" s="13"/>
      <c r="C12" s="13"/>
      <c r="D12" s="13"/>
      <c r="E12" s="13"/>
      <c r="F12" s="6" t="s">
        <v>82</v>
      </c>
      <c r="G12" s="88">
        <f>SUM(G7:G11)</f>
        <v>2.1458333333333317</v>
      </c>
      <c r="H12" s="96">
        <f>SUM(H7:H11)</f>
        <v>2.1458333333333317</v>
      </c>
    </row>
    <row r="13" spans="2:8" x14ac:dyDescent="0.25">
      <c r="B13" s="14"/>
      <c r="C13" s="14"/>
      <c r="D13" s="14"/>
      <c r="E13" s="14"/>
      <c r="F13" s="14"/>
      <c r="G13" s="69"/>
    </row>
    <row r="14" spans="2:8" x14ac:dyDescent="0.25">
      <c r="G14" s="96"/>
    </row>
    <row r="15" spans="2:8" x14ac:dyDescent="0.25">
      <c r="C15" s="94"/>
      <c r="D15" s="92"/>
      <c r="F15" s="91"/>
      <c r="G15" s="95"/>
    </row>
    <row r="16" spans="2:8" x14ac:dyDescent="0.25">
      <c r="C16" s="97"/>
      <c r="F16" s="91"/>
      <c r="G16" s="93"/>
    </row>
    <row r="17" spans="3:6" x14ac:dyDescent="0.25">
      <c r="C17" s="97"/>
      <c r="F17" s="91"/>
    </row>
    <row r="18" spans="3:6" x14ac:dyDescent="0.25">
      <c r="C18" s="94"/>
      <c r="F18" s="87"/>
    </row>
    <row r="19" spans="3:6" x14ac:dyDescent="0.25">
      <c r="C19" s="94"/>
    </row>
    <row r="21" spans="3:6" x14ac:dyDescent="0.25">
      <c r="D21" s="89"/>
      <c r="E21" s="91"/>
      <c r="F21" s="98"/>
    </row>
    <row r="22" spans="3:6" x14ac:dyDescent="0.25">
      <c r="D22" s="89"/>
      <c r="E22" s="91"/>
      <c r="F22" s="98"/>
    </row>
    <row r="23" spans="3:6" x14ac:dyDescent="0.25">
      <c r="D23" s="89"/>
      <c r="E23" s="91"/>
      <c r="F23" s="98"/>
    </row>
  </sheetData>
  <customSheetViews>
    <customSheetView guid="{040B4F36-7090-4437-BB1D-6D678277E015}" scale="140">
      <selection activeCell="H6" sqref="H6"/>
      <pageMargins left="0.7" right="0.7" top="0.75" bottom="0.75" header="0.3" footer="0.3"/>
      <pageSetup orientation="portrait" r:id="rId1"/>
    </customSheetView>
  </customSheetViews>
  <mergeCells count="1">
    <mergeCell ref="B3:G3"/>
  </mergeCell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5:M17"/>
  <sheetViews>
    <sheetView topLeftCell="B1" zoomScale="140" zoomScaleNormal="140" workbookViewId="0">
      <selection activeCell="L1" sqref="L1"/>
    </sheetView>
  </sheetViews>
  <sheetFormatPr defaultRowHeight="15" x14ac:dyDescent="0.25"/>
  <cols>
    <col min="3" max="3" width="9.42578125" customWidth="1"/>
    <col min="4" max="4" width="8.85546875" customWidth="1"/>
    <col min="5" max="5" width="7" customWidth="1"/>
    <col min="6" max="6" width="8.140625" customWidth="1"/>
    <col min="7" max="8" width="7.85546875" customWidth="1"/>
    <col min="9" max="9" width="8.42578125" customWidth="1"/>
    <col min="10" max="10" width="9.140625" customWidth="1"/>
    <col min="11" max="11" width="9.28515625" bestFit="1" customWidth="1"/>
  </cols>
  <sheetData>
    <row r="5" spans="2:13" ht="15.75" thickBot="1" x14ac:dyDescent="0.3">
      <c r="B5" s="107" t="s">
        <v>57</v>
      </c>
      <c r="C5" s="107" t="s">
        <v>5</v>
      </c>
      <c r="D5" s="107" t="s">
        <v>71</v>
      </c>
      <c r="E5" s="107" t="s">
        <v>72</v>
      </c>
      <c r="F5" s="107" t="s">
        <v>73</v>
      </c>
      <c r="G5" s="107" t="s">
        <v>74</v>
      </c>
      <c r="H5" s="107" t="s">
        <v>58</v>
      </c>
      <c r="I5" s="107" t="s">
        <v>75</v>
      </c>
      <c r="J5" s="107" t="s">
        <v>76</v>
      </c>
      <c r="K5" s="107" t="s">
        <v>77</v>
      </c>
    </row>
    <row r="6" spans="2:13" ht="16.5" thickTop="1" thickBot="1" x14ac:dyDescent="0.3">
      <c r="B6" s="108" t="s">
        <v>59</v>
      </c>
      <c r="C6" s="108">
        <v>15245</v>
      </c>
      <c r="D6" s="108">
        <v>14027</v>
      </c>
      <c r="E6" s="108">
        <v>10348</v>
      </c>
      <c r="F6" s="108">
        <f>D6-E6</f>
        <v>3679</v>
      </c>
      <c r="G6" s="108">
        <f>C6-D6</f>
        <v>1218</v>
      </c>
      <c r="H6" s="109">
        <f>E6/D6</f>
        <v>0.73772011121408709</v>
      </c>
      <c r="I6" s="109">
        <f>F6/D6</f>
        <v>0.26227988878591291</v>
      </c>
      <c r="J6" s="109">
        <f>G6/C6</f>
        <v>7.9895047556575921E-2</v>
      </c>
      <c r="K6" s="109">
        <f>D6/C6</f>
        <v>0.92010495244342405</v>
      </c>
    </row>
    <row r="7" spans="2:13" ht="16.5" thickTop="1" thickBot="1" x14ac:dyDescent="0.3">
      <c r="B7" s="108" t="s">
        <v>60</v>
      </c>
      <c r="C7" s="108">
        <v>20438</v>
      </c>
      <c r="D7" s="108">
        <v>16238</v>
      </c>
      <c r="E7" s="108">
        <v>12162</v>
      </c>
      <c r="F7" s="108">
        <f t="shared" ref="F7:F9" si="0">D7-E7</f>
        <v>4076</v>
      </c>
      <c r="G7" s="108">
        <f t="shared" ref="G7:G9" si="1">C7-D7</f>
        <v>4200</v>
      </c>
      <c r="H7" s="109">
        <f t="shared" ref="H7:H9" si="2">E7/D7</f>
        <v>0.74898386500800596</v>
      </c>
      <c r="I7" s="109">
        <f t="shared" ref="I7:I9" si="3">F7/D7</f>
        <v>0.2510161349919941</v>
      </c>
      <c r="J7" s="109">
        <f t="shared" ref="J7:J9" si="4">G7/C7</f>
        <v>0.20549955964380076</v>
      </c>
      <c r="K7" s="109">
        <f t="shared" ref="K7:K9" si="5">D7/C7</f>
        <v>0.79450044035619927</v>
      </c>
      <c r="L7" s="68"/>
      <c r="M7" s="68"/>
    </row>
    <row r="8" spans="2:13" ht="16.5" thickTop="1" thickBot="1" x14ac:dyDescent="0.3">
      <c r="B8" s="108" t="s">
        <v>61</v>
      </c>
      <c r="C8" s="108">
        <v>23123</v>
      </c>
      <c r="D8" s="108">
        <v>18163</v>
      </c>
      <c r="E8" s="108">
        <v>15124</v>
      </c>
      <c r="F8" s="108">
        <f t="shared" si="0"/>
        <v>3039</v>
      </c>
      <c r="G8" s="108">
        <f t="shared" si="1"/>
        <v>4960</v>
      </c>
      <c r="H8" s="109">
        <f t="shared" si="2"/>
        <v>0.83268182568958871</v>
      </c>
      <c r="I8" s="109">
        <f t="shared" si="3"/>
        <v>0.16731817431041127</v>
      </c>
      <c r="J8" s="109">
        <f t="shared" si="4"/>
        <v>0.21450503827358042</v>
      </c>
      <c r="K8" s="109">
        <f t="shared" si="5"/>
        <v>0.78549496172641953</v>
      </c>
    </row>
    <row r="9" spans="2:13" ht="16.5" thickTop="1" thickBot="1" x14ac:dyDescent="0.3">
      <c r="B9" s="108" t="s">
        <v>62</v>
      </c>
      <c r="C9" s="108">
        <v>39424</v>
      </c>
      <c r="D9" s="108">
        <v>35456</v>
      </c>
      <c r="E9" s="108">
        <v>33564</v>
      </c>
      <c r="F9" s="108">
        <f t="shared" si="0"/>
        <v>1892</v>
      </c>
      <c r="G9" s="108">
        <f t="shared" si="1"/>
        <v>3968</v>
      </c>
      <c r="H9" s="109">
        <f t="shared" si="2"/>
        <v>0.9466380866425993</v>
      </c>
      <c r="I9" s="109">
        <f t="shared" si="3"/>
        <v>5.3361913357400724E-2</v>
      </c>
      <c r="J9" s="109">
        <f t="shared" si="4"/>
        <v>0.10064935064935066</v>
      </c>
      <c r="K9" s="109">
        <f t="shared" si="5"/>
        <v>0.89935064935064934</v>
      </c>
    </row>
    <row r="10" spans="2:13" ht="15.75" thickTop="1" x14ac:dyDescent="0.25"/>
    <row r="12" spans="2:13" x14ac:dyDescent="0.25">
      <c r="F12" s="68"/>
      <c r="G12" s="68"/>
      <c r="H12" s="68"/>
      <c r="I12" s="68"/>
      <c r="J12" s="68"/>
      <c r="K12" s="68"/>
    </row>
    <row r="13" spans="2:13" x14ac:dyDescent="0.25">
      <c r="C13" s="4"/>
    </row>
    <row r="14" spans="2:13" x14ac:dyDescent="0.25">
      <c r="C14" s="4"/>
    </row>
    <row r="15" spans="2:13" x14ac:dyDescent="0.25">
      <c r="C15" s="4"/>
    </row>
    <row r="16" spans="2:13" x14ac:dyDescent="0.25">
      <c r="C16" s="4"/>
      <c r="I16" s="64"/>
      <c r="K16" s="78"/>
    </row>
    <row r="17" spans="3:3" x14ac:dyDescent="0.25">
      <c r="C17" s="4"/>
    </row>
  </sheetData>
  <customSheetViews>
    <customSheetView guid="{040B4F36-7090-4437-BB1D-6D678277E015}" scale="140">
      <selection activeCell="D16" sqref="D16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W116"/>
  <sheetViews>
    <sheetView topLeftCell="A92" zoomScaleNormal="100" workbookViewId="0">
      <selection activeCell="C110" sqref="C110"/>
    </sheetView>
  </sheetViews>
  <sheetFormatPr defaultColWidth="9.140625" defaultRowHeight="15" x14ac:dyDescent="0.25"/>
  <cols>
    <col min="1" max="1" width="20.28515625" style="15" bestFit="1" customWidth="1"/>
    <col min="2" max="2" width="21.28515625" style="15" customWidth="1"/>
    <col min="3" max="3" width="13.28515625" style="15" bestFit="1" customWidth="1"/>
    <col min="4" max="4" width="18.28515625" style="15" bestFit="1" customWidth="1"/>
    <col min="5" max="5" width="16.7109375" style="15" bestFit="1" customWidth="1"/>
    <col min="6" max="6" width="18.85546875" style="15" customWidth="1"/>
    <col min="7" max="7" width="18.7109375" style="15" customWidth="1"/>
    <col min="8" max="8" width="12.7109375" style="15" customWidth="1"/>
    <col min="9" max="9" width="18.42578125" style="15" customWidth="1"/>
    <col min="10" max="10" width="20.5703125" style="15" customWidth="1"/>
    <col min="11" max="11" width="13.28515625" style="15" bestFit="1" customWidth="1"/>
    <col min="12" max="12" width="12" style="33" bestFit="1" customWidth="1"/>
    <col min="13" max="13" width="12" style="15" bestFit="1" customWidth="1"/>
    <col min="14" max="14" width="19.5703125" style="15" bestFit="1" customWidth="1"/>
    <col min="15" max="15" width="12.140625" style="15" customWidth="1"/>
    <col min="16" max="16" width="12" style="15" bestFit="1" customWidth="1"/>
    <col min="17" max="18" width="9.140625" style="15"/>
    <col min="19" max="19" width="19.5703125" style="15" bestFit="1" customWidth="1"/>
    <col min="20" max="16384" width="9.140625" style="15"/>
  </cols>
  <sheetData>
    <row r="2" spans="1:12" x14ac:dyDescent="0.25">
      <c r="A2" s="35"/>
      <c r="B2" s="16" t="s">
        <v>83</v>
      </c>
      <c r="C2" s="26">
        <v>35065</v>
      </c>
      <c r="F2" s="22" t="s">
        <v>92</v>
      </c>
      <c r="G2" s="36" t="s">
        <v>93</v>
      </c>
    </row>
    <row r="3" spans="1:12" x14ac:dyDescent="0.25">
      <c r="A3" s="35"/>
      <c r="B3" s="16" t="s">
        <v>84</v>
      </c>
      <c r="C3" s="26">
        <v>42200</v>
      </c>
      <c r="F3" s="22" t="s">
        <v>94</v>
      </c>
      <c r="G3" s="37" t="s">
        <v>95</v>
      </c>
    </row>
    <row r="4" spans="1:12" x14ac:dyDescent="0.25">
      <c r="A4" s="35"/>
      <c r="B4" s="16" t="s">
        <v>85</v>
      </c>
      <c r="C4" s="22">
        <f>DATEDIF(C2,C3,"d")</f>
        <v>7135</v>
      </c>
      <c r="F4" s="22" t="s">
        <v>96</v>
      </c>
      <c r="G4" s="23" t="s">
        <v>97</v>
      </c>
    </row>
    <row r="5" spans="1:12" x14ac:dyDescent="0.25">
      <c r="A5" s="35"/>
      <c r="B5" s="16" t="s">
        <v>86</v>
      </c>
      <c r="C5" s="16" t="s">
        <v>87</v>
      </c>
      <c r="F5" s="22" t="s">
        <v>98</v>
      </c>
      <c r="G5" s="37" t="s">
        <v>99</v>
      </c>
    </row>
    <row r="6" spans="1:12" x14ac:dyDescent="0.25">
      <c r="A6" s="35"/>
      <c r="B6" s="16" t="s">
        <v>88</v>
      </c>
      <c r="C6" s="16" t="s">
        <v>89</v>
      </c>
      <c r="F6" s="22" t="s">
        <v>100</v>
      </c>
      <c r="G6" s="23" t="s">
        <v>101</v>
      </c>
    </row>
    <row r="7" spans="1:12" x14ac:dyDescent="0.25">
      <c r="B7" s="23"/>
      <c r="C7" s="23"/>
      <c r="F7" s="22" t="s">
        <v>102</v>
      </c>
      <c r="G7" s="37" t="s">
        <v>103</v>
      </c>
    </row>
    <row r="8" spans="1:12" x14ac:dyDescent="0.25">
      <c r="A8" s="35" t="s">
        <v>147</v>
      </c>
    </row>
    <row r="9" spans="1:12" x14ac:dyDescent="0.25">
      <c r="B9" s="46" t="s">
        <v>83</v>
      </c>
      <c r="C9" s="46" t="s">
        <v>84</v>
      </c>
      <c r="D9" s="65" t="s">
        <v>130</v>
      </c>
      <c r="E9" s="65" t="s">
        <v>22</v>
      </c>
      <c r="F9" s="65" t="s">
        <v>131</v>
      </c>
      <c r="G9" s="65" t="s">
        <v>132</v>
      </c>
      <c r="H9" s="65" t="s">
        <v>133</v>
      </c>
      <c r="I9" s="65" t="s">
        <v>134</v>
      </c>
      <c r="J9" s="65" t="s">
        <v>139</v>
      </c>
    </row>
    <row r="10" spans="1:12" x14ac:dyDescent="0.25">
      <c r="B10" s="24">
        <v>37667</v>
      </c>
      <c r="C10" s="24">
        <f t="shared" ref="C10:C17" ca="1" si="0">TODAY()</f>
        <v>45512</v>
      </c>
      <c r="D10" s="76">
        <f ca="1">DATEDIF(B10,C10,"d")</f>
        <v>7845</v>
      </c>
      <c r="E10" s="76">
        <f ca="1">DATEDIF(B10,C10,"m")</f>
        <v>257</v>
      </c>
      <c r="F10" s="76">
        <f ca="1">DATEDIF(B10,C10,"y")</f>
        <v>21</v>
      </c>
      <c r="G10" s="76">
        <f ca="1">DATEDIF(B10,C10,"yd")</f>
        <v>174</v>
      </c>
      <c r="H10" s="76">
        <f ca="1">DATEDIF(B10,C10,"ym")</f>
        <v>5</v>
      </c>
      <c r="I10" s="76">
        <f ca="1">DATEDIF(B10,C10,"md")</f>
        <v>24</v>
      </c>
      <c r="J10" s="76" t="str">
        <f ca="1">DATEDIF(B10,C10,"Y")&amp; " Years, " &amp; DATEDIF(B10,C10,"YM")&amp; " Months, " &amp; DATEDIF(B10,C10,"MD")&amp; " Days "</f>
        <v xml:space="preserve">21 Years, 5 Months, 24 Days </v>
      </c>
      <c r="L10" s="61"/>
    </row>
    <row r="11" spans="1:12" x14ac:dyDescent="0.25">
      <c r="A11" s="35"/>
      <c r="B11" s="24">
        <v>31383</v>
      </c>
      <c r="C11" s="24">
        <f t="shared" ca="1" si="0"/>
        <v>45512</v>
      </c>
      <c r="D11" s="76">
        <f ca="1">DATEDIF(B11,C11,"d")</f>
        <v>14129</v>
      </c>
      <c r="E11" s="76">
        <f ca="1">DATEDIF(B11,C11,"m")</f>
        <v>464</v>
      </c>
      <c r="F11" s="76">
        <f ca="1">DATEDIF(B11,C11,"y")</f>
        <v>38</v>
      </c>
      <c r="G11" s="76">
        <f ca="1">DATEDIF(B11,C11,"yd")</f>
        <v>249</v>
      </c>
      <c r="H11" s="76">
        <f ca="1">DATEDIF(B11,C11,"ym")</f>
        <v>8</v>
      </c>
      <c r="I11" s="76">
        <f ca="1">DATEDIF(B11,C11,"md")</f>
        <v>6</v>
      </c>
      <c r="J11" s="76" t="e">
        <f ca="1">DATEDIF(B11,C11,"y")&amp; "Years, "&amp; DATEDIF(B11,C11,"ym")&amp; "Months, "&amp; DATEDIF(B11,C11,"md")&amp; Days</f>
        <v>#NAME?</v>
      </c>
      <c r="K11" s="60"/>
      <c r="L11" s="61"/>
    </row>
    <row r="12" spans="1:12" x14ac:dyDescent="0.25">
      <c r="A12" s="35"/>
      <c r="B12" s="24">
        <v>33227</v>
      </c>
      <c r="C12" s="24">
        <f t="shared" ca="1" si="0"/>
        <v>45512</v>
      </c>
      <c r="D12" s="76">
        <f ca="1">DATEDIF(B12,C12,"d")</f>
        <v>12285</v>
      </c>
      <c r="E12" s="76">
        <f ca="1">DATEDIF(B12,C12,"m")</f>
        <v>403</v>
      </c>
      <c r="F12" s="76">
        <f ca="1">DATEDIF(B12,C12,"y")</f>
        <v>33</v>
      </c>
      <c r="G12" s="76">
        <f ca="1">DATEDIF(B12,C12,"yd")</f>
        <v>231</v>
      </c>
      <c r="H12" s="76">
        <f ca="1">DATEDIF(B12,C12,"ym")</f>
        <v>7</v>
      </c>
      <c r="I12" s="76">
        <f ca="1">DATEDIF(B12,C12,"md")</f>
        <v>19</v>
      </c>
      <c r="J12" s="76"/>
      <c r="K12" s="60"/>
      <c r="L12" s="61"/>
    </row>
    <row r="13" spans="1:12" x14ac:dyDescent="0.25">
      <c r="A13" s="35"/>
      <c r="B13" s="24">
        <v>27419</v>
      </c>
      <c r="C13" s="24">
        <f t="shared" ca="1" si="0"/>
        <v>45512</v>
      </c>
      <c r="D13" s="76">
        <f t="shared" ref="D13:D17" ca="1" si="1">DATEDIF(B13,C13,"d")</f>
        <v>18093</v>
      </c>
      <c r="E13" s="76">
        <f ca="1">DATEDIF(B13,C13,"m")</f>
        <v>594</v>
      </c>
      <c r="F13" s="76">
        <f t="shared" ref="F13:F17" ca="1" si="2">DATEDIF(B13,C13,"y")</f>
        <v>49</v>
      </c>
      <c r="G13" s="76">
        <f t="shared" ref="G13:G17" ca="1" si="3">DATEDIF(B13,C13,"yd")</f>
        <v>195</v>
      </c>
      <c r="H13" s="76">
        <f t="shared" ref="H13:H17" ca="1" si="4">DATEDIF(B13,C13,"ym")</f>
        <v>6</v>
      </c>
      <c r="I13" s="76">
        <f t="shared" ref="I13:I17" ca="1" si="5">DATEDIF(B13,C13,"md")</f>
        <v>14</v>
      </c>
      <c r="J13" s="76"/>
      <c r="K13" s="60"/>
      <c r="L13" s="61"/>
    </row>
    <row r="14" spans="1:12" x14ac:dyDescent="0.25">
      <c r="A14" s="35"/>
      <c r="B14" s="24">
        <v>43096</v>
      </c>
      <c r="C14" s="24">
        <f t="shared" ca="1" si="0"/>
        <v>45512</v>
      </c>
      <c r="D14" s="76">
        <f t="shared" ca="1" si="1"/>
        <v>2416</v>
      </c>
      <c r="E14" s="76">
        <f t="shared" ref="E14:E17" ca="1" si="6">DATEDIF(B14,C14,"m")</f>
        <v>79</v>
      </c>
      <c r="F14" s="76">
        <f t="shared" ca="1" si="2"/>
        <v>6</v>
      </c>
      <c r="G14" s="76">
        <f t="shared" ca="1" si="3"/>
        <v>224</v>
      </c>
      <c r="H14" s="76">
        <f t="shared" ca="1" si="4"/>
        <v>7</v>
      </c>
      <c r="I14" s="76">
        <f t="shared" ca="1" si="5"/>
        <v>12</v>
      </c>
      <c r="J14" s="76"/>
      <c r="K14" s="60"/>
      <c r="L14" s="61"/>
    </row>
    <row r="15" spans="1:12" x14ac:dyDescent="0.25">
      <c r="A15" s="35"/>
      <c r="B15" s="57">
        <v>40179</v>
      </c>
      <c r="C15" s="24">
        <f t="shared" ca="1" si="0"/>
        <v>45512</v>
      </c>
      <c r="D15" s="76">
        <f t="shared" ca="1" si="1"/>
        <v>5333</v>
      </c>
      <c r="E15" s="76">
        <f t="shared" ca="1" si="6"/>
        <v>175</v>
      </c>
      <c r="F15" s="76">
        <f t="shared" ca="1" si="2"/>
        <v>14</v>
      </c>
      <c r="G15" s="76">
        <f t="shared" ca="1" si="3"/>
        <v>219</v>
      </c>
      <c r="H15" s="76">
        <f t="shared" ca="1" si="4"/>
        <v>7</v>
      </c>
      <c r="I15" s="76">
        <f t="shared" ca="1" si="5"/>
        <v>7</v>
      </c>
      <c r="J15" s="76"/>
      <c r="K15" s="60"/>
      <c r="L15" s="61"/>
    </row>
    <row r="16" spans="1:12" x14ac:dyDescent="0.25">
      <c r="A16" s="35"/>
      <c r="B16" s="57">
        <v>40180</v>
      </c>
      <c r="C16" s="24">
        <f t="shared" ca="1" si="0"/>
        <v>45512</v>
      </c>
      <c r="D16" s="76">
        <f t="shared" ca="1" si="1"/>
        <v>5332</v>
      </c>
      <c r="E16" s="76">
        <f t="shared" ca="1" si="6"/>
        <v>175</v>
      </c>
      <c r="F16" s="76">
        <f t="shared" ca="1" si="2"/>
        <v>14</v>
      </c>
      <c r="G16" s="76">
        <f t="shared" ca="1" si="3"/>
        <v>218</v>
      </c>
      <c r="H16" s="76">
        <f t="shared" ca="1" si="4"/>
        <v>7</v>
      </c>
      <c r="I16" s="76">
        <f t="shared" ca="1" si="5"/>
        <v>6</v>
      </c>
      <c r="J16" s="76"/>
      <c r="K16" s="60"/>
      <c r="L16" s="61"/>
    </row>
    <row r="17" spans="1:13" x14ac:dyDescent="0.25">
      <c r="A17" s="35"/>
      <c r="B17" s="57">
        <v>40301</v>
      </c>
      <c r="C17" s="24">
        <f t="shared" ca="1" si="0"/>
        <v>45512</v>
      </c>
      <c r="D17" s="76">
        <f t="shared" ca="1" si="1"/>
        <v>5211</v>
      </c>
      <c r="E17" s="76">
        <f t="shared" ca="1" si="6"/>
        <v>171</v>
      </c>
      <c r="F17" s="76">
        <f t="shared" ca="1" si="2"/>
        <v>14</v>
      </c>
      <c r="G17" s="76">
        <f t="shared" ca="1" si="3"/>
        <v>97</v>
      </c>
      <c r="H17" s="76">
        <f t="shared" ca="1" si="4"/>
        <v>3</v>
      </c>
      <c r="I17" s="76">
        <f t="shared" ca="1" si="5"/>
        <v>5</v>
      </c>
      <c r="J17" s="76"/>
    </row>
    <row r="18" spans="1:13" x14ac:dyDescent="0.25">
      <c r="A18" s="35"/>
      <c r="E18" s="73"/>
      <c r="F18" s="73"/>
      <c r="G18" s="73"/>
      <c r="L18" s="61"/>
    </row>
    <row r="19" spans="1:13" x14ac:dyDescent="0.25">
      <c r="A19" s="35" t="s">
        <v>90</v>
      </c>
      <c r="B19" s="39">
        <f ca="1">NOW()</f>
        <v>45512.837814699073</v>
      </c>
      <c r="D19"/>
      <c r="E19"/>
      <c r="F19" s="85"/>
      <c r="G19"/>
      <c r="H19"/>
      <c r="I19"/>
      <c r="L19" s="15"/>
    </row>
    <row r="20" spans="1:13" x14ac:dyDescent="0.25">
      <c r="A20" s="35"/>
      <c r="B20" s="40" t="s">
        <v>158</v>
      </c>
      <c r="D20"/>
      <c r="E20"/>
      <c r="F20"/>
      <c r="G20"/>
      <c r="H20"/>
      <c r="I20"/>
      <c r="J20" s="81"/>
      <c r="K20" s="73"/>
      <c r="L20" s="73"/>
      <c r="M20" s="73"/>
    </row>
    <row r="21" spans="1:13" x14ac:dyDescent="0.25">
      <c r="A21" s="80" t="s">
        <v>91</v>
      </c>
      <c r="B21" s="26">
        <f ca="1">TODAY()</f>
        <v>45512</v>
      </c>
      <c r="D21"/>
      <c r="E21"/>
      <c r="F21" s="4"/>
      <c r="G21"/>
      <c r="H21"/>
      <c r="I21" s="2"/>
      <c r="J21" s="73"/>
      <c r="K21" s="73"/>
      <c r="L21" s="73"/>
      <c r="M21" s="73"/>
    </row>
    <row r="22" spans="1:13" x14ac:dyDescent="0.25">
      <c r="A22" s="35"/>
      <c r="D22"/>
      <c r="E22"/>
      <c r="F22" s="4">
        <f ca="1">TODAY()</f>
        <v>45512</v>
      </c>
      <c r="G22"/>
      <c r="H22"/>
      <c r="I22" s="2"/>
      <c r="J22" s="73"/>
      <c r="K22" s="73"/>
      <c r="L22" s="73"/>
      <c r="M22" s="73"/>
    </row>
    <row r="23" spans="1:13" x14ac:dyDescent="0.25">
      <c r="A23" s="35" t="s">
        <v>104</v>
      </c>
      <c r="B23" s="17" t="s">
        <v>83</v>
      </c>
      <c r="C23" s="24">
        <v>45320</v>
      </c>
      <c r="D23" s="4"/>
      <c r="F23"/>
      <c r="G23"/>
      <c r="H23"/>
      <c r="I23"/>
      <c r="J23" s="73"/>
      <c r="K23" s="73"/>
      <c r="L23" s="73"/>
    </row>
    <row r="24" spans="1:13" x14ac:dyDescent="0.25">
      <c r="A24" s="35"/>
      <c r="B24" s="18" t="s">
        <v>105</v>
      </c>
      <c r="C24" s="16">
        <v>20</v>
      </c>
      <c r="D24" s="4"/>
      <c r="E24"/>
      <c r="F24"/>
      <c r="G24"/>
      <c r="H24"/>
      <c r="I24"/>
      <c r="J24" s="73"/>
      <c r="K24" s="73"/>
      <c r="L24" s="73"/>
    </row>
    <row r="25" spans="1:13" x14ac:dyDescent="0.25">
      <c r="A25" s="35"/>
      <c r="B25" s="18" t="s">
        <v>106</v>
      </c>
      <c r="C25" s="24">
        <v>45325</v>
      </c>
      <c r="D25" s="4"/>
      <c r="E25"/>
      <c r="F25"/>
      <c r="G25"/>
      <c r="H25"/>
      <c r="I25"/>
      <c r="J25" s="73"/>
      <c r="K25" s="73"/>
      <c r="L25" s="73"/>
    </row>
    <row r="26" spans="1:13" x14ac:dyDescent="0.25">
      <c r="A26" s="35"/>
      <c r="B26" s="18" t="s">
        <v>107</v>
      </c>
      <c r="C26" s="24">
        <v>45326</v>
      </c>
      <c r="D26" s="4"/>
      <c r="E26"/>
      <c r="F26"/>
      <c r="G26"/>
      <c r="H26"/>
      <c r="I26"/>
      <c r="J26" s="73"/>
      <c r="K26" s="73"/>
      <c r="L26" s="73"/>
    </row>
    <row r="27" spans="1:13" x14ac:dyDescent="0.25">
      <c r="A27" s="35"/>
      <c r="B27" s="18" t="s">
        <v>153</v>
      </c>
      <c r="C27" s="24">
        <v>45327</v>
      </c>
      <c r="D27" s="4"/>
      <c r="E27"/>
      <c r="F27"/>
      <c r="G27"/>
      <c r="H27"/>
      <c r="I27"/>
      <c r="J27" s="73"/>
      <c r="K27" s="73"/>
      <c r="L27" s="73"/>
    </row>
    <row r="28" spans="1:13" x14ac:dyDescent="0.25">
      <c r="A28" s="35"/>
      <c r="B28" s="18" t="s">
        <v>154</v>
      </c>
      <c r="C28" s="24">
        <v>45343</v>
      </c>
      <c r="D28" s="4"/>
      <c r="E28"/>
      <c r="F28"/>
      <c r="G28"/>
      <c r="H28"/>
      <c r="I28"/>
      <c r="J28" s="73"/>
      <c r="K28" s="73"/>
      <c r="L28" s="73"/>
    </row>
    <row r="29" spans="1:13" x14ac:dyDescent="0.25">
      <c r="A29" s="35"/>
      <c r="B29" s="43" t="s">
        <v>84</v>
      </c>
      <c r="C29" s="67">
        <f>WORKDAY(C23,C24,C25:C28)</f>
        <v>45350</v>
      </c>
      <c r="D29" s="4"/>
      <c r="E29"/>
      <c r="F29"/>
      <c r="G29"/>
      <c r="H29"/>
      <c r="I29"/>
      <c r="J29" s="73"/>
      <c r="K29" s="73"/>
      <c r="L29" s="73"/>
    </row>
    <row r="30" spans="1:13" x14ac:dyDescent="0.25">
      <c r="A30" s="35"/>
      <c r="B30" s="23"/>
      <c r="D30"/>
      <c r="E30"/>
      <c r="F30"/>
      <c r="G30"/>
      <c r="H30"/>
      <c r="I30"/>
      <c r="J30" s="73"/>
      <c r="K30" s="73"/>
      <c r="L30" s="73"/>
    </row>
    <row r="31" spans="1:13" x14ac:dyDescent="0.25">
      <c r="A31" s="35" t="s">
        <v>108</v>
      </c>
      <c r="B31" s="17" t="s">
        <v>83</v>
      </c>
      <c r="C31" s="24">
        <v>45320</v>
      </c>
      <c r="D31" s="110">
        <f>DATE(2024,MONTH(C31),DAY(C31))</f>
        <v>45320</v>
      </c>
      <c r="E31"/>
      <c r="F31"/>
      <c r="G31"/>
      <c r="H31"/>
      <c r="I31"/>
      <c r="J31" s="73"/>
      <c r="K31" s="73"/>
      <c r="L31" s="73"/>
    </row>
    <row r="32" spans="1:13" x14ac:dyDescent="0.25">
      <c r="A32" s="35"/>
      <c r="B32" s="18" t="s">
        <v>105</v>
      </c>
      <c r="C32" s="16">
        <v>20</v>
      </c>
      <c r="D32"/>
      <c r="E32"/>
      <c r="F32"/>
      <c r="G32"/>
      <c r="H32"/>
      <c r="I32"/>
      <c r="J32" s="73"/>
      <c r="K32" s="73"/>
      <c r="L32" s="73"/>
    </row>
    <row r="33" spans="1:12" x14ac:dyDescent="0.25">
      <c r="A33" s="35"/>
      <c r="B33" s="18" t="s">
        <v>106</v>
      </c>
      <c r="C33" s="24">
        <v>45325</v>
      </c>
      <c r="D33" s="4">
        <f>DATE(2024,MONTH(C33),DAY(C33))</f>
        <v>45325</v>
      </c>
      <c r="E33"/>
      <c r="F33"/>
      <c r="G33"/>
      <c r="H33"/>
      <c r="I33"/>
      <c r="J33" s="73"/>
      <c r="K33" s="73"/>
      <c r="L33" s="73"/>
    </row>
    <row r="34" spans="1:12" x14ac:dyDescent="0.25">
      <c r="A34" s="35"/>
      <c r="B34" s="18" t="s">
        <v>107</v>
      </c>
      <c r="C34" s="24">
        <v>45326</v>
      </c>
      <c r="D34" s="4">
        <f t="shared" ref="D34:D36" si="7">DATE(2024,MONTH(C34),DAY(C34))</f>
        <v>45326</v>
      </c>
      <c r="E34"/>
      <c r="F34"/>
      <c r="G34"/>
      <c r="H34"/>
      <c r="I34"/>
      <c r="J34" s="73"/>
      <c r="K34" s="73"/>
      <c r="L34" s="73"/>
    </row>
    <row r="35" spans="1:12" x14ac:dyDescent="0.25">
      <c r="A35" s="35"/>
      <c r="B35" s="18" t="s">
        <v>153</v>
      </c>
      <c r="C35" s="24">
        <v>45327</v>
      </c>
      <c r="D35" s="4">
        <f t="shared" si="7"/>
        <v>45327</v>
      </c>
      <c r="E35"/>
      <c r="F35"/>
      <c r="G35"/>
      <c r="H35"/>
      <c r="I35"/>
      <c r="J35" s="73"/>
      <c r="K35" s="73"/>
      <c r="L35" s="73"/>
    </row>
    <row r="36" spans="1:12" x14ac:dyDescent="0.25">
      <c r="A36" s="35"/>
      <c r="B36" s="18" t="s">
        <v>154</v>
      </c>
      <c r="C36" s="24">
        <v>45343</v>
      </c>
      <c r="D36" s="4">
        <f t="shared" si="7"/>
        <v>45343</v>
      </c>
      <c r="E36"/>
      <c r="F36"/>
      <c r="G36"/>
      <c r="H36"/>
      <c r="I36"/>
      <c r="J36" s="73"/>
      <c r="K36" s="73"/>
      <c r="L36" s="73"/>
    </row>
    <row r="37" spans="1:12" x14ac:dyDescent="0.25">
      <c r="A37" s="35"/>
      <c r="B37" s="43" t="s">
        <v>84</v>
      </c>
      <c r="C37" s="67">
        <f>WORKDAY.INTL(C31,C32,11,C33:C36)</f>
        <v>45346</v>
      </c>
      <c r="D37" s="4">
        <f>DATE(2024,MONTH(C37),DAY(C37))</f>
        <v>45346</v>
      </c>
      <c r="E37"/>
      <c r="F37"/>
      <c r="G37"/>
      <c r="H37"/>
      <c r="I37"/>
      <c r="J37" s="73"/>
      <c r="K37" s="73"/>
      <c r="L37" s="73"/>
    </row>
    <row r="38" spans="1:12" x14ac:dyDescent="0.25">
      <c r="A38" s="35"/>
      <c r="B38" s="23"/>
      <c r="C38" s="84"/>
      <c r="D38"/>
      <c r="E38"/>
      <c r="F38"/>
      <c r="G38"/>
      <c r="H38"/>
      <c r="I38"/>
      <c r="J38" s="73"/>
      <c r="K38" s="73"/>
      <c r="L38" s="73"/>
    </row>
    <row r="39" spans="1:12" x14ac:dyDescent="0.25">
      <c r="A39" s="82" t="s">
        <v>109</v>
      </c>
      <c r="B39" s="45"/>
      <c r="C39" s="41"/>
      <c r="E39" s="73"/>
      <c r="F39" s="73"/>
      <c r="G39" s="73"/>
      <c r="H39" s="73"/>
      <c r="I39" s="73"/>
      <c r="J39" s="73"/>
      <c r="K39" s="73"/>
      <c r="L39" s="73"/>
    </row>
    <row r="40" spans="1:12" x14ac:dyDescent="0.25">
      <c r="A40" s="35"/>
      <c r="B40" s="16" t="s">
        <v>110</v>
      </c>
      <c r="C40" s="24">
        <v>43859</v>
      </c>
      <c r="E40" s="73"/>
      <c r="F40" s="73"/>
      <c r="G40" s="73"/>
      <c r="H40" s="73"/>
      <c r="I40" s="73"/>
      <c r="J40" s="73"/>
      <c r="K40" s="73"/>
      <c r="L40" s="73"/>
    </row>
    <row r="41" spans="1:12" x14ac:dyDescent="0.25">
      <c r="A41" s="35"/>
      <c r="B41" s="16" t="s">
        <v>111</v>
      </c>
      <c r="C41" s="24">
        <v>43905</v>
      </c>
      <c r="F41" s="73"/>
      <c r="G41" s="73"/>
      <c r="H41" s="73"/>
      <c r="I41" s="73"/>
      <c r="L41" s="15"/>
    </row>
    <row r="42" spans="1:12" x14ac:dyDescent="0.25">
      <c r="A42" s="35"/>
      <c r="B42" s="18" t="s">
        <v>106</v>
      </c>
      <c r="C42" s="24">
        <v>43864</v>
      </c>
      <c r="F42" s="73"/>
      <c r="G42" s="73"/>
      <c r="H42" s="73"/>
      <c r="I42" s="73"/>
      <c r="L42" s="15"/>
    </row>
    <row r="43" spans="1:12" x14ac:dyDescent="0.25">
      <c r="A43" s="35"/>
      <c r="B43" s="18" t="s">
        <v>107</v>
      </c>
      <c r="C43" s="24">
        <v>43865</v>
      </c>
      <c r="F43" s="73"/>
      <c r="G43" s="73"/>
      <c r="H43" s="73"/>
      <c r="I43" s="73"/>
    </row>
    <row r="44" spans="1:12" x14ac:dyDescent="0.25">
      <c r="A44" s="35"/>
      <c r="B44" s="18" t="s">
        <v>153</v>
      </c>
      <c r="C44" s="24">
        <v>43866</v>
      </c>
      <c r="F44" s="73"/>
      <c r="G44" s="73"/>
      <c r="H44" s="73"/>
      <c r="I44" s="73"/>
    </row>
    <row r="45" spans="1:12" x14ac:dyDescent="0.25">
      <c r="A45" s="35"/>
      <c r="B45" s="18" t="s">
        <v>154</v>
      </c>
      <c r="C45" s="24">
        <v>43882</v>
      </c>
      <c r="F45" s="73"/>
      <c r="G45" s="73"/>
      <c r="H45" s="73"/>
      <c r="I45" s="73"/>
    </row>
    <row r="46" spans="1:12" x14ac:dyDescent="0.25">
      <c r="A46" s="35"/>
      <c r="B46" s="43" t="s">
        <v>84</v>
      </c>
      <c r="C46" s="86">
        <f>NETWORKDAYS(C40,C41,C42:C45)</f>
        <v>29</v>
      </c>
      <c r="F46" s="73"/>
      <c r="G46" s="73"/>
      <c r="H46" s="73"/>
      <c r="I46" s="73"/>
    </row>
    <row r="47" spans="1:12" x14ac:dyDescent="0.25">
      <c r="A47" s="35"/>
      <c r="B47" s="23"/>
      <c r="C47" s="23"/>
      <c r="F47" s="73"/>
      <c r="G47" s="73"/>
      <c r="H47" s="73"/>
      <c r="I47" s="73"/>
    </row>
    <row r="48" spans="1:12" x14ac:dyDescent="0.25">
      <c r="A48" s="82" t="s">
        <v>112</v>
      </c>
      <c r="B48" s="45"/>
      <c r="C48" s="41"/>
      <c r="F48" s="73"/>
      <c r="G48" s="73"/>
      <c r="H48" s="73"/>
      <c r="I48" s="73"/>
    </row>
    <row r="49" spans="1:11" x14ac:dyDescent="0.25">
      <c r="A49" s="35"/>
      <c r="B49" s="16" t="s">
        <v>110</v>
      </c>
      <c r="C49" s="24">
        <v>43859</v>
      </c>
      <c r="E49" s="23"/>
      <c r="F49" s="73"/>
      <c r="G49" s="73"/>
      <c r="H49" s="73"/>
      <c r="I49" s="73"/>
    </row>
    <row r="50" spans="1:11" x14ac:dyDescent="0.25">
      <c r="A50" s="35"/>
      <c r="B50" s="16" t="s">
        <v>111</v>
      </c>
      <c r="C50" s="24">
        <v>43905</v>
      </c>
      <c r="E50" s="23"/>
    </row>
    <row r="51" spans="1:11" x14ac:dyDescent="0.25">
      <c r="A51" s="35"/>
      <c r="B51" s="18" t="s">
        <v>106</v>
      </c>
      <c r="C51" s="24">
        <v>43864</v>
      </c>
      <c r="E51" s="23"/>
      <c r="J51" s="38"/>
    </row>
    <row r="52" spans="1:11" x14ac:dyDescent="0.25">
      <c r="A52" s="35"/>
      <c r="B52" s="18" t="s">
        <v>107</v>
      </c>
      <c r="C52" s="24">
        <v>43865</v>
      </c>
      <c r="E52" s="23"/>
    </row>
    <row r="53" spans="1:11" x14ac:dyDescent="0.25">
      <c r="A53" s="35"/>
      <c r="B53" s="18" t="s">
        <v>153</v>
      </c>
      <c r="C53" s="24">
        <v>43866</v>
      </c>
      <c r="E53" s="23"/>
    </row>
    <row r="54" spans="1:11" x14ac:dyDescent="0.25">
      <c r="A54" s="35"/>
      <c r="B54" s="18" t="s">
        <v>154</v>
      </c>
      <c r="C54" s="24">
        <v>43882</v>
      </c>
      <c r="E54" s="23"/>
    </row>
    <row r="55" spans="1:11" x14ac:dyDescent="0.25">
      <c r="A55" s="35"/>
      <c r="B55" s="43" t="s">
        <v>84</v>
      </c>
      <c r="C55" s="86">
        <f>NETWORKDAYS.INTL(C49,C50,11,C51:C54)</f>
        <v>36</v>
      </c>
      <c r="E55" s="23"/>
    </row>
    <row r="56" spans="1:11" x14ac:dyDescent="0.25">
      <c r="A56" s="35"/>
      <c r="B56" s="23"/>
      <c r="C56" s="23"/>
      <c r="E56" s="23"/>
    </row>
    <row r="57" spans="1:11" x14ac:dyDescent="0.25">
      <c r="A57" s="35"/>
      <c r="B57" s="23"/>
      <c r="C57" s="23"/>
      <c r="E57" s="23"/>
    </row>
    <row r="58" spans="1:11" x14ac:dyDescent="0.25">
      <c r="A58" s="35"/>
      <c r="B58" s="23"/>
      <c r="C58" s="41"/>
    </row>
    <row r="59" spans="1:11" x14ac:dyDescent="0.25">
      <c r="A59" s="35" t="s">
        <v>113</v>
      </c>
      <c r="B59" s="46" t="s">
        <v>83</v>
      </c>
      <c r="C59" s="46" t="s">
        <v>114</v>
      </c>
      <c r="D59" s="27" t="s">
        <v>84</v>
      </c>
      <c r="E59" s="28"/>
    </row>
    <row r="60" spans="1:11" x14ac:dyDescent="0.25">
      <c r="A60" s="35"/>
      <c r="B60" s="29">
        <v>42339</v>
      </c>
      <c r="C60" s="25">
        <v>18</v>
      </c>
      <c r="D60" s="32">
        <f>EOMONTH(B60,C60)</f>
        <v>42916</v>
      </c>
      <c r="E60" s="41"/>
      <c r="F60" s="38"/>
      <c r="G60" s="38"/>
    </row>
    <row r="61" spans="1:11" x14ac:dyDescent="0.25">
      <c r="A61" s="35"/>
      <c r="B61" s="29">
        <v>42340</v>
      </c>
      <c r="C61" s="25">
        <v>36</v>
      </c>
      <c r="D61" s="32">
        <f>EOMONTH(B61,C61)</f>
        <v>43465</v>
      </c>
      <c r="E61" s="42"/>
      <c r="F61" s="73"/>
      <c r="G61" s="73"/>
      <c r="H61" s="73"/>
      <c r="I61" s="73"/>
      <c r="J61" s="73"/>
      <c r="K61" s="73"/>
    </row>
    <row r="62" spans="1:11" x14ac:dyDescent="0.25">
      <c r="A62" s="35"/>
      <c r="B62" s="29">
        <v>43089</v>
      </c>
      <c r="C62" s="47">
        <v>48</v>
      </c>
      <c r="D62" s="32">
        <f>EOMONTH(B62,C62)</f>
        <v>44561</v>
      </c>
      <c r="E62" s="42"/>
      <c r="F62" s="73"/>
      <c r="G62" s="73"/>
      <c r="H62" s="73"/>
      <c r="I62" s="73"/>
      <c r="J62" s="73"/>
      <c r="K62" s="73"/>
    </row>
    <row r="63" spans="1:11" x14ac:dyDescent="0.25">
      <c r="A63" s="35"/>
      <c r="B63" s="29">
        <v>43125</v>
      </c>
      <c r="C63" s="47">
        <v>24</v>
      </c>
      <c r="D63" s="32">
        <f>EOMONTH(B63,C63)</f>
        <v>43861</v>
      </c>
      <c r="E63" s="42"/>
      <c r="F63" s="73"/>
      <c r="G63" s="81"/>
      <c r="H63" s="73"/>
      <c r="I63" s="73"/>
      <c r="J63" s="73"/>
      <c r="K63" s="73"/>
    </row>
    <row r="64" spans="1:11" x14ac:dyDescent="0.25">
      <c r="A64" s="35"/>
      <c r="B64" s="29">
        <v>43096</v>
      </c>
      <c r="C64" s="47">
        <v>60</v>
      </c>
      <c r="D64" s="32">
        <f>EOMONTH(B64,C64)</f>
        <v>44926</v>
      </c>
      <c r="E64" s="42"/>
      <c r="F64" s="73"/>
      <c r="G64" s="73"/>
      <c r="H64" s="73"/>
      <c r="I64" s="73"/>
      <c r="J64" s="73"/>
      <c r="K64" s="73"/>
    </row>
    <row r="65" spans="1:23" x14ac:dyDescent="0.25">
      <c r="A65" s="35"/>
      <c r="B65" s="23"/>
      <c r="C65" s="48"/>
      <c r="D65" s="44"/>
      <c r="E65" s="44"/>
      <c r="F65" s="73"/>
      <c r="G65" s="73"/>
      <c r="H65" s="73"/>
      <c r="I65" s="73"/>
      <c r="J65" s="73"/>
      <c r="K65" s="73"/>
    </row>
    <row r="66" spans="1:23" x14ac:dyDescent="0.25">
      <c r="A66" s="35" t="s">
        <v>117</v>
      </c>
      <c r="B66" s="27" t="s">
        <v>83</v>
      </c>
      <c r="C66" s="27" t="s">
        <v>135</v>
      </c>
      <c r="D66" s="27" t="s">
        <v>84</v>
      </c>
      <c r="E66" s="28"/>
      <c r="F66" s="73"/>
      <c r="G66" s="73"/>
      <c r="H66" s="73"/>
      <c r="I66" s="73"/>
      <c r="J66" s="73"/>
      <c r="K66" s="73"/>
    </row>
    <row r="67" spans="1:23" x14ac:dyDescent="0.25">
      <c r="A67" s="35"/>
      <c r="B67" s="29">
        <v>42353</v>
      </c>
      <c r="C67" s="25">
        <v>48</v>
      </c>
      <c r="D67" s="32">
        <f>EDATE(B67,C67)</f>
        <v>43814</v>
      </c>
      <c r="E67" s="73"/>
      <c r="F67" s="81"/>
      <c r="G67" s="73"/>
      <c r="H67" s="73"/>
      <c r="I67" s="73"/>
      <c r="J67" s="73"/>
      <c r="K67" s="73"/>
    </row>
    <row r="68" spans="1:23" x14ac:dyDescent="0.25">
      <c r="A68" s="35"/>
      <c r="B68" s="29">
        <v>42340</v>
      </c>
      <c r="C68" s="25">
        <v>120</v>
      </c>
      <c r="D68" s="32">
        <f>EDATE(B68,C68)</f>
        <v>45993</v>
      </c>
      <c r="E68" s="30"/>
      <c r="F68" s="73"/>
      <c r="G68" s="73"/>
      <c r="H68" s="73"/>
      <c r="I68" s="73"/>
      <c r="J68" s="73"/>
      <c r="K68" s="73"/>
    </row>
    <row r="69" spans="1:23" x14ac:dyDescent="0.25">
      <c r="A69" s="35"/>
      <c r="B69" s="29">
        <v>43089</v>
      </c>
      <c r="C69" s="47">
        <v>48</v>
      </c>
      <c r="D69" s="32">
        <f>EDATE(B69,C69)</f>
        <v>44550</v>
      </c>
      <c r="E69" s="49"/>
      <c r="F69" s="73"/>
      <c r="G69" s="73"/>
      <c r="H69" s="73"/>
      <c r="I69" s="73"/>
      <c r="J69" s="73"/>
      <c r="K69" s="73"/>
    </row>
    <row r="70" spans="1:23" x14ac:dyDescent="0.25">
      <c r="A70" s="35"/>
      <c r="B70" s="29">
        <v>43125</v>
      </c>
      <c r="C70" s="47">
        <v>24</v>
      </c>
      <c r="D70" s="32">
        <f>EDATE(B70,C70)</f>
        <v>43855</v>
      </c>
      <c r="E70" s="49"/>
      <c r="N70" s="73"/>
      <c r="O70" s="73"/>
      <c r="P70" s="73"/>
      <c r="Q70" s="73"/>
      <c r="R70" s="73"/>
      <c r="S70" s="73"/>
      <c r="T70" s="73"/>
      <c r="U70" s="73"/>
      <c r="V70" s="73"/>
      <c r="W70" s="73"/>
    </row>
    <row r="71" spans="1:23" x14ac:dyDescent="0.25">
      <c r="A71" s="35"/>
      <c r="B71" s="29">
        <v>43096</v>
      </c>
      <c r="C71" s="47">
        <v>60</v>
      </c>
      <c r="D71" s="32">
        <f>EDATE(B71,C71)</f>
        <v>44922</v>
      </c>
      <c r="E71" s="49"/>
      <c r="N71" s="73"/>
      <c r="O71" s="73"/>
      <c r="P71" s="73"/>
      <c r="Q71" s="73"/>
      <c r="R71" s="73"/>
      <c r="S71" s="73"/>
      <c r="T71" s="73"/>
      <c r="U71" s="73"/>
      <c r="V71" s="73"/>
      <c r="W71" s="73"/>
    </row>
    <row r="72" spans="1:23" x14ac:dyDescent="0.25">
      <c r="A72" s="35"/>
      <c r="N72" s="73"/>
      <c r="O72" s="73"/>
      <c r="P72" s="73"/>
      <c r="Q72" s="73"/>
      <c r="R72" s="73"/>
      <c r="S72" s="73"/>
      <c r="T72" s="73"/>
      <c r="U72" s="73"/>
      <c r="V72" s="73"/>
      <c r="W72" s="73"/>
    </row>
    <row r="73" spans="1:23" x14ac:dyDescent="0.25">
      <c r="A73" s="35" t="s">
        <v>115</v>
      </c>
      <c r="B73" s="31" t="s">
        <v>116</v>
      </c>
      <c r="C73" s="77" t="s">
        <v>115</v>
      </c>
      <c r="D73" s="65" t="s">
        <v>136</v>
      </c>
      <c r="E73" s="65" t="s">
        <v>118</v>
      </c>
      <c r="F73" s="65" t="s">
        <v>137</v>
      </c>
      <c r="G73" s="65" t="s">
        <v>144</v>
      </c>
      <c r="H73" s="65" t="s">
        <v>127</v>
      </c>
      <c r="I73" s="65" t="s">
        <v>128</v>
      </c>
      <c r="J73" s="65" t="s">
        <v>129</v>
      </c>
      <c r="K73" s="65" t="s">
        <v>138</v>
      </c>
      <c r="L73" s="72" t="s">
        <v>144</v>
      </c>
      <c r="N73" s="73"/>
      <c r="O73" s="73"/>
      <c r="P73" s="73"/>
      <c r="Q73" s="73"/>
      <c r="R73" s="73"/>
      <c r="S73" s="73"/>
      <c r="T73" s="73"/>
      <c r="U73" s="73"/>
      <c r="V73" s="73"/>
      <c r="W73" s="73"/>
    </row>
    <row r="74" spans="1:23" x14ac:dyDescent="0.25">
      <c r="A74" s="35"/>
      <c r="B74" s="50">
        <v>42755.439965277779</v>
      </c>
      <c r="C74" s="16">
        <f>DAY(B74)</f>
        <v>20</v>
      </c>
      <c r="D74" s="16">
        <f t="shared" ref="D74:D80" si="8">MONTH(B74)</f>
        <v>1</v>
      </c>
      <c r="E74" s="16">
        <f>YEAR(B74)</f>
        <v>2017</v>
      </c>
      <c r="F74" s="26">
        <f>DATE(E74,D74,C74)</f>
        <v>42755</v>
      </c>
      <c r="G74" s="26">
        <f>DATE(YEAR(B74),MONTH(B74),DAY(B74))</f>
        <v>42755</v>
      </c>
      <c r="H74" s="16">
        <f>HOUR(B74)</f>
        <v>10</v>
      </c>
      <c r="I74" s="16">
        <f>MINUTE(B74)</f>
        <v>33</v>
      </c>
      <c r="J74" s="16">
        <f>SECOND(B74)</f>
        <v>33</v>
      </c>
      <c r="K74" s="70">
        <f>TIME(H74,I74,J74)</f>
        <v>0.43996527777777777</v>
      </c>
      <c r="L74" s="71">
        <f>TIME(HOUR(B74),MINUTE(B74),SECOND(B74))</f>
        <v>0.43996527777777777</v>
      </c>
      <c r="N74" s="73"/>
      <c r="O74" s="73"/>
      <c r="P74" s="73"/>
      <c r="Q74" s="73"/>
      <c r="R74" s="73"/>
      <c r="S74" s="73"/>
      <c r="T74" s="73"/>
      <c r="U74" s="73"/>
      <c r="V74" s="73"/>
      <c r="W74" s="73"/>
    </row>
    <row r="75" spans="1:23" x14ac:dyDescent="0.25">
      <c r="A75" s="35"/>
      <c r="B75" s="50">
        <v>42755.362349537034</v>
      </c>
      <c r="C75" s="16">
        <f>DAY(B75)</f>
        <v>20</v>
      </c>
      <c r="D75" s="16">
        <f t="shared" si="8"/>
        <v>1</v>
      </c>
      <c r="E75" s="16">
        <f>YEAR(B75)</f>
        <v>2017</v>
      </c>
      <c r="F75" s="26">
        <f>DATE(E75,D75,C75)</f>
        <v>42755</v>
      </c>
      <c r="G75" s="26">
        <f>DATE(YEAR(B75),MONTH(B75),DAY(B75))</f>
        <v>42755</v>
      </c>
      <c r="H75" s="16">
        <f>HOUR(B75)</f>
        <v>8</v>
      </c>
      <c r="I75" s="16">
        <f>MINUTE(B75)</f>
        <v>41</v>
      </c>
      <c r="J75" s="16">
        <f>SECOND(B75)</f>
        <v>47</v>
      </c>
      <c r="K75" s="70">
        <f>TIME(H75,I75,J75)</f>
        <v>0.36234953703703704</v>
      </c>
      <c r="L75" s="71">
        <f t="shared" ref="L75:L91" si="9">TIME(HOUR(B75),MINUTE(B75),SECOND(B75))</f>
        <v>0.36234953703703704</v>
      </c>
      <c r="N75" s="73"/>
      <c r="O75" s="73"/>
      <c r="P75" s="73"/>
      <c r="Q75" s="73"/>
      <c r="R75" s="73"/>
      <c r="S75" s="73"/>
      <c r="T75" s="73"/>
      <c r="U75" s="73"/>
      <c r="V75" s="73"/>
      <c r="W75" s="73"/>
    </row>
    <row r="76" spans="1:23" x14ac:dyDescent="0.25">
      <c r="A76" s="35"/>
      <c r="B76" s="50">
        <v>42755.353981481479</v>
      </c>
      <c r="C76" s="16">
        <f>DAY(B76)</f>
        <v>20</v>
      </c>
      <c r="D76" s="16">
        <f t="shared" si="8"/>
        <v>1</v>
      </c>
      <c r="E76" s="16">
        <f>YEAR(B76)</f>
        <v>2017</v>
      </c>
      <c r="F76" s="26">
        <f>DATE(E76,D76,C76)</f>
        <v>42755</v>
      </c>
      <c r="G76" s="26">
        <f>DATE(YEAR(B76),MONTH(B76),DAY(B76))</f>
        <v>42755</v>
      </c>
      <c r="H76" s="16">
        <f>HOUR(B76)</f>
        <v>8</v>
      </c>
      <c r="I76" s="16">
        <f>MINUTE(B76)</f>
        <v>29</v>
      </c>
      <c r="J76" s="16">
        <f>SECOND(B76)</f>
        <v>44</v>
      </c>
      <c r="K76" s="70">
        <f>TIME(H76,I76,J76)</f>
        <v>0.35398148148148145</v>
      </c>
      <c r="L76" s="71">
        <f t="shared" si="9"/>
        <v>0.35398148148148145</v>
      </c>
      <c r="N76" s="73"/>
      <c r="O76" s="73"/>
      <c r="P76" s="73"/>
      <c r="Q76" s="73"/>
      <c r="R76" s="73"/>
      <c r="S76" s="73"/>
      <c r="T76" s="73"/>
      <c r="U76" s="73"/>
      <c r="V76" s="73"/>
      <c r="W76" s="73"/>
    </row>
    <row r="77" spans="1:23" x14ac:dyDescent="0.25">
      <c r="A77" s="35"/>
      <c r="B77" s="50">
        <v>42754.200775462959</v>
      </c>
      <c r="C77" s="16">
        <f>DAY(B77)</f>
        <v>19</v>
      </c>
      <c r="D77" s="16">
        <f t="shared" si="8"/>
        <v>1</v>
      </c>
      <c r="E77" s="16">
        <f>YEAR(B77)</f>
        <v>2017</v>
      </c>
      <c r="F77" s="26">
        <f>DATE(E77,D77,C77)</f>
        <v>42754</v>
      </c>
      <c r="G77" s="26">
        <f t="shared" ref="G77:G91" si="10">DATE(YEAR(B77),MONTH(B77),DAY(B77))</f>
        <v>42754</v>
      </c>
      <c r="H77" s="16">
        <f>HOUR(B77)</f>
        <v>4</v>
      </c>
      <c r="I77" s="16">
        <f>MINUTE(B77)</f>
        <v>49</v>
      </c>
      <c r="J77" s="16">
        <f>SECOND(B77)</f>
        <v>7</v>
      </c>
      <c r="K77" s="70">
        <f>TIME(H77,I77,J77)</f>
        <v>0.20077546296296298</v>
      </c>
      <c r="L77" s="71">
        <f t="shared" si="9"/>
        <v>0.20077546296296298</v>
      </c>
      <c r="N77" s="73"/>
      <c r="O77" s="73"/>
      <c r="P77" s="73"/>
      <c r="Q77" s="73"/>
      <c r="R77" s="73"/>
      <c r="S77" s="73"/>
      <c r="T77" s="73"/>
      <c r="U77" s="73"/>
      <c r="V77" s="73"/>
      <c r="W77" s="73"/>
    </row>
    <row r="78" spans="1:23" x14ac:dyDescent="0.25">
      <c r="A78" s="35"/>
      <c r="B78" s="50">
        <v>42753.712835648148</v>
      </c>
      <c r="C78" s="16">
        <f t="shared" ref="C78:C91" si="11">DAY(B78)</f>
        <v>18</v>
      </c>
      <c r="D78" s="16">
        <f t="shared" si="8"/>
        <v>1</v>
      </c>
      <c r="E78" s="16">
        <f>YEAR(B78)</f>
        <v>2017</v>
      </c>
      <c r="F78" s="26">
        <f>DATE(E78,D78,C78)</f>
        <v>42753</v>
      </c>
      <c r="G78" s="26">
        <f t="shared" si="10"/>
        <v>42753</v>
      </c>
      <c r="H78" s="16">
        <f>HOUR(B78)</f>
        <v>17</v>
      </c>
      <c r="I78" s="16">
        <f>MINUTE(B78)</f>
        <v>6</v>
      </c>
      <c r="J78" s="16">
        <f>SECOND(B78)</f>
        <v>29</v>
      </c>
      <c r="K78" s="70">
        <f>TIME(H78,I78,J78)</f>
        <v>0.71283564814814815</v>
      </c>
      <c r="L78" s="71">
        <f t="shared" si="9"/>
        <v>0.71283564814814815</v>
      </c>
      <c r="N78" s="73"/>
      <c r="O78" s="73"/>
      <c r="P78" s="73"/>
      <c r="Q78" s="73"/>
      <c r="R78" s="73"/>
      <c r="S78" s="73"/>
      <c r="T78" s="73"/>
      <c r="U78" s="73"/>
      <c r="V78" s="73"/>
      <c r="W78" s="73"/>
    </row>
    <row r="79" spans="1:23" x14ac:dyDescent="0.25">
      <c r="A79" s="35"/>
      <c r="B79" s="50">
        <v>42753.121689814812</v>
      </c>
      <c r="C79" s="16">
        <f t="shared" si="11"/>
        <v>18</v>
      </c>
      <c r="D79" s="16">
        <f t="shared" si="8"/>
        <v>1</v>
      </c>
      <c r="E79" s="16">
        <f t="shared" ref="E79:E91" si="12">YEAR(B79)</f>
        <v>2017</v>
      </c>
      <c r="F79" s="26">
        <f t="shared" ref="F79:F91" si="13">DATE(E79,D79,C79)</f>
        <v>42753</v>
      </c>
      <c r="G79" s="26">
        <f t="shared" si="10"/>
        <v>42753</v>
      </c>
      <c r="H79" s="16">
        <f t="shared" ref="H79:H91" si="14">HOUR(B79)</f>
        <v>2</v>
      </c>
      <c r="I79" s="16">
        <f t="shared" ref="I79:I91" si="15">MINUTE(B79)</f>
        <v>55</v>
      </c>
      <c r="J79" s="16">
        <f t="shared" ref="J79:J91" si="16">SECOND(B79)</f>
        <v>14</v>
      </c>
      <c r="K79" s="70">
        <f t="shared" ref="K79:K91" si="17">TIME(H79,I79,J79)</f>
        <v>0.12168981481481482</v>
      </c>
      <c r="L79" s="71">
        <f t="shared" si="9"/>
        <v>0.12168981481481482</v>
      </c>
      <c r="N79" s="73"/>
      <c r="O79" s="73"/>
      <c r="P79" s="73"/>
      <c r="Q79" s="73"/>
      <c r="R79" s="73"/>
      <c r="S79" s="73"/>
      <c r="T79" s="73"/>
      <c r="U79" s="73"/>
      <c r="V79" s="73"/>
      <c r="W79" s="73"/>
    </row>
    <row r="80" spans="1:23" x14ac:dyDescent="0.25">
      <c r="A80" s="35"/>
      <c r="B80" s="50">
        <v>42752.784849537034</v>
      </c>
      <c r="C80" s="16">
        <f t="shared" si="11"/>
        <v>17</v>
      </c>
      <c r="D80" s="86">
        <f t="shared" si="8"/>
        <v>1</v>
      </c>
      <c r="E80" s="16">
        <f t="shared" si="12"/>
        <v>2017</v>
      </c>
      <c r="F80" s="26">
        <f t="shared" si="13"/>
        <v>42752</v>
      </c>
      <c r="G80" s="26">
        <f t="shared" si="10"/>
        <v>42752</v>
      </c>
      <c r="H80" s="16">
        <f t="shared" si="14"/>
        <v>18</v>
      </c>
      <c r="I80" s="16">
        <f t="shared" si="15"/>
        <v>50</v>
      </c>
      <c r="J80" s="16">
        <f t="shared" si="16"/>
        <v>11</v>
      </c>
      <c r="K80" s="70">
        <f t="shared" si="17"/>
        <v>0.78484953703703697</v>
      </c>
      <c r="L80" s="71">
        <f t="shared" si="9"/>
        <v>0.78484953703703697</v>
      </c>
      <c r="N80" s="73"/>
      <c r="O80" s="73"/>
      <c r="P80" s="73"/>
      <c r="Q80" s="73"/>
      <c r="R80" s="73"/>
      <c r="S80" s="73"/>
      <c r="T80" s="73"/>
      <c r="U80" s="73"/>
      <c r="V80" s="73"/>
      <c r="W80" s="73"/>
    </row>
    <row r="81" spans="1:23" x14ac:dyDescent="0.25">
      <c r="A81" s="35"/>
      <c r="B81" s="50">
        <v>42752.779421296298</v>
      </c>
      <c r="C81" s="16">
        <f t="shared" si="11"/>
        <v>17</v>
      </c>
      <c r="D81" s="86">
        <f t="shared" ref="D81:D91" si="18">MONTH(B81)</f>
        <v>1</v>
      </c>
      <c r="E81" s="16">
        <f t="shared" si="12"/>
        <v>2017</v>
      </c>
      <c r="F81" s="26">
        <f t="shared" si="13"/>
        <v>42752</v>
      </c>
      <c r="G81" s="26">
        <f t="shared" si="10"/>
        <v>42752</v>
      </c>
      <c r="H81" s="16">
        <f t="shared" si="14"/>
        <v>18</v>
      </c>
      <c r="I81" s="16">
        <f t="shared" si="15"/>
        <v>42</v>
      </c>
      <c r="J81" s="16">
        <f t="shared" si="16"/>
        <v>22</v>
      </c>
      <c r="K81" s="70">
        <f t="shared" si="17"/>
        <v>0.7794212962962962</v>
      </c>
      <c r="L81" s="71">
        <f t="shared" si="9"/>
        <v>0.7794212962962962</v>
      </c>
      <c r="N81" s="73"/>
      <c r="O81" s="73"/>
      <c r="P81" s="73"/>
      <c r="Q81" s="73"/>
      <c r="R81" s="73"/>
      <c r="S81" s="73"/>
      <c r="T81" s="73"/>
      <c r="U81" s="73"/>
      <c r="V81" s="73"/>
      <c r="W81" s="73"/>
    </row>
    <row r="82" spans="1:23" x14ac:dyDescent="0.25">
      <c r="A82" s="35"/>
      <c r="B82" s="50">
        <v>42752.751736111109</v>
      </c>
      <c r="C82" s="16">
        <f>DAY(B82)</f>
        <v>17</v>
      </c>
      <c r="D82" s="86">
        <f t="shared" si="18"/>
        <v>1</v>
      </c>
      <c r="E82" s="16">
        <f t="shared" si="12"/>
        <v>2017</v>
      </c>
      <c r="F82" s="26">
        <f t="shared" si="13"/>
        <v>42752</v>
      </c>
      <c r="G82" s="26">
        <f t="shared" si="10"/>
        <v>42752</v>
      </c>
      <c r="H82" s="16">
        <f t="shared" si="14"/>
        <v>18</v>
      </c>
      <c r="I82" s="16">
        <f t="shared" si="15"/>
        <v>2</v>
      </c>
      <c r="J82" s="16">
        <f t="shared" si="16"/>
        <v>30</v>
      </c>
      <c r="K82" s="70">
        <f t="shared" si="17"/>
        <v>0.75173611111111116</v>
      </c>
      <c r="L82" s="71">
        <f t="shared" si="9"/>
        <v>0.75173611111111116</v>
      </c>
      <c r="N82" s="73"/>
      <c r="O82" s="73"/>
      <c r="P82" s="73"/>
      <c r="Q82" s="73"/>
      <c r="R82" s="73"/>
      <c r="S82" s="73"/>
      <c r="T82" s="73"/>
      <c r="U82" s="73"/>
      <c r="V82" s="73"/>
      <c r="W82" s="73"/>
    </row>
    <row r="83" spans="1:23" x14ac:dyDescent="0.25">
      <c r="A83" s="35"/>
      <c r="B83" s="50">
        <v>42752.523229166669</v>
      </c>
      <c r="C83" s="16">
        <f t="shared" si="11"/>
        <v>17</v>
      </c>
      <c r="D83" s="86">
        <f t="shared" si="18"/>
        <v>1</v>
      </c>
      <c r="E83" s="16">
        <f t="shared" si="12"/>
        <v>2017</v>
      </c>
      <c r="F83" s="26">
        <f t="shared" si="13"/>
        <v>42752</v>
      </c>
      <c r="G83" s="26">
        <f t="shared" si="10"/>
        <v>42752</v>
      </c>
      <c r="H83" s="16">
        <f t="shared" si="14"/>
        <v>12</v>
      </c>
      <c r="I83" s="16">
        <f t="shared" si="15"/>
        <v>33</v>
      </c>
      <c r="J83" s="16">
        <f t="shared" si="16"/>
        <v>27</v>
      </c>
      <c r="K83" s="70">
        <f t="shared" si="17"/>
        <v>0.52322916666666663</v>
      </c>
      <c r="L83" s="71">
        <f t="shared" si="9"/>
        <v>0.52322916666666663</v>
      </c>
      <c r="N83" s="73"/>
      <c r="O83" s="73"/>
      <c r="P83" s="73"/>
      <c r="Q83" s="73"/>
      <c r="R83" s="73"/>
      <c r="S83" s="73"/>
      <c r="T83" s="73"/>
      <c r="U83" s="73"/>
      <c r="V83" s="73"/>
      <c r="W83" s="73"/>
    </row>
    <row r="84" spans="1:23" x14ac:dyDescent="0.25">
      <c r="A84" s="35"/>
      <c r="B84" s="50">
        <v>42752.4296412037</v>
      </c>
      <c r="C84" s="16">
        <f t="shared" si="11"/>
        <v>17</v>
      </c>
      <c r="D84" s="86">
        <f t="shared" si="18"/>
        <v>1</v>
      </c>
      <c r="E84" s="16">
        <f t="shared" si="12"/>
        <v>2017</v>
      </c>
      <c r="F84" s="26">
        <f t="shared" si="13"/>
        <v>42752</v>
      </c>
      <c r="G84" s="26">
        <f t="shared" si="10"/>
        <v>42752</v>
      </c>
      <c r="H84" s="16">
        <f t="shared" si="14"/>
        <v>10</v>
      </c>
      <c r="I84" s="16">
        <f t="shared" si="15"/>
        <v>18</v>
      </c>
      <c r="J84" s="16">
        <f t="shared" si="16"/>
        <v>41</v>
      </c>
      <c r="K84" s="70">
        <f t="shared" si="17"/>
        <v>0.42964120370370368</v>
      </c>
      <c r="L84" s="71">
        <f t="shared" si="9"/>
        <v>0.42964120370370368</v>
      </c>
      <c r="N84" s="73"/>
      <c r="O84" s="73"/>
      <c r="P84" s="73"/>
      <c r="Q84" s="73"/>
      <c r="R84" s="73"/>
      <c r="S84" s="73"/>
      <c r="T84" s="73"/>
      <c r="U84" s="73"/>
      <c r="V84" s="73"/>
      <c r="W84" s="73"/>
    </row>
    <row r="85" spans="1:23" x14ac:dyDescent="0.25">
      <c r="A85" s="35"/>
      <c r="B85" s="50">
        <v>42752.33525462963</v>
      </c>
      <c r="C85" s="16">
        <f t="shared" si="11"/>
        <v>17</v>
      </c>
      <c r="D85" s="86">
        <f t="shared" si="18"/>
        <v>1</v>
      </c>
      <c r="E85" s="16">
        <f t="shared" si="12"/>
        <v>2017</v>
      </c>
      <c r="F85" s="26">
        <f t="shared" si="13"/>
        <v>42752</v>
      </c>
      <c r="G85" s="26">
        <f t="shared" si="10"/>
        <v>42752</v>
      </c>
      <c r="H85" s="16">
        <f t="shared" si="14"/>
        <v>8</v>
      </c>
      <c r="I85" s="16">
        <f t="shared" si="15"/>
        <v>2</v>
      </c>
      <c r="J85" s="16">
        <f t="shared" si="16"/>
        <v>46</v>
      </c>
      <c r="K85" s="70">
        <f t="shared" si="17"/>
        <v>0.33525462962962965</v>
      </c>
      <c r="L85" s="71">
        <f t="shared" si="9"/>
        <v>0.33525462962962965</v>
      </c>
      <c r="N85" s="73"/>
      <c r="O85" s="73"/>
      <c r="P85" s="73"/>
      <c r="Q85" s="73"/>
      <c r="R85" s="73"/>
      <c r="S85" s="73"/>
      <c r="T85" s="73"/>
      <c r="U85" s="73"/>
      <c r="V85" s="73"/>
      <c r="W85" s="73"/>
    </row>
    <row r="86" spans="1:23" x14ac:dyDescent="0.25">
      <c r="A86" s="35"/>
      <c r="B86" s="50">
        <v>42752.331793981481</v>
      </c>
      <c r="C86" s="16">
        <f t="shared" si="11"/>
        <v>17</v>
      </c>
      <c r="D86" s="86">
        <f t="shared" si="18"/>
        <v>1</v>
      </c>
      <c r="E86" s="16">
        <f t="shared" si="12"/>
        <v>2017</v>
      </c>
      <c r="F86" s="26">
        <f t="shared" si="13"/>
        <v>42752</v>
      </c>
      <c r="G86" s="26">
        <f t="shared" si="10"/>
        <v>42752</v>
      </c>
      <c r="H86" s="16">
        <f t="shared" si="14"/>
        <v>7</v>
      </c>
      <c r="I86" s="16">
        <f t="shared" si="15"/>
        <v>57</v>
      </c>
      <c r="J86" s="16">
        <f t="shared" si="16"/>
        <v>47</v>
      </c>
      <c r="K86" s="70">
        <f t="shared" si="17"/>
        <v>0.33179398148148148</v>
      </c>
      <c r="L86" s="71">
        <f t="shared" si="9"/>
        <v>0.33179398148148148</v>
      </c>
      <c r="N86" s="73"/>
      <c r="O86" s="73"/>
      <c r="P86" s="73"/>
      <c r="Q86" s="73"/>
      <c r="R86" s="73"/>
      <c r="S86" s="73"/>
      <c r="T86" s="73"/>
      <c r="U86" s="73"/>
      <c r="V86" s="73"/>
      <c r="W86" s="73"/>
    </row>
    <row r="87" spans="1:23" x14ac:dyDescent="0.25">
      <c r="A87" s="35"/>
      <c r="B87" s="50">
        <v>42752.189710648148</v>
      </c>
      <c r="C87" s="16">
        <f t="shared" si="11"/>
        <v>17</v>
      </c>
      <c r="D87" s="86">
        <f t="shared" si="18"/>
        <v>1</v>
      </c>
      <c r="E87" s="16">
        <f t="shared" si="12"/>
        <v>2017</v>
      </c>
      <c r="F87" s="26">
        <f t="shared" si="13"/>
        <v>42752</v>
      </c>
      <c r="G87" s="26">
        <f t="shared" si="10"/>
        <v>42752</v>
      </c>
      <c r="H87" s="16">
        <f t="shared" si="14"/>
        <v>4</v>
      </c>
      <c r="I87" s="16">
        <f t="shared" si="15"/>
        <v>33</v>
      </c>
      <c r="J87" s="16">
        <f t="shared" si="16"/>
        <v>11</v>
      </c>
      <c r="K87" s="70">
        <f t="shared" si="17"/>
        <v>0.18971064814814817</v>
      </c>
      <c r="L87" s="71">
        <f t="shared" si="9"/>
        <v>0.18971064814814817</v>
      </c>
      <c r="N87" s="73"/>
      <c r="O87" s="73"/>
      <c r="P87" s="73"/>
      <c r="Q87" s="73"/>
      <c r="R87" s="73"/>
      <c r="S87" s="73"/>
      <c r="T87" s="73"/>
      <c r="U87" s="73"/>
      <c r="V87" s="73"/>
      <c r="W87" s="73"/>
    </row>
    <row r="88" spans="1:23" x14ac:dyDescent="0.25">
      <c r="A88" s="35"/>
      <c r="B88" s="50">
        <v>42751.762418981481</v>
      </c>
      <c r="C88" s="16">
        <f t="shared" si="11"/>
        <v>16</v>
      </c>
      <c r="D88" s="86">
        <f t="shared" si="18"/>
        <v>1</v>
      </c>
      <c r="E88" s="16">
        <f t="shared" si="12"/>
        <v>2017</v>
      </c>
      <c r="F88" s="26">
        <f t="shared" si="13"/>
        <v>42751</v>
      </c>
      <c r="G88" s="26">
        <f t="shared" si="10"/>
        <v>42751</v>
      </c>
      <c r="H88" s="16">
        <f t="shared" si="14"/>
        <v>18</v>
      </c>
      <c r="I88" s="16">
        <f t="shared" si="15"/>
        <v>17</v>
      </c>
      <c r="J88" s="16">
        <f t="shared" si="16"/>
        <v>53</v>
      </c>
      <c r="K88" s="70">
        <f t="shared" si="17"/>
        <v>0.76241898148148157</v>
      </c>
      <c r="L88" s="71">
        <f t="shared" si="9"/>
        <v>0.76241898148148157</v>
      </c>
      <c r="N88" s="73"/>
      <c r="O88" s="73"/>
      <c r="P88" s="73"/>
      <c r="Q88" s="73"/>
      <c r="R88" s="73"/>
      <c r="S88" s="73"/>
      <c r="T88" s="73"/>
      <c r="U88" s="73"/>
      <c r="V88" s="73"/>
      <c r="W88" s="73"/>
    </row>
    <row r="89" spans="1:23" x14ac:dyDescent="0.25">
      <c r="A89" s="35"/>
      <c r="B89" s="50">
        <v>42751.760104166664</v>
      </c>
      <c r="C89" s="16">
        <f t="shared" si="11"/>
        <v>16</v>
      </c>
      <c r="D89" s="86">
        <f t="shared" si="18"/>
        <v>1</v>
      </c>
      <c r="E89" s="16">
        <f t="shared" si="12"/>
        <v>2017</v>
      </c>
      <c r="F89" s="26">
        <f t="shared" si="13"/>
        <v>42751</v>
      </c>
      <c r="G89" s="26">
        <f t="shared" si="10"/>
        <v>42751</v>
      </c>
      <c r="H89" s="16">
        <f t="shared" si="14"/>
        <v>18</v>
      </c>
      <c r="I89" s="16">
        <f t="shared" si="15"/>
        <v>14</v>
      </c>
      <c r="J89" s="16">
        <f t="shared" si="16"/>
        <v>33</v>
      </c>
      <c r="K89" s="70">
        <f t="shared" si="17"/>
        <v>0.76010416666666669</v>
      </c>
      <c r="L89" s="71">
        <f t="shared" si="9"/>
        <v>0.76010416666666669</v>
      </c>
      <c r="N89" s="73"/>
      <c r="O89" s="73"/>
      <c r="P89" s="73"/>
      <c r="Q89" s="73"/>
      <c r="R89" s="73"/>
      <c r="S89" s="73"/>
      <c r="T89" s="73"/>
      <c r="U89" s="73"/>
      <c r="V89" s="73"/>
      <c r="W89" s="73"/>
    </row>
    <row r="90" spans="1:23" x14ac:dyDescent="0.25">
      <c r="A90" s="35"/>
      <c r="B90" s="50">
        <v>42751.698761574073</v>
      </c>
      <c r="C90" s="16">
        <f t="shared" si="11"/>
        <v>16</v>
      </c>
      <c r="D90" s="86">
        <f t="shared" si="18"/>
        <v>1</v>
      </c>
      <c r="E90" s="16">
        <f t="shared" si="12"/>
        <v>2017</v>
      </c>
      <c r="F90" s="26">
        <f t="shared" si="13"/>
        <v>42751</v>
      </c>
      <c r="G90" s="26">
        <f t="shared" si="10"/>
        <v>42751</v>
      </c>
      <c r="H90" s="16">
        <f t="shared" si="14"/>
        <v>16</v>
      </c>
      <c r="I90" s="16">
        <f t="shared" si="15"/>
        <v>46</v>
      </c>
      <c r="J90" s="16">
        <f t="shared" si="16"/>
        <v>13</v>
      </c>
      <c r="K90" s="70">
        <f t="shared" si="17"/>
        <v>0.69876157407407413</v>
      </c>
      <c r="L90" s="71">
        <f t="shared" si="9"/>
        <v>0.69876157407407413</v>
      </c>
      <c r="N90" s="73"/>
      <c r="O90" s="73"/>
      <c r="P90" s="73"/>
      <c r="Q90" s="73"/>
      <c r="R90" s="73"/>
      <c r="S90" s="73"/>
      <c r="T90" s="73"/>
      <c r="U90" s="73"/>
      <c r="V90" s="73"/>
      <c r="W90" s="73"/>
    </row>
    <row r="91" spans="1:23" x14ac:dyDescent="0.25">
      <c r="A91" s="35"/>
      <c r="B91" s="50">
        <v>42751.045034722221</v>
      </c>
      <c r="C91" s="16">
        <f t="shared" si="11"/>
        <v>16</v>
      </c>
      <c r="D91" s="86">
        <f t="shared" si="18"/>
        <v>1</v>
      </c>
      <c r="E91" s="16">
        <f t="shared" si="12"/>
        <v>2017</v>
      </c>
      <c r="F91" s="26">
        <f t="shared" si="13"/>
        <v>42751</v>
      </c>
      <c r="G91" s="26">
        <f t="shared" si="10"/>
        <v>42751</v>
      </c>
      <c r="H91" s="16">
        <f t="shared" si="14"/>
        <v>1</v>
      </c>
      <c r="I91" s="16">
        <f t="shared" si="15"/>
        <v>4</v>
      </c>
      <c r="J91" s="16">
        <f t="shared" si="16"/>
        <v>51</v>
      </c>
      <c r="K91" s="70">
        <f t="shared" si="17"/>
        <v>4.5034722222222219E-2</v>
      </c>
      <c r="L91" s="71">
        <f t="shared" si="9"/>
        <v>4.5034722222222219E-2</v>
      </c>
      <c r="N91" s="73"/>
      <c r="O91" s="73"/>
      <c r="P91" s="73"/>
      <c r="Q91" s="73"/>
      <c r="R91" s="73"/>
      <c r="S91" s="73"/>
      <c r="T91" s="73"/>
      <c r="U91" s="73"/>
      <c r="V91" s="73"/>
      <c r="W91" s="73"/>
    </row>
    <row r="92" spans="1:23" x14ac:dyDescent="0.25">
      <c r="A92" s="35"/>
      <c r="N92" s="73"/>
      <c r="O92" s="73"/>
      <c r="P92" s="73"/>
      <c r="Q92" s="73"/>
      <c r="R92" s="73"/>
      <c r="S92" s="73"/>
      <c r="T92" s="73"/>
      <c r="U92" s="73"/>
      <c r="V92" s="73"/>
      <c r="W92" s="73"/>
    </row>
    <row r="93" spans="1:23" x14ac:dyDescent="0.25">
      <c r="A93" s="35"/>
    </row>
    <row r="94" spans="1:23" x14ac:dyDescent="0.25">
      <c r="A94" s="83" t="s">
        <v>120</v>
      </c>
      <c r="B94" s="51"/>
    </row>
    <row r="95" spans="1:23" x14ac:dyDescent="0.25">
      <c r="A95" s="35"/>
      <c r="B95" s="20" t="s">
        <v>83</v>
      </c>
      <c r="C95" s="20" t="s">
        <v>84</v>
      </c>
      <c r="D95" s="20">
        <v>360</v>
      </c>
      <c r="E95" s="20">
        <v>365</v>
      </c>
      <c r="F95" s="20" t="s">
        <v>146</v>
      </c>
      <c r="H95" s="17"/>
      <c r="I95" s="36"/>
      <c r="J95" s="52"/>
      <c r="K95" s="33"/>
      <c r="L95" s="34"/>
    </row>
    <row r="96" spans="1:23" x14ac:dyDescent="0.25">
      <c r="A96" s="35"/>
      <c r="B96" s="24">
        <v>38487</v>
      </c>
      <c r="C96" s="24">
        <f ca="1">TODAY()</f>
        <v>45512</v>
      </c>
      <c r="D96" s="53">
        <f ca="1">YEARFRAC(B96,C96,2)</f>
        <v>19.513888888888889</v>
      </c>
      <c r="E96" s="53">
        <f ca="1">YEARFRAC(B96,C96,3)</f>
        <v>19.246575342465754</v>
      </c>
      <c r="F96" s="53">
        <f ca="1">YEARFRAC(B96,C96,1)</f>
        <v>19.23340177960301</v>
      </c>
      <c r="H96" s="54" t="s">
        <v>121</v>
      </c>
      <c r="I96" s="37"/>
      <c r="J96" s="55"/>
      <c r="K96" s="33"/>
      <c r="L96" s="34"/>
    </row>
    <row r="97" spans="1:15" x14ac:dyDescent="0.25">
      <c r="A97" s="35"/>
      <c r="B97" s="24">
        <v>37066</v>
      </c>
      <c r="C97" s="24">
        <f t="shared" ref="C97:C98" ca="1" si="19">TODAY()</f>
        <v>45512</v>
      </c>
      <c r="D97" s="53">
        <f t="shared" ref="D97:D98" ca="1" si="20">YEARFRAC(B97,C97,2)</f>
        <v>23.461111111111112</v>
      </c>
      <c r="E97" s="53">
        <f ca="1">YEARFRAC(B97,C97,3)</f>
        <v>23.139726027397259</v>
      </c>
      <c r="F97" s="53">
        <f ca="1">YEARFRAC(B97,C97,1)</f>
        <v>23.123887748117728</v>
      </c>
      <c r="H97" s="18" t="s">
        <v>122</v>
      </c>
      <c r="I97" s="23"/>
      <c r="J97" s="19"/>
      <c r="K97" s="33"/>
      <c r="L97" s="34"/>
      <c r="O97" s="59"/>
    </row>
    <row r="98" spans="1:15" x14ac:dyDescent="0.25">
      <c r="A98" s="35"/>
      <c r="B98" s="24">
        <v>33133</v>
      </c>
      <c r="C98" s="24">
        <f t="shared" ca="1" si="19"/>
        <v>45512</v>
      </c>
      <c r="D98" s="53">
        <f t="shared" ca="1" si="20"/>
        <v>34.386111111111113</v>
      </c>
      <c r="E98" s="53">
        <f ca="1">YEARFRAC(B98,C98,3)</f>
        <v>33.915068493150685</v>
      </c>
      <c r="F98" s="53">
        <f ca="1">YEARFRAC(B98,C98,1)</f>
        <v>33.89119211514393</v>
      </c>
      <c r="H98" s="54" t="s">
        <v>123</v>
      </c>
      <c r="I98" s="37"/>
      <c r="J98" s="55"/>
      <c r="K98" s="33"/>
      <c r="L98" s="34"/>
    </row>
    <row r="99" spans="1:15" x14ac:dyDescent="0.25">
      <c r="A99" s="35" t="s">
        <v>124</v>
      </c>
      <c r="E99" s="60"/>
      <c r="F99" s="60"/>
      <c r="G99" s="60"/>
      <c r="H99" s="60"/>
    </row>
    <row r="100" spans="1:15" x14ac:dyDescent="0.25">
      <c r="B100" s="20" t="s">
        <v>125</v>
      </c>
      <c r="C100" s="20" t="s">
        <v>84</v>
      </c>
      <c r="D100" s="21" t="s">
        <v>126</v>
      </c>
      <c r="E100" s="66"/>
      <c r="F100" s="60"/>
      <c r="G100" s="60"/>
      <c r="H100" s="60"/>
    </row>
    <row r="101" spans="1:15" x14ac:dyDescent="0.25">
      <c r="A101" s="35" t="s">
        <v>148</v>
      </c>
      <c r="B101" s="24">
        <v>42197</v>
      </c>
      <c r="C101" s="24">
        <v>43313</v>
      </c>
      <c r="D101" s="56">
        <f>_xlfn.DAYS(C101,B101)</f>
        <v>1116</v>
      </c>
      <c r="E101" s="60"/>
      <c r="F101" s="60"/>
      <c r="G101" s="60"/>
      <c r="H101" s="60"/>
      <c r="I101" s="75"/>
      <c r="L101" s="15"/>
    </row>
    <row r="102" spans="1:15" x14ac:dyDescent="0.25">
      <c r="B102" s="24">
        <v>42198</v>
      </c>
      <c r="C102" s="24">
        <v>42207</v>
      </c>
      <c r="D102" s="56">
        <f t="shared" ref="D102:D105" si="21">_xlfn.DAYS(C102,B102)</f>
        <v>9</v>
      </c>
      <c r="E102" s="73"/>
      <c r="F102" s="73"/>
      <c r="G102" s="74"/>
      <c r="H102" s="73"/>
      <c r="I102" s="73"/>
      <c r="L102" s="15"/>
    </row>
    <row r="103" spans="1:15" x14ac:dyDescent="0.25">
      <c r="B103" s="24">
        <v>38487</v>
      </c>
      <c r="C103" s="24">
        <v>40949</v>
      </c>
      <c r="D103" s="56">
        <f t="shared" si="21"/>
        <v>2462</v>
      </c>
      <c r="E103" s="73"/>
      <c r="F103" s="73"/>
      <c r="G103" s="73"/>
      <c r="H103" s="73"/>
      <c r="I103" s="73"/>
      <c r="L103" s="15"/>
    </row>
    <row r="104" spans="1:15" x14ac:dyDescent="0.25">
      <c r="B104" s="24">
        <v>37066</v>
      </c>
      <c r="C104" s="24">
        <v>41822</v>
      </c>
      <c r="D104" s="56">
        <f t="shared" si="21"/>
        <v>4756</v>
      </c>
      <c r="E104" s="73"/>
      <c r="F104" s="73"/>
      <c r="G104" s="74"/>
      <c r="H104" s="73"/>
      <c r="I104" s="73"/>
      <c r="L104" s="15"/>
    </row>
    <row r="105" spans="1:15" x14ac:dyDescent="0.25">
      <c r="B105" s="24">
        <v>33133</v>
      </c>
      <c r="C105" s="24">
        <v>41458</v>
      </c>
      <c r="D105" s="56">
        <f t="shared" si="21"/>
        <v>8325</v>
      </c>
      <c r="E105" s="73"/>
      <c r="F105" s="73"/>
      <c r="G105" s="73"/>
      <c r="H105" s="73"/>
      <c r="I105" s="73"/>
      <c r="L105" s="15"/>
    </row>
    <row r="106" spans="1:15" x14ac:dyDescent="0.25">
      <c r="E106" s="73"/>
      <c r="F106" s="73"/>
      <c r="G106" s="79"/>
      <c r="H106" s="73"/>
      <c r="I106" s="73"/>
      <c r="L106" s="15"/>
    </row>
    <row r="107" spans="1:15" x14ac:dyDescent="0.25">
      <c r="B107" s="38"/>
      <c r="E107" s="73"/>
      <c r="F107" s="73"/>
      <c r="G107" s="79"/>
      <c r="H107" s="73"/>
      <c r="I107" s="73"/>
      <c r="L107" s="15"/>
    </row>
    <row r="108" spans="1:15" x14ac:dyDescent="0.25">
      <c r="A108" s="35" t="s">
        <v>140</v>
      </c>
      <c r="B108" s="26" t="s">
        <v>119</v>
      </c>
      <c r="C108" s="16" t="s">
        <v>141</v>
      </c>
      <c r="E108" s="73"/>
      <c r="F108" s="73"/>
      <c r="G108" s="79"/>
      <c r="H108" s="73"/>
      <c r="I108" s="73"/>
      <c r="L108" s="15"/>
    </row>
    <row r="109" spans="1:15" x14ac:dyDescent="0.25">
      <c r="B109" s="26">
        <v>43734</v>
      </c>
      <c r="C109" s="16">
        <f>WEEKNUM(B109)</f>
        <v>39</v>
      </c>
      <c r="E109" s="73"/>
      <c r="F109" s="73"/>
      <c r="G109" s="73"/>
      <c r="H109" s="73"/>
      <c r="I109" s="73"/>
      <c r="L109" s="15"/>
    </row>
    <row r="110" spans="1:15" x14ac:dyDescent="0.25">
      <c r="C110" s="73"/>
      <c r="D110" s="73"/>
      <c r="E110" s="73"/>
      <c r="F110" s="73"/>
      <c r="G110" s="73"/>
      <c r="L110" s="15"/>
    </row>
    <row r="111" spans="1:15" x14ac:dyDescent="0.25">
      <c r="E111" s="73"/>
      <c r="F111" s="73"/>
      <c r="G111" s="73"/>
      <c r="H111" s="73"/>
      <c r="I111" s="73"/>
      <c r="L111" s="15"/>
    </row>
    <row r="112" spans="1:15" x14ac:dyDescent="0.25">
      <c r="E112" s="73"/>
      <c r="F112" s="73"/>
      <c r="G112" s="73"/>
      <c r="H112" s="73"/>
      <c r="I112" s="73"/>
    </row>
    <row r="113" spans="5:9" x14ac:dyDescent="0.25">
      <c r="E113" s="73"/>
      <c r="F113" s="73"/>
      <c r="G113" s="73"/>
      <c r="H113" s="73"/>
      <c r="I113" s="73"/>
    </row>
    <row r="114" spans="5:9" x14ac:dyDescent="0.25">
      <c r="E114" s="73"/>
      <c r="F114" s="73"/>
      <c r="G114" s="73"/>
      <c r="H114" s="73"/>
      <c r="I114" s="73"/>
    </row>
    <row r="115" spans="5:9" x14ac:dyDescent="0.25">
      <c r="E115" s="73"/>
      <c r="F115" s="73"/>
      <c r="G115" s="73"/>
      <c r="H115" s="73"/>
      <c r="I115" s="73"/>
    </row>
    <row r="116" spans="5:9" x14ac:dyDescent="0.25">
      <c r="E116" s="73"/>
      <c r="F116" s="73"/>
      <c r="G116" s="73"/>
      <c r="H116" s="73"/>
      <c r="I116" s="73"/>
    </row>
  </sheetData>
  <customSheetViews>
    <customSheetView guid="{040B4F36-7090-4437-BB1D-6D678277E015}" scale="106">
      <selection activeCell="E23" sqref="E23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Salary Sheet</vt:lpstr>
      <vt:lpstr>Product List</vt:lpstr>
      <vt:lpstr>Mark Sheet</vt:lpstr>
      <vt:lpstr>Time Sheet</vt:lpstr>
      <vt:lpstr>REGIONWISE ORDER</vt:lpstr>
      <vt:lpstr>Date &amp;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gis1</cp:lastModifiedBy>
  <dcterms:created xsi:type="dcterms:W3CDTF">2006-09-16T00:00:00Z</dcterms:created>
  <dcterms:modified xsi:type="dcterms:W3CDTF">2024-08-08T14:37:23Z</dcterms:modified>
</cp:coreProperties>
</file>