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codeName="ThisWorkbook"/>
  <mc:AlternateContent xmlns:mc="http://schemas.openxmlformats.org/markup-compatibility/2006">
    <mc:Choice Requires="x15">
      <x15ac:absPath xmlns:x15ac="http://schemas.microsoft.com/office/spreadsheetml/2010/11/ac" url="\\192.168.21.164\WEB_Backup\DS July 24 Batch Data\Yogesh Tekawade\"/>
    </mc:Choice>
  </mc:AlternateContent>
  <xr:revisionPtr revIDLastSave="0" documentId="13_ncr:1_{C2F99981-549D-475E-AA65-A68B6AAFE036}" xr6:coauthVersionLast="36" xr6:coauthVersionMax="36" xr10:uidLastSave="{00000000-0000-0000-0000-000000000000}"/>
  <bookViews>
    <workbookView xWindow="0" yWindow="0" windowWidth="24000" windowHeight="9525" tabRatio="907" firstSheet="1" activeTab="9" xr2:uid="{00000000-000D-0000-FFFF-FFFF00000000}"/>
  </bookViews>
  <sheets>
    <sheet name="start-up" sheetId="7" r:id="rId1"/>
    <sheet name="What if Analysis" sheetId="3" r:id="rId2"/>
    <sheet name="Cell Reference " sheetId="22" r:id="rId3"/>
    <sheet name="Date Function" sheetId="11" r:id="rId4"/>
    <sheet name="Datasheet" sheetId="12" r:id="rId5"/>
    <sheet name="Sort &amp; Filter" sheetId="8" r:id="rId6"/>
    <sheet name="Text to Columns" sheetId="24" r:id="rId7"/>
    <sheet name="Pivot" sheetId="19" r:id="rId8"/>
    <sheet name="Sheet3" sheetId="27" r:id="rId9"/>
    <sheet name="Sheet2" sheetId="26" r:id="rId10"/>
    <sheet name="Sheet1" sheetId="25" r:id="rId11"/>
    <sheet name="Name Manager" sheetId="13" r:id="rId12"/>
    <sheet name="Vlookup" sheetId="17" r:id="rId13"/>
    <sheet name="Data Validation" sheetId="18" r:id="rId14"/>
    <sheet name="Index &amp; Match" sheetId="14" r:id="rId15"/>
    <sheet name="Logical Function" sheetId="16" r:id="rId16"/>
    <sheet name="Consolidate" sheetId="15" r:id="rId17"/>
    <sheet name="Accounting" sheetId="20" r:id="rId18"/>
    <sheet name="Chart" sheetId="21" r:id="rId19"/>
    <sheet name="SHORT CUTS" sheetId="23" r:id="rId20"/>
  </sheets>
  <definedNames>
    <definedName name="_xlnm._FilterDatabase" localSheetId="5" hidden="1">'Sort &amp; Filter'!$B$2:$K$102</definedName>
    <definedName name="_xlnm._FilterDatabase" localSheetId="6" hidden="1">'Text to Columns'!$D$99:$D$198</definedName>
    <definedName name="_xlcn.WorksheetConnection_PivotB2H621" hidden="1">Pivot!$B$2:$H$62</definedName>
    <definedName name="_xlcn.WorksheetConnection_TrainingFile.xlsxBlood_Doners1" hidden="1">Blood_Doners[]</definedName>
    <definedName name="_xlcn.WorksheetConnection_TrainingFile.xlsxColddrinks1" hidden="1">Colddrinks[]</definedName>
    <definedName name="_xlcn.WorksheetConnection_TrainingFile.xlsxEmployee1" hidden="1">Employee[]</definedName>
    <definedName name="_xlcn.WorksheetConnection_TrainingFile.xlsxVlookup1" hidden="1">Vlookup[]</definedName>
    <definedName name="_xlcn.WorksheetConnection_VlookupB2G831" hidden="1">Vlookup!$B$2:$G$83</definedName>
    <definedName name="Slicer_Branch">#N/A</definedName>
    <definedName name="Slicer_Brand">#N/A</definedName>
    <definedName name="Slicer_Region">#N/A</definedName>
  </definedNames>
  <calcPr calcId="191029"/>
  <pivotCaches>
    <pivotCache cacheId="0" r:id="rId21"/>
    <pivotCache cacheId="18" r:id="rId22"/>
    <pivotCache cacheId="2" r:id="rId23"/>
    <pivotCache cacheId="3" r:id="rId24"/>
    <pivotCache cacheId="4" r:id="rId25"/>
    <pivotCache cacheId="6" r:id="rId26"/>
    <pivotCache cacheId="7" r:id="rId27"/>
    <pivotCache cacheId="8" r:id="rId28"/>
    <pivotCache cacheId="58" r:id="rId29"/>
  </pivotCaches>
  <extLst>
    <ext xmlns:x14="http://schemas.microsoft.com/office/spreadsheetml/2009/9/main" uri="{876F7934-8845-4945-9796-88D515C7AA90}">
      <x14:pivotCaches>
        <pivotCache cacheId="9" r:id="rId30"/>
      </x14:pivotCaches>
    </ext>
    <ext xmlns:x14="http://schemas.microsoft.com/office/spreadsheetml/2009/9/main" uri="{BBE1A952-AA13-448e-AADC-164F8A28A991}">
      <x14:slicerCaches>
        <x14:slicerCache r:id="rId31"/>
        <x14:slicerCache r:id="rId32"/>
        <x14:slicerCache r:id="rId3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Vlookup!$B$2:$G$83"/>
          <x15:modelTable id="Vlookup" name="Vlookup" connection="WorksheetConnection_Training File.xlsx!Vlookup"/>
          <x15:modelTable id="Employee" name="Employee" connection="WorksheetConnection_Training File.xlsx!Employee"/>
          <x15:modelTable id="Colddrinks" name="Colddrinks" connection="WorksheetConnection_Training File.xlsx!Colddrinks"/>
          <x15:modelTable id="Blood_Doners" name="Blood_Doners" connection="WorksheetConnection_Training File.xlsx!Blood_Doners"/>
          <x15:modelTable id="Range 1" name="Range 1" connection="WorksheetConnection_Pivot!$B$2:$H$62"/>
        </x15:modelTables>
        <x15:extLst>
          <ext xmlns:x16="http://schemas.microsoft.com/office/spreadsheetml/2014/11/main" uri="{9835A34E-60A6-4A7C-AAB8-D5F71C897F49}">
            <x16:modelTimeGroupings>
              <x16:modelTimeGrouping tableName="Rang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Q16" i="8" l="1"/>
  <c r="K24" i="17"/>
  <c r="K25" i="17"/>
  <c r="K10" i="17"/>
  <c r="K11" i="17"/>
  <c r="K12" i="17"/>
  <c r="K13" i="17"/>
  <c r="K14" i="17"/>
  <c r="K15" i="17"/>
  <c r="K16" i="17"/>
  <c r="K17" i="17"/>
  <c r="K18" i="17"/>
  <c r="K19" i="17"/>
  <c r="K20" i="17"/>
  <c r="K21" i="17"/>
  <c r="K22" i="17"/>
  <c r="K23" i="17"/>
  <c r="K9" i="17"/>
  <c r="K4" i="17"/>
  <c r="Q21" i="8" l="1"/>
  <c r="R26" i="8"/>
  <c r="S26" i="8"/>
  <c r="T26" i="8"/>
  <c r="R27" i="8"/>
  <c r="S27" i="8"/>
  <c r="T27" i="8"/>
  <c r="R28" i="8"/>
  <c r="S28" i="8"/>
  <c r="T28" i="8"/>
  <c r="R29" i="8"/>
  <c r="S29" i="8"/>
  <c r="T29" i="8"/>
  <c r="R30" i="8"/>
  <c r="S30" i="8"/>
  <c r="T30" i="8"/>
  <c r="R31" i="8"/>
  <c r="S31" i="8"/>
  <c r="T31" i="8"/>
  <c r="R32" i="8"/>
  <c r="S32" i="8"/>
  <c r="T32" i="8"/>
  <c r="R33" i="8"/>
  <c r="S33" i="8"/>
  <c r="T33" i="8"/>
  <c r="Q27" i="8"/>
  <c r="Q28" i="8"/>
  <c r="Q29" i="8"/>
  <c r="Q30" i="8"/>
  <c r="Q31" i="8"/>
  <c r="Q32" i="8"/>
  <c r="Q33" i="8"/>
  <c r="Q26" i="8"/>
  <c r="R15" i="8"/>
  <c r="S15" i="8"/>
  <c r="T15" i="8"/>
  <c r="R16" i="8"/>
  <c r="S16" i="8"/>
  <c r="T16" i="8"/>
  <c r="R17" i="8"/>
  <c r="S17" i="8"/>
  <c r="T17" i="8"/>
  <c r="R18" i="8"/>
  <c r="S18" i="8"/>
  <c r="T18" i="8"/>
  <c r="R19" i="8"/>
  <c r="S19" i="8"/>
  <c r="T19" i="8"/>
  <c r="R20" i="8"/>
  <c r="S20" i="8"/>
  <c r="T20" i="8"/>
  <c r="R21" i="8"/>
  <c r="S21" i="8"/>
  <c r="T21" i="8"/>
  <c r="R22" i="8"/>
  <c r="S22" i="8"/>
  <c r="T22" i="8"/>
  <c r="Q17" i="8"/>
  <c r="Q18" i="8"/>
  <c r="Q19" i="8"/>
  <c r="Q20" i="8"/>
  <c r="Q22" i="8"/>
  <c r="Q15" i="8"/>
  <c r="R4" i="8"/>
  <c r="S4" i="8"/>
  <c r="T4" i="8"/>
  <c r="R5" i="8"/>
  <c r="S5" i="8"/>
  <c r="T5" i="8"/>
  <c r="R6" i="8"/>
  <c r="S6" i="8"/>
  <c r="T6" i="8"/>
  <c r="R7" i="8"/>
  <c r="S7" i="8"/>
  <c r="T7" i="8"/>
  <c r="R8" i="8"/>
  <c r="S8" i="8"/>
  <c r="T8" i="8"/>
  <c r="R9" i="8"/>
  <c r="S9" i="8"/>
  <c r="T9" i="8"/>
  <c r="R10" i="8"/>
  <c r="S10" i="8"/>
  <c r="T10" i="8"/>
  <c r="R11" i="8"/>
  <c r="S11" i="8"/>
  <c r="T11" i="8"/>
  <c r="Q5" i="8"/>
  <c r="Q6" i="8"/>
  <c r="Q7" i="8"/>
  <c r="Q8" i="8"/>
  <c r="Q9" i="8"/>
  <c r="Q10" i="8"/>
  <c r="Q11" i="8"/>
  <c r="Q4" i="8"/>
  <c r="F50" i="11"/>
  <c r="G50" i="11"/>
  <c r="H50" i="11"/>
  <c r="I50" i="11"/>
  <c r="F51" i="11"/>
  <c r="G51" i="11"/>
  <c r="H51" i="11"/>
  <c r="I51" i="11"/>
  <c r="F52" i="11"/>
  <c r="G52" i="11"/>
  <c r="H52" i="11"/>
  <c r="I52" i="11"/>
  <c r="I49" i="11"/>
  <c r="H49" i="11"/>
  <c r="G49" i="11"/>
  <c r="F49" i="11"/>
  <c r="E50" i="11"/>
  <c r="E51" i="11"/>
  <c r="E52" i="11"/>
  <c r="E49" i="11"/>
  <c r="J55" i="7"/>
  <c r="J56" i="7"/>
  <c r="J57" i="7"/>
  <c r="J58" i="7"/>
  <c r="J59" i="7"/>
  <c r="J60" i="7"/>
  <c r="J61" i="7"/>
  <c r="J62" i="7"/>
  <c r="J63" i="7"/>
  <c r="J64" i="7"/>
  <c r="J65" i="7"/>
  <c r="J66" i="7"/>
  <c r="J67" i="7"/>
  <c r="J54" i="7"/>
  <c r="J53" i="7" l="1"/>
  <c r="H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99" i="24"/>
  <c r="X6" i="17" l="1"/>
  <c r="X5" i="17"/>
  <c r="X4" i="17"/>
  <c r="X3" i="17"/>
  <c r="I35" i="3" l="1"/>
  <c r="I34" i="3"/>
  <c r="N15" i="3"/>
  <c r="B39" i="3"/>
  <c r="B40" i="3"/>
  <c r="B41" i="3"/>
  <c r="B42" i="3"/>
  <c r="B43" i="3"/>
  <c r="B44" i="3"/>
  <c r="B46" i="3"/>
  <c r="B47" i="3"/>
  <c r="B48" i="3"/>
  <c r="B50" i="3"/>
  <c r="B51" i="3"/>
  <c r="B52" i="3"/>
  <c r="B54" i="3"/>
  <c r="B38" i="3"/>
  <c r="F40" i="3" l="1"/>
  <c r="E44" i="3"/>
  <c r="F43" i="3"/>
  <c r="E45" i="3"/>
  <c r="D44" i="3"/>
  <c r="O38" i="7" l="1"/>
  <c r="O39" i="7"/>
  <c r="O40" i="7"/>
  <c r="O41" i="7"/>
  <c r="O42" i="7"/>
  <c r="O43" i="7"/>
  <c r="O44" i="7"/>
  <c r="O45" i="7"/>
  <c r="O46" i="7"/>
  <c r="O47" i="7"/>
  <c r="O48" i="7"/>
  <c r="O37" i="7"/>
  <c r="O36" i="7"/>
  <c r="O35" i="7"/>
  <c r="O34" i="7"/>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9" i="24"/>
  <c r="G8" i="24"/>
  <c r="G6" i="24"/>
  <c r="G5" i="24"/>
  <c r="G4" i="24"/>
  <c r="G3" i="24"/>
  <c r="G7" i="24"/>
  <c r="N48" i="7"/>
  <c r="N47" i="7"/>
  <c r="N46" i="7"/>
  <c r="N45" i="7"/>
  <c r="M48" i="7"/>
  <c r="M47" i="7"/>
  <c r="M46" i="7"/>
  <c r="M45" i="7"/>
  <c r="N35" i="7"/>
  <c r="N36" i="7"/>
  <c r="N37" i="7"/>
  <c r="N38" i="7"/>
  <c r="N39" i="7"/>
  <c r="N40" i="7"/>
  <c r="N41" i="7"/>
  <c r="N42" i="7"/>
  <c r="N43" i="7"/>
  <c r="N44" i="7"/>
  <c r="N34" i="7"/>
  <c r="M35" i="7"/>
  <c r="M36" i="7"/>
  <c r="M37" i="7"/>
  <c r="M38" i="7"/>
  <c r="M39" i="7"/>
  <c r="M40" i="7"/>
  <c r="M41" i="7"/>
  <c r="M42" i="7"/>
  <c r="M43" i="7"/>
  <c r="M44" i="7"/>
  <c r="M34" i="7"/>
  <c r="H10" i="7"/>
  <c r="H9" i="7"/>
  <c r="H8" i="7"/>
  <c r="H7" i="7"/>
  <c r="H6" i="7"/>
  <c r="G10" i="7"/>
  <c r="G9" i="7"/>
  <c r="G7" i="7"/>
  <c r="G8" i="7"/>
  <c r="G6" i="7"/>
  <c r="F10" i="7"/>
  <c r="F9" i="7"/>
  <c r="F8" i="7"/>
  <c r="F7" i="7"/>
  <c r="F6" i="7"/>
  <c r="E10" i="7"/>
  <c r="E9" i="7"/>
  <c r="E8" i="7"/>
  <c r="E7" i="7"/>
  <c r="E6" i="7"/>
  <c r="D10" i="7"/>
  <c r="D9" i="7"/>
  <c r="D8" i="7"/>
  <c r="D7" i="7"/>
  <c r="D6" i="7"/>
  <c r="R22" i="7"/>
  <c r="R21" i="7"/>
  <c r="R20" i="7"/>
  <c r="R19" i="7"/>
  <c r="R18" i="7"/>
  <c r="R17" i="7"/>
  <c r="R16" i="7"/>
  <c r="R15" i="7"/>
  <c r="C36" i="7"/>
  <c r="C37" i="7"/>
  <c r="C38" i="7"/>
  <c r="C39" i="7"/>
  <c r="C40" i="7"/>
  <c r="C41" i="7"/>
  <c r="C42" i="7"/>
  <c r="C43" i="7"/>
  <c r="C44" i="7"/>
  <c r="C45" i="7"/>
  <c r="C46" i="7"/>
  <c r="C47" i="7"/>
  <c r="C48" i="7"/>
  <c r="C35" i="7"/>
  <c r="K36" i="7" l="1"/>
  <c r="K37" i="7"/>
  <c r="K38" i="7"/>
  <c r="K39" i="7"/>
  <c r="K40" i="7"/>
  <c r="K41" i="7"/>
  <c r="K42" i="7"/>
  <c r="K43" i="7"/>
  <c r="K44" i="7"/>
  <c r="K45" i="7"/>
  <c r="K46" i="7"/>
  <c r="K47" i="7"/>
  <c r="K48" i="7"/>
  <c r="J36" i="7"/>
  <c r="H36" i="7" s="1"/>
  <c r="J37" i="7"/>
  <c r="H37" i="7" s="1"/>
  <c r="J38" i="7"/>
  <c r="H38" i="7" s="1"/>
  <c r="J39" i="7"/>
  <c r="H39" i="7" s="1"/>
  <c r="J40" i="7"/>
  <c r="H40" i="7" s="1"/>
  <c r="J41" i="7"/>
  <c r="H41" i="7" s="1"/>
  <c r="J42" i="7"/>
  <c r="H42" i="7" s="1"/>
  <c r="J43" i="7"/>
  <c r="H43" i="7" s="1"/>
  <c r="J44" i="7"/>
  <c r="H44" i="7" s="1"/>
  <c r="J45" i="7"/>
  <c r="H45" i="7" s="1"/>
  <c r="J46" i="7"/>
  <c r="H46" i="7" s="1"/>
  <c r="J47" i="7"/>
  <c r="H47" i="7" s="1"/>
  <c r="J48" i="7"/>
  <c r="I36" i="7"/>
  <c r="G36" i="7" s="1"/>
  <c r="I37" i="7"/>
  <c r="G37" i="7" s="1"/>
  <c r="I38" i="7"/>
  <c r="G38" i="7" s="1"/>
  <c r="I39" i="7"/>
  <c r="G39" i="7" s="1"/>
  <c r="I40" i="7"/>
  <c r="G40" i="7" s="1"/>
  <c r="I41" i="7"/>
  <c r="G41" i="7" s="1"/>
  <c r="I42" i="7"/>
  <c r="G42" i="7" s="1"/>
  <c r="I43" i="7"/>
  <c r="G43" i="7" s="1"/>
  <c r="I44" i="7"/>
  <c r="G44" i="7" s="1"/>
  <c r="I45" i="7"/>
  <c r="G45" i="7" s="1"/>
  <c r="I46" i="7"/>
  <c r="G46" i="7" s="1"/>
  <c r="I47" i="7"/>
  <c r="G47" i="7" s="1"/>
  <c r="I48" i="7"/>
  <c r="F36" i="7"/>
  <c r="F37" i="7"/>
  <c r="F38" i="7"/>
  <c r="F39" i="7"/>
  <c r="F40" i="7"/>
  <c r="F41" i="7"/>
  <c r="F42" i="7"/>
  <c r="F43" i="7"/>
  <c r="F44" i="7"/>
  <c r="F45" i="7"/>
  <c r="F46" i="7"/>
  <c r="F47" i="7"/>
  <c r="F48" i="7"/>
  <c r="E36" i="7"/>
  <c r="E37" i="7"/>
  <c r="E38" i="7"/>
  <c r="E39" i="7"/>
  <c r="E40" i="7"/>
  <c r="E41" i="7"/>
  <c r="E42" i="7"/>
  <c r="E43" i="7"/>
  <c r="E44" i="7"/>
  <c r="E45" i="7"/>
  <c r="E46" i="7"/>
  <c r="E47" i="7"/>
  <c r="E48" i="7"/>
  <c r="D36" i="7"/>
  <c r="D37" i="7"/>
  <c r="D38" i="7"/>
  <c r="D39" i="7"/>
  <c r="D40" i="7"/>
  <c r="D41" i="7"/>
  <c r="D42" i="7"/>
  <c r="D43" i="7"/>
  <c r="D44" i="7"/>
  <c r="D45" i="7"/>
  <c r="D46" i="7"/>
  <c r="D47" i="7"/>
  <c r="D48" i="7"/>
  <c r="D35" i="7"/>
  <c r="E35" i="7"/>
  <c r="F35" i="7"/>
  <c r="I35" i="7"/>
  <c r="G35" i="7" s="1"/>
  <c r="J35" i="7"/>
  <c r="H35" i="7" s="1"/>
  <c r="K35" i="7"/>
  <c r="K34" i="7"/>
  <c r="C34" i="7"/>
  <c r="J34" i="7"/>
  <c r="H34" i="7" s="1"/>
  <c r="I34" i="7"/>
  <c r="G34" i="7" s="1"/>
  <c r="F34" i="7"/>
  <c r="E34" i="7"/>
  <c r="D34" i="7"/>
  <c r="H48" i="7" l="1"/>
  <c r="G48" i="7"/>
  <c r="C25" i="13" l="1"/>
  <c r="P14" i="18" l="1"/>
  <c r="G32" i="3" l="1"/>
  <c r="G34" i="3"/>
  <c r="L26" i="3"/>
  <c r="L25" i="3"/>
  <c r="L23" i="3"/>
  <c r="AG4" i="8" l="1"/>
  <c r="AG3" i="8"/>
  <c r="M5" i="20" l="1"/>
  <c r="M6" i="20"/>
  <c r="M7" i="20"/>
  <c r="M8" i="20"/>
  <c r="M9" i="20"/>
  <c r="M10" i="20"/>
  <c r="M11" i="20"/>
  <c r="M12" i="20"/>
  <c r="M13" i="20"/>
  <c r="M14" i="20"/>
  <c r="M15" i="20"/>
  <c r="M16" i="20"/>
  <c r="M17" i="20"/>
  <c r="M18" i="20"/>
  <c r="M19" i="20"/>
  <c r="M20" i="20"/>
  <c r="M21" i="20"/>
  <c r="M22" i="20"/>
  <c r="M23" i="20"/>
  <c r="M24" i="20"/>
  <c r="M25" i="20"/>
  <c r="M26" i="20"/>
  <c r="M27" i="20"/>
  <c r="M28" i="20"/>
  <c r="M29" i="20"/>
  <c r="M30" i="20"/>
  <c r="M31" i="20"/>
  <c r="M32" i="20"/>
  <c r="M33" i="20"/>
  <c r="M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4" i="20"/>
  <c r="B6" i="20"/>
  <c r="M14" i="18"/>
  <c r="M17" i="18" s="1"/>
  <c r="M20" i="18" s="1"/>
  <c r="M21" i="18" s="1"/>
  <c r="L12" i="8" l="1"/>
  <c r="L56" i="8"/>
  <c r="L4" i="8"/>
  <c r="L38" i="8"/>
  <c r="L25" i="8"/>
  <c r="L6" i="8"/>
  <c r="L49" i="8"/>
  <c r="L94" i="8"/>
  <c r="L42" i="8"/>
  <c r="L83" i="8"/>
  <c r="L87" i="8"/>
  <c r="L18" i="8"/>
  <c r="L31" i="8"/>
  <c r="L44" i="8"/>
  <c r="L100" i="8"/>
  <c r="L65" i="8"/>
  <c r="L10" i="8"/>
  <c r="L73" i="8"/>
  <c r="L45" i="8"/>
  <c r="L50" i="8"/>
  <c r="L70" i="8"/>
  <c r="L7" i="8"/>
  <c r="L96" i="8"/>
  <c r="L21" i="8"/>
  <c r="L35" i="8"/>
  <c r="L79" i="8"/>
  <c r="L95" i="8"/>
  <c r="L48" i="8"/>
  <c r="L78" i="8"/>
  <c r="L60" i="8"/>
  <c r="L47" i="8"/>
  <c r="L101" i="8"/>
  <c r="L69" i="8"/>
  <c r="L98" i="8"/>
  <c r="L74" i="8"/>
  <c r="L5" i="8"/>
  <c r="L11" i="8"/>
  <c r="L16" i="8"/>
  <c r="L15" i="8"/>
  <c r="L19" i="8"/>
  <c r="L82" i="8"/>
  <c r="L91" i="8"/>
  <c r="L93" i="8"/>
  <c r="L41" i="8"/>
  <c r="L30" i="8"/>
  <c r="L27" i="8"/>
  <c r="L28" i="8"/>
  <c r="L71" i="8"/>
  <c r="L26" i="8"/>
  <c r="L85" i="8"/>
  <c r="L88" i="8"/>
  <c r="L90" i="8"/>
  <c r="L57" i="8"/>
  <c r="L46" i="8"/>
  <c r="L39" i="8"/>
  <c r="L68" i="8"/>
  <c r="L64" i="8"/>
  <c r="L67" i="8"/>
  <c r="L66" i="8"/>
  <c r="L102" i="8"/>
  <c r="L58" i="8"/>
  <c r="L59" i="8"/>
  <c r="L75" i="8"/>
  <c r="L81" i="8"/>
  <c r="L54" i="8"/>
  <c r="L92" i="8"/>
  <c r="L24" i="8"/>
  <c r="L37" i="8"/>
  <c r="L99" i="8"/>
  <c r="L97" i="8"/>
  <c r="L72" i="8"/>
  <c r="L63" i="8"/>
  <c r="L33" i="8"/>
  <c r="L43" i="8"/>
  <c r="L40" i="8"/>
  <c r="L77" i="8"/>
  <c r="L55" i="8"/>
  <c r="L53" i="8"/>
  <c r="L29" i="8"/>
  <c r="L32" i="8"/>
  <c r="L8" i="8"/>
  <c r="L34" i="8"/>
  <c r="L20" i="8"/>
  <c r="L51" i="8"/>
  <c r="L36" i="8"/>
  <c r="L86" i="8"/>
  <c r="L3" i="8"/>
  <c r="L84" i="8"/>
  <c r="L17" i="8"/>
  <c r="L23" i="8"/>
  <c r="L89" i="8"/>
  <c r="L13" i="8"/>
  <c r="L61" i="8"/>
  <c r="L62" i="8"/>
  <c r="L9" i="8"/>
  <c r="L52" i="8"/>
  <c r="L14" i="8"/>
  <c r="L76" i="8"/>
  <c r="L80" i="8"/>
  <c r="L22" i="8"/>
  <c r="L103" i="8"/>
  <c r="G3" i="13"/>
  <c r="AK12" i="8" l="1"/>
  <c r="K86" i="8"/>
  <c r="K92" i="8"/>
  <c r="K11" i="8"/>
  <c r="K42" i="8"/>
  <c r="K77" i="8"/>
  <c r="K78" i="8"/>
  <c r="K65" i="8"/>
  <c r="K71" i="8"/>
  <c r="K90" i="8"/>
  <c r="K38" i="8"/>
  <c r="K36" i="8"/>
  <c r="K8" i="8"/>
  <c r="K30" i="8"/>
  <c r="K29" i="8"/>
  <c r="K60" i="8"/>
  <c r="K59" i="8"/>
  <c r="K4" i="8"/>
  <c r="K12" i="8"/>
  <c r="K46" i="8"/>
  <c r="K45" i="8"/>
  <c r="K40" i="8"/>
  <c r="K51" i="8"/>
  <c r="K53" i="8"/>
  <c r="K102" i="8"/>
  <c r="K79" i="8"/>
  <c r="K87" i="8"/>
  <c r="K97" i="8"/>
  <c r="K82" i="8"/>
  <c r="K7" i="8"/>
  <c r="K56" i="8"/>
  <c r="K70" i="8"/>
  <c r="K25" i="8"/>
  <c r="K17" i="8"/>
  <c r="K22" i="8"/>
  <c r="K49" i="8"/>
  <c r="K66" i="8"/>
  <c r="K34" i="8"/>
  <c r="K31" i="8"/>
  <c r="K32" i="8"/>
  <c r="K99" i="8"/>
  <c r="K5" i="8"/>
  <c r="K67" i="8"/>
  <c r="K64" i="8"/>
  <c r="K55" i="8"/>
  <c r="K74" i="8"/>
  <c r="K95" i="8"/>
  <c r="K9" i="8"/>
  <c r="K26" i="8"/>
  <c r="K24" i="8"/>
  <c r="K63" i="8"/>
  <c r="K93" i="8"/>
  <c r="K21" i="8"/>
  <c r="K27" i="8"/>
  <c r="K14" i="8"/>
  <c r="K15" i="8"/>
  <c r="K101" i="8"/>
  <c r="K98" i="8"/>
  <c r="K41" i="8"/>
  <c r="K10" i="8"/>
  <c r="K50" i="8"/>
  <c r="K6" i="8"/>
  <c r="K94" i="8"/>
  <c r="K76" i="8"/>
  <c r="K62" i="8"/>
  <c r="K13" i="8"/>
  <c r="K57" i="8"/>
  <c r="K61" i="8"/>
  <c r="K91" i="8"/>
  <c r="K58" i="8"/>
  <c r="K37" i="8"/>
  <c r="K84" i="8"/>
  <c r="K80" i="8"/>
  <c r="K19" i="8"/>
  <c r="K88" i="8"/>
  <c r="K3" i="8"/>
  <c r="K28" i="8"/>
  <c r="K73" i="8"/>
  <c r="K100" i="8"/>
  <c r="K43" i="8"/>
  <c r="K44" i="8"/>
  <c r="K23" i="8"/>
  <c r="K69" i="8"/>
  <c r="K16" i="8"/>
  <c r="K68" i="8"/>
  <c r="K72" i="8"/>
  <c r="K20" i="8"/>
  <c r="K48" i="8"/>
  <c r="K52" i="8"/>
  <c r="K89" i="8"/>
  <c r="K75" i="8"/>
  <c r="K85" i="8"/>
  <c r="K39" i="8"/>
  <c r="K96" i="8"/>
  <c r="K54" i="8"/>
  <c r="K47" i="8"/>
  <c r="K83" i="8"/>
  <c r="K81" i="8"/>
  <c r="K18" i="8"/>
  <c r="K35" i="8"/>
  <c r="K33" i="8"/>
  <c r="AR2" i="8"/>
  <c r="F4" i="16" l="1"/>
  <c r="F5" i="16"/>
  <c r="F6" i="16"/>
  <c r="F7" i="16"/>
  <c r="F8" i="16"/>
  <c r="F9" i="16"/>
  <c r="F10" i="16"/>
  <c r="F11" i="16"/>
  <c r="F12" i="16"/>
  <c r="F13" i="16"/>
  <c r="F14" i="16"/>
  <c r="F15" i="16"/>
  <c r="F16" i="16"/>
  <c r="F17" i="16"/>
  <c r="F18" i="16"/>
  <c r="F3" i="16"/>
  <c r="D10" i="22" l="1"/>
  <c r="E10" i="22" s="1"/>
  <c r="C11" i="22" s="1"/>
  <c r="C10" i="22"/>
  <c r="D11" i="22" l="1"/>
  <c r="E11" i="22" s="1"/>
  <c r="C12" i="22" s="1"/>
  <c r="D12" i="22" s="1"/>
  <c r="E12" i="22" s="1"/>
  <c r="C13" i="22" s="1"/>
  <c r="AQ16" i="8"/>
  <c r="AQ17" i="8"/>
  <c r="AQ18" i="8"/>
  <c r="AQ19" i="8"/>
  <c r="AQ15" i="8"/>
  <c r="P25" i="7"/>
  <c r="D13" i="22" l="1"/>
  <c r="E13" i="22" s="1"/>
  <c r="C14" i="22" s="1"/>
  <c r="D14" i="22" s="1"/>
  <c r="E14" i="22" s="1"/>
  <c r="C15" i="22" s="1"/>
  <c r="D15" i="22" s="1"/>
  <c r="E15" i="22" s="1"/>
  <c r="C16" i="22" s="1"/>
  <c r="E35" i="16"/>
  <c r="E36" i="16"/>
  <c r="E37" i="16"/>
  <c r="E34" i="16"/>
  <c r="R4" i="16"/>
  <c r="R5" i="16"/>
  <c r="R6" i="16"/>
  <c r="R7" i="16"/>
  <c r="R8" i="16"/>
  <c r="R9" i="16"/>
  <c r="R10" i="16"/>
  <c r="R11" i="16"/>
  <c r="R12" i="16"/>
  <c r="R13" i="16"/>
  <c r="R14" i="16"/>
  <c r="R15" i="16"/>
  <c r="R16" i="16"/>
  <c r="R17" i="16"/>
  <c r="R18" i="16"/>
  <c r="R19" i="16"/>
  <c r="R20" i="16"/>
  <c r="R21" i="16"/>
  <c r="R22" i="16"/>
  <c r="R23" i="16"/>
  <c r="R24" i="16"/>
  <c r="R25" i="16"/>
  <c r="R26" i="16"/>
  <c r="R27" i="16"/>
  <c r="R28" i="16"/>
  <c r="R29" i="16"/>
  <c r="R30" i="16"/>
  <c r="R31" i="16"/>
  <c r="R32" i="16"/>
  <c r="R33" i="16"/>
  <c r="R34" i="16"/>
  <c r="R35" i="16"/>
  <c r="R36" i="16"/>
  <c r="R37" i="16"/>
  <c r="R38" i="16"/>
  <c r="R39" i="16"/>
  <c r="R40" i="16"/>
  <c r="R41" i="16"/>
  <c r="R42" i="16"/>
  <c r="R43" i="16"/>
  <c r="R44" i="16"/>
  <c r="R45" i="16"/>
  <c r="R46" i="16"/>
  <c r="R47" i="16"/>
  <c r="R48" i="16"/>
  <c r="R49" i="16"/>
  <c r="R50" i="16"/>
  <c r="R51" i="16"/>
  <c r="R52" i="16"/>
  <c r="R53" i="16"/>
  <c r="R54" i="16"/>
  <c r="R55" i="16"/>
  <c r="R56" i="16"/>
  <c r="R57" i="16"/>
  <c r="R58" i="16"/>
  <c r="R59" i="16"/>
  <c r="R60" i="16"/>
  <c r="R61" i="16"/>
  <c r="R62" i="16"/>
  <c r="R63" i="16"/>
  <c r="R64" i="16"/>
  <c r="R65" i="16"/>
  <c r="R66" i="16"/>
  <c r="R67" i="16"/>
  <c r="R68" i="16"/>
  <c r="R69" i="16"/>
  <c r="R70" i="16"/>
  <c r="R71" i="16"/>
  <c r="R72" i="16"/>
  <c r="R73" i="16"/>
  <c r="R74" i="16"/>
  <c r="R75" i="16"/>
  <c r="R76" i="16"/>
  <c r="R77" i="16"/>
  <c r="R78" i="16"/>
  <c r="R79" i="16"/>
  <c r="R80" i="16"/>
  <c r="R81" i="16"/>
  <c r="R82" i="16"/>
  <c r="R83" i="16"/>
  <c r="R84" i="16"/>
  <c r="R85" i="16"/>
  <c r="R86" i="16"/>
  <c r="R87" i="16"/>
  <c r="R88" i="16"/>
  <c r="R89" i="16"/>
  <c r="R90" i="16"/>
  <c r="R91" i="16"/>
  <c r="R92" i="16"/>
  <c r="R93" i="16"/>
  <c r="R94" i="16"/>
  <c r="R95" i="16"/>
  <c r="R96" i="16"/>
  <c r="R97" i="16"/>
  <c r="R98" i="16"/>
  <c r="R99" i="16"/>
  <c r="R100" i="16"/>
  <c r="R101" i="16"/>
  <c r="R102" i="16"/>
  <c r="R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89" i="16"/>
  <c r="Q90" i="16"/>
  <c r="Q91" i="16"/>
  <c r="Q92" i="16"/>
  <c r="Q93" i="16"/>
  <c r="Q94" i="16"/>
  <c r="Q95" i="16"/>
  <c r="Q96" i="16"/>
  <c r="Q97" i="16"/>
  <c r="Q98" i="16"/>
  <c r="Q99" i="16"/>
  <c r="Q100" i="16"/>
  <c r="Q101" i="16"/>
  <c r="Q102" i="16"/>
  <c r="Q3" i="16"/>
  <c r="P4" i="16"/>
  <c r="P5" i="16"/>
  <c r="P6" i="16"/>
  <c r="P7" i="16"/>
  <c r="P8" i="16"/>
  <c r="P9" i="16"/>
  <c r="P10" i="16"/>
  <c r="P11" i="16"/>
  <c r="P12" i="16"/>
  <c r="P13" i="16"/>
  <c r="P14" i="16"/>
  <c r="P15" i="16"/>
  <c r="P16" i="16"/>
  <c r="P17" i="16"/>
  <c r="P18" i="16"/>
  <c r="P19" i="16"/>
  <c r="P20" i="16"/>
  <c r="P21" i="16"/>
  <c r="P22" i="16"/>
  <c r="P23" i="16"/>
  <c r="P24" i="16"/>
  <c r="P25" i="16"/>
  <c r="P26" i="16"/>
  <c r="P27" i="16"/>
  <c r="P28" i="16"/>
  <c r="P29" i="16"/>
  <c r="P30" i="16"/>
  <c r="P31" i="16"/>
  <c r="P32" i="16"/>
  <c r="P33" i="16"/>
  <c r="P34" i="16"/>
  <c r="P35" i="16"/>
  <c r="P36" i="16"/>
  <c r="P37" i="16"/>
  <c r="P38" i="16"/>
  <c r="P39" i="16"/>
  <c r="P40" i="16"/>
  <c r="P41" i="16"/>
  <c r="P42" i="16"/>
  <c r="P43" i="16"/>
  <c r="P44" i="16"/>
  <c r="P45" i="16"/>
  <c r="P46" i="16"/>
  <c r="P47" i="16"/>
  <c r="P48" i="16"/>
  <c r="P49" i="16"/>
  <c r="P50" i="16"/>
  <c r="P51" i="16"/>
  <c r="P52" i="16"/>
  <c r="P53" i="16"/>
  <c r="P54" i="16"/>
  <c r="P55" i="16"/>
  <c r="P56" i="16"/>
  <c r="P57" i="16"/>
  <c r="P58" i="16"/>
  <c r="P59" i="16"/>
  <c r="P60" i="16"/>
  <c r="P61" i="16"/>
  <c r="P62" i="16"/>
  <c r="P63" i="16"/>
  <c r="P64" i="16"/>
  <c r="P65" i="16"/>
  <c r="P66" i="16"/>
  <c r="P67" i="16"/>
  <c r="P68" i="16"/>
  <c r="P69" i="16"/>
  <c r="P70" i="16"/>
  <c r="P71" i="16"/>
  <c r="P72" i="16"/>
  <c r="P73" i="16"/>
  <c r="P74" i="16"/>
  <c r="P75" i="16"/>
  <c r="P76" i="16"/>
  <c r="P77" i="16"/>
  <c r="P78" i="16"/>
  <c r="P79" i="16"/>
  <c r="P80" i="16"/>
  <c r="P81" i="16"/>
  <c r="P82" i="16"/>
  <c r="P83" i="16"/>
  <c r="P84" i="16"/>
  <c r="P85" i="16"/>
  <c r="P86" i="16"/>
  <c r="P87" i="16"/>
  <c r="P88" i="16"/>
  <c r="P89" i="16"/>
  <c r="P90" i="16"/>
  <c r="P91" i="16"/>
  <c r="P92" i="16"/>
  <c r="P93" i="16"/>
  <c r="P94" i="16"/>
  <c r="P95" i="16"/>
  <c r="P96" i="16"/>
  <c r="P97" i="16"/>
  <c r="P98" i="16"/>
  <c r="P99" i="16"/>
  <c r="P100" i="16"/>
  <c r="P101" i="16"/>
  <c r="P102" i="16"/>
  <c r="P3" i="16"/>
  <c r="O4" i="16"/>
  <c r="O5" i="16"/>
  <c r="O6" i="16"/>
  <c r="O7" i="16"/>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56" i="16"/>
  <c r="O57" i="16"/>
  <c r="O58" i="16"/>
  <c r="O59" i="16"/>
  <c r="O60" i="16"/>
  <c r="O61" i="16"/>
  <c r="O62" i="16"/>
  <c r="O63" i="16"/>
  <c r="O64" i="16"/>
  <c r="O65" i="16"/>
  <c r="O66" i="16"/>
  <c r="O67" i="16"/>
  <c r="O68" i="16"/>
  <c r="O69" i="16"/>
  <c r="O70" i="16"/>
  <c r="O71" i="16"/>
  <c r="O72" i="16"/>
  <c r="O73" i="16"/>
  <c r="O74" i="16"/>
  <c r="O75" i="16"/>
  <c r="O76" i="16"/>
  <c r="O77" i="16"/>
  <c r="O78" i="16"/>
  <c r="O79" i="16"/>
  <c r="O80" i="16"/>
  <c r="O81" i="16"/>
  <c r="O82" i="16"/>
  <c r="O83" i="16"/>
  <c r="O84" i="16"/>
  <c r="O85" i="16"/>
  <c r="O86" i="16"/>
  <c r="O87" i="16"/>
  <c r="O88" i="16"/>
  <c r="O89" i="16"/>
  <c r="O90" i="16"/>
  <c r="O91" i="16"/>
  <c r="O92" i="16"/>
  <c r="O93" i="16"/>
  <c r="O94" i="16"/>
  <c r="O95" i="16"/>
  <c r="O96" i="16"/>
  <c r="O97" i="16"/>
  <c r="O98" i="16"/>
  <c r="O99" i="16"/>
  <c r="O100" i="16"/>
  <c r="O101" i="16"/>
  <c r="O102" i="16"/>
  <c r="O3" i="16"/>
  <c r="E22" i="16"/>
  <c r="E23" i="16"/>
  <c r="E24" i="16"/>
  <c r="E25" i="16"/>
  <c r="E26" i="16"/>
  <c r="E27" i="16"/>
  <c r="E28" i="16"/>
  <c r="E29" i="16"/>
  <c r="E30" i="16"/>
  <c r="E21" i="16"/>
  <c r="E4" i="16"/>
  <c r="E5" i="16"/>
  <c r="E6" i="16"/>
  <c r="E7" i="16"/>
  <c r="E8" i="16"/>
  <c r="E9" i="16"/>
  <c r="E10" i="16"/>
  <c r="E11" i="16"/>
  <c r="E12" i="16"/>
  <c r="E13" i="16"/>
  <c r="E14" i="16"/>
  <c r="E15" i="16"/>
  <c r="E16" i="16"/>
  <c r="E17" i="16"/>
  <c r="E18" i="16"/>
  <c r="E3" i="16"/>
  <c r="D16" i="22" l="1"/>
  <c r="E16" i="22" s="1"/>
  <c r="C17" i="22" s="1"/>
  <c r="D17" i="22" l="1"/>
  <c r="E17" i="22" s="1"/>
  <c r="C18" i="22" s="1"/>
  <c r="F26" i="11"/>
  <c r="F27" i="11"/>
  <c r="F28" i="11"/>
  <c r="F29" i="11"/>
  <c r="F30" i="11"/>
  <c r="F25" i="11"/>
  <c r="E26" i="11"/>
  <c r="E27" i="11"/>
  <c r="E28" i="11"/>
  <c r="E29" i="11"/>
  <c r="E30" i="11"/>
  <c r="E25" i="11"/>
  <c r="D18" i="22" l="1"/>
  <c r="E18" i="22" s="1"/>
  <c r="C19" i="22" s="1"/>
  <c r="D23" i="13"/>
  <c r="D19" i="22" l="1"/>
  <c r="E19" i="22" s="1"/>
  <c r="C20" i="22" s="1"/>
  <c r="I20" i="3"/>
  <c r="I21" i="3"/>
  <c r="I22" i="3"/>
  <c r="I23" i="3"/>
  <c r="I24" i="3"/>
  <c r="I25" i="3"/>
  <c r="I26" i="3"/>
  <c r="I27" i="3"/>
  <c r="I28" i="3"/>
  <c r="I19" i="3"/>
  <c r="H20" i="3"/>
  <c r="H21" i="3"/>
  <c r="H22" i="3"/>
  <c r="H23" i="3"/>
  <c r="H24" i="3"/>
  <c r="H25" i="3"/>
  <c r="H26" i="3"/>
  <c r="H27" i="3"/>
  <c r="H28" i="3"/>
  <c r="H19" i="3"/>
  <c r="G20" i="3"/>
  <c r="G21" i="3"/>
  <c r="G22" i="3"/>
  <c r="G23" i="3"/>
  <c r="G24" i="3"/>
  <c r="G25" i="3"/>
  <c r="G26" i="3"/>
  <c r="G27" i="3"/>
  <c r="G28" i="3"/>
  <c r="G19" i="3"/>
  <c r="G17" i="11"/>
  <c r="G18" i="11"/>
  <c r="G19" i="11"/>
  <c r="G20" i="11"/>
  <c r="G21" i="11"/>
  <c r="G16" i="11"/>
  <c r="G9" i="11"/>
  <c r="G10" i="11"/>
  <c r="G11" i="11"/>
  <c r="G12" i="11"/>
  <c r="G8" i="11"/>
  <c r="H29" i="3" l="1"/>
  <c r="L27" i="3"/>
  <c r="L29" i="3"/>
  <c r="L28" i="3"/>
  <c r="L24" i="3"/>
  <c r="D20" i="22"/>
  <c r="E20" i="22" s="1"/>
  <c r="C21" i="22" s="1"/>
  <c r="D5" i="3"/>
  <c r="E5" i="3" s="1"/>
  <c r="F5" i="3" s="1"/>
  <c r="D6" i="3"/>
  <c r="E6" i="3" s="1"/>
  <c r="F6" i="3" s="1"/>
  <c r="D7" i="3"/>
  <c r="E7" i="3" s="1"/>
  <c r="F7" i="3" s="1"/>
  <c r="D8" i="3"/>
  <c r="E8" i="3" s="1"/>
  <c r="F8" i="3" s="1"/>
  <c r="D9" i="3"/>
  <c r="E9" i="3" s="1"/>
  <c r="F9" i="3" s="1"/>
  <c r="D10" i="3"/>
  <c r="E10" i="3" s="1"/>
  <c r="F10" i="3" s="1"/>
  <c r="D11" i="3"/>
  <c r="E11" i="3" s="1"/>
  <c r="F11" i="3" s="1"/>
  <c r="D12" i="3"/>
  <c r="E12" i="3" s="1"/>
  <c r="F12" i="3" s="1"/>
  <c r="D13" i="3"/>
  <c r="E13" i="3" s="1"/>
  <c r="F13" i="3" s="1"/>
  <c r="D14" i="3"/>
  <c r="E14" i="3" s="1"/>
  <c r="F14" i="3" s="1"/>
  <c r="D15" i="3"/>
  <c r="D4" i="3"/>
  <c r="J37" i="22"/>
  <c r="H22" i="22"/>
  <c r="P30" i="7"/>
  <c r="J16" i="7"/>
  <c r="J17" i="7" s="1"/>
  <c r="J18" i="7" s="1"/>
  <c r="J19" i="7" s="1"/>
  <c r="J21" i="7"/>
  <c r="J22" i="7" s="1"/>
  <c r="J24" i="7"/>
  <c r="J25" i="7" s="1"/>
  <c r="J26" i="7" s="1"/>
  <c r="J27" i="7" s="1"/>
  <c r="J28" i="7" s="1"/>
  <c r="J29" i="7" s="1"/>
  <c r="L29" i="7"/>
  <c r="L25" i="7"/>
  <c r="L20" i="7"/>
  <c r="L30" i="7" l="1"/>
  <c r="E15" i="3"/>
  <c r="F15" i="3" s="1"/>
  <c r="E4" i="3"/>
  <c r="F4" i="3" s="1"/>
  <c r="G11" i="3" s="1"/>
  <c r="H11" i="3" s="1"/>
  <c r="I11" i="3" s="1"/>
  <c r="J11" i="3" s="1"/>
  <c r="K11" i="3" s="1"/>
  <c r="L11" i="3" s="1"/>
  <c r="D21" i="22"/>
  <c r="E21" i="22" s="1"/>
  <c r="C22" i="22" s="1"/>
  <c r="M5" i="7"/>
  <c r="M6" i="7"/>
  <c r="M7" i="7"/>
  <c r="M8" i="7"/>
  <c r="M9" i="7"/>
  <c r="M10" i="7"/>
  <c r="M11" i="7"/>
  <c r="M4" i="7"/>
  <c r="G15" i="3" l="1"/>
  <c r="H15" i="3" s="1"/>
  <c r="I15" i="3" s="1"/>
  <c r="J15" i="3" s="1"/>
  <c r="K15" i="3" s="1"/>
  <c r="L15" i="3" s="1"/>
  <c r="G13" i="3"/>
  <c r="H13" i="3" s="1"/>
  <c r="I13" i="3" s="1"/>
  <c r="J13" i="3" s="1"/>
  <c r="K13" i="3" s="1"/>
  <c r="L13" i="3" s="1"/>
  <c r="G4" i="3"/>
  <c r="H4" i="3" s="1"/>
  <c r="I4" i="3" s="1"/>
  <c r="J4" i="3" s="1"/>
  <c r="K4" i="3" s="1"/>
  <c r="L4" i="3" s="1"/>
  <c r="G5" i="3"/>
  <c r="H5" i="3" s="1"/>
  <c r="I5" i="3" s="1"/>
  <c r="J5" i="3" s="1"/>
  <c r="K5" i="3" s="1"/>
  <c r="L5" i="3" s="1"/>
  <c r="G10" i="3"/>
  <c r="H10" i="3" s="1"/>
  <c r="I10" i="3" s="1"/>
  <c r="J10" i="3" s="1"/>
  <c r="K10" i="3" s="1"/>
  <c r="L10" i="3" s="1"/>
  <c r="L30" i="3"/>
  <c r="G12" i="3"/>
  <c r="H12" i="3" s="1"/>
  <c r="I12" i="3" s="1"/>
  <c r="J12" i="3" s="1"/>
  <c r="K12" i="3" s="1"/>
  <c r="L12" i="3" s="1"/>
  <c r="G6" i="3"/>
  <c r="H6" i="3" s="1"/>
  <c r="I6" i="3" s="1"/>
  <c r="J6" i="3" s="1"/>
  <c r="K6" i="3" s="1"/>
  <c r="L6" i="3" s="1"/>
  <c r="G7" i="3"/>
  <c r="H7" i="3" s="1"/>
  <c r="I7" i="3" s="1"/>
  <c r="J7" i="3" s="1"/>
  <c r="K7" i="3" s="1"/>
  <c r="L7" i="3" s="1"/>
  <c r="G9" i="3"/>
  <c r="H9" i="3" s="1"/>
  <c r="I9" i="3" s="1"/>
  <c r="J9" i="3" s="1"/>
  <c r="K9" i="3" s="1"/>
  <c r="L9" i="3" s="1"/>
  <c r="G14" i="3"/>
  <c r="H14" i="3" s="1"/>
  <c r="I14" i="3" s="1"/>
  <c r="J14" i="3" s="1"/>
  <c r="K14" i="3" s="1"/>
  <c r="L14" i="3" s="1"/>
  <c r="G8" i="3"/>
  <c r="H8" i="3" s="1"/>
  <c r="I8" i="3" s="1"/>
  <c r="J8" i="3" s="1"/>
  <c r="K8" i="3" s="1"/>
  <c r="L8" i="3" s="1"/>
  <c r="D22" i="22"/>
  <c r="E22" i="22" s="1"/>
  <c r="C23" i="22" s="1"/>
  <c r="E35" i="3"/>
  <c r="E34" i="3"/>
  <c r="E33" i="3"/>
  <c r="E32" i="3"/>
  <c r="D23" i="22" l="1"/>
  <c r="E23" i="22" s="1"/>
  <c r="C24" i="22" s="1"/>
  <c r="B8" i="11"/>
  <c r="B9" i="11" s="1"/>
  <c r="B10" i="11" s="1"/>
  <c r="B11" i="11" s="1"/>
  <c r="B12" i="11" s="1"/>
  <c r="G9" i="19"/>
  <c r="F83" i="17"/>
  <c r="G83" i="17" s="1"/>
  <c r="F82" i="17"/>
  <c r="G82" i="17" s="1"/>
  <c r="F81" i="17"/>
  <c r="G81" i="17" s="1"/>
  <c r="F80" i="17"/>
  <c r="G80" i="17" s="1"/>
  <c r="F79" i="17"/>
  <c r="G79" i="17" s="1"/>
  <c r="F78" i="17"/>
  <c r="G78" i="17" s="1"/>
  <c r="F77" i="17"/>
  <c r="G77" i="17" s="1"/>
  <c r="F76" i="17"/>
  <c r="G76" i="17" s="1"/>
  <c r="F75" i="17"/>
  <c r="G75" i="17" s="1"/>
  <c r="F74" i="17"/>
  <c r="G74" i="17" s="1"/>
  <c r="F73" i="17"/>
  <c r="G73" i="17" s="1"/>
  <c r="F72" i="17"/>
  <c r="G72" i="17" s="1"/>
  <c r="F71" i="17"/>
  <c r="G71" i="17" s="1"/>
  <c r="F70" i="17"/>
  <c r="G70" i="17" s="1"/>
  <c r="F69" i="17"/>
  <c r="G69" i="17" s="1"/>
  <c r="F68" i="17"/>
  <c r="G68" i="17" s="1"/>
  <c r="F67" i="17"/>
  <c r="G67" i="17" s="1"/>
  <c r="F66" i="17"/>
  <c r="G66" i="17" s="1"/>
  <c r="F65" i="17"/>
  <c r="G65" i="17" s="1"/>
  <c r="F64" i="17"/>
  <c r="G64" i="17" s="1"/>
  <c r="F63" i="17"/>
  <c r="G63" i="17" s="1"/>
  <c r="F62" i="17"/>
  <c r="G62" i="17" s="1"/>
  <c r="F61" i="17"/>
  <c r="G61" i="17" s="1"/>
  <c r="F60" i="17"/>
  <c r="G60" i="17" s="1"/>
  <c r="F59" i="17"/>
  <c r="G59" i="17" s="1"/>
  <c r="F58" i="17"/>
  <c r="G58" i="17" s="1"/>
  <c r="F57" i="17"/>
  <c r="G57" i="17" s="1"/>
  <c r="F56" i="17"/>
  <c r="G56" i="17" s="1"/>
  <c r="F55" i="17"/>
  <c r="G55" i="17" s="1"/>
  <c r="F54" i="17"/>
  <c r="G54" i="17" s="1"/>
  <c r="F53" i="17"/>
  <c r="G53" i="17" s="1"/>
  <c r="F52" i="17"/>
  <c r="G52" i="17" s="1"/>
  <c r="F51" i="17"/>
  <c r="G51" i="17" s="1"/>
  <c r="F50" i="17"/>
  <c r="G50" i="17" s="1"/>
  <c r="F49" i="17"/>
  <c r="G49" i="17" s="1"/>
  <c r="F48" i="17"/>
  <c r="G48" i="17" s="1"/>
  <c r="F47" i="17"/>
  <c r="G47" i="17" s="1"/>
  <c r="F46" i="17"/>
  <c r="G46" i="17" s="1"/>
  <c r="F45" i="17"/>
  <c r="G45" i="17" s="1"/>
  <c r="F44" i="17"/>
  <c r="G44" i="17" s="1"/>
  <c r="F43" i="17"/>
  <c r="G43" i="17" s="1"/>
  <c r="F42" i="17"/>
  <c r="G42" i="17" s="1"/>
  <c r="F41" i="17"/>
  <c r="G41" i="17" s="1"/>
  <c r="F40" i="17"/>
  <c r="G40" i="17" s="1"/>
  <c r="F39" i="17"/>
  <c r="G39" i="17" s="1"/>
  <c r="F38" i="17"/>
  <c r="G38" i="17" s="1"/>
  <c r="F37" i="17"/>
  <c r="G37" i="17" s="1"/>
  <c r="F36" i="17"/>
  <c r="G36" i="17" s="1"/>
  <c r="F35" i="17"/>
  <c r="G35" i="17" s="1"/>
  <c r="F34" i="17"/>
  <c r="G34" i="17" s="1"/>
  <c r="F33" i="17"/>
  <c r="G33" i="17" s="1"/>
  <c r="F32" i="17"/>
  <c r="G32" i="17" s="1"/>
  <c r="F31" i="17"/>
  <c r="G31" i="17" s="1"/>
  <c r="F30" i="17"/>
  <c r="G30" i="17" s="1"/>
  <c r="F29" i="17"/>
  <c r="G29" i="17" s="1"/>
  <c r="T18" i="17" s="1" a="1"/>
  <c r="T18" i="17" s="1"/>
  <c r="F28" i="17"/>
  <c r="G28" i="17" s="1"/>
  <c r="F27" i="17"/>
  <c r="G27" i="17" s="1"/>
  <c r="F26" i="17"/>
  <c r="G26" i="17" s="1"/>
  <c r="F25" i="17"/>
  <c r="G25" i="17" s="1"/>
  <c r="F24" i="17"/>
  <c r="G24" i="17" s="1"/>
  <c r="F23" i="17"/>
  <c r="G23" i="17" s="1"/>
  <c r="F22" i="17"/>
  <c r="G22" i="17" s="1"/>
  <c r="F21" i="17"/>
  <c r="G21" i="17" s="1"/>
  <c r="F20" i="17"/>
  <c r="G20" i="17" s="1"/>
  <c r="F19" i="17"/>
  <c r="G19" i="17" s="1"/>
  <c r="F18" i="17"/>
  <c r="G18" i="17" s="1"/>
  <c r="F17" i="17"/>
  <c r="G17" i="17" s="1"/>
  <c r="F16" i="17"/>
  <c r="G16" i="17" s="1"/>
  <c r="F15" i="17"/>
  <c r="G15" i="17" s="1"/>
  <c r="F14" i="17"/>
  <c r="G14" i="17" s="1"/>
  <c r="F13" i="17"/>
  <c r="G13" i="17" s="1"/>
  <c r="F12" i="17"/>
  <c r="G12" i="17" s="1"/>
  <c r="F11" i="17"/>
  <c r="G11" i="17" s="1"/>
  <c r="F10" i="17"/>
  <c r="G10" i="17" s="1"/>
  <c r="F9" i="17"/>
  <c r="F8" i="17"/>
  <c r="G8" i="17" s="1"/>
  <c r="F7" i="17"/>
  <c r="F6" i="17"/>
  <c r="F5" i="17"/>
  <c r="F4" i="17"/>
  <c r="F3" i="17"/>
  <c r="T10" i="17" l="1" a="1"/>
  <c r="T10" i="17" s="1"/>
  <c r="T14" i="17" a="1"/>
  <c r="T14" i="17" s="1"/>
  <c r="T13" i="17" a="1"/>
  <c r="T13" i="17" s="1"/>
  <c r="T11" i="17" a="1"/>
  <c r="T11" i="17" s="1"/>
  <c r="T9" i="17" a="1"/>
  <c r="T9" i="17" s="1"/>
  <c r="T15" i="17" a="1"/>
  <c r="T15" i="17" s="1"/>
  <c r="G5" i="17"/>
  <c r="T5" i="17" s="1" a="1"/>
  <c r="T5" i="17" s="1"/>
  <c r="W5" i="17"/>
  <c r="V5" i="17"/>
  <c r="G9" i="17"/>
  <c r="T8" i="17" s="1" a="1"/>
  <c r="T8" i="17" s="1"/>
  <c r="V8" i="17"/>
  <c r="G6" i="17"/>
  <c r="T6" i="17" s="1" a="1"/>
  <c r="T6" i="17" s="1"/>
  <c r="W6" i="17"/>
  <c r="V6" i="17"/>
  <c r="T16" i="17" a="1"/>
  <c r="T16" i="17" s="1"/>
  <c r="G3" i="17"/>
  <c r="T3" i="17" s="1"/>
  <c r="W3" i="17"/>
  <c r="V3" i="17"/>
  <c r="G7" i="17"/>
  <c r="T7" i="17" s="1" a="1"/>
  <c r="T7" i="17" s="1"/>
  <c r="V7" i="17"/>
  <c r="T12" i="17" a="1"/>
  <c r="T12" i="17" s="1"/>
  <c r="T17" i="17" a="1"/>
  <c r="T17" i="17" s="1"/>
  <c r="G4" i="17"/>
  <c r="T4" i="17" s="1"/>
  <c r="W4" i="17"/>
  <c r="V4" i="17"/>
  <c r="D24" i="22"/>
  <c r="E24" i="22" s="1"/>
  <c r="C25" i="22" s="1"/>
  <c r="F2" i="14"/>
  <c r="D25" i="22" l="1"/>
  <c r="E25" i="22" s="1"/>
  <c r="C26" i="22" s="1"/>
  <c r="C41" i="11"/>
  <c r="D26" i="22" l="1"/>
  <c r="E26" i="22" s="1"/>
  <c r="C27" i="22" s="1"/>
  <c r="C33" i="11"/>
  <c r="D27" i="22" l="1"/>
  <c r="E27" i="22" s="1"/>
  <c r="C28" i="22" s="1"/>
  <c r="D28" i="22" l="1"/>
  <c r="E28" i="22" s="1"/>
  <c r="C29" i="22" s="1"/>
  <c r="D29" i="22" l="1"/>
  <c r="E29" i="22" s="1"/>
  <c r="C30" i="22" s="1"/>
  <c r="D30" i="22" l="1"/>
  <c r="E30" i="22" s="1"/>
  <c r="C31" i="22" s="1"/>
  <c r="D31" i="22" l="1"/>
  <c r="E31" i="22" s="1"/>
  <c r="C32" i="22" s="1"/>
  <c r="D32" i="22" l="1"/>
  <c r="E32" i="22" s="1"/>
  <c r="C33" i="22" s="1"/>
  <c r="D33" i="22" l="1"/>
  <c r="E33" i="22" s="1"/>
  <c r="C34" i="22" s="1"/>
  <c r="D34" i="22" l="1"/>
  <c r="E34" i="22" s="1"/>
  <c r="C35" i="22" s="1"/>
  <c r="D35" i="22" l="1"/>
  <c r="E35" i="22" s="1"/>
  <c r="C36" i="22" s="1"/>
  <c r="D36" i="22" l="1"/>
  <c r="E36" i="22" s="1"/>
  <c r="C37" i="22" s="1"/>
  <c r="D37" i="22" l="1"/>
  <c r="E37" i="22" s="1"/>
  <c r="C38" i="22" s="1"/>
  <c r="D38" i="22" l="1"/>
  <c r="E38" i="22" s="1"/>
  <c r="C39" i="22" s="1"/>
  <c r="D39" i="22" l="1"/>
  <c r="E39" i="22" s="1"/>
  <c r="C40" i="22" s="1"/>
  <c r="D40" i="22" l="1"/>
  <c r="E40" i="22" s="1"/>
  <c r="C41" i="22" s="1"/>
  <c r="D41" i="22" l="1"/>
  <c r="E41" i="22" s="1"/>
  <c r="C42" i="22" s="1"/>
  <c r="D42" i="22" l="1"/>
  <c r="E42" i="22" s="1"/>
  <c r="C43" i="22" s="1"/>
  <c r="D43" i="22" l="1"/>
  <c r="E43" i="22" s="1"/>
  <c r="C44" i="22" s="1"/>
  <c r="D44" i="22" l="1"/>
  <c r="E44" i="22" s="1"/>
  <c r="C45" i="22" s="1"/>
  <c r="D45" i="22" l="1"/>
  <c r="E45" i="22" s="1"/>
  <c r="C46" i="22" s="1"/>
  <c r="D46" i="22" l="1"/>
  <c r="E46" i="22" s="1"/>
  <c r="C47" i="22" s="1"/>
  <c r="D47" i="22" l="1"/>
  <c r="E47" i="22" s="1"/>
  <c r="C48" i="22" s="1"/>
  <c r="D48" i="22" l="1"/>
  <c r="E48" i="22" s="1"/>
  <c r="C49" i="22" s="1"/>
  <c r="D49" i="22" l="1"/>
  <c r="E49" i="22" s="1"/>
  <c r="C50" i="22" s="1"/>
  <c r="D50" i="22" l="1"/>
  <c r="E50" i="22" s="1"/>
  <c r="C51" i="22" s="1"/>
  <c r="D51" i="22" l="1"/>
  <c r="E51" i="22" s="1"/>
  <c r="C52" i="22" s="1"/>
  <c r="D52" i="22" l="1"/>
  <c r="E52" i="22" s="1"/>
  <c r="C53" i="22" s="1"/>
  <c r="D53" i="22" l="1"/>
  <c r="E53" i="22" s="1"/>
  <c r="C54" i="22" s="1"/>
  <c r="D54" i="22" l="1"/>
  <c r="E54" i="22" s="1"/>
  <c r="C55" i="22" s="1"/>
  <c r="D55" i="22" l="1"/>
  <c r="E55" i="22" s="1"/>
  <c r="C56" i="22" s="1"/>
  <c r="D56" i="22" l="1"/>
  <c r="E56" i="22" s="1"/>
  <c r="C57" i="22" s="1"/>
  <c r="D57" i="22" l="1"/>
  <c r="E57" i="22" s="1"/>
  <c r="C58" i="22" s="1"/>
  <c r="D58" i="22" l="1"/>
  <c r="E58" i="22" s="1"/>
  <c r="C59" i="22" s="1"/>
  <c r="D59" i="22" l="1"/>
  <c r="E59" i="22" s="1"/>
  <c r="C60" i="22" s="1"/>
  <c r="D60" i="22" l="1"/>
  <c r="E60" i="22" s="1"/>
  <c r="C61" i="22" s="1"/>
  <c r="D61" i="22" l="1"/>
  <c r="E61" i="22" s="1"/>
  <c r="C62" i="22" s="1"/>
  <c r="D62" i="22" l="1"/>
  <c r="E62" i="22" s="1"/>
  <c r="C63" i="22" s="1"/>
  <c r="D63" i="22" l="1"/>
  <c r="E63" i="22" s="1"/>
  <c r="C64" i="22" s="1"/>
  <c r="D64" i="22" l="1"/>
  <c r="E64" i="22" s="1"/>
  <c r="C65" i="22" s="1"/>
  <c r="D65" i="22" l="1"/>
  <c r="E65" i="22" s="1"/>
  <c r="C66" i="22" s="1"/>
  <c r="D66" i="22" l="1"/>
  <c r="E66" i="22" s="1"/>
  <c r="C67" i="22" s="1"/>
  <c r="D67" i="22" l="1"/>
  <c r="E67" i="22" s="1"/>
  <c r="C68" i="22" s="1"/>
  <c r="D68" i="22" l="1"/>
  <c r="E68" i="22" s="1"/>
  <c r="C69" i="22" s="1"/>
  <c r="D69" i="22" l="1"/>
  <c r="E69" i="22" s="1"/>
  <c r="C70" i="22" s="1"/>
  <c r="D70" i="22" l="1"/>
  <c r="E70" i="22" s="1"/>
  <c r="C71" i="22" s="1"/>
  <c r="D71" i="22" l="1"/>
  <c r="E71" i="22" s="1"/>
  <c r="C72" i="22" s="1"/>
  <c r="D72" i="22" l="1"/>
  <c r="E72" i="22" s="1"/>
  <c r="C73" i="22" s="1"/>
  <c r="D73" i="22" l="1"/>
  <c r="E73" i="22" s="1"/>
  <c r="C74" i="22" s="1"/>
  <c r="D74" i="22" l="1"/>
  <c r="E74" i="22" s="1"/>
  <c r="C75" i="22" s="1"/>
  <c r="D75" i="22" l="1"/>
  <c r="E75" i="22" s="1"/>
  <c r="C76" i="22" s="1"/>
  <c r="D76" i="22" l="1"/>
  <c r="E76" i="22" s="1"/>
  <c r="C77" i="22" s="1"/>
  <c r="D77" i="22" l="1"/>
  <c r="E77" i="22" s="1"/>
  <c r="C78" i="22" s="1"/>
  <c r="D78" i="22" l="1"/>
  <c r="E78" i="22" s="1"/>
  <c r="C79" i="22" s="1"/>
  <c r="D79" i="22" l="1"/>
  <c r="E79" i="22" s="1"/>
  <c r="C80" i="22" s="1"/>
  <c r="D80" i="22" l="1"/>
  <c r="E80" i="22" s="1"/>
  <c r="C81" i="22" s="1"/>
  <c r="D81" i="22" l="1"/>
  <c r="E81" i="22" s="1"/>
  <c r="C82" i="22" s="1"/>
  <c r="D82" i="22" l="1"/>
  <c r="E82" i="22" s="1"/>
  <c r="C83" i="22" s="1"/>
  <c r="D83" i="22" l="1"/>
  <c r="E83" i="22" s="1"/>
  <c r="C84" i="22" s="1"/>
  <c r="D84" i="22" l="1"/>
  <c r="E84" i="22" s="1"/>
  <c r="C85" i="22" s="1"/>
  <c r="D85" i="22" l="1"/>
  <c r="E85" i="22" s="1"/>
  <c r="C86" i="22" s="1"/>
  <c r="D86" i="22" l="1"/>
  <c r="E86" i="22" s="1"/>
  <c r="C87" i="22" s="1"/>
  <c r="D87" i="22" l="1"/>
  <c r="E87" i="22" s="1"/>
  <c r="C88" i="22" s="1"/>
  <c r="D88" i="22" l="1"/>
  <c r="E88" i="22" s="1"/>
  <c r="C89" i="22" s="1"/>
  <c r="D89" i="22" l="1"/>
  <c r="E89" i="22" s="1"/>
  <c r="C90" i="22" s="1"/>
  <c r="D90" i="22" l="1"/>
  <c r="E90" i="22" s="1"/>
  <c r="C91" i="22" s="1"/>
  <c r="D91" i="22" l="1"/>
  <c r="E91" i="22" s="1"/>
  <c r="C92" i="22" s="1"/>
  <c r="D92" i="22" l="1"/>
  <c r="E92" i="22" s="1"/>
  <c r="C93" i="22" s="1"/>
  <c r="D93" i="22" l="1"/>
  <c r="E93" i="22" s="1"/>
  <c r="C94" i="22" s="1"/>
  <c r="D94" i="22" l="1"/>
  <c r="E94" i="22" s="1"/>
  <c r="C95" i="22" s="1"/>
  <c r="D95" i="22" l="1"/>
  <c r="E95" i="22" s="1"/>
  <c r="C96" i="22" s="1"/>
  <c r="D96" i="22" l="1"/>
  <c r="E96" i="22" s="1"/>
  <c r="C97" i="22" s="1"/>
  <c r="D97" i="22" l="1"/>
  <c r="E97" i="22" s="1"/>
  <c r="C98" i="22" s="1"/>
  <c r="D98" i="22" l="1"/>
  <c r="E98" i="22" s="1"/>
  <c r="C99" i="22" s="1"/>
  <c r="D99" i="22" l="1"/>
  <c r="E99" i="22" s="1"/>
  <c r="C100" i="22" s="1"/>
  <c r="D100" i="22" l="1"/>
  <c r="E100" i="22" s="1"/>
  <c r="C101" i="22" s="1"/>
  <c r="D101" i="22" l="1"/>
  <c r="E101" i="22" s="1"/>
  <c r="C102" i="22" s="1"/>
  <c r="D102" i="22" l="1"/>
  <c r="E102" i="22" s="1"/>
  <c r="C103" i="22" s="1"/>
  <c r="D103" i="22" l="1"/>
  <c r="E103" i="22" s="1"/>
  <c r="C104" i="22" s="1"/>
  <c r="D104" i="22" l="1"/>
  <c r="E104" i="22" s="1"/>
  <c r="C105" i="22" s="1"/>
  <c r="D105" i="22" l="1"/>
  <c r="E105" i="22" s="1"/>
  <c r="C106" i="22" s="1"/>
  <c r="D106" i="22" l="1"/>
  <c r="E106" i="22" s="1"/>
  <c r="C107" i="22" s="1"/>
  <c r="D107" i="22" l="1"/>
  <c r="E107" i="22" s="1"/>
  <c r="C108" i="22" s="1"/>
  <c r="D108" i="22" l="1"/>
  <c r="E108" i="22" s="1"/>
  <c r="C109" i="22" s="1"/>
  <c r="D109" i="22" l="1"/>
  <c r="E109" i="22" s="1"/>
  <c r="C110" i="22" s="1"/>
  <c r="D110" i="22" l="1"/>
  <c r="E110" i="22" s="1"/>
  <c r="C111" i="22" s="1"/>
  <c r="D111" i="22" l="1"/>
  <c r="E111" i="22" s="1"/>
  <c r="C112" i="22" s="1"/>
  <c r="D112" i="22" l="1"/>
  <c r="E112" i="22" s="1"/>
  <c r="C113" i="22" s="1"/>
  <c r="D113" i="22" l="1"/>
  <c r="E113" i="22" s="1"/>
  <c r="C114" i="22" s="1"/>
  <c r="D114" i="22" l="1"/>
  <c r="E114" i="22" s="1"/>
  <c r="C115" i="22" s="1"/>
  <c r="D115" i="22" l="1"/>
  <c r="E115" i="22" s="1"/>
  <c r="C116" i="22" s="1"/>
  <c r="D116" i="22" l="1"/>
  <c r="E116" i="22" s="1"/>
  <c r="C117" i="22" s="1"/>
  <c r="D117" i="22" l="1"/>
  <c r="E117" i="22" s="1"/>
  <c r="C118" i="22" s="1"/>
  <c r="D118" i="22" l="1"/>
  <c r="E118" i="22" s="1"/>
  <c r="C119" i="22" s="1"/>
  <c r="D119" i="22" l="1"/>
  <c r="E119" i="22" s="1"/>
  <c r="C120" i="22" s="1"/>
  <c r="D120" i="22" l="1"/>
  <c r="E120" i="22" s="1"/>
  <c r="C121" i="22" s="1"/>
  <c r="D121" i="22" l="1"/>
  <c r="E121" i="22" s="1"/>
  <c r="C122" i="22" s="1"/>
  <c r="D122" i="22" l="1"/>
  <c r="E122" i="22" s="1"/>
  <c r="C123" i="22" s="1"/>
  <c r="D123" i="22" l="1"/>
  <c r="E123" i="22" s="1"/>
  <c r="C124" i="22" s="1"/>
  <c r="D124" i="22" l="1"/>
  <c r="E124" i="22" s="1"/>
  <c r="C125" i="22" s="1"/>
  <c r="D125" i="22" l="1"/>
  <c r="E125" i="22" s="1"/>
  <c r="C126" i="22" s="1"/>
  <c r="D126" i="22" l="1"/>
  <c r="E126" i="22" s="1"/>
  <c r="C127" i="22" s="1"/>
  <c r="D127" i="22" l="1"/>
  <c r="E127" i="22" s="1"/>
  <c r="C128" i="22" s="1"/>
  <c r="D128" i="22" l="1"/>
  <c r="E128" i="22" s="1"/>
  <c r="C129" i="22" s="1"/>
  <c r="D129" i="22" l="1"/>
  <c r="E129" i="22" s="1"/>
  <c r="C130" i="22" s="1"/>
  <c r="D130" i="22" l="1"/>
  <c r="E130" i="22" s="1"/>
  <c r="C131" i="22" s="1"/>
  <c r="D131" i="22" l="1"/>
  <c r="E131" i="22" s="1"/>
  <c r="C132" i="22" s="1"/>
  <c r="D132" i="22" l="1"/>
  <c r="E132" i="22" s="1"/>
  <c r="C133" i="22" s="1"/>
  <c r="D133" i="22" l="1"/>
  <c r="E133" i="22" s="1"/>
  <c r="C134" i="22" s="1"/>
  <c r="D134" i="22" l="1"/>
  <c r="E134" i="22" s="1"/>
  <c r="C135" i="22" s="1"/>
  <c r="D135" i="22" l="1"/>
  <c r="E135" i="22" s="1"/>
  <c r="C136" i="22" s="1"/>
  <c r="D136" i="22" l="1"/>
  <c r="E136" i="22" s="1"/>
  <c r="C137" i="22" s="1"/>
  <c r="D137" i="22" l="1"/>
  <c r="E137" i="22" s="1"/>
  <c r="C138" i="22" s="1"/>
  <c r="D138" i="22" l="1"/>
  <c r="E138" i="22" s="1"/>
  <c r="C139" i="22" s="1"/>
  <c r="D139" i="22" l="1"/>
  <c r="E139" i="22" s="1"/>
  <c r="C140" i="22" s="1"/>
  <c r="D140" i="22" l="1"/>
  <c r="E140" i="22" s="1"/>
  <c r="C141" i="22" s="1"/>
  <c r="D141" i="22" l="1"/>
  <c r="E141" i="22" s="1"/>
  <c r="C142" i="22" s="1"/>
  <c r="D142" i="22" l="1"/>
  <c r="E142" i="22" s="1"/>
  <c r="C143" i="22" s="1"/>
  <c r="D143" i="22" l="1"/>
  <c r="E143" i="22" s="1"/>
  <c r="C144" i="22" s="1"/>
  <c r="D144" i="22" l="1"/>
  <c r="E144" i="22" s="1"/>
  <c r="C145" i="22" s="1"/>
  <c r="D145" i="22" l="1"/>
  <c r="E145" i="22" s="1"/>
  <c r="C146" i="22" s="1"/>
  <c r="D146" i="22" l="1"/>
  <c r="E146" i="22" s="1"/>
  <c r="C147" i="22" s="1"/>
  <c r="D147" i="22" l="1"/>
  <c r="E147" i="22" s="1"/>
  <c r="C148" i="22" s="1"/>
  <c r="D148" i="22" l="1"/>
  <c r="E148" i="22" s="1"/>
  <c r="C149" i="22" s="1"/>
  <c r="D149" i="22" l="1"/>
  <c r="E149" i="22" s="1"/>
  <c r="C150" i="22" s="1"/>
  <c r="D150" i="22" l="1"/>
  <c r="E150" i="22" s="1"/>
  <c r="C151" i="22" s="1"/>
  <c r="D151" i="22" l="1"/>
  <c r="E151" i="22" s="1"/>
  <c r="C152" i="22" s="1"/>
  <c r="D152" i="22" l="1"/>
  <c r="E152" i="22" s="1"/>
  <c r="C153" i="22" s="1"/>
  <c r="D153" i="22" l="1"/>
  <c r="E153" i="22" s="1"/>
  <c r="C154" i="22" s="1"/>
  <c r="D154" i="22" l="1"/>
  <c r="E154" i="22" s="1"/>
  <c r="C155" i="22" s="1"/>
  <c r="D155" i="22" l="1"/>
  <c r="E155" i="22" s="1"/>
  <c r="C156" i="22" s="1"/>
  <c r="D156" i="22" l="1"/>
  <c r="E156" i="22" s="1"/>
  <c r="C157" i="22" s="1"/>
  <c r="D157" i="22" l="1"/>
  <c r="E157" i="22" s="1"/>
  <c r="C158" i="22" s="1"/>
  <c r="D158" i="22" l="1"/>
  <c r="E158" i="22" s="1"/>
  <c r="C159" i="22" s="1"/>
  <c r="D159" i="22" l="1"/>
  <c r="E159" i="22" s="1"/>
  <c r="C160" i="22" s="1"/>
  <c r="D160" i="22" l="1"/>
  <c r="E160" i="22" s="1"/>
  <c r="C161" i="22" s="1"/>
  <c r="D161" i="22" l="1"/>
  <c r="E161" i="22" s="1"/>
  <c r="C162" i="22" s="1"/>
  <c r="D162" i="22" l="1"/>
  <c r="E162" i="22" s="1"/>
  <c r="C163" i="22" s="1"/>
  <c r="D163" i="22" l="1"/>
  <c r="E163" i="22" s="1"/>
  <c r="C164" i="22" s="1"/>
  <c r="D164" i="22" l="1"/>
  <c r="E164" i="22" s="1"/>
  <c r="C165" i="22" s="1"/>
  <c r="D165" i="22" l="1"/>
  <c r="E165" i="22" s="1"/>
  <c r="C166" i="22" s="1"/>
  <c r="D166" i="22" l="1"/>
  <c r="E166" i="22" s="1"/>
  <c r="C167" i="22" s="1"/>
  <c r="D167" i="22" l="1"/>
  <c r="E167" i="22" s="1"/>
  <c r="C168" i="22" s="1"/>
  <c r="D168" i="22" l="1"/>
  <c r="E168" i="22" s="1"/>
  <c r="C169" i="22" s="1"/>
  <c r="D169" i="22" l="1"/>
  <c r="E169" i="22" s="1"/>
  <c r="C170" i="22" s="1"/>
  <c r="D170" i="22" l="1"/>
  <c r="E170" i="22" s="1"/>
  <c r="C171" i="22" s="1"/>
  <c r="D171" i="22" l="1"/>
  <c r="E171" i="22" s="1"/>
  <c r="C172" i="22" s="1"/>
  <c r="D172" i="22" l="1"/>
  <c r="E172" i="22" s="1"/>
  <c r="C173" i="22" s="1"/>
  <c r="D173" i="22" l="1"/>
  <c r="E173" i="22" s="1"/>
  <c r="C174" i="22" s="1"/>
  <c r="D174" i="22" l="1"/>
  <c r="E174" i="22" s="1"/>
  <c r="C175" i="22" s="1"/>
  <c r="D175" i="22" l="1"/>
  <c r="E175" i="22" s="1"/>
  <c r="C176" i="22" s="1"/>
  <c r="D176" i="22" l="1"/>
  <c r="E176" i="22" s="1"/>
  <c r="C177" i="22" s="1"/>
  <c r="D177" i="22" l="1"/>
  <c r="E177" i="22" s="1"/>
  <c r="C178" i="22" s="1"/>
  <c r="D178" i="22" l="1"/>
  <c r="E178" i="22" s="1"/>
  <c r="C179" i="22" s="1"/>
  <c r="D179" i="22" l="1"/>
  <c r="E179" i="22" s="1"/>
  <c r="C180" i="22" s="1"/>
  <c r="D180" i="22" l="1"/>
  <c r="E180" i="22" s="1"/>
  <c r="C181" i="22" s="1"/>
  <c r="D181" i="22" l="1"/>
  <c r="E181" i="22" s="1"/>
  <c r="C182" i="22" s="1"/>
  <c r="D182" i="22" l="1"/>
  <c r="E182" i="22" s="1"/>
  <c r="C183" i="22" s="1"/>
  <c r="D183" i="22" l="1"/>
  <c r="E183" i="22" s="1"/>
  <c r="C184" i="22" s="1"/>
  <c r="D184" i="22" l="1"/>
  <c r="E184" i="22" s="1"/>
  <c r="C185" i="22" s="1"/>
  <c r="D185" i="22" l="1"/>
  <c r="E185" i="22" s="1"/>
  <c r="C186" i="22" s="1"/>
  <c r="D186" i="22" l="1"/>
  <c r="E186" i="22" s="1"/>
  <c r="C187" i="22" s="1"/>
  <c r="D187" i="22" l="1"/>
  <c r="E187" i="22" s="1"/>
  <c r="C188" i="22" s="1"/>
  <c r="D188" i="22" l="1"/>
  <c r="E188" i="22" s="1"/>
  <c r="C189" i="22" s="1"/>
  <c r="D189" i="22" l="1"/>
  <c r="E189"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582A52-2BEF-4FF7-974A-EE8B50D0987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8F76F8A-EB11-4762-BA9A-2168C93B37F8}" name="WorksheetConnection_Pivot!$B$2:$H$62" type="102" refreshedVersion="6" minRefreshableVersion="5">
    <extLst>
      <ext xmlns:x15="http://schemas.microsoft.com/office/spreadsheetml/2010/11/main" uri="{DE250136-89BD-433C-8126-D09CA5730AF9}">
        <x15:connection id="Range 1" autoDelete="1">
          <x15:rangePr sourceName="_xlcn.WorksheetConnection_PivotB2H621"/>
        </x15:connection>
      </ext>
    </extLst>
  </connection>
  <connection id="3" xr16:uid="{906B386D-90A5-4721-9A3A-D63349D7174C}" name="WorksheetConnection_Training File.xlsx!Blood_Doners" type="102" refreshedVersion="6" minRefreshableVersion="5">
    <extLst>
      <ext xmlns:x15="http://schemas.microsoft.com/office/spreadsheetml/2010/11/main" uri="{DE250136-89BD-433C-8126-D09CA5730AF9}">
        <x15:connection id="Blood_Doners">
          <x15:rangePr sourceName="_xlcn.WorksheetConnection_TrainingFile.xlsxBlood_Doners1"/>
        </x15:connection>
      </ext>
    </extLst>
  </connection>
  <connection id="4" xr16:uid="{9E8F9E62-128F-4E24-8CFC-F082FC7EE35D}" name="WorksheetConnection_Training File.xlsx!Colddrinks" type="102" refreshedVersion="6" minRefreshableVersion="5">
    <extLst>
      <ext xmlns:x15="http://schemas.microsoft.com/office/spreadsheetml/2010/11/main" uri="{DE250136-89BD-433C-8126-D09CA5730AF9}">
        <x15:connection id="Colddrinks">
          <x15:rangePr sourceName="_xlcn.WorksheetConnection_TrainingFile.xlsxColddrinks1"/>
        </x15:connection>
      </ext>
    </extLst>
  </connection>
  <connection id="5" xr16:uid="{43686837-5C82-495C-9736-6B0AC61280E6}" name="WorksheetConnection_Training File.xlsx!Employee" type="102" refreshedVersion="6" minRefreshableVersion="5">
    <extLst>
      <ext xmlns:x15="http://schemas.microsoft.com/office/spreadsheetml/2010/11/main" uri="{DE250136-89BD-433C-8126-D09CA5730AF9}">
        <x15:connection id="Employee" autoDelete="1">
          <x15:rangePr sourceName="_xlcn.WorksheetConnection_TrainingFile.xlsxEmployee1"/>
        </x15:connection>
      </ext>
    </extLst>
  </connection>
  <connection id="6" xr16:uid="{CD144E8C-9BAA-4F34-A53E-50F29D7F8486}" name="WorksheetConnection_Training File.xlsx!Vlookup" type="102" refreshedVersion="6" minRefreshableVersion="5">
    <extLst>
      <ext xmlns:x15="http://schemas.microsoft.com/office/spreadsheetml/2010/11/main" uri="{DE250136-89BD-433C-8126-D09CA5730AF9}">
        <x15:connection id="Vlookup">
          <x15:rangePr sourceName="_xlcn.WorksheetConnection_TrainingFile.xlsxVlookup1"/>
        </x15:connection>
      </ext>
    </extLst>
  </connection>
  <connection id="7" xr16:uid="{4A69F08F-ED2A-4AE2-B0ED-25AC5FB12C85}" name="WorksheetConnection_Vlookup!$B$2:$G$83" type="102" refreshedVersion="6" minRefreshableVersion="5">
    <extLst>
      <ext xmlns:x15="http://schemas.microsoft.com/office/spreadsheetml/2010/11/main" uri="{DE250136-89BD-433C-8126-D09CA5730AF9}">
        <x15:connection id="Range" autoDelete="1">
          <x15:rangePr sourceName="_xlcn.WorksheetConnection_VlookupB2G83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4">
    <s v="ThisWorkbookDataModel"/>
    <s v="{[Colddrinks].[Jan].[All]}"/>
    <s v="{[Colddrinks].[Feb].[All]}"/>
    <s v="{[Range].[Date (Month)].&amp;[Feb]}"/>
  </metadataStrings>
  <mdxMetadata count="3">
    <mdx n="0" f="s">
      <ms ns="1" c="0"/>
    </mdx>
    <mdx n="0" f="s">
      <ms ns="2" c="0"/>
    </mdx>
    <mdx n="0" f="s">
      <ms ns="3" c="0"/>
    </mdx>
  </mdxMetadata>
  <valueMetadata count="3">
    <bk>
      <rc t="1" v="0"/>
    </bk>
    <bk>
      <rc t="1" v="1"/>
    </bk>
    <bk>
      <rc t="1" v="2"/>
    </bk>
  </valueMetadata>
</metadata>
</file>

<file path=xl/sharedStrings.xml><?xml version="1.0" encoding="utf-8"?>
<sst xmlns="http://schemas.openxmlformats.org/spreadsheetml/2006/main" count="3763" uniqueCount="1669">
  <si>
    <t>Total</t>
  </si>
  <si>
    <t>Product List</t>
  </si>
  <si>
    <t>Product No.</t>
  </si>
  <si>
    <t>Product Name</t>
  </si>
  <si>
    <t>Price(Rs.)</t>
  </si>
  <si>
    <t>Qty. In Stock</t>
  </si>
  <si>
    <t xml:space="preserve">Qty Available </t>
  </si>
  <si>
    <t>Mouse Pad</t>
  </si>
  <si>
    <t>Mouse</t>
  </si>
  <si>
    <t>USB Cable</t>
  </si>
  <si>
    <t>Floppy</t>
  </si>
  <si>
    <t>CD-Sony</t>
  </si>
  <si>
    <t>CD-Maxell</t>
  </si>
  <si>
    <t>DVD-Moserbaer</t>
  </si>
  <si>
    <t>DVD-Sony</t>
  </si>
  <si>
    <t>Keyboard-Hitachi</t>
  </si>
  <si>
    <t>Keyboard-iBall</t>
  </si>
  <si>
    <t>Time Sheet for Flexi</t>
  </si>
  <si>
    <t>Week beginning</t>
  </si>
  <si>
    <t>Day</t>
  </si>
  <si>
    <t>Arrive</t>
  </si>
  <si>
    <t>Lunch Out</t>
  </si>
  <si>
    <t>Lunch In</t>
  </si>
  <si>
    <t xml:space="preserve">Depart </t>
  </si>
  <si>
    <t>Normal Hours</t>
  </si>
  <si>
    <t>Total Hours</t>
  </si>
  <si>
    <t>MOTAR NO</t>
  </si>
  <si>
    <t>IN Date</t>
  </si>
  <si>
    <t>IN Time</t>
  </si>
  <si>
    <t>OUT Time</t>
  </si>
  <si>
    <t>OUT Date</t>
  </si>
  <si>
    <t>TOTAL Time(hrs)</t>
  </si>
  <si>
    <t>MH 12 PF 5425</t>
  </si>
  <si>
    <t>MH 12 PF 5428</t>
  </si>
  <si>
    <t>MH 12 GH 5877</t>
  </si>
  <si>
    <t>MH 12 TY 6528</t>
  </si>
  <si>
    <t>MH 12 LO 3679</t>
  </si>
  <si>
    <t>MH 12 UY 1245</t>
  </si>
  <si>
    <t>Sale Qty</t>
  </si>
  <si>
    <t>Brand C</t>
  </si>
  <si>
    <t>Brand B</t>
  </si>
  <si>
    <t>Brand A</t>
  </si>
  <si>
    <t>TOTAL</t>
  </si>
  <si>
    <t>Brands</t>
  </si>
  <si>
    <t>Emp code</t>
  </si>
  <si>
    <t>Full Name</t>
  </si>
  <si>
    <t>Dept</t>
  </si>
  <si>
    <t>Region</t>
  </si>
  <si>
    <t>Branch</t>
  </si>
  <si>
    <t>Salary</t>
  </si>
  <si>
    <t>Mobile Number</t>
  </si>
  <si>
    <t>Raja Raymondekar</t>
  </si>
  <si>
    <t>Sales</t>
  </si>
  <si>
    <t>north</t>
  </si>
  <si>
    <t>Ferozepur</t>
  </si>
  <si>
    <t>Suman Shinde</t>
  </si>
  <si>
    <t>east</t>
  </si>
  <si>
    <t>Cuttack</t>
  </si>
  <si>
    <t>Kuldeep Sharma</t>
  </si>
  <si>
    <t>Admin</t>
  </si>
  <si>
    <t>south</t>
  </si>
  <si>
    <t>Hydrabad</t>
  </si>
  <si>
    <t>Beena Mavadia</t>
  </si>
  <si>
    <t>Mktg</t>
  </si>
  <si>
    <t>Delhi</t>
  </si>
  <si>
    <t>Seema Ranganathan</t>
  </si>
  <si>
    <t>R&amp;D</t>
  </si>
  <si>
    <t>Kanpur</t>
  </si>
  <si>
    <t>Julie D'Souza</t>
  </si>
  <si>
    <t>Mathura</t>
  </si>
  <si>
    <t>Deepak Jain</t>
  </si>
  <si>
    <t>Personnel</t>
  </si>
  <si>
    <t>west</t>
  </si>
  <si>
    <t>Pune</t>
  </si>
  <si>
    <t>Neena Mukherjee</t>
  </si>
  <si>
    <t>Agra</t>
  </si>
  <si>
    <t>Pankaj Sutradhar</t>
  </si>
  <si>
    <t>Ambala</t>
  </si>
  <si>
    <t>Andre Fernendes</t>
  </si>
  <si>
    <t>Darjeeling</t>
  </si>
  <si>
    <t>Sujay Madhrani</t>
  </si>
  <si>
    <t>Finance</t>
  </si>
  <si>
    <t>Shilpa Lele</t>
  </si>
  <si>
    <t>Jammu</t>
  </si>
  <si>
    <t>Meera Lalwani</t>
  </si>
  <si>
    <t>Calcutta</t>
  </si>
  <si>
    <t>Sheetal Desai</t>
  </si>
  <si>
    <t>Director</t>
  </si>
  <si>
    <t>cochin</t>
  </si>
  <si>
    <t>K. Sita Narayanan</t>
  </si>
  <si>
    <t>Priya Shirodkar</t>
  </si>
  <si>
    <t>Jaipur</t>
  </si>
  <si>
    <t>Aalok Trivedi</t>
  </si>
  <si>
    <t>Aakash Dixit</t>
  </si>
  <si>
    <t>Nasik</t>
  </si>
  <si>
    <t>Parvati Khanna</t>
  </si>
  <si>
    <t>Farhan Sadiq</t>
  </si>
  <si>
    <t>Satinder Kaur Sasan</t>
  </si>
  <si>
    <t>Patna</t>
  </si>
  <si>
    <t>Suchita Panchal</t>
  </si>
  <si>
    <t>Shazia Sheikh</t>
  </si>
  <si>
    <t>Pooja Nimkar</t>
  </si>
  <si>
    <t>Jasbinder Khurana</t>
  </si>
  <si>
    <t>Manglore</t>
  </si>
  <si>
    <t>Bharat Shetty</t>
  </si>
  <si>
    <t>Rishi Malik</t>
  </si>
  <si>
    <t>Banglore</t>
  </si>
  <si>
    <t>Mala Bhaduri</t>
  </si>
  <si>
    <t>Mumbai</t>
  </si>
  <si>
    <t>Hajra Hoonjan</t>
  </si>
  <si>
    <t>Aalam Qureshi</t>
  </si>
  <si>
    <t>Giriraj Gupta</t>
  </si>
  <si>
    <t>Ankur Joshi</t>
  </si>
  <si>
    <t>CCD</t>
  </si>
  <si>
    <t>Tapan Ghoshal</t>
  </si>
  <si>
    <t>Zarina Vora</t>
  </si>
  <si>
    <t>Lucknow</t>
  </si>
  <si>
    <t>Arun Joshi</t>
  </si>
  <si>
    <t>Pooja Khetan</t>
  </si>
  <si>
    <t>Surat</t>
  </si>
  <si>
    <t>Shilpa Parikh</t>
  </si>
  <si>
    <t>Mysore</t>
  </si>
  <si>
    <t>Chitra Pednekar</t>
  </si>
  <si>
    <t>Aligarh</t>
  </si>
  <si>
    <t>Sheetal Dodhia</t>
  </si>
  <si>
    <t>delhi</t>
  </si>
  <si>
    <t>Richa Raje</t>
  </si>
  <si>
    <t>Kirtikar Sardesai</t>
  </si>
  <si>
    <t>Pooja Gokhale</t>
  </si>
  <si>
    <t>Piyush Surti</t>
  </si>
  <si>
    <t>Shaheen Khan</t>
  </si>
  <si>
    <t>Kinnari Mehta</t>
  </si>
  <si>
    <t>Jeena Baig</t>
  </si>
  <si>
    <t>Vicky Joshi</t>
  </si>
  <si>
    <t>Neha Joshi</t>
  </si>
  <si>
    <t>Baroda</t>
  </si>
  <si>
    <t>Rakesh Kumar</t>
  </si>
  <si>
    <t>Ruheal Baig</t>
  </si>
  <si>
    <t>Mario Fernandes</t>
  </si>
  <si>
    <t>Heena Godbole</t>
  </si>
  <si>
    <t>Mehul Sheth</t>
  </si>
  <si>
    <t>Nagpur</t>
  </si>
  <si>
    <t>Vishal Virsinghani</t>
  </si>
  <si>
    <t>Gangtok</t>
  </si>
  <si>
    <t>Lalita Rao</t>
  </si>
  <si>
    <t>Guwahati</t>
  </si>
  <si>
    <t>Kajal Joglekar</t>
  </si>
  <si>
    <t>Katti Surti</t>
  </si>
  <si>
    <t>chennai</t>
  </si>
  <si>
    <t>Maya Panchal</t>
  </si>
  <si>
    <t>Disha Parmar</t>
  </si>
  <si>
    <t>Geeta Darekar</t>
  </si>
  <si>
    <t>Trivanadrum</t>
  </si>
  <si>
    <t>Anuradha Zha</t>
  </si>
  <si>
    <t>Asha Trivedi</t>
  </si>
  <si>
    <t>Waheda Sheikh</t>
  </si>
  <si>
    <t>Veena Patil</t>
  </si>
  <si>
    <t>Timsi Desai</t>
  </si>
  <si>
    <t>Parul Shah</t>
  </si>
  <si>
    <t>Uday Naik</t>
  </si>
  <si>
    <t>Mandakini Desai</t>
  </si>
  <si>
    <t>Pravin Joshi</t>
  </si>
  <si>
    <t>Reeta Naik</t>
  </si>
  <si>
    <t>Surendra Godse</t>
  </si>
  <si>
    <t>Panji</t>
  </si>
  <si>
    <t>Yamini Gupta</t>
  </si>
  <si>
    <t>Laveena Shenoy</t>
  </si>
  <si>
    <t>Nita Pandhya</t>
  </si>
  <si>
    <t>Suraj Saksena</t>
  </si>
  <si>
    <t>Nayeem Khan</t>
  </si>
  <si>
    <t>Drishti Shah</t>
  </si>
  <si>
    <t>Deep Chhaya</t>
  </si>
  <si>
    <t>Sagar Bidkar</t>
  </si>
  <si>
    <t>Dayanand Gandhi</t>
  </si>
  <si>
    <t>Tara Phule</t>
  </si>
  <si>
    <t>Kalpana Shirishkar</t>
  </si>
  <si>
    <t>Kunal Shah</t>
  </si>
  <si>
    <t>Pinky Robert</t>
  </si>
  <si>
    <t>Ruby Joseph</t>
  </si>
  <si>
    <t>Sonia Sasan</t>
  </si>
  <si>
    <t>Jignesh Tripathi</t>
  </si>
  <si>
    <t>Vinit Shrivastava</t>
  </si>
  <si>
    <t>Tejal Patel</t>
  </si>
  <si>
    <t>Priyanka Mehta</t>
  </si>
  <si>
    <t>Niki Digaria</t>
  </si>
  <si>
    <t>Payal Singhani</t>
  </si>
  <si>
    <t>Harsha Trivedi</t>
  </si>
  <si>
    <t>Radhika Kulkarni</t>
  </si>
  <si>
    <t>Kabir Vora</t>
  </si>
  <si>
    <t>Beena Sharma</t>
  </si>
  <si>
    <t>Pushpa Raut</t>
  </si>
  <si>
    <t>Chetan Dalvi</t>
  </si>
  <si>
    <t>Indu Shah</t>
  </si>
  <si>
    <t>Rupesh Sawant</t>
  </si>
  <si>
    <t>Referencing</t>
  </si>
  <si>
    <t>NAME</t>
  </si>
  <si>
    <t>SALARY</t>
  </si>
  <si>
    <t>Mobile</t>
  </si>
  <si>
    <t>Fuel</t>
  </si>
  <si>
    <t>Dining</t>
  </si>
  <si>
    <t>Vacation</t>
  </si>
  <si>
    <t>Medical</t>
  </si>
  <si>
    <t>Days</t>
  </si>
  <si>
    <t>Project Start Date</t>
  </si>
  <si>
    <t>Project End Date</t>
  </si>
  <si>
    <t>Holiday</t>
  </si>
  <si>
    <t>Mirinda</t>
  </si>
  <si>
    <t>Pepsi</t>
  </si>
  <si>
    <t>Basic</t>
  </si>
  <si>
    <t>DA</t>
  </si>
  <si>
    <t>HRA</t>
  </si>
  <si>
    <t>TA</t>
  </si>
  <si>
    <t>PF DED</t>
  </si>
  <si>
    <t>PT DED</t>
  </si>
  <si>
    <t>IT DED</t>
  </si>
  <si>
    <t>Total DED</t>
  </si>
  <si>
    <t>Net Salary</t>
  </si>
  <si>
    <t>Amitabh Bacchan</t>
  </si>
  <si>
    <t>Asha Bhosale</t>
  </si>
  <si>
    <t>Kiran Bedi</t>
  </si>
  <si>
    <t>Mahesh Kothare</t>
  </si>
  <si>
    <t>Makarand Anaspure</t>
  </si>
  <si>
    <t>Manohar Joshi</t>
  </si>
  <si>
    <t>Mohan Agashe</t>
  </si>
  <si>
    <t>Pradeep Bhide</t>
  </si>
  <si>
    <t>Sharad Pawar</t>
  </si>
  <si>
    <t>Shilpa Shetty</t>
  </si>
  <si>
    <t>Sunita Williams</t>
  </si>
  <si>
    <t>Vinayak Nimhan</t>
  </si>
  <si>
    <t>Loan Amount</t>
  </si>
  <si>
    <t>Amt. With Disc.</t>
  </si>
  <si>
    <t>Employee Name</t>
  </si>
  <si>
    <t>Date</t>
  </si>
  <si>
    <t>Sr.No</t>
  </si>
  <si>
    <t>Donor's Name</t>
  </si>
  <si>
    <t>Donor's Age</t>
  </si>
  <si>
    <t>Blood Group</t>
  </si>
  <si>
    <t>Stock In ML</t>
  </si>
  <si>
    <t>Locality</t>
  </si>
  <si>
    <t>Address</t>
  </si>
  <si>
    <t>Phone Number</t>
  </si>
  <si>
    <t>Time</t>
  </si>
  <si>
    <t>arpita</t>
  </si>
  <si>
    <t>AB+</t>
  </si>
  <si>
    <t>Buldhana</t>
  </si>
  <si>
    <t>suryakantrao</t>
  </si>
  <si>
    <t>A</t>
  </si>
  <si>
    <t>Mumbai-Suburb</t>
  </si>
  <si>
    <t>pankaj</t>
  </si>
  <si>
    <t>B+</t>
  </si>
  <si>
    <t>Bhandara</t>
  </si>
  <si>
    <t>Suyash Computer, Bramhani Phata, Sonear Road</t>
  </si>
  <si>
    <t>sitaram</t>
  </si>
  <si>
    <t>A-1, Chamunda Empire, Jawahar Nagar Chowk, Opp. Hotel Surbhi, Akola</t>
  </si>
  <si>
    <t>dagdulal</t>
  </si>
  <si>
    <t>O+</t>
  </si>
  <si>
    <t>rajaram</t>
  </si>
  <si>
    <t>varun</t>
  </si>
  <si>
    <t>O-</t>
  </si>
  <si>
    <t>Beed</t>
  </si>
  <si>
    <t>23-A, Dube Nagar, Opp. Nasare Sabhagruha, Near Hudkeshwar Naka, Nagpur.</t>
  </si>
  <si>
    <t>dongre</t>
  </si>
  <si>
    <t>Thane</t>
  </si>
  <si>
    <t>firdous</t>
  </si>
  <si>
    <t>Akola</t>
  </si>
  <si>
    <t>Basement Lathi Plaza, Opp. Shahu Maharaj Complex</t>
  </si>
  <si>
    <t>ganesh</t>
  </si>
  <si>
    <t>B</t>
  </si>
  <si>
    <t>Latur</t>
  </si>
  <si>
    <t>Beside Saraswati School, Sanghmitra, Prakash Nagar, Latur</t>
  </si>
  <si>
    <t>bhole</t>
  </si>
  <si>
    <t>Mumbai-City</t>
  </si>
  <si>
    <t>jog</t>
  </si>
  <si>
    <t>bangad</t>
  </si>
  <si>
    <t>bhosale</t>
  </si>
  <si>
    <t>Paccha Batti Naka, Sambhaji Path, Sonar Ali, Jawhar</t>
  </si>
  <si>
    <t>yadav</t>
  </si>
  <si>
    <t>williams</t>
  </si>
  <si>
    <t>mendi</t>
  </si>
  <si>
    <t>deepakrao</t>
  </si>
  <si>
    <t>dhakol</t>
  </si>
  <si>
    <t>Osmanabad</t>
  </si>
  <si>
    <t>Navayojana Bldg, Fr. Floor, Nr. Diana Cinema, Opp. Kapasi Bhide, Tardeo, Mumbai Central (W)</t>
  </si>
  <si>
    <t>bhakta</t>
  </si>
  <si>
    <t>aglave</t>
  </si>
  <si>
    <t>udgirkar</t>
  </si>
  <si>
    <t>bhoge</t>
  </si>
  <si>
    <t>bhutada</t>
  </si>
  <si>
    <t>mane</t>
  </si>
  <si>
    <t>sneha</t>
  </si>
  <si>
    <t>Wardha</t>
  </si>
  <si>
    <t>prajakta</t>
  </si>
  <si>
    <t>vinayak</t>
  </si>
  <si>
    <t>Devgiri</t>
  </si>
  <si>
    <t>shetty</t>
  </si>
  <si>
    <t>vidya</t>
  </si>
  <si>
    <t>Raigad</t>
  </si>
  <si>
    <t>tarachand</t>
  </si>
  <si>
    <t>Kolkata</t>
  </si>
  <si>
    <t>Indira Nagar Tarsa Road Kanhan -441401</t>
  </si>
  <si>
    <t>anand</t>
  </si>
  <si>
    <t>Jalgaon</t>
  </si>
  <si>
    <t>savitha</t>
  </si>
  <si>
    <t>Jalna</t>
  </si>
  <si>
    <t>nachiket</t>
  </si>
  <si>
    <t>siddheshwar</t>
  </si>
  <si>
    <t>Yash Computer Education, Sirsala</t>
  </si>
  <si>
    <t>gopichand</t>
  </si>
  <si>
    <t>amol</t>
  </si>
  <si>
    <t>Kolhapur</t>
  </si>
  <si>
    <t>salubai</t>
  </si>
  <si>
    <t>padvi</t>
  </si>
  <si>
    <t>riresh</t>
  </si>
  <si>
    <t>Nanded</t>
  </si>
  <si>
    <t>bhadange</t>
  </si>
  <si>
    <t>mahale</t>
  </si>
  <si>
    <t>swapnil</t>
  </si>
  <si>
    <t>surekha</t>
  </si>
  <si>
    <t>Maval</t>
  </si>
  <si>
    <t>Krishana Nagar, Seminary Hills</t>
  </si>
  <si>
    <t>poonam</t>
  </si>
  <si>
    <t>Near Ganpati Galli, Old Jalna,  Jalna</t>
  </si>
  <si>
    <t>aarti</t>
  </si>
  <si>
    <t>nita</t>
  </si>
  <si>
    <t>Nashik</t>
  </si>
  <si>
    <t>omkar</t>
  </si>
  <si>
    <t>aditi</t>
  </si>
  <si>
    <t>Parbhani</t>
  </si>
  <si>
    <t>kiran</t>
  </si>
  <si>
    <t>rahul</t>
  </si>
  <si>
    <t>gulabsing</t>
  </si>
  <si>
    <t>prashant</t>
  </si>
  <si>
    <t>sunanda</t>
  </si>
  <si>
    <t>pravin</t>
  </si>
  <si>
    <t>kailas</t>
  </si>
  <si>
    <t>shrikant</t>
  </si>
  <si>
    <t>Satara</t>
  </si>
  <si>
    <t>vinita</t>
  </si>
  <si>
    <t>mangala</t>
  </si>
  <si>
    <t>vinod</t>
  </si>
  <si>
    <t>Washim</t>
  </si>
  <si>
    <t>Kelkar Wadi, Near Society, Murtizapur Dist. Akola</t>
  </si>
  <si>
    <t>kishor</t>
  </si>
  <si>
    <t>rathi</t>
  </si>
  <si>
    <t>katariya</t>
  </si>
  <si>
    <t>youvraj</t>
  </si>
  <si>
    <t>Sangli</t>
  </si>
  <si>
    <t>vishal</t>
  </si>
  <si>
    <t>Ratnagiri</t>
  </si>
  <si>
    <t>"Mauli" Wardhaman Nagar, Ring Road Kaulkhed Akola</t>
  </si>
  <si>
    <t>toshi</t>
  </si>
  <si>
    <t>Hingoli</t>
  </si>
  <si>
    <t>vaishali</t>
  </si>
  <si>
    <t>amit</t>
  </si>
  <si>
    <t>Nandurbar</t>
  </si>
  <si>
    <t>At Post Akoli (Khurd), C/O Mr Suresh Kalore, Main Road Akoli ( Kurd), Akoli</t>
  </si>
  <si>
    <t>nagnath</t>
  </si>
  <si>
    <t>shinde</t>
  </si>
  <si>
    <t>dinde</t>
  </si>
  <si>
    <t>hajare</t>
  </si>
  <si>
    <t>varyani</t>
  </si>
  <si>
    <t>misra</t>
  </si>
  <si>
    <t>kawale</t>
  </si>
  <si>
    <t>surve</t>
  </si>
  <si>
    <t>priya</t>
  </si>
  <si>
    <t>Gadchiroli</t>
  </si>
  <si>
    <t>Sharamdeep Computer Training Center, Ring Road Square, Manakapur, Koradi Road</t>
  </si>
  <si>
    <t>kartiki</t>
  </si>
  <si>
    <t>Priydarshni Colony, Near Parshvbhumi Newspaper, Jalna</t>
  </si>
  <si>
    <t>vivek</t>
  </si>
  <si>
    <t>gothi</t>
  </si>
  <si>
    <t>nivrutti</t>
  </si>
  <si>
    <t>Near Govt. Iti,  Ful Market Sillod Road, Bhokardan</t>
  </si>
  <si>
    <t>sheela</t>
  </si>
  <si>
    <t>arun</t>
  </si>
  <si>
    <t>Chandrapur</t>
  </si>
  <si>
    <t>Darshan Complex, Basement, Near S.T. Stand, Main Road. Tal: Khatav, Dist: Satara.</t>
  </si>
  <si>
    <t>mahesh</t>
  </si>
  <si>
    <t xml:space="preserve">Mumbai </t>
  </si>
  <si>
    <t>hawaldar</t>
  </si>
  <si>
    <t>Near Rural Hospital</t>
  </si>
  <si>
    <t>megha</t>
  </si>
  <si>
    <t>khatake</t>
  </si>
  <si>
    <t>thakur</t>
  </si>
  <si>
    <t>3A, Ground Floor, Ram Mansion, S.K. Bole Road, Near Shree Siddhivinayak Temple, Dadar (W)</t>
  </si>
  <si>
    <t>mali</t>
  </si>
  <si>
    <t>nitin</t>
  </si>
  <si>
    <t>madhukarrao</t>
  </si>
  <si>
    <t>balkishanji</t>
  </si>
  <si>
    <t>hanmantrao</t>
  </si>
  <si>
    <t>satishkumar</t>
  </si>
  <si>
    <t>potdar</t>
  </si>
  <si>
    <t>Shop No.5, Aadarsh Apartment,  B.J. Patel Rd., Off Marve Road, Malad (W)</t>
  </si>
  <si>
    <t>jade</t>
  </si>
  <si>
    <t>gholap</t>
  </si>
  <si>
    <t>jadhav</t>
  </si>
  <si>
    <t>jain</t>
  </si>
  <si>
    <t>47/9, Khot Chawl, Gramasth Mandal, Shivaji Nagar Gala, Takia Ward, Kurla (W), Mumbai -400 070</t>
  </si>
  <si>
    <t>pille</t>
  </si>
  <si>
    <t>ubale</t>
  </si>
  <si>
    <t>jahan</t>
  </si>
  <si>
    <t>deepak</t>
  </si>
  <si>
    <t>joshi</t>
  </si>
  <si>
    <t>koli</t>
  </si>
  <si>
    <t>sharad</t>
  </si>
  <si>
    <t>At Post:- Main Road Patansaongi.</t>
  </si>
  <si>
    <t>pragati</t>
  </si>
  <si>
    <t>Gondiya</t>
  </si>
  <si>
    <t>suryakant</t>
  </si>
  <si>
    <t>Aurangabad</t>
  </si>
  <si>
    <t>kulkarni</t>
  </si>
  <si>
    <t>agashe</t>
  </si>
  <si>
    <t>jon</t>
  </si>
  <si>
    <t>Amravati</t>
  </si>
  <si>
    <t>makarand</t>
  </si>
  <si>
    <t>pune</t>
  </si>
  <si>
    <t>150, Balabhau Peth, Milind Nagar, Nagpur</t>
  </si>
  <si>
    <t>santosh</t>
  </si>
  <si>
    <t>Goa</t>
  </si>
  <si>
    <t>mohan</t>
  </si>
  <si>
    <t>Yavatmal</t>
  </si>
  <si>
    <t>varsha</t>
  </si>
  <si>
    <t>Badoda</t>
  </si>
  <si>
    <t>sarda</t>
  </si>
  <si>
    <t>akash</t>
  </si>
  <si>
    <t>Dhule</t>
  </si>
  <si>
    <t>vijayalaxmi</t>
  </si>
  <si>
    <t>Ahmednagar</t>
  </si>
  <si>
    <t>kothawale</t>
  </si>
  <si>
    <t>sasane</t>
  </si>
  <si>
    <t>uttam</t>
  </si>
  <si>
    <t>vidhya</t>
  </si>
  <si>
    <t>shraddha</t>
  </si>
  <si>
    <t>Solapur</t>
  </si>
  <si>
    <t>Wing -A, Orange Plaza, Near Bus Stand, Main Road Katol</t>
  </si>
  <si>
    <t>kadam</t>
  </si>
  <si>
    <t>Plot No.17, Pandurang Adhyapak Vidyalaya, Dastapur, Bhosga</t>
  </si>
  <si>
    <t>ravindra</t>
  </si>
  <si>
    <t>nandwate</t>
  </si>
  <si>
    <t>Shop No.1, Old Mohammadi Bldg., Opp. Lalbaug Market, Lalbaug, Mumbai - 400012</t>
  </si>
  <si>
    <t xml:space="preserve">vijayalaxmi </t>
  </si>
  <si>
    <t xml:space="preserve">Sara Gavrav Cidco Waluj </t>
  </si>
  <si>
    <t>7709412045</t>
  </si>
  <si>
    <t>sunil</t>
  </si>
  <si>
    <t>1, Anand Shala, Shilphata, Khopoli</t>
  </si>
  <si>
    <t>8898626116</t>
  </si>
  <si>
    <t>deodatta</t>
  </si>
  <si>
    <t>9011096525</t>
  </si>
  <si>
    <t>shivaji</t>
  </si>
  <si>
    <t>9011234839</t>
  </si>
  <si>
    <t xml:space="preserve">shrikant </t>
  </si>
  <si>
    <t>Tilak Road, Bhatia Lane, Vaijapur</t>
  </si>
  <si>
    <t>9028136651</t>
  </si>
  <si>
    <t xml:space="preserve">anand </t>
  </si>
  <si>
    <t>9028170448</t>
  </si>
  <si>
    <t>chetan</t>
  </si>
  <si>
    <t>9028964204</t>
  </si>
  <si>
    <t>pushpa</t>
  </si>
  <si>
    <t>9226493980</t>
  </si>
  <si>
    <t>baliram</t>
  </si>
  <si>
    <t>Prasad Chamber_x000D_
Majge Nagar</t>
  </si>
  <si>
    <t>9270212610</t>
  </si>
  <si>
    <t>bhide</t>
  </si>
  <si>
    <t>9323917310</t>
  </si>
  <si>
    <t>kumar</t>
  </si>
  <si>
    <t>9324882626</t>
  </si>
  <si>
    <t xml:space="preserve">vishal </t>
  </si>
  <si>
    <t>9326929069</t>
  </si>
  <si>
    <t>yogesh</t>
  </si>
  <si>
    <t>9370498449</t>
  </si>
  <si>
    <t>fred</t>
  </si>
  <si>
    <t>9371580193</t>
  </si>
  <si>
    <t xml:space="preserve">sneha </t>
  </si>
  <si>
    <t>Plot No. 100, Bilwadal, Tilaknagar, Aurangabad</t>
  </si>
  <si>
    <t>9373204998</t>
  </si>
  <si>
    <t>jaywant</t>
  </si>
  <si>
    <t>Sindhudurg</t>
  </si>
  <si>
    <t>9404444606</t>
  </si>
  <si>
    <t xml:space="preserve">arpita </t>
  </si>
  <si>
    <t>9404983859</t>
  </si>
  <si>
    <t>rameshrao</t>
  </si>
  <si>
    <t>9420000679</t>
  </si>
  <si>
    <t>nandkishor</t>
  </si>
  <si>
    <t>9420034749</t>
  </si>
  <si>
    <t>roby</t>
  </si>
  <si>
    <t>9420811079</t>
  </si>
  <si>
    <t>shrigopalji</t>
  </si>
  <si>
    <t>9420815577</t>
  </si>
  <si>
    <t>ashok</t>
  </si>
  <si>
    <t>9421144601</t>
  </si>
  <si>
    <t>katare</t>
  </si>
  <si>
    <t>9421159084</t>
  </si>
  <si>
    <t>vikas</t>
  </si>
  <si>
    <t>9421254610</t>
  </si>
  <si>
    <t>alan</t>
  </si>
  <si>
    <t>9421686282</t>
  </si>
  <si>
    <t>gail</t>
  </si>
  <si>
    <t>9421692101</t>
  </si>
  <si>
    <t>laxman</t>
  </si>
  <si>
    <t>9422054807</t>
  </si>
  <si>
    <t>shankar</t>
  </si>
  <si>
    <t>9422150553</t>
  </si>
  <si>
    <t>eric</t>
  </si>
  <si>
    <t>9422202771</t>
  </si>
  <si>
    <t xml:space="preserve">kishor </t>
  </si>
  <si>
    <t>13, Anand Plaza, Adityanagar, Sutgirni T-Point, Garkheda, Aurangabad</t>
  </si>
  <si>
    <t>9422205486</t>
  </si>
  <si>
    <t>rohit</t>
  </si>
  <si>
    <t>9422240490</t>
  </si>
  <si>
    <t>sanket</t>
  </si>
  <si>
    <t>9422410705</t>
  </si>
  <si>
    <t>babu</t>
  </si>
  <si>
    <t>9422419414</t>
  </si>
  <si>
    <t xml:space="preserve"> deepak</t>
  </si>
  <si>
    <t>9422541749</t>
  </si>
  <si>
    <t>pratap</t>
  </si>
  <si>
    <t>Block No.5, Near Syndicate Bank, Shringartali, Shringartali</t>
  </si>
  <si>
    <t>9422570088</t>
  </si>
  <si>
    <t>harry</t>
  </si>
  <si>
    <t>9422575887</t>
  </si>
  <si>
    <t>ian</t>
  </si>
  <si>
    <t>12 "Girimahoor" Shardashram Colony, Paithan Gate Nirala Bazar Road, Aurangabad.</t>
  </si>
  <si>
    <t>9422713089</t>
  </si>
  <si>
    <t>sable</t>
  </si>
  <si>
    <t>Bus Stand Road, New Mondha, Gangakhed</t>
  </si>
  <si>
    <t>9422945000</t>
  </si>
  <si>
    <t>kisanrao</t>
  </si>
  <si>
    <t>9423141617</t>
  </si>
  <si>
    <t>harishchandra</t>
  </si>
  <si>
    <t>Sahakar Complex, Main Road</t>
  </si>
  <si>
    <t>9423437110</t>
  </si>
  <si>
    <t>bhima</t>
  </si>
  <si>
    <t>9423439016</t>
  </si>
  <si>
    <t>dnyaneshwar</t>
  </si>
  <si>
    <t>9423720543</t>
  </si>
  <si>
    <t>mangesh</t>
  </si>
  <si>
    <t>9595164270</t>
  </si>
  <si>
    <t>vitthal</t>
  </si>
  <si>
    <t>9595794735</t>
  </si>
  <si>
    <t>vijay</t>
  </si>
  <si>
    <t>9702999864</t>
  </si>
  <si>
    <t xml:space="preserve">amit </t>
  </si>
  <si>
    <t>9730005320</t>
  </si>
  <si>
    <t>kamlakar</t>
  </si>
  <si>
    <t>9730910801</t>
  </si>
  <si>
    <t>janice</t>
  </si>
  <si>
    <t>Kartik Nagar Mayur Park Road Ward No 2 Mayur Park</t>
  </si>
  <si>
    <t>9762516139</t>
  </si>
  <si>
    <t>carol</t>
  </si>
  <si>
    <t>9764006177</t>
  </si>
  <si>
    <t>milind</t>
  </si>
  <si>
    <t>9767549555</t>
  </si>
  <si>
    <t>bharat</t>
  </si>
  <si>
    <t>9768122206</t>
  </si>
  <si>
    <t>sule</t>
  </si>
  <si>
    <t>9819803579</t>
  </si>
  <si>
    <t>badhe</t>
  </si>
  <si>
    <t>9820994920</t>
  </si>
  <si>
    <t xml:space="preserve">vidya </t>
  </si>
  <si>
    <t>9822093201</t>
  </si>
  <si>
    <t>pallavi</t>
  </si>
  <si>
    <t>Sky Computer Center Ambejogai-"Shivsmruti "Ambedkar Chowk, Netaji Road, Beed</t>
  </si>
  <si>
    <t>9822524295</t>
  </si>
  <si>
    <t xml:space="preserve">akash </t>
  </si>
  <si>
    <t>9823578786</t>
  </si>
  <si>
    <t>manohar</t>
  </si>
  <si>
    <t>9850383281</t>
  </si>
  <si>
    <t xml:space="preserve">firdous </t>
  </si>
  <si>
    <t>9850501514</t>
  </si>
  <si>
    <t>dipak</t>
  </si>
  <si>
    <t>9850889204</t>
  </si>
  <si>
    <t>mohiniraj</t>
  </si>
  <si>
    <t>9860685556</t>
  </si>
  <si>
    <t>saleemuddin</t>
  </si>
  <si>
    <t>9860806480</t>
  </si>
  <si>
    <t>kore</t>
  </si>
  <si>
    <t>shirke</t>
  </si>
  <si>
    <t>9867555757</t>
  </si>
  <si>
    <t>kathore</t>
  </si>
  <si>
    <t>119, Purusharth Bldg. Gr. Floor, Shop No.1, Nauroji Hill Road No.2, Dongri</t>
  </si>
  <si>
    <t>9867805833</t>
  </si>
  <si>
    <t>kamble</t>
  </si>
  <si>
    <t>9869214286</t>
  </si>
  <si>
    <t>waghmode</t>
  </si>
  <si>
    <t>9869628779</t>
  </si>
  <si>
    <t>naravade</t>
  </si>
  <si>
    <t>70, Botawala Chawl No. 1, Near Swami Samarth Krida Mandal, New Prabhadevi Road, Prabhadevi, Mumbai - 400025</t>
  </si>
  <si>
    <t>9869966788</t>
  </si>
  <si>
    <t>palepad</t>
  </si>
  <si>
    <t>pawar</t>
  </si>
  <si>
    <t>9870482537</t>
  </si>
  <si>
    <t>narayan</t>
  </si>
  <si>
    <t>9890076567</t>
  </si>
  <si>
    <t>popat</t>
  </si>
  <si>
    <t>9890487205</t>
  </si>
  <si>
    <t>kasture</t>
  </si>
  <si>
    <t>9890939072</t>
  </si>
  <si>
    <t>wakle</t>
  </si>
  <si>
    <t>9890984899</t>
  </si>
  <si>
    <t>david</t>
  </si>
  <si>
    <t>9921377377</t>
  </si>
  <si>
    <t xml:space="preserve"> madhu</t>
  </si>
  <si>
    <t>9921835853</t>
  </si>
  <si>
    <t xml:space="preserve"> kasture</t>
  </si>
  <si>
    <t>vivekanand</t>
  </si>
  <si>
    <t>H.No 626, Shivaji Nagar, Jintur</t>
  </si>
  <si>
    <t>9921952488</t>
  </si>
  <si>
    <t xml:space="preserve">aditi </t>
  </si>
  <si>
    <t>9922773137</t>
  </si>
  <si>
    <t>bob</t>
  </si>
  <si>
    <t>anilkumar</t>
  </si>
  <si>
    <t>9923274435</t>
  </si>
  <si>
    <t>panshing</t>
  </si>
  <si>
    <t>9923579667</t>
  </si>
  <si>
    <t xml:space="preserve">vidhya </t>
  </si>
  <si>
    <t>9960760553</t>
  </si>
  <si>
    <t>dattoba</t>
  </si>
  <si>
    <t>Near Water Tank Kalyan Nagar</t>
  </si>
  <si>
    <t>9970169216</t>
  </si>
  <si>
    <t>kagade</t>
  </si>
  <si>
    <t>9970343149</t>
  </si>
  <si>
    <t>lala</t>
  </si>
  <si>
    <t>9970952109</t>
  </si>
  <si>
    <t>dilip</t>
  </si>
  <si>
    <t>9975324488</t>
  </si>
  <si>
    <t>sonawane</t>
  </si>
  <si>
    <t>9987334056</t>
  </si>
  <si>
    <t>Flat</t>
  </si>
  <si>
    <t>Percentage</t>
  </si>
  <si>
    <t>Grade</t>
  </si>
  <si>
    <t>Name</t>
  </si>
  <si>
    <t>Commission</t>
  </si>
  <si>
    <t>1st floor</t>
  </si>
  <si>
    <t>FAIL</t>
  </si>
  <si>
    <t>2nd floor</t>
  </si>
  <si>
    <t>D</t>
  </si>
  <si>
    <t>3rd floor</t>
  </si>
  <si>
    <t>C</t>
  </si>
  <si>
    <t>4th floor</t>
  </si>
  <si>
    <t>5th floor</t>
  </si>
  <si>
    <t>A+</t>
  </si>
  <si>
    <t>Emp ID</t>
  </si>
  <si>
    <t>Designation</t>
  </si>
  <si>
    <t>Password</t>
  </si>
  <si>
    <t>Code</t>
  </si>
  <si>
    <t>Manager</t>
  </si>
  <si>
    <t>ABC123</t>
  </si>
  <si>
    <t>Executive</t>
  </si>
  <si>
    <t>DEF456</t>
  </si>
  <si>
    <t>Team Lead</t>
  </si>
  <si>
    <t>GHI789</t>
  </si>
  <si>
    <t>Asst Manager</t>
  </si>
  <si>
    <t>JKL101</t>
  </si>
  <si>
    <t>MNO876</t>
  </si>
  <si>
    <t>Sr. Executive</t>
  </si>
  <si>
    <t>PQR786</t>
  </si>
  <si>
    <t>STU543</t>
  </si>
  <si>
    <t>Team coach</t>
  </si>
  <si>
    <t>VWX234</t>
  </si>
  <si>
    <t>YZA234</t>
  </si>
  <si>
    <t>BCD654</t>
  </si>
  <si>
    <t>India</t>
  </si>
  <si>
    <t>Australia</t>
  </si>
  <si>
    <t>NewZealand</t>
  </si>
  <si>
    <t>SriLanka</t>
  </si>
  <si>
    <t>Canberra</t>
  </si>
  <si>
    <t>Auckland</t>
  </si>
  <si>
    <t>Colombo</t>
  </si>
  <si>
    <t>Sydney</t>
  </si>
  <si>
    <t>Wellington</t>
  </si>
  <si>
    <t>Galkissa</t>
  </si>
  <si>
    <t>Perth</t>
  </si>
  <si>
    <t>Hamilton</t>
  </si>
  <si>
    <t>Kandy</t>
  </si>
  <si>
    <t>Bangalore</t>
  </si>
  <si>
    <t>Melbourne</t>
  </si>
  <si>
    <t>Napier</t>
  </si>
  <si>
    <t>Moratuwa</t>
  </si>
  <si>
    <t>Chennai</t>
  </si>
  <si>
    <t>Adelaide</t>
  </si>
  <si>
    <t>Hastings</t>
  </si>
  <si>
    <t>Jaffna</t>
  </si>
  <si>
    <t>Chandigarh</t>
  </si>
  <si>
    <t>Brisbane</t>
  </si>
  <si>
    <t>Dunedin</t>
  </si>
  <si>
    <t>Negombo</t>
  </si>
  <si>
    <t>Hero</t>
  </si>
  <si>
    <t>Bajaj</t>
  </si>
  <si>
    <t>Yamaha</t>
  </si>
  <si>
    <t>Honda</t>
  </si>
  <si>
    <t>Suzuki</t>
  </si>
  <si>
    <t xml:space="preserve">Hero Achiever </t>
  </si>
  <si>
    <t>Bajaj Discover</t>
  </si>
  <si>
    <t>Yamaha YRZ R3</t>
  </si>
  <si>
    <t>Honda CBR</t>
  </si>
  <si>
    <t>Suzuki GSX</t>
  </si>
  <si>
    <t>Hero Glamour</t>
  </si>
  <si>
    <t>Bajaj Pulsar</t>
  </si>
  <si>
    <t>Yamaha Fascino</t>
  </si>
  <si>
    <t>Honda Livo</t>
  </si>
  <si>
    <t>Suzuki Gixxer</t>
  </si>
  <si>
    <t>Hero HF Deluxe</t>
  </si>
  <si>
    <t>Bajaj CT100</t>
  </si>
  <si>
    <t>Yamaha Saluto</t>
  </si>
  <si>
    <t>Honda Activa</t>
  </si>
  <si>
    <t xml:space="preserve">Suzuki Bandit </t>
  </si>
  <si>
    <t>Hero Impulse</t>
  </si>
  <si>
    <t xml:space="preserve">Bajaj Avenger </t>
  </si>
  <si>
    <t>Yamaha Crux</t>
  </si>
  <si>
    <t>Honda Gold Wing</t>
  </si>
  <si>
    <t>Suzuki Inazuma</t>
  </si>
  <si>
    <t>Hero Passion PRO</t>
  </si>
  <si>
    <t>Bajaj Platina</t>
  </si>
  <si>
    <t>Yamaha FZ1</t>
  </si>
  <si>
    <t>Honda CB Shine</t>
  </si>
  <si>
    <t>Suzuki M1800R</t>
  </si>
  <si>
    <t>Hero Passion X Pro</t>
  </si>
  <si>
    <t>Yamaha Vmax</t>
  </si>
  <si>
    <t>Suzuki Swish</t>
  </si>
  <si>
    <t>Hero Xterme Sports</t>
  </si>
  <si>
    <t>Yamaha YZF R1</t>
  </si>
  <si>
    <t xml:space="preserve">Honda CBR250R Peral </t>
  </si>
  <si>
    <t>Suzuki Slingshot</t>
  </si>
  <si>
    <t>Hero Pleasure</t>
  </si>
  <si>
    <t xml:space="preserve">Yamaha Ray-Z </t>
  </si>
  <si>
    <t>Honda Dream Neo</t>
  </si>
  <si>
    <t>Suzuki Hayabusa</t>
  </si>
  <si>
    <t>Hero Splendor +</t>
  </si>
  <si>
    <t>Yamaha Alpha</t>
  </si>
  <si>
    <t>Honda VT 1300CX</t>
  </si>
  <si>
    <t>Suzuki Access</t>
  </si>
  <si>
    <t>Hero Hunk</t>
  </si>
  <si>
    <t>Yamaha SZR</t>
  </si>
  <si>
    <t>Honda CB Unicorn</t>
  </si>
  <si>
    <t xml:space="preserve">Suzuki Lets </t>
  </si>
  <si>
    <t>Bike Model</t>
  </si>
  <si>
    <t>Price</t>
  </si>
  <si>
    <t>Rank</t>
  </si>
  <si>
    <t>Month</t>
  </si>
  <si>
    <t>Dec</t>
  </si>
  <si>
    <t>Course</t>
  </si>
  <si>
    <t>Photoshop</t>
  </si>
  <si>
    <t>Jan</t>
  </si>
  <si>
    <t>Feb</t>
  </si>
  <si>
    <t>Mar</t>
  </si>
  <si>
    <t>Apr</t>
  </si>
  <si>
    <t>May</t>
  </si>
  <si>
    <t>Jun</t>
  </si>
  <si>
    <t>Jul</t>
  </si>
  <si>
    <t>Aug</t>
  </si>
  <si>
    <t>Sep</t>
  </si>
  <si>
    <t>Oct</t>
  </si>
  <si>
    <t>Nov</t>
  </si>
  <si>
    <t>Word</t>
  </si>
  <si>
    <t>Excel</t>
  </si>
  <si>
    <t>Corel</t>
  </si>
  <si>
    <t>PPT</t>
  </si>
  <si>
    <t>In kilometres</t>
  </si>
  <si>
    <t>Hyderabad</t>
  </si>
  <si>
    <t>Shimla</t>
  </si>
  <si>
    <t>Srinagar</t>
  </si>
  <si>
    <t>Formals</t>
  </si>
  <si>
    <t>T-shirts</t>
  </si>
  <si>
    <t>Casuals</t>
  </si>
  <si>
    <t>Ethnic</t>
  </si>
  <si>
    <t>Accessories</t>
  </si>
  <si>
    <t>Coke</t>
  </si>
  <si>
    <t>Fanta</t>
  </si>
  <si>
    <t>Thumbs up</t>
  </si>
  <si>
    <t>Sprite</t>
  </si>
  <si>
    <t>April</t>
  </si>
  <si>
    <t>Product</t>
  </si>
  <si>
    <t>March</t>
  </si>
  <si>
    <t>Blackberry</t>
  </si>
  <si>
    <t>Apple</t>
  </si>
  <si>
    <t>Samsung</t>
  </si>
  <si>
    <t>Micromax</t>
  </si>
  <si>
    <t>Sony</t>
  </si>
  <si>
    <t>Date of joining</t>
  </si>
  <si>
    <t>Age</t>
  </si>
  <si>
    <t>Sale Target</t>
  </si>
  <si>
    <t>Remark</t>
  </si>
  <si>
    <t>Slice</t>
  </si>
  <si>
    <t>Dukes</t>
  </si>
  <si>
    <t>MDew</t>
  </si>
  <si>
    <t>Limca</t>
  </si>
  <si>
    <t>Seven Up</t>
  </si>
  <si>
    <t>N7up</t>
  </si>
  <si>
    <t>Gluco-Plus</t>
  </si>
  <si>
    <t>H2O</t>
  </si>
  <si>
    <t>7UP Revive</t>
  </si>
  <si>
    <t>Maza</t>
  </si>
  <si>
    <t>Appy</t>
  </si>
  <si>
    <t>LMN</t>
  </si>
  <si>
    <t xml:space="preserve">Paneer Soda </t>
  </si>
  <si>
    <t>Date of Jong</t>
  </si>
  <si>
    <t>Training</t>
  </si>
  <si>
    <t>Birth Day Reminder</t>
  </si>
  <si>
    <t>Using AND Function</t>
  </si>
  <si>
    <t>Using OR Function</t>
  </si>
  <si>
    <t>Brand Name</t>
  </si>
  <si>
    <t>Box In Qty</t>
  </si>
  <si>
    <t>Box Rate</t>
  </si>
  <si>
    <t>Total  Amount</t>
  </si>
  <si>
    <t>Rate</t>
  </si>
  <si>
    <t>Sr. No</t>
  </si>
  <si>
    <t>Kakade Enterprises</t>
  </si>
  <si>
    <t>GANESH TRADERS</t>
  </si>
  <si>
    <t>PRITHVI BEVERAGES</t>
  </si>
  <si>
    <t>Parakh Enterprises</t>
  </si>
  <si>
    <t>Ace Energie</t>
  </si>
  <si>
    <t>Purchase Price</t>
  </si>
  <si>
    <t>Order Qty</t>
  </si>
  <si>
    <t>My Profit</t>
  </si>
  <si>
    <t>Sale Price</t>
  </si>
  <si>
    <t>Customer Required Rate</t>
  </si>
  <si>
    <t>&lt;-- Loan Amount --&gt;</t>
  </si>
  <si>
    <t>Months</t>
  </si>
  <si>
    <t>PPMT</t>
  </si>
  <si>
    <t>IPMT</t>
  </si>
  <si>
    <t>PMT</t>
  </si>
  <si>
    <t>Year</t>
  </si>
  <si>
    <t>Cash Flow</t>
  </si>
  <si>
    <t>Annual Rate of Interest</t>
  </si>
  <si>
    <t>Investment</t>
  </si>
  <si>
    <t>Monthly installment</t>
  </si>
  <si>
    <t>&lt;-- Number of months--&gt;</t>
  </si>
  <si>
    <t>(Returns the internal rate of return )</t>
  </si>
  <si>
    <t>IRR</t>
  </si>
  <si>
    <t>North</t>
  </si>
  <si>
    <t>East</t>
  </si>
  <si>
    <t>South</t>
  </si>
  <si>
    <t>West</t>
  </si>
  <si>
    <t>Sample Sales</t>
  </si>
  <si>
    <t>Location</t>
  </si>
  <si>
    <t>Units Sold</t>
  </si>
  <si>
    <t>Profit</t>
  </si>
  <si>
    <t>Total Amt</t>
  </si>
  <si>
    <t>Bikes</t>
  </si>
  <si>
    <t>Cars</t>
  </si>
  <si>
    <t>Trucks</t>
  </si>
  <si>
    <t>Buses</t>
  </si>
  <si>
    <t>Vans</t>
  </si>
  <si>
    <t>PPF Calculator</t>
  </si>
  <si>
    <t>Monthly deposit</t>
  </si>
  <si>
    <t>Interest rate</t>
  </si>
  <si>
    <t>Years 1 to 15</t>
  </si>
  <si>
    <t>Principal</t>
  </si>
  <si>
    <t>Interest</t>
  </si>
  <si>
    <t>Amount</t>
  </si>
  <si>
    <t>SHORT CUTS FOR EXCEL</t>
  </si>
  <si>
    <t>Select cells, columns, rows, or objects in worksheets and workbooks by using shortcut keys</t>
  </si>
  <si>
    <t>Select the current region around the active cell (the current region is an area enclosed by blank rows and blank columns)</t>
  </si>
  <si>
    <t>CTRL+SHIFT+* (ASTERISK)</t>
  </si>
  <si>
    <t>Extend the selection by one cell</t>
  </si>
  <si>
    <t>SHIFT+ arrow key</t>
  </si>
  <si>
    <t>Extend the selection to the last nonblank cell in the same column or row as the active cell</t>
  </si>
  <si>
    <t>CTRL+SHIFT+ arrow key</t>
  </si>
  <si>
    <t>Extend the selection to the beginning of the row</t>
  </si>
  <si>
    <t>SHIFT+HOME</t>
  </si>
  <si>
    <t>Extend the selection to the beginning of the worksheet</t>
  </si>
  <si>
    <t>CTRL+SHIFT+HOME</t>
  </si>
  <si>
    <t>Extend the selection to the last cell used on the worksheet (lower-right corner)</t>
  </si>
  <si>
    <t>CTRL+SHIFT+END</t>
  </si>
  <si>
    <t>Select the entire column</t>
  </si>
  <si>
    <t>CTRL+SPACEBAR</t>
  </si>
  <si>
    <t>Select the entire row</t>
  </si>
  <si>
    <t>SHIFT+SPACEBAR</t>
  </si>
  <si>
    <t>Select the entire worksheet</t>
  </si>
  <si>
    <t>CTRL+A</t>
  </si>
  <si>
    <t>If multiple cells are selected, select only the active cell</t>
  </si>
  <si>
    <t>SHIFT+BACKSPACE</t>
  </si>
  <si>
    <t>Extend the selection down one screen</t>
  </si>
  <si>
    <t>SHIFT+PAGE DOWN</t>
  </si>
  <si>
    <t>Extend the selection up one screen</t>
  </si>
  <si>
    <t>SHIFT+PAGE UP</t>
  </si>
  <si>
    <t>With an object selected, select all objects on a sheet</t>
  </si>
  <si>
    <t>CTRL+SHIFT+SPACEBAR</t>
  </si>
  <si>
    <t>Alternate between hiding objects, displaying objects, and displaying placeholders for objects</t>
  </si>
  <si>
    <t>CTRL+6</t>
  </si>
  <si>
    <t>Show or hide the Standard toolbar</t>
  </si>
  <si>
    <t>CTRL+7</t>
  </si>
  <si>
    <t>In End mode, to</t>
  </si>
  <si>
    <t>Press</t>
  </si>
  <si>
    <t>Turn End mode on or off</t>
  </si>
  <si>
    <t>END</t>
  </si>
  <si>
    <t>END, SHIFT+ arrow key</t>
  </si>
  <si>
    <t>END, SHIFT+HOME</t>
  </si>
  <si>
    <t>Extend the selection to the last cell in the current row; this keystroke is unavailable if you selected the Transition navigation keys check box on the Transition tab (Tools menu, Options command)</t>
  </si>
  <si>
    <t>END, SHIFT+ENTER</t>
  </si>
  <si>
    <t>With SCROLL LOCK on, to</t>
  </si>
  <si>
    <t>Turn SCROLL LOCK on or off</t>
  </si>
  <si>
    <t>SCROLL LOCK</t>
  </si>
  <si>
    <t>Scroll the screen up or down one row</t>
  </si>
  <si>
    <t xml:space="preserve">UP/DOWN ARROW  </t>
  </si>
  <si>
    <t>Scroll the screen left or right one column</t>
  </si>
  <si>
    <t>LEFT.RIGHT ARROW</t>
  </si>
  <si>
    <t>Extend the selection to the cell in the upper-left corner of the window</t>
  </si>
  <si>
    <t>Extend the selection to the cell in the lower-right corner of the window</t>
  </si>
  <si>
    <t>SHIFT+END</t>
  </si>
  <si>
    <t>Select cells with special characteristics by using shortcut keys</t>
  </si>
  <si>
    <t>Select the current array, which is the array that the active cell belongs to</t>
  </si>
  <si>
    <t>CTRL+/</t>
  </si>
  <si>
    <t>Select all cells with comments</t>
  </si>
  <si>
    <t>CTRL+SHIFT+O (the letter O)</t>
  </si>
  <si>
    <t>Select cells whose contents are different from the comparison cell in each row (for each row, the comparison cell is in the same column as the active cell)</t>
  </si>
  <si>
    <t>CTRL+\</t>
  </si>
  <si>
    <t>Select cells whose contents are different from the comparison cell in each column (for each column, the comparison cell is in the same row as the active cell)</t>
  </si>
  <si>
    <t>CTRL+SHIFT+|</t>
  </si>
  <si>
    <t>Select only cells that are directly referred to by formulas in the selection</t>
  </si>
  <si>
    <t>CTRL+[</t>
  </si>
  <si>
    <t>Select all cells that are directly or indirectly referred to by formulas in the selection</t>
  </si>
  <si>
    <t>CTRL+SHIFT+{</t>
  </si>
  <si>
    <t>Select only cells with formulas that refer directly to the active cell</t>
  </si>
  <si>
    <t>CTRL+]</t>
  </si>
  <si>
    <t>Select all cells with formulas that refer directly or indirectly to the active cell</t>
  </si>
  <si>
    <t>CTRL+SHIFT+}</t>
  </si>
  <si>
    <t>Select only visible cells in the current selection</t>
  </si>
  <si>
    <t>ALT+SEMICOLON</t>
  </si>
  <si>
    <t>Move and scroll on a worksheet or workbook by using shortcut keys</t>
  </si>
  <si>
    <t>Move one cell in a given direction</t>
  </si>
  <si>
    <t>Arrow key</t>
  </si>
  <si>
    <t>Move to the edge of the current data region</t>
  </si>
  <si>
    <t>CTRL+ arrow key</t>
  </si>
  <si>
    <t>Move between unlocked cells on a protected worksheet</t>
  </si>
  <si>
    <t>TAB</t>
  </si>
  <si>
    <t>Move to the beginning of the row</t>
  </si>
  <si>
    <t>HOME</t>
  </si>
  <si>
    <t>Move to the beginning of the worksheet</t>
  </si>
  <si>
    <t>CTRL+HOME</t>
  </si>
  <si>
    <t>Move to the last cell on the worksheet</t>
  </si>
  <si>
    <t>CTRL+END</t>
  </si>
  <si>
    <t xml:space="preserve">Move down one screen </t>
  </si>
  <si>
    <t>PAGE DOWN</t>
  </si>
  <si>
    <t xml:space="preserve">Move up one screen </t>
  </si>
  <si>
    <t>PAGE UP</t>
  </si>
  <si>
    <t>Move one screen to the right</t>
  </si>
  <si>
    <t>ALT+PAGE DOWN</t>
  </si>
  <si>
    <t>Move one screen to the left</t>
  </si>
  <si>
    <t>ALT+PAGE UP</t>
  </si>
  <si>
    <t>Move to the next sheet in the workbook</t>
  </si>
  <si>
    <t>CTRL+PAGE DOWN</t>
  </si>
  <si>
    <t>Move to the previous sheet in the workbook</t>
  </si>
  <si>
    <t>CTRL+PAGE UP</t>
  </si>
  <si>
    <t>Move to the next workbook or window</t>
  </si>
  <si>
    <t>CTRL+F6 or CTRL+TAB</t>
  </si>
  <si>
    <t>Move to the previous workbook or window</t>
  </si>
  <si>
    <t xml:space="preserve">CTRL+SHIFT+F6 </t>
  </si>
  <si>
    <t>Move to the next pane</t>
  </si>
  <si>
    <t>F6</t>
  </si>
  <si>
    <t>Move to the previous pane</t>
  </si>
  <si>
    <t>SHIFT+F6</t>
  </si>
  <si>
    <t>Scroll to display the active cell</t>
  </si>
  <si>
    <t>CTRL+BACKSPACE</t>
  </si>
  <si>
    <t>Move by one block of data within a row or column</t>
  </si>
  <si>
    <t>END, arrow key</t>
  </si>
  <si>
    <t>END, HOME</t>
  </si>
  <si>
    <t>Move to the last cell to the right in the current row that is not blank</t>
  </si>
  <si>
    <t>END, ENTER</t>
  </si>
  <si>
    <t>With SCROLL LOCK turned on, to</t>
  </si>
  <si>
    <t>Move to the cell in the upper-left corner of the window</t>
  </si>
  <si>
    <t>Move to the cell in the lower-right corner of the window</t>
  </si>
  <si>
    <t>Scroll one row up or down</t>
  </si>
  <si>
    <t xml:space="preserve">UP/DOWN ARROW </t>
  </si>
  <si>
    <t>Scroll one column left or right</t>
  </si>
  <si>
    <t>LEFT/RIGHT ARROW</t>
  </si>
  <si>
    <t>Format data by using shortcut keys</t>
  </si>
  <si>
    <t>Display the Style command (Format menu)</t>
  </si>
  <si>
    <t>ALT+' (APOSTROPHE)</t>
  </si>
  <si>
    <t>Display the Cells command (Format menu)</t>
  </si>
  <si>
    <t>CTRL+1</t>
  </si>
  <si>
    <t>Apply the General number format</t>
  </si>
  <si>
    <t>CTRL+SHIFT+~</t>
  </si>
  <si>
    <t>Apply the Currency format with two decimal places (negative numbers appear in parentheses)</t>
  </si>
  <si>
    <t>CTRL+SHIFT+$</t>
  </si>
  <si>
    <t xml:space="preserve">Apply the Percentage format with no decimal places </t>
  </si>
  <si>
    <t>CTRL+SHIFT+%</t>
  </si>
  <si>
    <t>Apply the Exponential number format with two decimal places</t>
  </si>
  <si>
    <t>CTRL+SHIFT+^</t>
  </si>
  <si>
    <t>Apply the Date format with the day, month, and year</t>
  </si>
  <si>
    <t>CTRL+SHIFT+#</t>
  </si>
  <si>
    <t>Apply the Time format with the hour and minute, and indicate A.M. or P.M.</t>
  </si>
  <si>
    <t>CTRL+SHIFT+@</t>
  </si>
  <si>
    <t>Apply the Number format with two decimal places, 1000 separator, and – for negative values</t>
  </si>
  <si>
    <t>CTRL+SHIFT+!</t>
  </si>
  <si>
    <t>Apply the outline border</t>
  </si>
  <si>
    <t>CTRL+SHIFT+&amp;</t>
  </si>
  <si>
    <t>Remove all borders</t>
  </si>
  <si>
    <t>CTRL+SHIFT+_</t>
  </si>
  <si>
    <t>Apply or remove bold formatting</t>
  </si>
  <si>
    <t>CTRL+B</t>
  </si>
  <si>
    <t>Apply or remove italic formatting</t>
  </si>
  <si>
    <t>CTRL+I</t>
  </si>
  <si>
    <t>Apply or remove an underline</t>
  </si>
  <si>
    <t>CTRL+U</t>
  </si>
  <si>
    <t>Apply or remove strikethrough formatting</t>
  </si>
  <si>
    <t>CTRL+5</t>
  </si>
  <si>
    <t>Hide rows</t>
  </si>
  <si>
    <t>CTRL+9</t>
  </si>
  <si>
    <t>Unhide rows</t>
  </si>
  <si>
    <t>CTRL+SHIFT+(</t>
  </si>
  <si>
    <t>Hide columns</t>
  </si>
  <si>
    <t>CTRL+0 (ZERO)</t>
  </si>
  <si>
    <t>Unhide columns</t>
  </si>
  <si>
    <t xml:space="preserve">CTRL+SHIFT+) </t>
  </si>
  <si>
    <t>Print and preview a document by using shortcut keys</t>
  </si>
  <si>
    <t>Display the Print command (File menu)</t>
  </si>
  <si>
    <t>CTRL+P</t>
  </si>
  <si>
    <t>Move around the page when zoomed in</t>
  </si>
  <si>
    <t>Arrow keys</t>
  </si>
  <si>
    <t>Move by one page when zoomed out</t>
  </si>
  <si>
    <t>PAGE UP or PAGE DOWN</t>
  </si>
  <si>
    <t>Move to the first page when zoomed out</t>
  </si>
  <si>
    <t>CTRL+UP ARROW</t>
  </si>
  <si>
    <t>Move to the last page when zoomed out</t>
  </si>
  <si>
    <t>CTRL+DOWN ARROW</t>
  </si>
  <si>
    <t>Keys for menus</t>
  </si>
  <si>
    <t>Show a shortcut menu</t>
  </si>
  <si>
    <t>SHIFT+F10</t>
  </si>
  <si>
    <t>Make the menu bar active</t>
  </si>
  <si>
    <t>F10 or ALT</t>
  </si>
  <si>
    <t>Show the program icon menu (on the program title bar)</t>
  </si>
  <si>
    <t>ALT+SPACEBAR</t>
  </si>
  <si>
    <t xml:space="preserve">Select the next or previous command on the menu or submenu </t>
  </si>
  <si>
    <t xml:space="preserve">DOWN/UP ARROW </t>
  </si>
  <si>
    <t>Select the menu to the left or right, or, with a submenu visible, switch between the main menu and the submenu</t>
  </si>
  <si>
    <t xml:space="preserve">LEFT/RIGHT ARROW </t>
  </si>
  <si>
    <t>Select the first or last command on the menu or submenu</t>
  </si>
  <si>
    <t>HOME or END</t>
  </si>
  <si>
    <t>Close the visible menu and submenu at the same time</t>
  </si>
  <si>
    <t>ALT</t>
  </si>
  <si>
    <t>Close the visible menu, or, with a submenu visible, close the submenu only</t>
  </si>
  <si>
    <t>ESC</t>
  </si>
  <si>
    <t>Edit data by using shortcut keys</t>
  </si>
  <si>
    <t>Edit the active cell and complete</t>
  </si>
  <si>
    <t>F2 + Enter</t>
  </si>
  <si>
    <t>Cancel an entry in the cell or formula bar</t>
  </si>
  <si>
    <t>Edit the active cell and then clear it, or delete the preceding character in the active cell as you edit the cell contents</t>
  </si>
  <si>
    <t>BACKSPACE</t>
  </si>
  <si>
    <t>Paste a name into a formula</t>
  </si>
  <si>
    <t>F3</t>
  </si>
  <si>
    <t>Enter a formula as an array formula</t>
  </si>
  <si>
    <t>CTRL+SHIFT+ENTER</t>
  </si>
  <si>
    <t>Display the Formula Palette after you type a valid function name in a formula</t>
  </si>
  <si>
    <t>Insert the argument names and parentheses for a function, after you type a valid function name in a formula</t>
  </si>
  <si>
    <t>CTRL+SHIFT+A</t>
  </si>
  <si>
    <t>Insert, delete, and copy a selection by using shortcut keys</t>
  </si>
  <si>
    <t>Copy the selection</t>
  </si>
  <si>
    <t>CTRL+C</t>
  </si>
  <si>
    <t>Paste the selection</t>
  </si>
  <si>
    <t>CTRL+V</t>
  </si>
  <si>
    <t>Cut the selection</t>
  </si>
  <si>
    <t>CTRL+X</t>
  </si>
  <si>
    <t>Clear the contents of the selection</t>
  </si>
  <si>
    <t>DELETE</t>
  </si>
  <si>
    <t>Insert blank cells</t>
  </si>
  <si>
    <t>CTRL+SHIFT+PLUS SIGN</t>
  </si>
  <si>
    <t>Delete the selection</t>
  </si>
  <si>
    <t>CTRL+ –</t>
  </si>
  <si>
    <t>Undo the last action</t>
  </si>
  <si>
    <t>CTRL+Z</t>
  </si>
  <si>
    <t>Move within a selection by using shortcut keys</t>
  </si>
  <si>
    <t>Move from top to bottom within the selection (down), or in the direction that is selected on the Edit tab (Tools menu, Options command)</t>
  </si>
  <si>
    <t xml:space="preserve">ENTER </t>
  </si>
  <si>
    <t>Move from bottom to top within the selection (up), or opposite to the direction that is selected on the Edit tab (Tools menu, Options command)</t>
  </si>
  <si>
    <t xml:space="preserve">SHIFT+ENTER </t>
  </si>
  <si>
    <t>Move from left to right within the selection, or move down one cell if only one column is selected</t>
  </si>
  <si>
    <t>Move from right to left within the selection, or move up one cell if only one column is selected</t>
  </si>
  <si>
    <t>SHIFT+TAB</t>
  </si>
  <si>
    <t>Move clockwise to the next corner of the selection</t>
  </si>
  <si>
    <t>CTRL+PERIOD</t>
  </si>
  <si>
    <t>Move to the right between nonadjacent selections</t>
  </si>
  <si>
    <t>CTRL+ALT+RIGHT ARROW</t>
  </si>
  <si>
    <t>Move to the left between nonadjacent selections</t>
  </si>
  <si>
    <t>CTRL+ALT+LEFT ARROW</t>
  </si>
  <si>
    <t>Ord.No</t>
  </si>
  <si>
    <t>Payment Type</t>
  </si>
  <si>
    <t>DA-23</t>
  </si>
  <si>
    <t>Cash</t>
  </si>
  <si>
    <t>DR-45</t>
  </si>
  <si>
    <t>Cheque</t>
  </si>
  <si>
    <t>RO-63</t>
  </si>
  <si>
    <t>Card</t>
  </si>
  <si>
    <t>DA-24</t>
  </si>
  <si>
    <t>DR-46</t>
  </si>
  <si>
    <t>RO-64</t>
  </si>
  <si>
    <t>DA-25</t>
  </si>
  <si>
    <t>DR-47</t>
  </si>
  <si>
    <t>RO-65</t>
  </si>
  <si>
    <t>DA-26</t>
  </si>
  <si>
    <t>Discount Offer</t>
  </si>
  <si>
    <t>Discount</t>
  </si>
  <si>
    <t>Wood</t>
  </si>
  <si>
    <t>Yes</t>
  </si>
  <si>
    <t>Glass</t>
  </si>
  <si>
    <t>No</t>
  </si>
  <si>
    <t>Cement</t>
  </si>
  <si>
    <t>NO</t>
  </si>
  <si>
    <t>Turf</t>
  </si>
  <si>
    <t>Amt (2%)</t>
  </si>
  <si>
    <t>Net Sale</t>
  </si>
  <si>
    <t>Target</t>
  </si>
  <si>
    <t>Progress</t>
  </si>
  <si>
    <t>Kumar</t>
  </si>
  <si>
    <t>Pradip</t>
  </si>
  <si>
    <t>Manoj</t>
  </si>
  <si>
    <t>Rakesh</t>
  </si>
  <si>
    <t>Manali</t>
  </si>
  <si>
    <t>Vishal</t>
  </si>
  <si>
    <t>Sanjog</t>
  </si>
  <si>
    <t>Pranali</t>
  </si>
  <si>
    <t>DOB</t>
  </si>
  <si>
    <t>DOJ</t>
  </si>
  <si>
    <t>CONTACT NO.</t>
  </si>
  <si>
    <t>BATCH START DATE</t>
  </si>
  <si>
    <t>BATCH END DATE</t>
  </si>
  <si>
    <t>BATCH TIMING</t>
  </si>
  <si>
    <t>Walchale Sagar</t>
  </si>
  <si>
    <t>10.00-12.00</t>
  </si>
  <si>
    <t>Rohan Jadhav</t>
  </si>
  <si>
    <t>2.00-4.00</t>
  </si>
  <si>
    <t>Pandav Akash</t>
  </si>
  <si>
    <t>Shaikh Sahid</t>
  </si>
  <si>
    <t>12.00-2.00</t>
  </si>
  <si>
    <t>Ghodke Vishal</t>
  </si>
  <si>
    <t>Gaikwad Hushang</t>
  </si>
  <si>
    <t>Tamboli Sahil</t>
  </si>
  <si>
    <t>3.00-5.00</t>
  </si>
  <si>
    <t>Ambavanekar Rohan</t>
  </si>
  <si>
    <t>Nalawade Dhanaji</t>
  </si>
  <si>
    <t>6.30-8.30</t>
  </si>
  <si>
    <t>Kale Shekhar</t>
  </si>
  <si>
    <t>8.00-10.00</t>
  </si>
  <si>
    <t>Bhojsane Ramesh</t>
  </si>
  <si>
    <t>Ghom Akash</t>
  </si>
  <si>
    <t>8.00 - 10.00</t>
  </si>
  <si>
    <t>Patale Sumit</t>
  </si>
  <si>
    <t>Dalvi Yogesh</t>
  </si>
  <si>
    <t>Vavare Milind</t>
  </si>
  <si>
    <t>Date Started</t>
  </si>
  <si>
    <t>Projected Months</t>
  </si>
  <si>
    <t>Current Months</t>
  </si>
  <si>
    <t>Email</t>
  </si>
  <si>
    <t>Material Name</t>
  </si>
  <si>
    <t>RAJA@REDIFFMAIL.COM</t>
  </si>
  <si>
    <t>PEPSI 1.25 L SHRINK FILM 12 RS58 H</t>
  </si>
  <si>
    <t>SUMAN@GMAIL.COM</t>
  </si>
  <si>
    <t>DUKES SODA 300 ML GRBCRATE24 Rs8</t>
  </si>
  <si>
    <t>KULDEEP@REDIFFMAIL.COM</t>
  </si>
  <si>
    <t>MIRINDA O 2.25 L PETSHRINK FILM9RS90NF</t>
  </si>
  <si>
    <t>BEENA@REDIFFMAIL.COM</t>
  </si>
  <si>
    <t>SLICE MANGO 1.2 L PETCARTON12 RS64 A2</t>
  </si>
  <si>
    <t>SEEMA@GMAIL.COM</t>
  </si>
  <si>
    <t>SLICE MANGO 600 ML PETCARTON24 RS37 EBA2</t>
  </si>
  <si>
    <t>JULIE@YMAIL.COM</t>
  </si>
  <si>
    <t>PEPSI 2.25 L PET SHRINK FILM9 RS90 H</t>
  </si>
  <si>
    <t>DEEPAK@GMAIL.COM</t>
  </si>
  <si>
    <t>NEENA@REDIFFMAIL.COM</t>
  </si>
  <si>
    <t>7 UP 2.25 L PET SHRINK FILM9 RS90 NF</t>
  </si>
  <si>
    <t>PANKAJ@YAHOO.CO.IN</t>
  </si>
  <si>
    <t>MIRINDA O 1.25 L SHRINKFILM12 RS58 NF</t>
  </si>
  <si>
    <t>ANDRE@REDIFFMAIL.COM</t>
  </si>
  <si>
    <t>SUJAY@YAHOO.CO.IN</t>
  </si>
  <si>
    <t>SHILPA@REDIFFMAIL.COM</t>
  </si>
  <si>
    <t>MEERA@YAHOO.COM</t>
  </si>
  <si>
    <t>MIRINDA O 250 ML NP S.F.24 RS15 NF</t>
  </si>
  <si>
    <t>SHEETAL@GMAIL.COM</t>
  </si>
  <si>
    <t>PRIYA@GMAIL.COM</t>
  </si>
  <si>
    <t>AALOK@GMAIL.COM</t>
  </si>
  <si>
    <t>TGPORANGE DSEALStraw200MLCUPCRATE24RS10</t>
  </si>
  <si>
    <t>AAKASH@YAHOO.CO.IN</t>
  </si>
  <si>
    <t>TGPLEMON DSEAL Straw200MLCUPCRATE24RS10</t>
  </si>
  <si>
    <t>PARVATI@REDIFFMAIL.COM</t>
  </si>
  <si>
    <t>FARHAN@REDIFFMAIL.COM</t>
  </si>
  <si>
    <t>SATINDER@YAHOO.COM</t>
  </si>
  <si>
    <t>SUCHITA@REDIFFMAIL.COM</t>
  </si>
  <si>
    <t>SHAZIA@REDIFFMAIL.COM</t>
  </si>
  <si>
    <t>POOJA@REDIFFMAIL.COM</t>
  </si>
  <si>
    <t>JASBINDER@SIFY.COM</t>
  </si>
  <si>
    <t>BHARAT@REDIFFMAIL.COM</t>
  </si>
  <si>
    <t>RISHI@YAHOO.COM</t>
  </si>
  <si>
    <t>MALA@YAHOO.COM</t>
  </si>
  <si>
    <t>HAJRA@REDIFFMAIL.COM</t>
  </si>
  <si>
    <t>AALAM@YAHOO.COM</t>
  </si>
  <si>
    <t>GIRIRAJ@REDIFFMAIL.COM</t>
  </si>
  <si>
    <t>ANKUR@GMAIL.COM</t>
  </si>
  <si>
    <t>TAPAN@YAHOO.CO.IN</t>
  </si>
  <si>
    <t>ZARINA@YAHOO.CO.IN</t>
  </si>
  <si>
    <t>ARUN@REDIFFMAIL.COM</t>
  </si>
  <si>
    <t>CHITRA@REDIFFMAIL.COM</t>
  </si>
  <si>
    <t>RICHA@REDIFFMAIL.COM</t>
  </si>
  <si>
    <t>KIRTIKAR@REDIFFMAIL.COM</t>
  </si>
  <si>
    <t>PIYUSH@YAHOO.CO.IN</t>
  </si>
  <si>
    <t>SHAHEEN@YAHOO.IN</t>
  </si>
  <si>
    <t>7 UP 750 ML NF SHRINKFILM24 RS35 C</t>
  </si>
  <si>
    <t>KINNARI@INDIATIMES.COM</t>
  </si>
  <si>
    <t>JEENA@GMAIL.COM</t>
  </si>
  <si>
    <t>VICKY@REDIFFMAIL.COM</t>
  </si>
  <si>
    <t>NEHA@REDIFFMAIL.COM</t>
  </si>
  <si>
    <t>RAKESH@YAHOO.COM</t>
  </si>
  <si>
    <t>RUHEAL@REDIFFMAIL.COM</t>
  </si>
  <si>
    <t>MARIO@GMAIL.COM</t>
  </si>
  <si>
    <t>HEENA@GMAIL.COM</t>
  </si>
  <si>
    <t>MEHUL@REDIFFMAIL.COM</t>
  </si>
  <si>
    <t>VISHAL@REDIFFMAIL.COM</t>
  </si>
  <si>
    <t>LALITA@GMAIL.COM</t>
  </si>
  <si>
    <t>KAJAL@GMAIL.COM</t>
  </si>
  <si>
    <t>KATTI@REDIFFMAIL.COM</t>
  </si>
  <si>
    <t>MAYA@REDIFFMAIL.COM</t>
  </si>
  <si>
    <t>DISHA@GMAIL.COM</t>
  </si>
  <si>
    <t>GEETA@YAHOO.COM</t>
  </si>
  <si>
    <t>ANURADHA@GMAIL.COM</t>
  </si>
  <si>
    <t>ASHA@GMAIL.COM</t>
  </si>
  <si>
    <t>WAHEDA@GMAIL.COM</t>
  </si>
  <si>
    <t>VEENA@GMAIL.COM</t>
  </si>
  <si>
    <t>TIMSI@GMAIL.COM</t>
  </si>
  <si>
    <t>PARUL@GMAIL.COM</t>
  </si>
  <si>
    <t>UDAY@GMAIL.COM</t>
  </si>
  <si>
    <t>MANDAKINI@GMAIL.COM</t>
  </si>
  <si>
    <t>PRAVIN@GMAIL.COM</t>
  </si>
  <si>
    <t>REETA@GMAIL.COM</t>
  </si>
  <si>
    <t>SURENDRA@GMAIL.COM</t>
  </si>
  <si>
    <t>YAMINI@GMAIL.COM</t>
  </si>
  <si>
    <t>LAVEENA@GMAIL.COM</t>
  </si>
  <si>
    <t>NITA@GMAIL.COM</t>
  </si>
  <si>
    <t>SURAJ@GMAIL.COM</t>
  </si>
  <si>
    <t>NAYEEM@GMAIL.COM</t>
  </si>
  <si>
    <t>DRISHTI@GMAIL.COM</t>
  </si>
  <si>
    <t>DEEP@GMAIL.COM</t>
  </si>
  <si>
    <t>SAGAR@GMAIL.COM</t>
  </si>
  <si>
    <t>DAYANAND@GMAIL.COM</t>
  </si>
  <si>
    <t>TARA@YAHOO.COM</t>
  </si>
  <si>
    <t>KALPANA@HOTMAIL.COM</t>
  </si>
  <si>
    <t>KUNAL@YAHOO.COM</t>
  </si>
  <si>
    <t>PINKY@MKCL.ORG</t>
  </si>
  <si>
    <t>RUBY@SIFY.COM</t>
  </si>
  <si>
    <t>SONIA@YAHOO.CO.IN</t>
  </si>
  <si>
    <t>JIGNESH@REDIFFMAIL.COM</t>
  </si>
  <si>
    <t>VINIT@YAHOO.COM</t>
  </si>
  <si>
    <t>TEJAL@REDIFFMAIL.COM</t>
  </si>
  <si>
    <t>PRIYANKA@REDIFFMAIL.COM</t>
  </si>
  <si>
    <t>NIKI@REDIFFMAIL.COM</t>
  </si>
  <si>
    <t>PAYAL@YAHOO.COM</t>
  </si>
  <si>
    <t>HARSHA@YAHOO.CO.IN</t>
  </si>
  <si>
    <t>RADHIKA@REDIFFMAIL.COM</t>
  </si>
  <si>
    <t>KABIR@YAHOO.COM</t>
  </si>
  <si>
    <t>PUSHPA@YAHOO.CO.IN</t>
  </si>
  <si>
    <t>CHETAN@YAHOO.CO.IN</t>
  </si>
  <si>
    <t>INDU@YAHOO.CO.IN</t>
  </si>
  <si>
    <t>RUPESH@YAHOO.COM</t>
  </si>
  <si>
    <t>RAYMONDEKAR@GMAIL.COM</t>
  </si>
  <si>
    <t>SHINDE@YAHOO.CO.IN</t>
  </si>
  <si>
    <t>SHARMA@REDIFFMAIL.COM</t>
  </si>
  <si>
    <t>MAVADIA@GMAIL.COM</t>
  </si>
  <si>
    <t>RANGANATHAN@YAHOO.COM</t>
  </si>
  <si>
    <t>D'SOUZA@GMAIL.COM</t>
  </si>
  <si>
    <t>Item name</t>
  </si>
  <si>
    <t>Total Bottle</t>
  </si>
  <si>
    <t>Box in Stock</t>
  </si>
  <si>
    <t>Totol Box</t>
  </si>
  <si>
    <t>Floor</t>
  </si>
  <si>
    <t>CEILING</t>
  </si>
  <si>
    <t>Mountain Dew</t>
  </si>
  <si>
    <t>year</t>
  </si>
  <si>
    <t>Brand</t>
  </si>
  <si>
    <t>designation</t>
  </si>
  <si>
    <t>count</t>
  </si>
  <si>
    <t>counta</t>
  </si>
  <si>
    <t>countblank</t>
  </si>
  <si>
    <t>countif</t>
  </si>
  <si>
    <t>countifs</t>
  </si>
  <si>
    <t>sumif</t>
  </si>
  <si>
    <t>sumifs</t>
  </si>
  <si>
    <t>averageif</t>
  </si>
  <si>
    <t>averageifs</t>
  </si>
  <si>
    <t>averagea</t>
  </si>
  <si>
    <t>rank</t>
  </si>
  <si>
    <t>Frequency</t>
  </si>
  <si>
    <t>Mode</t>
  </si>
  <si>
    <t>Large</t>
  </si>
  <si>
    <t>Small</t>
  </si>
  <si>
    <t>Convert</t>
  </si>
  <si>
    <t>DCOUNT</t>
  </si>
  <si>
    <t>DCOUNTA</t>
  </si>
  <si>
    <t>DSUM</t>
  </si>
  <si>
    <t>DAERAGE</t>
  </si>
  <si>
    <t>DMIN</t>
  </si>
  <si>
    <t>DMAX</t>
  </si>
  <si>
    <t>stock</t>
  </si>
  <si>
    <t>qty</t>
  </si>
  <si>
    <t>50&lt;</t>
  </si>
  <si>
    <t>&gt;70</t>
  </si>
  <si>
    <t>len</t>
  </si>
  <si>
    <t>lower</t>
  </si>
  <si>
    <t>upper</t>
  </si>
  <si>
    <t>proper</t>
  </si>
  <si>
    <t>left</t>
  </si>
  <si>
    <t>right</t>
  </si>
  <si>
    <t>Column1</t>
  </si>
  <si>
    <t>Column2</t>
  </si>
  <si>
    <t>price</t>
  </si>
  <si>
    <t>loan amount</t>
  </si>
  <si>
    <t>down payment</t>
  </si>
  <si>
    <t>rate</t>
  </si>
  <si>
    <t>actual amount</t>
  </si>
  <si>
    <t>emi</t>
  </si>
  <si>
    <t>Column3</t>
  </si>
  <si>
    <t>find</t>
  </si>
  <si>
    <t>search</t>
  </si>
  <si>
    <t>mid</t>
  </si>
  <si>
    <t>SUM</t>
  </si>
  <si>
    <t>AVERAGE</t>
  </si>
  <si>
    <t>COUNT</t>
  </si>
  <si>
    <t>COUNTA</t>
  </si>
  <si>
    <t>AVERAGEA</t>
  </si>
  <si>
    <t>MIN</t>
  </si>
  <si>
    <t>MAX</t>
  </si>
  <si>
    <t>LARGE</t>
  </si>
  <si>
    <t>SMALL</t>
  </si>
  <si>
    <t>COUNTBLANK</t>
  </si>
  <si>
    <t>Ground Floor, Brindavan, B. Parab Road, Kanderpada</t>
  </si>
  <si>
    <t>Near Nagreshwar Mandir, Rekhawar Building</t>
  </si>
  <si>
    <t>Shop No. 5 _x000D_
Ubale Complex _x000D_
Main Road, Pandharpur, Aurangabad.</t>
  </si>
  <si>
    <t>10/12, Goragandhi Complex, S.V. Road, Borivali(West )Mumbai</t>
  </si>
  <si>
    <t>16, Uma Nilkanth Bldg., Mahim Road, Palghar</t>
  </si>
  <si>
    <t>Shop.No-3, Pawan Arcade, Opp.Sikki Apts., _x000D_
Near C.H.M College, Station Road, _x000D_
Ulhasnagar. Pincode:421003</t>
  </si>
  <si>
    <t>Sonal Nagar, Near Railway Station, Jalna</t>
  </si>
  <si>
    <t>158, Omkar Nagar, Post Bhagwan Nagar, Nagpur</t>
  </si>
  <si>
    <t>Om Computer, Mahalaxmi Arcade, Station Road, Near Krishna Palace, Badalapur (E)</t>
  </si>
  <si>
    <t>Divekar Chowk, Jatharpeth</t>
  </si>
  <si>
    <t>Onkar Nagar, Parik Park, Jalgaon</t>
  </si>
  <si>
    <t xml:space="preserve">Near Dr.Pawar Hospital, Bazar Chowk, </t>
  </si>
  <si>
    <t>Aishwarya Residecy', Shop. No. 2, Near Karad Urban Bank Building, Laxminagar. Tal: Phaltan, Dist: Satara</t>
  </si>
  <si>
    <t>Plot No 149, _x000D_
Village Talwada, _x000D_
Tq. Georai, _x000D_
Dist, Beed., Plot No 149, _x000D_
Village Talwada, _x000D_
Tq. Georai, _x000D_
Dist, Beed., Talwada, Talwada</t>
  </si>
  <si>
    <t xml:space="preserve">3, Meghraj Shopping Center, Dhule Road, Near Bus Stand, </t>
  </si>
  <si>
    <t>Wankhede Layout, Girad Road, Near Ashirwad Mangalam</t>
  </si>
  <si>
    <t>Ganpati Galli, Badnapur</t>
  </si>
  <si>
    <t xml:space="preserve">1St Floor, Bazar Samiti, Yawal Road, </t>
  </si>
  <si>
    <t>Keerti Computer Inst, Shop No. 9. Sukhsagar Aprt., Akurli Cross Road No.1, Near Railway Fatak, Mangalam Dairy Lane, Kandivli (E)</t>
  </si>
  <si>
    <t>F-A-7, Mukti Nagar, N.G., Acharya Marg, Chembur, Mumbai-400 071</t>
  </si>
  <si>
    <t>23, New Kailash Nagar, Manewada Road, Nagpur.</t>
  </si>
  <si>
    <t>Shop No 9, New Shopping Centre, Near Chetna College, Govt. Colony, Bandra (E)</t>
  </si>
  <si>
    <t xml:space="preserve">Opp. Dr. Rayte Hospital, Tower-Ganeshpar Road, </t>
  </si>
  <si>
    <t>N.G. Acharya Marg, Near Natural Dairy, Road No.3, _x000D_
Op. Arun Niwas, Subhash Nagar, Chembur.</t>
  </si>
  <si>
    <t xml:space="preserve">Shop No.1, Gr.Floor, Pandit Niwas  Near Khidki Vada, Ramwadi, Tilak Chowk, Kalyan (West), </t>
  </si>
  <si>
    <t>7, Lingeshwar Apartment, Bhatwadi, Barve Nagar, Ghatkopar(W)</t>
  </si>
  <si>
    <t>212, Nandanvan, Tiranga Square</t>
  </si>
  <si>
    <t xml:space="preserve">Sahakar Nagar, Opp Old Sbi, Jalgaon Road, </t>
  </si>
  <si>
    <t>Shyam Palace, Opp Shivay Science College, Congress Nagar, Nagpur.</t>
  </si>
  <si>
    <t>Shree Vinayak Sankul, Tapadiya Nagar, Akola</t>
  </si>
  <si>
    <t>Shree Infotech, _x000D_
"Manorath Niwas", _x000D_
Nath Nagar, Parli-V</t>
  </si>
  <si>
    <t>Kalpataru Soceity Balkrushna Nagar, Plot No 81, Vijay Chowk Garkhda Parisar, Aurangabad</t>
  </si>
  <si>
    <t>Jilhewar Complex, Ganesh Nagarpawadewadi Road Nanded</t>
  </si>
  <si>
    <t>First Floor, Sonar Galli, Sadar Bazar</t>
  </si>
  <si>
    <t>Flat No 2, Shree Chintamani App., Road No 1, Sec-14., Panvel</t>
  </si>
  <si>
    <t>Megapro Computers, Near Anti-Corruption Office, Juna Bazar</t>
  </si>
  <si>
    <t xml:space="preserve">Shop No.6, A-Block, Bhiwandiwala Building, Ganapatrao Kadam Marg, Worli Naka, </t>
  </si>
  <si>
    <t xml:space="preserve">270/4/5, Karim Wadi, Korba Mithagar, Barkat Ali Naka, Baba Barkat Ali Marg, Opp. Barkat Ali Naka Police Chowki, Wadala(East), Mumbai - 400038 </t>
  </si>
  <si>
    <t xml:space="preserve">Above Aurangabad-Jalna Gramin Bank, Bhanudas Nagar, Jawahar Colony, </t>
  </si>
  <si>
    <t>Near Raj Auto Showroom, Shivajinagar</t>
  </si>
  <si>
    <t>Roshani Computer Centre Narmada Apartment No 2 Near Bhikamchand Khandwal School Godbole Plot Dabki Road, Narmada Appt., Bhikamchan Khandelwal High Scool Road, Akola</t>
  </si>
  <si>
    <t>11/841, Krishna Sahara Niketan, Jai Maharashtra Nagar, Tata Power House, Magathane, _x000D_
Borivali-(E)</t>
  </si>
  <si>
    <t>Plot No. 4, Satyam Naware Arcade, Opp. Navare Hospital, Shiv Mandir Road, Ambernath  (E)</t>
  </si>
  <si>
    <t>A1 Bunglow, Mr Society, Opp. Raheja College, Juhu Tara Road, Santacruz (West), Mumbai-400054</t>
  </si>
  <si>
    <t>Row House No. 3, _x000D_
Amar Co-Op. Hsg Society, _x000D_
Opp. Sri Ram High School_x000D_
Sector-3, Airoli, _x000D_
Navi Mumbai- 400708</t>
  </si>
  <si>
    <t>Pace Training Center_x000D_
Hari Niwas Building, Gr.Floor, Postal Colony Road, Near Maa Hospital, Chembur Mumbai -71, Hari Niwas Building, Postal Colony Road, Chembur</t>
  </si>
  <si>
    <t>1St Floor, Daddy'S Champion Health Club, Gymnasium, Near St Bus Stand, Badlapur (W)</t>
  </si>
  <si>
    <t>Shop No-11, Jivanjyoti Kasturba Cr. Rd.No 1 Borivali(E)</t>
  </si>
  <si>
    <t>206, Laxmi Court Building, Shop No. 2 &amp; 3, Sitaram Prakash High School Lane, Near Wadala Station, Wadala(W)</t>
  </si>
  <si>
    <t>Kalpak Estate C/16, Shop No.51, Shaikh Mistry Road, Near Saraswat Co.Op Bank, Antop Hill, Mumbai- 400037</t>
  </si>
  <si>
    <t>Shop No 1, Shri Sai Janata Society, R N Narkar Rd, Near Dr Datta Samant Office Ghatkopar (E)</t>
  </si>
  <si>
    <t>B-205, Pranav Plaza 2Nd Floor M.G.Road, Above Subhiksha Store, Near Mensa Classes, Mulund (W).Mumbai-80.</t>
  </si>
  <si>
    <t>219/3107, Station Rd, Opp. Saraswat Bank, Tagore Nagar,  Vikhroli (E)Mumbai-400083.</t>
  </si>
  <si>
    <t>Usa Computer, C/O. P.C.Point, 1St Floor, Shop No.9, Sai- Siddhi Bldg, Opp Hotel Shree Rath, Station Rd, Ambernath( E)</t>
  </si>
  <si>
    <t>Plot No 19 Ramjidas Nagar Near Pooja Complex, Gaurakshan Road Akola</t>
  </si>
  <si>
    <t>Ward No. 27, Kadrabad, Near Misal Complex, Infront Of Suryakant Tel Bhandar  Kadrabad, Jalna</t>
  </si>
  <si>
    <t>At Post Sevli Barhman Galli Tq. Dist. Jalna</t>
  </si>
  <si>
    <t>Main Road Ambad</t>
  </si>
  <si>
    <t>Near Bus Stand Main Road</t>
  </si>
  <si>
    <t>1St Floor, Geet Ganga Appartment, Above Shiv-Mistan Bhandar Tiranga Chowk, Near Sangam Talkies, Nagpur</t>
  </si>
  <si>
    <t>Main Road Tirthapuri</t>
  </si>
  <si>
    <t>At Post Ner</t>
  </si>
  <si>
    <t>Mane Complexbehind Rest Housevidhya Nager (West)</t>
  </si>
  <si>
    <t>Main Rd Khante Complex, Ward No. 3, Butibori., Taluka + District- Nagpur, (Mh) 441108</t>
  </si>
  <si>
    <t>At Post Hasnabad</t>
  </si>
  <si>
    <t>H.No 93 Shivaji Nagar Bhokardan Naka New Mondha Road Jalna</t>
  </si>
  <si>
    <t>Near Water Tank Bhokardan Road Jafrabad</t>
  </si>
  <si>
    <t>9-334  9-430, Prashant Nager, Ambajogai, Ambajogai, City</t>
  </si>
  <si>
    <t>Shop No. 64, Azad Maidan Ramnagar Near Santosh Book Stall Jalna</t>
  </si>
  <si>
    <t>At Post Walsavangi</t>
  </si>
  <si>
    <t>Shegaon Raod, Infarnd Of Sargit House, Telhara.</t>
  </si>
  <si>
    <t>At. Post Panewadi Tq. Ghansavangi Dist Jalna</t>
  </si>
  <si>
    <t>Shop No.1, Kamraj Chs., Balaji Nagar,  90 Ft Road, Dharavi, Mumbai-17</t>
  </si>
  <si>
    <t>Shop No. Clh-155, S.G.Barve Road, Nehru Nagar, Kurla (E), Mumbai-400024</t>
  </si>
  <si>
    <t>C/O. Nanakseth Agrawal'S Building, Infront Of Saw Mill, Main Road, Telhara</t>
  </si>
  <si>
    <t>Sudarshan Building, Ring Road, Tukaram Chowk, Akola</t>
  </si>
  <si>
    <t>Shailesh Colony Near Sbi Main Road, Hiwarkhed</t>
  </si>
  <si>
    <t>1St Floor, Block No. 105, Ruby Complex, Next To Madhuram Hall,  Opp. Royal Plaza, Harishankar Joshi Rd., Dahisar (E),  Mumbai - 400 068</t>
  </si>
  <si>
    <t>26, 2Nd Floor, Vasant Niwas, Opp. Shivsagar Hotel, Nehru Road, Vile Parle (E)</t>
  </si>
  <si>
    <t>"Flat No. F-2, A/-4, _x000D_
2Nd Floor, _x000D_
Aditi Apartment, _x000D_
Sector-9, _x000D_
Near Mini Market, _x000D_
Vashi.</t>
  </si>
  <si>
    <t>Sai Baba Plaza, Shop No. 19, Plot No. 20, Sector 15, Airoli, Navi Mumbaii - 400 708</t>
  </si>
  <si>
    <t>Sh B 1 22 Near Ab. Bank Nehru</t>
  </si>
  <si>
    <t>Aasha Park Gala No. 15, Near Model Eng, Sch. Pandurang Wadi, Dombivli(E)</t>
  </si>
  <si>
    <t>Shop No.2, Ambabai Chawl, Ganpatrao Kadam Marg, Opp. Municipal School, Near A To Z Industries, Lower Parel (W)</t>
  </si>
  <si>
    <t>Institute Of Advance Technology Bh Dr Potdar Nursing Home, A/P Kalameshwar, Nagpur</t>
  </si>
  <si>
    <t>Above Damini Gift Center, Near Wange Hospital, Shivaji Chowk, Parli-V</t>
  </si>
  <si>
    <t>Digambar Mhaskar Marg, Near Paras  Nagar, Jogeshwarii</t>
  </si>
  <si>
    <t>B-26/201, Anand Nagar, Vakola Bridge Nehru Road, Santacruz (E)</t>
  </si>
  <si>
    <t>111, 1St Floor, Dattani Trade Centre, Chandavarkar Lane, Borivali (W)</t>
  </si>
  <si>
    <t>A-202 Devraj Chs, Near Ratna Hotel, S.V. Road, Goregaon (W), Mumbai-400065</t>
  </si>
  <si>
    <t xml:space="preserve">: - 108, 1St Floor, Classic Heritage, Opp. Charbhuja Jewelers, Near Jay Prakash Nagar,    Aarey Rd; Goregaon (E), </t>
  </si>
  <si>
    <t>Shop No.3, Sugandh Chs., Kandar Pada, Dahisar West</t>
  </si>
  <si>
    <t>C/1, , Jay Chs., , Shivaji Road, Opp. Santoshi Mata Mandir, , Kandivli (W)</t>
  </si>
  <si>
    <t>Shop No., 11 &amp; 12, 1St Floor, Prakash Kunj, V.N.Purav Marg, Near Akbar Alli, Opp. Vodafone Mobile Gallery, Chembur Naka</t>
  </si>
  <si>
    <t>Keerti Computer Institute, _x000D_
173/9, Talav Co-Op Hsg Society, _x000D_
Next To Sheetal Cinema, _x000D_
Near State Bank Of India, _x000D_
Lbs Marg, Kurla (W)</t>
  </si>
  <si>
    <t>Shop No 10, Rehmat Mahal, M.G.Road, Below Abhinav Sahakari Bank, Dombivli (W), Thane</t>
  </si>
  <si>
    <t>Shop No.1, Shiv Chhaya Chs. Ltd, Opp. Aarsa Hotel, M.V. Road, Andheri (E), Mumbai -400069</t>
  </si>
  <si>
    <t>203/Pi239, Rdp 6, Aâ?? Wing, _x000D_
Kesar Plaza, Mhada Colony, _x000D_
Above Noble Chemist, _x000D_
Charkop Market, Kandivali (W), Mumbai-400 067.</t>
  </si>
  <si>
    <t>15, Kishan Tatya Shoping Center, Main Road, Main Road, Dhoki</t>
  </si>
  <si>
    <t>2Nd Floor, Simran Apartment, Near Vasai Station,   Vasai Road (W)</t>
  </si>
  <si>
    <t>205, Kapadia House, Next To Plat Form No 1, Behind S.T Depot, Virar (W)</t>
  </si>
  <si>
    <t>51, Kukaday-Lay-Out P.O.Parvati Nagar Nagpur.</t>
  </si>
  <si>
    <t>Indo- Lotus Computer Institute Sainath Apartments, Ground Floor, Opp. Military Camp, Boargaon Katol Road, Nagpur</t>
  </si>
  <si>
    <t>Plot No.46, Cosmopolitian Society, Somalwada, Wardha Rd., Nagpur-25</t>
  </si>
  <si>
    <t>K' Wing, Ground Floor, Room No 1, , Ganraj, Bldg. D-3, , Sahyadri Nagar, Charkop</t>
  </si>
  <si>
    <t>Jain Chambers, 2Nd Floor, Near New Bus Stand, Akola</t>
  </si>
  <si>
    <t>Dic Road, Datta Nagar Kakade Plot</t>
  </si>
  <si>
    <t>College Raod, Naldurg, N.H.9, Naldurg</t>
  </si>
  <si>
    <t>001, Sunmeet Trade Point, Sunmeet Trade Point, S.V.Road, Andheri</t>
  </si>
  <si>
    <t xml:space="preserve">Shop No-5, Kamalabai Agarwal Girls High School Complex, Station Road, </t>
  </si>
  <si>
    <t>At.Post. Dhawada</t>
  </si>
  <si>
    <t>Lamjane Aapa Niwas, , Near Narhari Classes, New Barshi Road, Latur</t>
  </si>
  <si>
    <t>Master Infotech Computer Edu Mahavir Complex Opp. Raikar Park Below Lic Office Roha</t>
  </si>
  <si>
    <t>Ujjwal Computer, _x000D_
Front Of College Gate, Chalisgaon Road, Kannad _x000D_
Tal. Kannad_x000D_
Dist. Aurangabad</t>
  </si>
  <si>
    <t>At. Post Pachod Tq. Paithan  Aurangabad</t>
  </si>
  <si>
    <t>Shop No. 6, Devi Dayal Tower, B Wing First Floor, Opp. Kolsewadi Police Station Kalyan(E) Thane</t>
  </si>
  <si>
    <t>A-202, Vaity Bldg, 2Nd Floor G K, Gokhale Road, Opp Railway Station, Mulund (E), Mumbai -400081.</t>
  </si>
  <si>
    <t>Saboo Apt., Opp Z.P.Girls High School, Nehru Chowk,  Canttonment, Aurangabad</t>
  </si>
  <si>
    <t>3Rd Floor, Gaikwad Cushion Works, Nath Road, Parli</t>
  </si>
  <si>
    <t>Lotakaranja To Chelipura Road_x000D_
, 500 Sqft, Cheipura Road, Aurangabad</t>
  </si>
  <si>
    <t>321, Khadapkar Sadan, Oros, Oros Phata Khadapkar Sadan, Bkg Road Sindhudurg Nagari, Sindhudurg Nagari</t>
  </si>
  <si>
    <t xml:space="preserve">C/O.Igm Computers, Nirantar Tower, Khadkeshwar, </t>
  </si>
  <si>
    <t>Kapileshwar Dharmshala Sankul, Shop No. 4 &amp; 5 Bramanhn Galli, Ward No 2, Mahur Dist Nanded</t>
  </si>
  <si>
    <t>1St Floor, Bhalerao Bldg. Vishnu Nagar, Vasmat Road</t>
  </si>
  <si>
    <t>5, Near Renuka Mata Mandir Gate Beed By Pass, Satara Parisar, Abad</t>
  </si>
  <si>
    <t>Near Police Station, Main Road</t>
  </si>
  <si>
    <t>College Road, Kanakavli</t>
  </si>
  <si>
    <t>Revdanda, Maruti Alipar-Naka</t>
  </si>
  <si>
    <t>Design Comp- Tech Systems, Alibagat Post Nagaon -Office</t>
  </si>
  <si>
    <t>678, Sahyadrinagar, N-5 Cidco</t>
  </si>
  <si>
    <t>74, Sindhu Nagari Priyanka Photo, Oras Phata  Nh 17 Bk6 Road, Oras</t>
  </si>
  <si>
    <t>Supkarn Appartment, N-2, Cidco, Near Shani Mandir</t>
  </si>
  <si>
    <t>Sukhada Computers, Nathnagar, Near Shivaji Chowk, Parli Vaijnathdist. Beed Pin 431515</t>
  </si>
  <si>
    <t>Sb Computers New Mondha, Majalgaon, Tq Majalgaon Dist. Beed.</t>
  </si>
  <si>
    <t>1, Vidya Nagar Opp, Dig Office Workshop Road Nanded</t>
  </si>
  <si>
    <t>"Yewale" Complex, 1St Floor, Near Wani Mangal Karayalay Hiwarkhesa Road Kannad</t>
  </si>
  <si>
    <t>Opp. Bus Depot, Depo Road</t>
  </si>
  <si>
    <t>Opp Old Bus Stand, Next To Post Office</t>
  </si>
  <si>
    <t>Main Road Kandhar, Shri Infotech, Main Road Kandhar, Kandhar</t>
  </si>
  <si>
    <t>Rh-60, Indraprastha Colony, M.I.D.C., Bajaj Nagar, Waluj, Aurangabad</t>
  </si>
  <si>
    <t>Hashmi Nager, Ausa-Latur Road, Ausa</t>
  </si>
  <si>
    <t>Ganesh Colony, Vip Road Aurnagabad, Billal Villa, Vip Road, Aurnagabad</t>
  </si>
  <si>
    <t>"Hangargekar Bld" Shanti Nagar Mukhed</t>
  </si>
  <si>
    <t>C/15, R.No-1, Cidco Colony, Sec-8, New Panvel, Raigad</t>
  </si>
  <si>
    <t>65, 2Nd Floor, Vijay Nagar Building, Dadar (W)_x000D_
Mumbai - 28</t>
  </si>
  <si>
    <t>Shop No2, Vitthal Niwas, Jacob Circle, Saat Rasta, Station Road, Mahalaxmi, Mumbai -400011</t>
  </si>
  <si>
    <t>2Nd Floor, Sabankar Niwas, Nath Galli, Opp.Water Tank, Paithan</t>
  </si>
  <si>
    <t xml:space="preserve">First Floornear  Jaikalika Mata Mahila Bank, Society Market, </t>
  </si>
  <si>
    <t>Gangapur Road</t>
  </si>
  <si>
    <t>Raja Bazar Near Sansthan Ganpati Mandir Road, Aurangabad</t>
  </si>
  <si>
    <t>Shop No. 15, 1St Floor, Municipal Shopping Complex, Gandhi Chowk</t>
  </si>
  <si>
    <t>Mahatma Phule Complex Opp. Mseb Office, Jintur Road</t>
  </si>
  <si>
    <t>Yeldari Road, Near Ramkrishna Theatre</t>
  </si>
  <si>
    <t>Atm Computer Service, 1St Floor, Chikni Pada, Opp Fine Arts Photo, Tisgaon Road, Kalyan (E)</t>
  </si>
  <si>
    <t>1, Gr. Floor, Noble House, Dr. Batliwala Road, Next To Vivekanand Classes, Parel Mumbai</t>
  </si>
  <si>
    <t>263, White House, 1St Floor, Above Tata Indicom, Jhs Road, Girgaum(E) Mumabai</t>
  </si>
  <si>
    <t>Behind Maharashtra Odawari Bank, Ganesh Chowck, Nutan Colony, Gangapur</t>
  </si>
  <si>
    <t>207-213, Yashwantrao Chavan Complex, Opp. Hotel Rajdhani,  Ii Floor, Main Road</t>
  </si>
  <si>
    <t>Opp.Saptapadi Hall, Near Baliram Patil H.School, 21, Gayatri Society, N-8, Cidco Aurangabad</t>
  </si>
  <si>
    <t>Golaite Nagar, Near K.K. M. College Manwat</t>
  </si>
  <si>
    <t>Ascent Institute_x000D_
Kamgar Kalyan Bhavan, Kotavalpura, Central Bus Stand Road, Aurangabad</t>
  </si>
  <si>
    <t>Boukal Gudda, Shabazar Road, Shabazar</t>
  </si>
  <si>
    <t>Opp.Pir Gaibshab Dargah, S.T. Colony, Aurnagabad</t>
  </si>
  <si>
    <t>Plot No B-20, Hummalwada Sillk Mill Colony, Railway Satiation, Aurangabad</t>
  </si>
  <si>
    <t>17, Jaihind Colony, Near Tapdiya Natya Mandir, Nirala Bazar, Aurangabad</t>
  </si>
  <si>
    <t>Opp. Thatte Houd, _x000D_
Begampura Road, Aurnagabad</t>
  </si>
  <si>
    <t>Sawali Niwas, Samtanagar</t>
  </si>
  <si>
    <t>Above Sbi, Mahajan Complex, Mondha Road, Shivaji Chowk</t>
  </si>
  <si>
    <t>Sidharth Nagar, Sangvi(Bk), Near Airport</t>
  </si>
  <si>
    <t>Rozario Bldg., 230, Dr.Mascarenhas Road, Mazgaon Nakar, Seth Motishah Lane,  Love Lane Corner, Opp. Guljar Hotel, Mazgaon</t>
  </si>
  <si>
    <t>1996-15-02</t>
  </si>
  <si>
    <t>31-06-2016</t>
  </si>
  <si>
    <t>Left Word</t>
  </si>
  <si>
    <t>Right Word</t>
  </si>
  <si>
    <t>NA</t>
  </si>
  <si>
    <t>COUNTIFS</t>
  </si>
  <si>
    <t>AVERAGEIFS</t>
  </si>
  <si>
    <t>SUMIFS</t>
  </si>
  <si>
    <t>RAJA</t>
  </si>
  <si>
    <t>REDIFFMAIL.COM</t>
  </si>
  <si>
    <t>SUMAN</t>
  </si>
  <si>
    <t>GMAIL.COM</t>
  </si>
  <si>
    <t>KULDEEP</t>
  </si>
  <si>
    <t>BEENA</t>
  </si>
  <si>
    <t>SEEMA</t>
  </si>
  <si>
    <t>JULIE</t>
  </si>
  <si>
    <t>YMAIL.COM</t>
  </si>
  <si>
    <t>DEEPAK</t>
  </si>
  <si>
    <t>NEENA</t>
  </si>
  <si>
    <t>PANKAJ</t>
  </si>
  <si>
    <t>YAHOO.CO.IN</t>
  </si>
  <si>
    <t>ANDRE</t>
  </si>
  <si>
    <t>SUJAY</t>
  </si>
  <si>
    <t>SHILPA</t>
  </si>
  <si>
    <t>MEERA</t>
  </si>
  <si>
    <t>YAHOO.COM</t>
  </si>
  <si>
    <t>SHEETAL</t>
  </si>
  <si>
    <t>PRIYA</t>
  </si>
  <si>
    <t>AALOK</t>
  </si>
  <si>
    <t>AAKASH</t>
  </si>
  <si>
    <t>PARVATI</t>
  </si>
  <si>
    <t>FARHAN</t>
  </si>
  <si>
    <t>SATINDER</t>
  </si>
  <si>
    <t>SUCHITA</t>
  </si>
  <si>
    <t>SHAZIA</t>
  </si>
  <si>
    <t>POOJA</t>
  </si>
  <si>
    <t>JASBINDER</t>
  </si>
  <si>
    <t>SIFY.COM</t>
  </si>
  <si>
    <t>BHARAT</t>
  </si>
  <si>
    <t>RISHI</t>
  </si>
  <si>
    <t>MALA</t>
  </si>
  <si>
    <t>HAJRA</t>
  </si>
  <si>
    <t>AALAM</t>
  </si>
  <si>
    <t>GIRIRAJ</t>
  </si>
  <si>
    <t>ANKUR</t>
  </si>
  <si>
    <t>TAPAN</t>
  </si>
  <si>
    <t>ZARINA</t>
  </si>
  <si>
    <t>ARUN</t>
  </si>
  <si>
    <t>CHITRA</t>
  </si>
  <si>
    <t>RICHA</t>
  </si>
  <si>
    <t>KIRTIKAR</t>
  </si>
  <si>
    <t>PIYUSH</t>
  </si>
  <si>
    <t>SHAHEEN</t>
  </si>
  <si>
    <t>YAHOO.IN</t>
  </si>
  <si>
    <t>KINNARI</t>
  </si>
  <si>
    <t>INDIATIMES.COM</t>
  </si>
  <si>
    <t>JEENA</t>
  </si>
  <si>
    <t>VICKY</t>
  </si>
  <si>
    <t>NEHA</t>
  </si>
  <si>
    <t>RAKESH</t>
  </si>
  <si>
    <t>RUHEAL</t>
  </si>
  <si>
    <t>MARIO</t>
  </si>
  <si>
    <t>HEENA</t>
  </si>
  <si>
    <t>MEHUL</t>
  </si>
  <si>
    <t>VISHAL</t>
  </si>
  <si>
    <t>LALITA</t>
  </si>
  <si>
    <t>KAJAL</t>
  </si>
  <si>
    <t>KATTI</t>
  </si>
  <si>
    <t>MAYA</t>
  </si>
  <si>
    <t>DISHA</t>
  </si>
  <si>
    <t>GEETA</t>
  </si>
  <si>
    <t>ANURADHA</t>
  </si>
  <si>
    <t>ASHA</t>
  </si>
  <si>
    <t>WAHEDA</t>
  </si>
  <si>
    <t>VEENA</t>
  </si>
  <si>
    <t>TIMSI</t>
  </si>
  <si>
    <t>PARUL</t>
  </si>
  <si>
    <t>UDAY</t>
  </si>
  <si>
    <t>MANDAKINI</t>
  </si>
  <si>
    <t>PRAVIN</t>
  </si>
  <si>
    <t>REETA</t>
  </si>
  <si>
    <t>SURENDRA</t>
  </si>
  <si>
    <t>YAMINI</t>
  </si>
  <si>
    <t>LAVEENA</t>
  </si>
  <si>
    <t>NITA</t>
  </si>
  <si>
    <t>SURAJ</t>
  </si>
  <si>
    <t>NAYEEM</t>
  </si>
  <si>
    <t>DRISHTI</t>
  </si>
  <si>
    <t>DEEP</t>
  </si>
  <si>
    <t>SAGAR</t>
  </si>
  <si>
    <t>DAYANAND</t>
  </si>
  <si>
    <t>TARA</t>
  </si>
  <si>
    <t>KALPANA</t>
  </si>
  <si>
    <t>HOTMAIL.COM</t>
  </si>
  <si>
    <t>KUNAL</t>
  </si>
  <si>
    <t>PINKY</t>
  </si>
  <si>
    <t>MKCL.ORG</t>
  </si>
  <si>
    <t>RUBY</t>
  </si>
  <si>
    <t>SONIA</t>
  </si>
  <si>
    <t>JIGNESH</t>
  </si>
  <si>
    <t>VINIT</t>
  </si>
  <si>
    <t>TEJAL</t>
  </si>
  <si>
    <t>PRIYANKA</t>
  </si>
  <si>
    <t>NIKI</t>
  </si>
  <si>
    <t>PAYAL</t>
  </si>
  <si>
    <t>HARSHA</t>
  </si>
  <si>
    <t>RADHIKA</t>
  </si>
  <si>
    <t>KABIR</t>
  </si>
  <si>
    <t>PUSHPA</t>
  </si>
  <si>
    <t>CHETAN</t>
  </si>
  <si>
    <t>INDU</t>
  </si>
  <si>
    <t>RUPESH</t>
  </si>
  <si>
    <t>RAYMONDEKAR</t>
  </si>
  <si>
    <t>SHINDE</t>
  </si>
  <si>
    <t>SHARMA</t>
  </si>
  <si>
    <t>MAVADIA</t>
  </si>
  <si>
    <t>RANGANATHAN</t>
  </si>
  <si>
    <t>D'SOUZA</t>
  </si>
  <si>
    <t>Row Labels</t>
  </si>
  <si>
    <t>Grand Total</t>
  </si>
  <si>
    <t>Sum of Jan</t>
  </si>
  <si>
    <t>Sum of Feb</t>
  </si>
  <si>
    <t>Sum of Mar</t>
  </si>
  <si>
    <t>Sum of year</t>
  </si>
  <si>
    <t>Column Labels</t>
  </si>
  <si>
    <t>Total Sum of Jan</t>
  </si>
  <si>
    <t>Total Sum of Feb</t>
  </si>
  <si>
    <t>Total Sum of Mar</t>
  </si>
  <si>
    <t>Total Sum of year</t>
  </si>
  <si>
    <t>Paneer Soda</t>
  </si>
  <si>
    <t>Sum of Box In Qty</t>
  </si>
  <si>
    <t>Sum of Total  Amount</t>
  </si>
  <si>
    <t>Sum of Box Rate</t>
  </si>
  <si>
    <t>Sum of Commission</t>
  </si>
  <si>
    <t>Date (Month)</t>
  </si>
  <si>
    <t>All</t>
  </si>
  <si>
    <t>BATCH END TIME</t>
  </si>
  <si>
    <t>Sum of Donor's Age</t>
  </si>
  <si>
    <t>Count of Blood Group</t>
  </si>
  <si>
    <t>Distinct Count of Region</t>
  </si>
  <si>
    <t>Group1</t>
  </si>
  <si>
    <t>Sum of Salary</t>
  </si>
  <si>
    <t>(Multiple Items)</t>
  </si>
  <si>
    <t>25 October 1988 Total</t>
  </si>
  <si>
    <t>14 June 1997 Total</t>
  </si>
  <si>
    <t>14 January 1987 Total</t>
  </si>
  <si>
    <t>26 October 1988 Total</t>
  </si>
  <si>
    <t>19 October 1988 Total</t>
  </si>
  <si>
    <t>31 October 1988 Total</t>
  </si>
  <si>
    <t>12 December 1984 Total</t>
  </si>
  <si>
    <t>11 December 1984 Total</t>
  </si>
  <si>
    <t>20 July 1977 Total</t>
  </si>
  <si>
    <t>04 March 1995 Total</t>
  </si>
  <si>
    <t>08 April 1989 Total</t>
  </si>
  <si>
    <t>29 September 1991 Total</t>
  </si>
  <si>
    <t>03 March 1999 Total</t>
  </si>
  <si>
    <t>13 November 1979 Total</t>
  </si>
  <si>
    <t>24 October 1988 Total</t>
  </si>
  <si>
    <t>06 April 1989 Total</t>
  </si>
  <si>
    <t>02 July 1992 Total</t>
  </si>
  <si>
    <t>09 May 1993 Total</t>
  </si>
  <si>
    <t>Andre Fernendes Total</t>
  </si>
  <si>
    <t>Niki Digaria Total</t>
  </si>
  <si>
    <t>Meera Lalwani Total</t>
  </si>
  <si>
    <t>Sheetal Desai Total</t>
  </si>
  <si>
    <t>Disha Parmar Total</t>
  </si>
  <si>
    <t>Rakesh Kumar Total</t>
  </si>
  <si>
    <t>Nita Pandhya Total</t>
  </si>
  <si>
    <t>Suraj Saksena Total</t>
  </si>
  <si>
    <t>Timsi Desai Total</t>
  </si>
  <si>
    <t>Tara Phule Total</t>
  </si>
  <si>
    <t>Harsha Trivedi Total</t>
  </si>
  <si>
    <t>Kabir Vora Total</t>
  </si>
  <si>
    <t>Pooja Gokhale Total</t>
  </si>
  <si>
    <t>Rishi Malik Total</t>
  </si>
  <si>
    <t>Katti Surti Total</t>
  </si>
  <si>
    <t>Reeta Naik Total</t>
  </si>
  <si>
    <t>Kirtikar Sardesai Total</t>
  </si>
  <si>
    <t>Pinky Robert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</si>
</sst>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_);[Red]\(&quot;$&quot;#,##0.00\)"/>
    <numFmt numFmtId="165" formatCode="_(&quot;$&quot;* #,##0.00_);_(&quot;$&quot;* \(#,##0.00\);_(&quot;$&quot;* &quot;-&quot;??_);_(@_)"/>
    <numFmt numFmtId="166" formatCode="_(* #,##0.00_);_(* \(#,##0.00\);_(* &quot;-&quot;??_);_(@_)"/>
    <numFmt numFmtId="167" formatCode="[h]:mm"/>
    <numFmt numFmtId="168" formatCode="[hh]:mm"/>
    <numFmt numFmtId="169" formatCode="dd\-mmm\-yyyy"/>
    <numFmt numFmtId="170" formatCode="[$-409]dd\-mmm\-yy;@"/>
    <numFmt numFmtId="171" formatCode="[$-409]h:mm\ AM/PM;@"/>
    <numFmt numFmtId="172" formatCode="_(* #,##0_);_(* \(#,##0\);_(* &quot;-&quot;??_);_(@_)"/>
    <numFmt numFmtId="173" formatCode="[$₹-445]\ #,##0"/>
    <numFmt numFmtId="174" formatCode="[$-409]mmmm\ d\,\ yyyy;@"/>
    <numFmt numFmtId="175" formatCode="[$-409]d/mmm/yyyy;@"/>
    <numFmt numFmtId="176" formatCode="[$-F400]h:mm:ss\ AM/PM"/>
    <numFmt numFmtId="177" formatCode="[$-14009]dd\ mmmm\ yyyy;@"/>
  </numFmts>
  <fonts count="22" x14ac:knownFonts="1">
    <font>
      <sz val="11"/>
      <color theme="1"/>
      <name val="Calibri"/>
      <family val="2"/>
      <scheme val="minor"/>
    </font>
    <font>
      <sz val="10"/>
      <name val="Arial"/>
      <family val="2"/>
    </font>
    <font>
      <b/>
      <sz val="10"/>
      <name val="Arial"/>
      <family val="2"/>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sz val="12"/>
      <name val="Arial"/>
      <family val="2"/>
    </font>
    <font>
      <b/>
      <sz val="12"/>
      <color rgb="FFFFFF00"/>
      <name val="Calibri"/>
      <family val="2"/>
      <scheme val="minor"/>
    </font>
    <font>
      <sz val="11"/>
      <color rgb="FFFFFF00"/>
      <name val="Calibri"/>
      <family val="2"/>
      <scheme val="minor"/>
    </font>
    <font>
      <b/>
      <sz val="11"/>
      <color theme="0"/>
      <name val="Calibri"/>
      <family val="2"/>
      <scheme val="minor"/>
    </font>
    <font>
      <sz val="12"/>
      <color theme="0"/>
      <name val="Arial"/>
      <family val="2"/>
    </font>
    <font>
      <b/>
      <sz val="11"/>
      <color rgb="FFFFFF00"/>
      <name val="Calibri"/>
      <family val="2"/>
      <scheme val="minor"/>
    </font>
    <font>
      <b/>
      <sz val="14"/>
      <color rgb="FFFFFF00"/>
      <name val="Calibri"/>
      <family val="2"/>
      <scheme val="minor"/>
    </font>
    <font>
      <b/>
      <sz val="14"/>
      <color theme="3"/>
      <name val="Calibri"/>
      <family val="2"/>
      <scheme val="minor"/>
    </font>
    <font>
      <b/>
      <sz val="20"/>
      <name val="Arial"/>
      <family val="2"/>
    </font>
    <font>
      <sz val="11"/>
      <color rgb="FFFF0000"/>
      <name val="Calibri"/>
      <family val="2"/>
      <scheme val="minor"/>
    </font>
    <font>
      <b/>
      <sz val="10"/>
      <name val="Calibri"/>
      <family val="2"/>
      <scheme val="minor"/>
    </font>
    <font>
      <sz val="10"/>
      <name val="Calibri"/>
      <family val="2"/>
      <scheme val="minor"/>
    </font>
    <font>
      <b/>
      <sz val="15"/>
      <color theme="3"/>
      <name val="Calibri"/>
      <family val="2"/>
      <scheme val="minor"/>
    </font>
  </fonts>
  <fills count="36">
    <fill>
      <patternFill patternType="none"/>
    </fill>
    <fill>
      <patternFill patternType="gray125"/>
    </fill>
    <fill>
      <patternFill patternType="solid">
        <fgColor indexed="26"/>
      </patternFill>
    </fill>
    <fill>
      <patternFill patternType="solid">
        <fgColor indexed="22"/>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6" tint="-0.499984740745262"/>
        <bgColor indexed="64"/>
      </patternFill>
    </fill>
    <fill>
      <patternFill patternType="solid">
        <fgColor rgb="FF92D050"/>
        <bgColor indexed="64"/>
      </patternFill>
    </fill>
    <fill>
      <patternFill patternType="solid">
        <fgColor indexed="49"/>
        <bgColor indexed="64"/>
      </patternFill>
    </fill>
    <fill>
      <patternFill patternType="solid">
        <fgColor theme="8" tint="0.39997558519241921"/>
        <bgColor indexed="64"/>
      </patternFill>
    </fill>
    <fill>
      <patternFill patternType="solid">
        <fgColor theme="8" tint="-0.499984740745262"/>
        <bgColor indexed="64"/>
      </patternFill>
    </fill>
    <fill>
      <patternFill patternType="solid">
        <fgColor theme="9"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002060"/>
        <bgColor indexed="64"/>
      </patternFill>
    </fill>
    <fill>
      <patternFill patternType="solid">
        <fgColor rgb="FFF8EDEC"/>
        <bgColor indexed="64"/>
      </patternFill>
    </fill>
    <fill>
      <patternFill patternType="solid">
        <fgColor theme="6" tint="0.79998168889431442"/>
        <bgColor theme="4" tint="0.79998168889431442"/>
      </patternFill>
    </fill>
    <fill>
      <patternFill patternType="solid">
        <fgColor theme="4" tint="0.59999389629810485"/>
        <bgColor indexed="65"/>
      </patternFill>
    </fill>
    <fill>
      <patternFill patternType="solid">
        <fgColor indexed="47"/>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7"/>
        <bgColor theme="7"/>
      </patternFill>
    </fill>
    <fill>
      <patternFill patternType="solid">
        <fgColor theme="7" tint="0.79998168889431442"/>
        <bgColor theme="7" tint="0.79998168889431442"/>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rgb="FF00B050"/>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right/>
      <top/>
      <bottom style="thick">
        <color theme="4"/>
      </bottom>
      <diagonal/>
    </border>
    <border>
      <left/>
      <right/>
      <top style="thin">
        <color theme="7" tint="0.39997558519241921"/>
      </top>
      <bottom/>
      <diagonal/>
    </border>
  </borders>
  <cellStyleXfs count="23">
    <xf numFmtId="0" fontId="0" fillId="0" borderId="0"/>
    <xf numFmtId="0" fontId="1" fillId="3" borderId="0" applyNumberFormat="0" applyFont="0" applyBorder="0" applyAlignment="0" applyProtection="0"/>
    <xf numFmtId="0" fontId="1" fillId="2" borderId="0" applyNumberFormat="0" applyFon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6" fillId="7" borderId="0" applyNumberFormat="0" applyBorder="0" applyAlignment="0" applyProtection="0"/>
    <xf numFmtId="0" fontId="7"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1" fillId="0" borderId="0"/>
    <xf numFmtId="0" fontId="6" fillId="0" borderId="0"/>
    <xf numFmtId="165" fontId="6" fillId="0" borderId="0" applyFont="0" applyFill="0" applyBorder="0" applyAlignment="0" applyProtection="0"/>
    <xf numFmtId="166" fontId="6" fillId="0" borderId="0" applyFont="0" applyFill="0" applyBorder="0" applyAlignment="0" applyProtection="0"/>
    <xf numFmtId="0" fontId="1" fillId="0" borderId="0"/>
    <xf numFmtId="9" fontId="6" fillId="0" borderId="0" applyFont="0" applyFill="0" applyBorder="0" applyAlignment="0" applyProtection="0"/>
    <xf numFmtId="0" fontId="6" fillId="30" borderId="0" applyNumberFormat="0" applyBorder="0" applyAlignment="0" applyProtection="0"/>
    <xf numFmtId="0" fontId="1" fillId="0" borderId="0"/>
    <xf numFmtId="165" fontId="6" fillId="0" borderId="0" applyFont="0" applyFill="0" applyBorder="0" applyAlignment="0" applyProtection="0"/>
    <xf numFmtId="0" fontId="21" fillId="0" borderId="27" applyNumberFormat="0" applyFill="0" applyAlignment="0" applyProtection="0"/>
  </cellStyleXfs>
  <cellXfs count="275">
    <xf numFmtId="0" fontId="0" fillId="0" borderId="0" xfId="0"/>
    <xf numFmtId="0" fontId="0" fillId="0" borderId="0" xfId="0" applyFill="1"/>
    <xf numFmtId="0" fontId="3" fillId="0" borderId="0" xfId="0" applyFont="1" applyBorder="1" applyAlignment="1">
      <alignment horizontal="center"/>
    </xf>
    <xf numFmtId="0" fontId="3" fillId="0" borderId="0" xfId="0" applyFont="1" applyBorder="1"/>
    <xf numFmtId="0" fontId="3" fillId="0" borderId="0" xfId="0" applyFont="1" applyBorder="1" applyAlignment="1"/>
    <xf numFmtId="0" fontId="0" fillId="0" borderId="0" xfId="0" applyFont="1" applyBorder="1"/>
    <xf numFmtId="0" fontId="0" fillId="0" borderId="0" xfId="0" applyFont="1" applyBorder="1" applyAlignment="1">
      <alignment horizontal="center"/>
    </xf>
    <xf numFmtId="0" fontId="3" fillId="0" borderId="0" xfId="0" applyFont="1" applyFill="1" applyBorder="1" applyAlignment="1">
      <alignment horizontal="center" vertical="center"/>
    </xf>
    <xf numFmtId="46" fontId="3" fillId="0" borderId="0" xfId="0" applyNumberFormat="1" applyFont="1" applyFill="1" applyBorder="1" applyAlignment="1">
      <alignment horizontal="center" vertical="center"/>
    </xf>
    <xf numFmtId="0" fontId="0" fillId="0" borderId="0" xfId="0" applyFill="1" applyAlignment="1">
      <alignment horizontal="center" vertical="center"/>
    </xf>
    <xf numFmtId="0" fontId="0" fillId="0" borderId="1" xfId="0" applyFont="1" applyFill="1" applyBorder="1" applyAlignment="1">
      <alignment horizontal="left"/>
    </xf>
    <xf numFmtId="0" fontId="0" fillId="0" borderId="0" xfId="0" applyBorder="1"/>
    <xf numFmtId="0" fontId="0" fillId="0" borderId="1" xfId="0" applyBorder="1"/>
    <xf numFmtId="0" fontId="3" fillId="0" borderId="1" xfId="0" applyFont="1" applyBorder="1"/>
    <xf numFmtId="0" fontId="3" fillId="0" borderId="2" xfId="0" applyFont="1" applyBorder="1" applyAlignment="1">
      <alignment horizontal="left" vertical="center"/>
    </xf>
    <xf numFmtId="1" fontId="0" fillId="0" borderId="1" xfId="0" applyNumberFormat="1" applyBorder="1"/>
    <xf numFmtId="15" fontId="0" fillId="0" borderId="1" xfId="0" applyNumberFormat="1" applyBorder="1"/>
    <xf numFmtId="9" fontId="0" fillId="0" borderId="0" xfId="0" applyNumberFormat="1" applyFont="1" applyBorder="1"/>
    <xf numFmtId="0" fontId="3" fillId="0" borderId="2" xfId="0" applyFont="1" applyBorder="1" applyAlignment="1">
      <alignment horizontal="center" vertical="center"/>
    </xf>
    <xf numFmtId="15" fontId="0" fillId="0" borderId="1" xfId="0" applyNumberFormat="1" applyBorder="1" applyAlignment="1">
      <alignment horizontal="left"/>
    </xf>
    <xf numFmtId="0" fontId="4" fillId="15" borderId="1" xfId="0" applyFont="1" applyFill="1" applyBorder="1" applyAlignment="1">
      <alignment horizontal="left" vertical="center"/>
    </xf>
    <xf numFmtId="0" fontId="4" fillId="15" borderId="1" xfId="0" applyFont="1" applyFill="1" applyBorder="1" applyAlignment="1">
      <alignment horizontal="center" vertical="center"/>
    </xf>
    <xf numFmtId="0" fontId="4" fillId="15" borderId="1" xfId="5" applyFont="1" applyFill="1" applyBorder="1" applyAlignment="1">
      <alignment horizontal="center" vertical="center"/>
    </xf>
    <xf numFmtId="0" fontId="4" fillId="15" borderId="1" xfId="0" applyFont="1" applyFill="1" applyBorder="1" applyAlignment="1">
      <alignment vertical="center"/>
    </xf>
    <xf numFmtId="0" fontId="4" fillId="15" borderId="1" xfId="7" applyFont="1" applyFill="1" applyBorder="1" applyAlignment="1">
      <alignment vertical="center"/>
    </xf>
    <xf numFmtId="0" fontId="4" fillId="15" borderId="1" xfId="0" applyFont="1" applyFill="1" applyBorder="1" applyAlignment="1">
      <alignment horizontal="right" vertical="center"/>
    </xf>
    <xf numFmtId="170" fontId="4" fillId="15" borderId="1" xfId="0" applyNumberFormat="1" applyFont="1" applyFill="1" applyBorder="1" applyAlignment="1"/>
    <xf numFmtId="0" fontId="4" fillId="15" borderId="8" xfId="0" applyFont="1" applyFill="1" applyBorder="1" applyAlignment="1">
      <alignment vertical="center"/>
    </xf>
    <xf numFmtId="0" fontId="4" fillId="15" borderId="16" xfId="0" applyFont="1" applyFill="1" applyBorder="1" applyAlignment="1">
      <alignment vertical="center"/>
    </xf>
    <xf numFmtId="0" fontId="4" fillId="15" borderId="16" xfId="7" applyFont="1" applyFill="1" applyBorder="1" applyAlignment="1">
      <alignment vertical="center"/>
    </xf>
    <xf numFmtId="0" fontId="5" fillId="4" borderId="1" xfId="3" applyFont="1" applyBorder="1"/>
    <xf numFmtId="0" fontId="4" fillId="5" borderId="1" xfId="4" applyFont="1" applyBorder="1"/>
    <xf numFmtId="0" fontId="9" fillId="19" borderId="2" xfId="13" applyFont="1" applyFill="1" applyBorder="1" applyAlignment="1">
      <alignment horizontal="center"/>
    </xf>
    <xf numFmtId="0" fontId="9" fillId="19" borderId="3" xfId="13" applyFont="1" applyFill="1" applyBorder="1" applyAlignment="1">
      <alignment horizontal="center"/>
    </xf>
    <xf numFmtId="0" fontId="9" fillId="19" borderId="4" xfId="13" applyFont="1" applyFill="1" applyBorder="1" applyAlignment="1">
      <alignment horizontal="center"/>
    </xf>
    <xf numFmtId="0" fontId="3" fillId="20" borderId="1" xfId="11" applyFont="1" applyFill="1" applyBorder="1" applyAlignment="1">
      <alignment horizontal="center" vertical="center"/>
    </xf>
    <xf numFmtId="0" fontId="0" fillId="12" borderId="1" xfId="11" applyFont="1" applyBorder="1"/>
    <xf numFmtId="0" fontId="6" fillId="12" borderId="1" xfId="11" applyBorder="1"/>
    <xf numFmtId="0" fontId="10" fillId="21" borderId="1" xfId="0" applyFont="1" applyFill="1" applyBorder="1" applyAlignment="1">
      <alignment horizontal="center" vertical="center"/>
    </xf>
    <xf numFmtId="0" fontId="11" fillId="21" borderId="1" xfId="0" applyFont="1" applyFill="1" applyBorder="1"/>
    <xf numFmtId="0" fontId="0" fillId="22" borderId="1" xfId="0" applyFill="1" applyBorder="1"/>
    <xf numFmtId="0" fontId="1" fillId="0" borderId="1" xfId="13" applyFont="1" applyBorder="1" applyAlignment="1">
      <alignment horizontal="left"/>
    </xf>
    <xf numFmtId="0" fontId="7" fillId="23" borderId="1" xfId="7" applyFill="1" applyBorder="1" applyAlignment="1">
      <alignment horizontal="center"/>
    </xf>
    <xf numFmtId="0" fontId="6" fillId="15" borderId="1" xfId="9" applyFill="1" applyBorder="1" applyAlignment="1">
      <alignment horizontal="center"/>
    </xf>
    <xf numFmtId="0" fontId="6" fillId="15" borderId="1" xfId="6" applyFill="1" applyBorder="1" applyAlignment="1">
      <alignment horizontal="center"/>
    </xf>
    <xf numFmtId="0" fontId="7" fillId="23" borderId="1" xfId="5" applyFill="1" applyBorder="1" applyAlignment="1">
      <alignment horizontal="center"/>
    </xf>
    <xf numFmtId="0" fontId="13" fillId="23" borderId="5" xfId="0" applyFont="1" applyFill="1" applyBorder="1" applyAlignment="1">
      <alignment horizontal="center"/>
    </xf>
    <xf numFmtId="0" fontId="13" fillId="23" borderId="2" xfId="0" applyFont="1" applyFill="1" applyBorder="1" applyAlignment="1">
      <alignment horizontal="center"/>
    </xf>
    <xf numFmtId="0" fontId="13" fillId="23" borderId="3" xfId="0" applyFont="1" applyFill="1" applyBorder="1" applyAlignment="1">
      <alignment horizontal="center"/>
    </xf>
    <xf numFmtId="0" fontId="13" fillId="23" borderId="4" xfId="0" applyFont="1" applyFill="1" applyBorder="1" applyAlignment="1">
      <alignment horizontal="center"/>
    </xf>
    <xf numFmtId="0" fontId="9" fillId="15" borderId="8" xfId="0" applyFont="1" applyFill="1" applyBorder="1" applyAlignment="1">
      <alignment horizontal="center"/>
    </xf>
    <xf numFmtId="0" fontId="9" fillId="15" borderId="0" xfId="0" applyFont="1" applyFill="1" applyBorder="1" applyAlignment="1">
      <alignment horizontal="center"/>
    </xf>
    <xf numFmtId="0" fontId="9" fillId="15" borderId="10" xfId="0" applyFont="1" applyFill="1" applyBorder="1" applyAlignment="1">
      <alignment horizontal="center"/>
    </xf>
    <xf numFmtId="0" fontId="9" fillId="15" borderId="11" xfId="0" applyFont="1" applyFill="1" applyBorder="1" applyAlignment="1">
      <alignment horizontal="center"/>
    </xf>
    <xf numFmtId="0" fontId="9" fillId="15" borderId="15" xfId="0" applyFont="1" applyFill="1" applyBorder="1" applyAlignment="1">
      <alignment horizontal="center"/>
    </xf>
    <xf numFmtId="0" fontId="9" fillId="15" borderId="13" xfId="0" applyFont="1" applyFill="1" applyBorder="1" applyAlignment="1">
      <alignment horizontal="center"/>
    </xf>
    <xf numFmtId="0" fontId="9" fillId="15" borderId="14" xfId="0" applyFont="1" applyFill="1" applyBorder="1" applyAlignment="1">
      <alignment horizontal="center"/>
    </xf>
    <xf numFmtId="0" fontId="14" fillId="25" borderId="1" xfId="0" applyFont="1" applyFill="1" applyBorder="1" applyAlignment="1">
      <alignment horizontal="center"/>
    </xf>
    <xf numFmtId="0" fontId="14" fillId="25" borderId="1" xfId="0" applyFont="1" applyFill="1" applyBorder="1" applyAlignment="1">
      <alignment horizontal="center" vertical="center"/>
    </xf>
    <xf numFmtId="15" fontId="14" fillId="25" borderId="1" xfId="0" applyNumberFormat="1" applyFont="1" applyFill="1" applyBorder="1" applyAlignment="1">
      <alignment horizontal="center" vertical="center"/>
    </xf>
    <xf numFmtId="46" fontId="14" fillId="25" borderId="1" xfId="0" applyNumberFormat="1" applyFont="1" applyFill="1" applyBorder="1" applyAlignment="1">
      <alignment horizontal="center" vertical="center"/>
    </xf>
    <xf numFmtId="15" fontId="0" fillId="22" borderId="1" xfId="0" applyNumberFormat="1" applyFill="1" applyBorder="1" applyAlignment="1">
      <alignment horizontal="center" vertical="center"/>
    </xf>
    <xf numFmtId="20" fontId="0" fillId="22" borderId="1" xfId="0" applyNumberFormat="1" applyFill="1" applyBorder="1" applyAlignment="1">
      <alignment horizontal="center" vertical="center"/>
    </xf>
    <xf numFmtId="0" fontId="0" fillId="22" borderId="1" xfId="0" applyFill="1" applyBorder="1" applyAlignment="1">
      <alignment horizontal="left"/>
    </xf>
    <xf numFmtId="169" fontId="0" fillId="22" borderId="1" xfId="0" applyNumberFormat="1" applyFill="1" applyBorder="1" applyAlignment="1">
      <alignment horizontal="center"/>
    </xf>
    <xf numFmtId="20" fontId="0" fillId="22" borderId="1" xfId="0" applyNumberFormat="1" applyFill="1" applyBorder="1" applyAlignment="1">
      <alignment horizontal="center"/>
    </xf>
    <xf numFmtId="168" fontId="0" fillId="22" borderId="1" xfId="0" applyNumberFormat="1" applyFill="1" applyBorder="1" applyAlignment="1">
      <alignment horizontal="center"/>
    </xf>
    <xf numFmtId="0" fontId="0" fillId="22" borderId="1" xfId="0" applyFont="1" applyFill="1" applyBorder="1"/>
    <xf numFmtId="0" fontId="0" fillId="24" borderId="1" xfId="0" applyFont="1" applyFill="1" applyBorder="1"/>
    <xf numFmtId="0" fontId="12" fillId="27" borderId="1" xfId="0" applyFont="1" applyFill="1" applyBorder="1" applyAlignment="1">
      <alignment horizontal="center" vertical="center" wrapText="1"/>
    </xf>
    <xf numFmtId="0" fontId="12" fillId="27" borderId="1" xfId="0" applyFont="1" applyFill="1" applyBorder="1" applyAlignment="1">
      <alignment horizontal="center" vertical="center"/>
    </xf>
    <xf numFmtId="0" fontId="0" fillId="24" borderId="1" xfId="0" applyFont="1" applyFill="1" applyBorder="1" applyAlignment="1">
      <alignment horizontal="center"/>
    </xf>
    <xf numFmtId="0" fontId="4" fillId="24" borderId="1" xfId="0" applyFont="1" applyFill="1" applyBorder="1" applyAlignment="1">
      <alignment horizontal="center"/>
    </xf>
    <xf numFmtId="0" fontId="5" fillId="24" borderId="1" xfId="0" applyFont="1" applyFill="1" applyBorder="1" applyAlignment="1">
      <alignment horizontal="left"/>
    </xf>
    <xf numFmtId="0" fontId="12" fillId="27" borderId="1" xfId="0" applyFont="1" applyFill="1" applyBorder="1" applyAlignment="1">
      <alignment horizontal="center"/>
    </xf>
    <xf numFmtId="0" fontId="2" fillId="0" borderId="1" xfId="17" applyFont="1" applyBorder="1" applyAlignment="1">
      <alignment horizontal="center"/>
    </xf>
    <xf numFmtId="0" fontId="1" fillId="0" borderId="1" xfId="17" applyBorder="1" applyAlignment="1">
      <alignment horizontal="center"/>
    </xf>
    <xf numFmtId="0" fontId="1" fillId="0" borderId="1" xfId="17" applyBorder="1" applyAlignment="1">
      <alignment horizontal="left"/>
    </xf>
    <xf numFmtId="0" fontId="12" fillId="21" borderId="1" xfId="0" applyFont="1" applyFill="1" applyBorder="1" applyAlignment="1">
      <alignment horizontal="center"/>
    </xf>
    <xf numFmtId="0" fontId="12" fillId="21" borderId="11" xfId="0" applyFont="1" applyFill="1" applyBorder="1" applyAlignment="1">
      <alignment horizontal="center"/>
    </xf>
    <xf numFmtId="0" fontId="12" fillId="25" borderId="1" xfId="7" applyFont="1" applyFill="1" applyBorder="1" applyAlignment="1">
      <alignment horizontal="center" vertical="center"/>
    </xf>
    <xf numFmtId="0" fontId="12" fillId="25" borderId="10" xfId="7" applyFont="1" applyFill="1" applyBorder="1" applyAlignment="1">
      <alignment horizontal="center" vertical="center"/>
    </xf>
    <xf numFmtId="0" fontId="4" fillId="22" borderId="1" xfId="11" applyFont="1" applyFill="1" applyBorder="1" applyAlignment="1">
      <alignment horizontal="right"/>
    </xf>
    <xf numFmtId="0" fontId="4" fillId="22" borderId="1" xfId="11" applyFont="1" applyFill="1" applyBorder="1" applyAlignment="1"/>
    <xf numFmtId="0" fontId="0" fillId="22" borderId="1" xfId="0" applyFill="1" applyBorder="1" applyAlignment="1">
      <alignment horizontal="right"/>
    </xf>
    <xf numFmtId="0" fontId="0" fillId="24" borderId="1" xfId="0" applyFont="1" applyFill="1" applyBorder="1" applyAlignment="1">
      <alignment horizontal="left"/>
    </xf>
    <xf numFmtId="15" fontId="0" fillId="24" borderId="1" xfId="0" applyNumberFormat="1" applyFont="1" applyFill="1" applyBorder="1" applyAlignment="1">
      <alignment horizontal="right"/>
    </xf>
    <xf numFmtId="0" fontId="0" fillId="24" borderId="1" xfId="0" applyFont="1" applyFill="1" applyBorder="1" applyAlignment="1">
      <alignment horizontal="right"/>
    </xf>
    <xf numFmtId="0" fontId="0" fillId="28" borderId="1" xfId="0" applyFill="1" applyBorder="1"/>
    <xf numFmtId="0" fontId="0" fillId="28" borderId="1" xfId="0" applyFill="1" applyBorder="1" applyAlignment="1">
      <alignment horizontal="right" vertical="center"/>
    </xf>
    <xf numFmtId="0" fontId="0" fillId="16" borderId="1" xfId="0" applyFill="1" applyBorder="1"/>
    <xf numFmtId="0" fontId="3" fillId="20" borderId="0" xfId="11" applyFont="1" applyFill="1" applyAlignment="1">
      <alignment horizontal="center" vertical="center"/>
    </xf>
    <xf numFmtId="0" fontId="0" fillId="12" borderId="0" xfId="11" applyFont="1"/>
    <xf numFmtId="0" fontId="6" fillId="12" borderId="0" xfId="11"/>
    <xf numFmtId="0" fontId="4" fillId="29" borderId="5" xfId="0" applyFont="1" applyFill="1" applyBorder="1"/>
    <xf numFmtId="0" fontId="4" fillId="15" borderId="5" xfId="0" applyFont="1" applyFill="1" applyBorder="1"/>
    <xf numFmtId="0" fontId="0" fillId="15" borderId="1" xfId="0" applyFill="1" applyBorder="1"/>
    <xf numFmtId="0" fontId="12" fillId="26" borderId="1" xfId="0" applyFont="1" applyFill="1" applyBorder="1" applyAlignment="1">
      <alignment horizontal="center" vertical="center"/>
    </xf>
    <xf numFmtId="0" fontId="12" fillId="26" borderId="2" xfId="0" applyFont="1" applyFill="1" applyBorder="1" applyAlignment="1">
      <alignment horizontal="center" vertical="center"/>
    </xf>
    <xf numFmtId="0" fontId="12" fillId="26" borderId="1" xfId="0" applyFont="1" applyFill="1" applyBorder="1" applyAlignment="1">
      <alignment horizontal="center" vertical="center" wrapText="1"/>
    </xf>
    <xf numFmtId="9" fontId="0" fillId="22" borderId="1" xfId="0" applyNumberFormat="1" applyFont="1" applyFill="1" applyBorder="1" applyAlignment="1">
      <alignment horizontal="center" vertical="center"/>
    </xf>
    <xf numFmtId="0" fontId="0" fillId="22" borderId="2" xfId="0" applyFont="1" applyFill="1" applyBorder="1" applyAlignment="1">
      <alignment horizontal="center" vertical="center"/>
    </xf>
    <xf numFmtId="0" fontId="0" fillId="22" borderId="1" xfId="0" applyFont="1" applyFill="1" applyBorder="1" applyAlignment="1">
      <alignment horizontal="center" vertical="center"/>
    </xf>
    <xf numFmtId="0" fontId="3" fillId="0" borderId="0" xfId="0" applyFont="1"/>
    <xf numFmtId="9" fontId="0" fillId="0" borderId="0" xfId="0" applyNumberFormat="1"/>
    <xf numFmtId="10" fontId="0" fillId="0" borderId="1" xfId="0" applyNumberFormat="1" applyBorder="1"/>
    <xf numFmtId="0" fontId="0" fillId="0" borderId="8" xfId="0" applyBorder="1"/>
    <xf numFmtId="0" fontId="0" fillId="0" borderId="15" xfId="0" applyBorder="1"/>
    <xf numFmtId="0" fontId="3" fillId="30" borderId="1" xfId="19" applyFont="1" applyBorder="1" applyAlignment="1">
      <alignment horizontal="center" vertical="center"/>
    </xf>
    <xf numFmtId="17" fontId="6" fillId="12" borderId="1" xfId="11" applyNumberFormat="1" applyBorder="1"/>
    <xf numFmtId="172" fontId="6" fillId="12" borderId="1" xfId="11" applyNumberFormat="1" applyBorder="1"/>
    <xf numFmtId="0" fontId="14" fillId="21" borderId="0" xfId="19" applyFont="1" applyFill="1" applyBorder="1" applyAlignment="1">
      <alignment horizontal="center" vertical="center"/>
    </xf>
    <xf numFmtId="0" fontId="6" fillId="16" borderId="1" xfId="11" applyFill="1" applyBorder="1"/>
    <xf numFmtId="173" fontId="6" fillId="16" borderId="1" xfId="11" applyNumberFormat="1" applyFill="1" applyBorder="1"/>
    <xf numFmtId="0" fontId="0" fillId="14" borderId="1" xfId="0" applyFill="1" applyBorder="1" applyAlignment="1">
      <alignment horizontal="center"/>
    </xf>
    <xf numFmtId="164" fontId="2" fillId="0" borderId="0" xfId="0" applyNumberFormat="1" applyFont="1"/>
    <xf numFmtId="40" fontId="0" fillId="0" borderId="0" xfId="0" applyNumberFormat="1"/>
    <xf numFmtId="164" fontId="1" fillId="0" borderId="0" xfId="0" applyNumberFormat="1" applyFont="1"/>
    <xf numFmtId="40" fontId="2" fillId="0" borderId="17" xfId="0" applyNumberFormat="1" applyFont="1" applyFill="1" applyBorder="1"/>
    <xf numFmtId="10" fontId="2" fillId="0" borderId="17" xfId="18" applyNumberFormat="1" applyFont="1" applyFill="1" applyBorder="1"/>
    <xf numFmtId="10" fontId="2" fillId="0" borderId="0" xfId="18" applyNumberFormat="1" applyFont="1" applyFill="1" applyBorder="1"/>
    <xf numFmtId="164" fontId="2" fillId="31" borderId="17" xfId="0" applyNumberFormat="1" applyFont="1" applyFill="1" applyBorder="1" applyAlignment="1">
      <alignment horizontal="center" vertical="center"/>
    </xf>
    <xf numFmtId="40" fontId="2" fillId="31" borderId="17" xfId="0" applyNumberFormat="1" applyFont="1" applyFill="1" applyBorder="1" applyAlignment="1">
      <alignment horizontal="center" vertical="center"/>
    </xf>
    <xf numFmtId="40" fontId="2" fillId="31" borderId="18" xfId="0" applyNumberFormat="1" applyFont="1" applyFill="1" applyBorder="1" applyAlignment="1">
      <alignment horizontal="center" vertical="center"/>
    </xf>
    <xf numFmtId="174" fontId="0" fillId="0" borderId="19" xfId="0" applyNumberFormat="1" applyBorder="1"/>
    <xf numFmtId="40" fontId="0" fillId="0" borderId="19" xfId="0" applyNumberFormat="1" applyBorder="1"/>
    <xf numFmtId="40" fontId="0" fillId="0" borderId="20" xfId="0" applyNumberFormat="1" applyBorder="1"/>
    <xf numFmtId="0" fontId="1" fillId="0" borderId="0" xfId="20"/>
    <xf numFmtId="0" fontId="2" fillId="0" borderId="21" xfId="20" applyFont="1" applyBorder="1" applyAlignment="1"/>
    <xf numFmtId="0" fontId="1" fillId="0" borderId="22" xfId="20" applyFont="1" applyBorder="1" applyAlignment="1"/>
    <xf numFmtId="0" fontId="1" fillId="0" borderId="23" xfId="20" applyFont="1" applyBorder="1" applyAlignment="1">
      <alignment wrapText="1"/>
    </xf>
    <xf numFmtId="0" fontId="1" fillId="0" borderId="24" xfId="20" applyFont="1" applyBorder="1"/>
    <xf numFmtId="0" fontId="1" fillId="0" borderId="25" xfId="20" applyFont="1" applyBorder="1" applyAlignment="1">
      <alignment wrapText="1"/>
    </xf>
    <xf numFmtId="0" fontId="1" fillId="0" borderId="26" xfId="20" applyFont="1" applyBorder="1"/>
    <xf numFmtId="0" fontId="1" fillId="0" borderId="6" xfId="20" applyFont="1" applyBorder="1" applyAlignment="1">
      <alignment wrapText="1"/>
    </xf>
    <xf numFmtId="0" fontId="1" fillId="0" borderId="6" xfId="20" applyFont="1" applyBorder="1"/>
    <xf numFmtId="0" fontId="1" fillId="0" borderId="13" xfId="20" applyFont="1" applyBorder="1" applyAlignment="1">
      <alignment wrapText="1"/>
    </xf>
    <xf numFmtId="0" fontId="1" fillId="0" borderId="13" xfId="20" applyFont="1" applyBorder="1"/>
    <xf numFmtId="0" fontId="2" fillId="0" borderId="21" xfId="20" applyFont="1" applyBorder="1" applyAlignment="1">
      <alignment wrapText="1"/>
    </xf>
    <xf numFmtId="0" fontId="1" fillId="0" borderId="22" xfId="20" applyFont="1" applyBorder="1"/>
    <xf numFmtId="0" fontId="1" fillId="0" borderId="3" xfId="20" applyFont="1" applyBorder="1" applyAlignment="1">
      <alignment wrapText="1"/>
    </xf>
    <xf numFmtId="0" fontId="1" fillId="0" borderId="3" xfId="20" applyFont="1" applyBorder="1"/>
    <xf numFmtId="0" fontId="1" fillId="0" borderId="0" xfId="20" applyFont="1" applyAlignment="1">
      <alignment wrapText="1"/>
    </xf>
    <xf numFmtId="0" fontId="1" fillId="0" borderId="0" xfId="20" applyFont="1"/>
    <xf numFmtId="0" fontId="4" fillId="0" borderId="0" xfId="11" applyFont="1" applyFill="1" applyBorder="1" applyAlignment="1">
      <alignment horizontal="center"/>
    </xf>
    <xf numFmtId="0" fontId="4" fillId="0" borderId="0" xfId="0" applyFont="1" applyFill="1"/>
    <xf numFmtId="0" fontId="7" fillId="25" borderId="1" xfId="7" applyFont="1" applyFill="1" applyBorder="1" applyAlignment="1">
      <alignment horizontal="center"/>
    </xf>
    <xf numFmtId="0" fontId="7" fillId="25" borderId="1" xfId="7" applyFont="1" applyFill="1" applyBorder="1" applyAlignment="1">
      <alignment horizontal="center" vertical="center"/>
    </xf>
    <xf numFmtId="0" fontId="7" fillId="25" borderId="1" xfId="7" applyFont="1" applyFill="1" applyBorder="1" applyAlignment="1">
      <alignment horizontal="center" vertical="center" wrapText="1"/>
    </xf>
    <xf numFmtId="0" fontId="4" fillId="22" borderId="1" xfId="11" applyFont="1" applyFill="1" applyBorder="1" applyAlignment="1">
      <alignment horizontal="center"/>
    </xf>
    <xf numFmtId="0" fontId="4" fillId="22" borderId="1" xfId="11" applyFont="1" applyFill="1" applyBorder="1" applyAlignment="1">
      <alignment horizontal="left"/>
    </xf>
    <xf numFmtId="0" fontId="3" fillId="22" borderId="1" xfId="0" applyFont="1" applyFill="1" applyBorder="1" applyAlignment="1">
      <alignment horizontal="center" vertical="center"/>
    </xf>
    <xf numFmtId="0" fontId="12" fillId="25" borderId="1" xfId="0" applyFont="1" applyFill="1" applyBorder="1" applyAlignment="1">
      <alignment horizontal="center" vertical="center"/>
    </xf>
    <xf numFmtId="0" fontId="7" fillId="25" borderId="1" xfId="0" applyFont="1" applyFill="1" applyBorder="1"/>
    <xf numFmtId="0" fontId="7" fillId="25" borderId="1" xfId="0" applyFont="1" applyFill="1" applyBorder="1" applyAlignment="1">
      <alignment horizontal="center" vertical="center" wrapText="1"/>
    </xf>
    <xf numFmtId="0" fontId="4" fillId="22" borderId="1" xfId="0" applyFont="1" applyFill="1" applyBorder="1"/>
    <xf numFmtId="0" fontId="4" fillId="22" borderId="1" xfId="0" applyFont="1" applyFill="1" applyBorder="1" applyAlignment="1">
      <alignment horizontal="left"/>
    </xf>
    <xf numFmtId="0" fontId="14" fillId="25" borderId="1" xfId="0" applyFont="1" applyFill="1" applyBorder="1" applyAlignment="1">
      <alignment horizontal="left"/>
    </xf>
    <xf numFmtId="0" fontId="14" fillId="25" borderId="1" xfId="0" applyFont="1" applyFill="1" applyBorder="1"/>
    <xf numFmtId="15" fontId="0" fillId="22" borderId="1" xfId="0" applyNumberFormat="1" applyFill="1" applyBorder="1"/>
    <xf numFmtId="0" fontId="8" fillId="27" borderId="0" xfId="0" applyFont="1" applyFill="1" applyAlignment="1">
      <alignment horizontal="center" vertical="center"/>
    </xf>
    <xf numFmtId="0" fontId="0" fillId="24" borderId="1" xfId="0" applyFill="1" applyBorder="1" applyAlignment="1"/>
    <xf numFmtId="0" fontId="4" fillId="0" borderId="1" xfId="0" applyFont="1" applyFill="1" applyBorder="1" applyAlignment="1">
      <alignment horizontal="center" vertical="center" wrapText="1"/>
    </xf>
    <xf numFmtId="0" fontId="4" fillId="0" borderId="1" xfId="0" applyFont="1" applyFill="1" applyBorder="1"/>
    <xf numFmtId="0" fontId="0" fillId="0" borderId="1" xfId="0" applyFont="1" applyBorder="1"/>
    <xf numFmtId="167" fontId="0" fillId="22" borderId="1" xfId="0" applyNumberFormat="1" applyFill="1" applyBorder="1" applyAlignment="1">
      <alignment horizontal="center"/>
    </xf>
    <xf numFmtId="0" fontId="4" fillId="32" borderId="1" xfId="0" applyFont="1" applyFill="1" applyBorder="1" applyAlignment="1">
      <alignment horizontal="center"/>
    </xf>
    <xf numFmtId="0" fontId="0" fillId="18" borderId="2" xfId="8" applyFont="1" applyFill="1" applyBorder="1" applyAlignment="1">
      <alignment horizontal="center"/>
    </xf>
    <xf numFmtId="0" fontId="0" fillId="18" borderId="1" xfId="8" applyFont="1" applyFill="1" applyBorder="1" applyAlignment="1">
      <alignment horizontal="center"/>
    </xf>
    <xf numFmtId="0" fontId="12" fillId="17" borderId="5" xfId="7" applyFont="1" applyFill="1" applyBorder="1" applyAlignment="1">
      <alignment horizontal="center"/>
    </xf>
    <xf numFmtId="0" fontId="12" fillId="17" borderId="6" xfId="7" applyFont="1" applyFill="1" applyBorder="1" applyAlignment="1">
      <alignment horizontal="center"/>
    </xf>
    <xf numFmtId="0" fontId="12" fillId="17" borderId="8" xfId="7" applyFont="1" applyFill="1" applyBorder="1" applyAlignment="1">
      <alignment horizontal="center"/>
    </xf>
    <xf numFmtId="0" fontId="0" fillId="18" borderId="5" xfId="8" applyFont="1" applyFill="1" applyBorder="1" applyAlignment="1">
      <alignment horizontal="left"/>
    </xf>
    <xf numFmtId="0" fontId="0" fillId="18" borderId="5" xfId="8" applyFont="1" applyFill="1" applyBorder="1" applyAlignment="1">
      <alignment horizontal="center"/>
    </xf>
    <xf numFmtId="0" fontId="0" fillId="18" borderId="8" xfId="8" applyFont="1" applyFill="1" applyBorder="1" applyAlignment="1">
      <alignment horizontal="center"/>
    </xf>
    <xf numFmtId="0" fontId="0" fillId="18" borderId="2" xfId="8" applyFont="1" applyFill="1" applyBorder="1" applyAlignment="1">
      <alignment horizontal="left"/>
    </xf>
    <xf numFmtId="0" fontId="8" fillId="23" borderId="14" xfId="0" applyFont="1" applyFill="1" applyBorder="1" applyAlignment="1">
      <alignment horizontal="center" vertical="center"/>
    </xf>
    <xf numFmtId="0" fontId="8" fillId="23" borderId="12" xfId="0" applyFont="1" applyFill="1" applyBorder="1" applyAlignment="1">
      <alignment horizontal="center" vertical="center"/>
    </xf>
    <xf numFmtId="0" fontId="1" fillId="0" borderId="9" xfId="13" applyFont="1" applyFill="1" applyBorder="1" applyAlignment="1">
      <alignment horizontal="left"/>
    </xf>
    <xf numFmtId="0" fontId="0" fillId="0" borderId="0" xfId="0" applyFont="1" applyFill="1" applyBorder="1" applyAlignment="1">
      <alignment horizontal="left"/>
    </xf>
    <xf numFmtId="0" fontId="0" fillId="33" borderId="5" xfId="0" applyFont="1" applyFill="1" applyBorder="1" applyAlignment="1">
      <alignment horizontal="right"/>
    </xf>
    <xf numFmtId="0" fontId="0" fillId="0" borderId="5" xfId="0" applyFont="1" applyBorder="1" applyAlignment="1">
      <alignment horizontal="right"/>
    </xf>
    <xf numFmtId="9" fontId="0" fillId="0" borderId="0" xfId="18" applyFont="1"/>
    <xf numFmtId="0" fontId="0" fillId="0" borderId="0" xfId="0" applyNumberFormat="1"/>
    <xf numFmtId="0" fontId="0" fillId="12" borderId="9" xfId="11" applyFont="1" applyBorder="1"/>
    <xf numFmtId="1" fontId="0" fillId="0" borderId="0" xfId="0" applyNumberFormat="1"/>
    <xf numFmtId="9" fontId="0" fillId="0" borderId="11" xfId="0" applyNumberFormat="1" applyBorder="1"/>
    <xf numFmtId="0" fontId="0" fillId="0" borderId="0" xfId="0" applyFont="1" applyFill="1" applyBorder="1"/>
    <xf numFmtId="0" fontId="18" fillId="0" borderId="0" xfId="0" applyFont="1" applyBorder="1"/>
    <xf numFmtId="0" fontId="4" fillId="15" borderId="1" xfId="0" applyFont="1" applyFill="1" applyBorder="1" applyAlignment="1">
      <alignment vertical="center" wrapText="1"/>
    </xf>
    <xf numFmtId="0" fontId="4" fillId="15" borderId="1" xfId="7" quotePrefix="1" applyFont="1" applyFill="1" applyBorder="1" applyAlignment="1">
      <alignment vertical="center"/>
    </xf>
    <xf numFmtId="0" fontId="4" fillId="15" borderId="1" xfId="0" quotePrefix="1" applyFont="1" applyFill="1" applyBorder="1" applyAlignment="1">
      <alignment vertical="center"/>
    </xf>
    <xf numFmtId="12" fontId="0" fillId="0" borderId="0" xfId="0" applyNumberFormat="1"/>
    <xf numFmtId="164" fontId="0" fillId="0" borderId="0" xfId="0" applyNumberFormat="1"/>
    <xf numFmtId="175" fontId="4" fillId="22" borderId="1" xfId="0" applyNumberFormat="1" applyFont="1" applyFill="1" applyBorder="1" applyAlignment="1">
      <alignment horizontal="left"/>
    </xf>
    <xf numFmtId="0" fontId="0" fillId="0" borderId="0" xfId="0" applyFont="1"/>
    <xf numFmtId="9" fontId="0" fillId="0" borderId="0" xfId="0" applyNumberFormat="1" applyFont="1" applyAlignment="1">
      <alignment horizontal="center" vertical="center"/>
    </xf>
    <xf numFmtId="175" fontId="4" fillId="22" borderId="1" xfId="21" applyNumberFormat="1" applyFont="1" applyFill="1" applyBorder="1" applyAlignment="1">
      <alignment horizontal="left" vertical="top"/>
    </xf>
    <xf numFmtId="0" fontId="19" fillId="0" borderId="1" xfId="0" applyFont="1" applyBorder="1" applyAlignment="1">
      <alignment horizontal="center" vertical="center"/>
    </xf>
    <xf numFmtId="0" fontId="19" fillId="0" borderId="1" xfId="0" applyFont="1" applyFill="1" applyBorder="1" applyAlignment="1">
      <alignment horizontal="center" vertical="center"/>
    </xf>
    <xf numFmtId="0" fontId="20" fillId="0" borderId="8" xfId="0" applyFont="1" applyBorder="1" applyAlignment="1">
      <alignment horizontal="left"/>
    </xf>
    <xf numFmtId="0" fontId="20" fillId="0" borderId="0" xfId="0" applyFont="1"/>
    <xf numFmtId="0" fontId="0" fillId="0" borderId="8" xfId="0" applyFont="1" applyFill="1" applyBorder="1"/>
    <xf numFmtId="0" fontId="0" fillId="32" borderId="1" xfId="0" applyFont="1" applyFill="1" applyBorder="1"/>
    <xf numFmtId="0" fontId="20" fillId="0" borderId="11" xfId="0" applyFont="1" applyBorder="1" applyAlignment="1">
      <alignment horizontal="left"/>
    </xf>
    <xf numFmtId="0" fontId="0" fillId="0" borderId="11" xfId="0" applyFont="1" applyFill="1" applyBorder="1"/>
    <xf numFmtId="0" fontId="20" fillId="0" borderId="11" xfId="0" applyFont="1" applyFill="1" applyBorder="1"/>
    <xf numFmtId="0" fontId="20" fillId="0" borderId="15" xfId="0" applyFont="1" applyBorder="1" applyAlignment="1">
      <alignment horizontal="left"/>
    </xf>
    <xf numFmtId="0" fontId="0" fillId="0" borderId="15" xfId="0" applyFont="1" applyFill="1" applyBorder="1"/>
    <xf numFmtId="0" fontId="0" fillId="24" borderId="9" xfId="0" applyFont="1" applyFill="1" applyBorder="1"/>
    <xf numFmtId="0" fontId="0" fillId="0" borderId="0" xfId="0" applyFont="1" applyAlignment="1">
      <alignment horizontal="left"/>
    </xf>
    <xf numFmtId="176" fontId="4" fillId="22" borderId="1" xfId="0" applyNumberFormat="1" applyFont="1" applyFill="1" applyBorder="1" applyAlignment="1">
      <alignment horizontal="right"/>
    </xf>
    <xf numFmtId="20" fontId="0" fillId="0" borderId="0" xfId="0" applyNumberFormat="1" applyFont="1"/>
    <xf numFmtId="0" fontId="6" fillId="7" borderId="1" xfId="6" applyBorder="1"/>
    <xf numFmtId="1" fontId="4" fillId="0" borderId="1" xfId="0" applyNumberFormat="1" applyFont="1" applyFill="1" applyBorder="1"/>
    <xf numFmtId="0" fontId="0" fillId="35" borderId="28" xfId="0" applyFont="1" applyFill="1" applyBorder="1"/>
    <xf numFmtId="14" fontId="0" fillId="35" borderId="28" xfId="0" applyNumberFormat="1" applyFont="1" applyFill="1" applyBorder="1"/>
    <xf numFmtId="0" fontId="0" fillId="35" borderId="28" xfId="0" applyFont="1" applyFill="1" applyBorder="1" applyAlignment="1">
      <alignment horizontal="right"/>
    </xf>
    <xf numFmtId="0" fontId="0" fillId="0" borderId="28" xfId="0" applyFont="1" applyBorder="1"/>
    <xf numFmtId="14" fontId="0" fillId="0" borderId="28" xfId="0" applyNumberFormat="1" applyFont="1" applyBorder="1"/>
    <xf numFmtId="0" fontId="0" fillId="0" borderId="28" xfId="0" applyFont="1" applyBorder="1" applyAlignment="1">
      <alignment horizontal="right"/>
    </xf>
    <xf numFmtId="0" fontId="0" fillId="0" borderId="0" xfId="0" pivotButton="1"/>
    <xf numFmtId="0" fontId="0" fillId="0" borderId="0" xfId="0" applyAlignment="1">
      <alignment horizontal="left"/>
    </xf>
    <xf numFmtId="0" fontId="8" fillId="11" borderId="5" xfId="10" applyFont="1" applyFill="1" applyBorder="1"/>
    <xf numFmtId="0" fontId="8" fillId="11" borderId="8" xfId="10" applyFont="1" applyFill="1" applyBorder="1"/>
    <xf numFmtId="0" fontId="0" fillId="13" borderId="5" xfId="12" applyFont="1" applyFill="1" applyBorder="1" applyAlignment="1">
      <alignment horizontal="center"/>
    </xf>
    <xf numFmtId="0" fontId="0" fillId="13" borderId="8" xfId="12" applyFont="1" applyFill="1" applyBorder="1" applyAlignment="1">
      <alignment horizontal="center"/>
    </xf>
    <xf numFmtId="0" fontId="0" fillId="13" borderId="2" xfId="12" applyFont="1" applyFill="1" applyBorder="1" applyAlignment="1">
      <alignment horizontal="center"/>
    </xf>
    <xf numFmtId="0" fontId="0" fillId="13" borderId="1" xfId="12" applyFont="1" applyFill="1" applyBorder="1" applyAlignment="1">
      <alignment horizontal="center"/>
    </xf>
    <xf numFmtId="0" fontId="8" fillId="23" borderId="5" xfId="0" applyFont="1" applyFill="1" applyBorder="1" applyAlignment="1">
      <alignment horizontal="center" vertical="center"/>
    </xf>
    <xf numFmtId="0" fontId="8" fillId="23" borderId="8" xfId="0" applyFont="1" applyFill="1" applyBorder="1" applyAlignment="1">
      <alignment horizontal="center" vertical="center"/>
    </xf>
    <xf numFmtId="0" fontId="0" fillId="16" borderId="5" xfId="0" applyFont="1" applyFill="1" applyBorder="1"/>
    <xf numFmtId="9" fontId="0" fillId="16" borderId="8" xfId="0" applyNumberFormat="1" applyFont="1" applyFill="1" applyBorder="1"/>
    <xf numFmtId="0" fontId="0" fillId="16" borderId="2" xfId="0" applyFont="1" applyFill="1" applyBorder="1"/>
    <xf numFmtId="9" fontId="0" fillId="16" borderId="1" xfId="0" applyNumberFormat="1" applyFont="1" applyFill="1" applyBorder="1"/>
    <xf numFmtId="0" fontId="12" fillId="34" borderId="0" xfId="0" applyFont="1" applyFill="1" applyBorder="1"/>
    <xf numFmtId="0" fontId="4" fillId="29" borderId="6" xfId="0" applyFont="1" applyFill="1" applyBorder="1"/>
    <xf numFmtId="0" fontId="4" fillId="15" borderId="6" xfId="0" applyFont="1" applyFill="1" applyBorder="1"/>
    <xf numFmtId="0" fontId="12" fillId="27" borderId="0" xfId="0" applyFont="1" applyFill="1" applyBorder="1" applyAlignment="1">
      <alignment horizontal="center"/>
    </xf>
    <xf numFmtId="0" fontId="12" fillId="27" borderId="9" xfId="0" applyFont="1" applyFill="1" applyBorder="1" applyAlignment="1">
      <alignment horizontal="center"/>
    </xf>
    <xf numFmtId="0" fontId="0" fillId="15" borderId="8" xfId="0" applyFill="1" applyBorder="1"/>
    <xf numFmtId="15" fontId="0" fillId="28" borderId="4" xfId="0" applyNumberFormat="1" applyFill="1" applyBorder="1" applyAlignment="1">
      <alignment horizontal="center" vertical="center"/>
    </xf>
    <xf numFmtId="2" fontId="0" fillId="28" borderId="2" xfId="18" applyNumberFormat="1" applyFont="1" applyFill="1" applyBorder="1" applyAlignment="1">
      <alignment horizontal="right" vertical="center"/>
    </xf>
    <xf numFmtId="0" fontId="8" fillId="23" borderId="15" xfId="0" applyFont="1" applyFill="1" applyBorder="1" applyAlignment="1">
      <alignment horizontal="center" vertical="center"/>
    </xf>
    <xf numFmtId="15" fontId="0" fillId="28" borderId="7" xfId="0" applyNumberFormat="1" applyFill="1" applyBorder="1" applyAlignment="1">
      <alignment horizontal="center" vertical="center"/>
    </xf>
    <xf numFmtId="0" fontId="0" fillId="28" borderId="8" xfId="0" applyFill="1" applyBorder="1"/>
    <xf numFmtId="0" fontId="0" fillId="28" borderId="8" xfId="0" applyFill="1" applyBorder="1" applyAlignment="1">
      <alignment horizontal="right" vertical="center"/>
    </xf>
    <xf numFmtId="2" fontId="0" fillId="28" borderId="5" xfId="18" applyNumberFormat="1" applyFont="1" applyFill="1" applyBorder="1" applyAlignment="1">
      <alignment horizontal="right" vertical="center"/>
    </xf>
    <xf numFmtId="0" fontId="4" fillId="15" borderId="4" xfId="3" applyFont="1" applyFill="1" applyBorder="1" applyAlignment="1">
      <alignment horizontal="center" vertical="center"/>
    </xf>
    <xf numFmtId="171" fontId="4" fillId="15" borderId="2" xfId="0" applyNumberFormat="1" applyFont="1" applyFill="1" applyBorder="1" applyAlignment="1"/>
    <xf numFmtId="0" fontId="2" fillId="14" borderId="14" xfId="5" applyFont="1" applyFill="1" applyBorder="1" applyAlignment="1">
      <alignment horizontal="center" vertical="center"/>
    </xf>
    <xf numFmtId="0" fontId="2" fillId="14" borderId="15" xfId="5" applyFont="1" applyFill="1" applyBorder="1" applyAlignment="1">
      <alignment horizontal="center" vertical="center"/>
    </xf>
    <xf numFmtId="0" fontId="2" fillId="14" borderId="12" xfId="5" applyFont="1" applyFill="1" applyBorder="1" applyAlignment="1">
      <alignment horizontal="center" vertical="center"/>
    </xf>
    <xf numFmtId="0" fontId="4" fillId="15" borderId="7" xfId="3" applyFont="1" applyFill="1" applyBorder="1" applyAlignment="1">
      <alignment horizontal="center" vertical="center"/>
    </xf>
    <xf numFmtId="0" fontId="4" fillId="15" borderId="8" xfId="0" applyFont="1" applyFill="1" applyBorder="1" applyAlignment="1">
      <alignment horizontal="left" vertical="center"/>
    </xf>
    <xf numFmtId="0" fontId="4" fillId="15" borderId="8" xfId="0" applyFont="1" applyFill="1" applyBorder="1" applyAlignment="1">
      <alignment horizontal="center" vertical="center"/>
    </xf>
    <xf numFmtId="0" fontId="4" fillId="15" borderId="8" xfId="5" applyFont="1" applyFill="1" applyBorder="1" applyAlignment="1">
      <alignment horizontal="center" vertical="center"/>
    </xf>
    <xf numFmtId="0" fontId="4" fillId="15" borderId="8" xfId="0" applyFont="1" applyFill="1" applyBorder="1" applyAlignment="1">
      <alignment horizontal="right" vertical="center"/>
    </xf>
    <xf numFmtId="170" fontId="4" fillId="15" borderId="8" xfId="0" applyNumberFormat="1" applyFont="1" applyFill="1" applyBorder="1" applyAlignment="1"/>
    <xf numFmtId="171" fontId="4" fillId="15" borderId="5" xfId="0" applyNumberFormat="1" applyFont="1" applyFill="1" applyBorder="1" applyAlignment="1"/>
    <xf numFmtId="0" fontId="0" fillId="0" borderId="0" xfId="0" applyAlignment="1">
      <alignment horizontal="left" indent="1"/>
    </xf>
    <xf numFmtId="177" fontId="0" fillId="0" borderId="0" xfId="0" applyNumberFormat="1"/>
    <xf numFmtId="0" fontId="21" fillId="0" borderId="27" xfId="22" applyAlignment="1">
      <alignment horizont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15" fillId="25" borderId="0" xfId="0" applyFont="1" applyFill="1" applyAlignment="1">
      <alignment horizontal="center" vertical="center"/>
    </xf>
    <xf numFmtId="0" fontId="0" fillId="0" borderId="0" xfId="0" applyAlignment="1">
      <alignment horizontal="center"/>
    </xf>
    <xf numFmtId="0" fontId="3" fillId="0" borderId="0" xfId="0" applyFont="1" applyAlignment="1">
      <alignment horizontal="center" vertical="center" textRotation="90"/>
    </xf>
    <xf numFmtId="0" fontId="3" fillId="0" borderId="13" xfId="0" applyFont="1" applyBorder="1" applyAlignment="1">
      <alignment horizontal="center"/>
    </xf>
    <xf numFmtId="0" fontId="16" fillId="0" borderId="13" xfId="0" applyFont="1" applyBorder="1" applyAlignment="1">
      <alignment horizontal="center"/>
    </xf>
    <xf numFmtId="0" fontId="17" fillId="0" borderId="1" xfId="20" applyFont="1" applyBorder="1" applyAlignment="1">
      <alignment horizontal="center"/>
    </xf>
    <xf numFmtId="0" fontId="0" fillId="0" borderId="0" xfId="0" applyAlignment="1">
      <alignment horizontal="left" indent="2"/>
    </xf>
    <xf numFmtId="10" fontId="0" fillId="0" borderId="0" xfId="0" applyNumberFormat="1"/>
    <xf numFmtId="177" fontId="0" fillId="0" borderId="0" xfId="0" applyNumberFormat="1" applyAlignment="1">
      <alignment horizontal="left" indent="1"/>
    </xf>
  </cellXfs>
  <cellStyles count="23">
    <cellStyle name="20% - Accent4" xfId="8" builtinId="42"/>
    <cellStyle name="20% - Accent5" xfId="11" builtinId="46"/>
    <cellStyle name="40% - Accent1" xfId="19" builtinId="31"/>
    <cellStyle name="40% - Accent2" xfId="6" builtinId="35"/>
    <cellStyle name="40% - Accent4" xfId="9" builtinId="43"/>
    <cellStyle name="40% - Accent5" xfId="12" builtinId="47"/>
    <cellStyle name="60% - Accent1" xfId="4" builtinId="32"/>
    <cellStyle name="Accent1" xfId="3" builtinId="29"/>
    <cellStyle name="Accent2" xfId="5" builtinId="33"/>
    <cellStyle name="Accent4" xfId="7" builtinId="41"/>
    <cellStyle name="Accent5" xfId="10" builtinId="45"/>
    <cellStyle name="Comma 3" xfId="16" xr:uid="{00000000-0005-0000-0000-00000B000000}"/>
    <cellStyle name="Currency" xfId="21" builtinId="4"/>
    <cellStyle name="Currency 2" xfId="15" xr:uid="{00000000-0005-0000-0000-00000D000000}"/>
    <cellStyle name="GreyOrWhite" xfId="1" xr:uid="{00000000-0005-0000-0000-00000E000000}"/>
    <cellStyle name="Heading 1" xfId="22" builtinId="16"/>
    <cellStyle name="Normal" xfId="0" builtinId="0"/>
    <cellStyle name="Normal 3" xfId="13" xr:uid="{00000000-0005-0000-0000-000010000000}"/>
    <cellStyle name="Normal 3 2" xfId="14" xr:uid="{00000000-0005-0000-0000-000011000000}"/>
    <cellStyle name="Normal_Assignment1" xfId="17" xr:uid="{00000000-0005-0000-0000-000012000000}"/>
    <cellStyle name="Normal_excel_adv" xfId="20" xr:uid="{00000000-0005-0000-0000-000013000000}"/>
    <cellStyle name="Percent" xfId="18" builtinId="5"/>
    <cellStyle name="Yellow" xfId="2" xr:uid="{00000000-0005-0000-0000-000015000000}"/>
  </cellStyles>
  <dxfs count="61">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00B050"/>
        </patternFill>
      </fill>
    </dxf>
    <dxf>
      <fill>
        <patternFill>
          <bgColor rgb="FFFFC000"/>
        </patternFill>
      </fill>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rgb="FFF8EDEC"/>
        </patternFill>
      </fill>
      <alignment horizontal="righ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rgb="FFF8EDEC"/>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8EDEC"/>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8EDEC"/>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8EDEC"/>
        </patternFill>
      </fill>
      <border diagonalUp="0" diagonalDown="0">
        <left style="thin">
          <color indexed="64"/>
        </left>
        <right style="thin">
          <color indexed="64"/>
        </right>
        <top style="thin">
          <color indexed="64"/>
        </top>
        <bottom style="thin">
          <color indexed="64"/>
        </bottom>
        <vertical/>
        <horizontal/>
      </border>
    </dxf>
    <dxf>
      <numFmt numFmtId="20" formatCode="dd/mmm/yy"/>
      <fill>
        <patternFill patternType="solid">
          <fgColor indexed="64"/>
          <bgColor rgb="FFF8EDEC"/>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rgb="FFF8EDEC"/>
        </patternFill>
      </fill>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0"/>
        <name val="Calibri"/>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top style="thin">
          <color indexed="64"/>
        </top>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7"/>
          <bgColor theme="7"/>
        </patternFill>
      </fill>
    </dxf>
    <dxf>
      <font>
        <b val="0"/>
        <i val="0"/>
        <strike val="0"/>
        <condense val="0"/>
        <extend val="0"/>
        <outline val="0"/>
        <shadow val="0"/>
        <u val="none"/>
        <vertAlign val="baseline"/>
        <sz val="11"/>
        <color auto="1"/>
        <name val="Calibri"/>
        <family val="2"/>
        <scheme val="minor"/>
      </font>
      <numFmt numFmtId="171" formatCode="[$-409]h:mm\ AM/PM;@"/>
      <fill>
        <patternFill patternType="solid">
          <fgColor indexed="64"/>
          <bgColor theme="6" tint="0.79998168889431442"/>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170" formatCode="[$-409]dd\-mmm\-yy;@"/>
      <fill>
        <patternFill patternType="solid">
          <fgColor indexed="64"/>
          <bgColor theme="6" tint="0.79998168889431442"/>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9" Type="http://schemas.openxmlformats.org/officeDocument/2006/relationships/powerPivotData" Target="model/item.data"/><Relationship Id="rId21" Type="http://schemas.openxmlformats.org/officeDocument/2006/relationships/pivotCacheDefinition" Target="pivotCache/pivotCacheDefinition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microsoft.com/office/2007/relationships/slicerCache" Target="slicerCaches/slicerCache3.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microsoft.com/office/2007/relationships/slicerCache" Target="slicerCaches/slicerCache2.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9</xdr:col>
      <xdr:colOff>228600</xdr:colOff>
      <xdr:row>1</xdr:row>
      <xdr:rowOff>123825</xdr:rowOff>
    </xdr:from>
    <xdr:to>
      <xdr:col>11</xdr:col>
      <xdr:colOff>66675</xdr:colOff>
      <xdr:row>14</xdr:row>
      <xdr:rowOff>171450</xdr:rowOff>
    </xdr:to>
    <mc:AlternateContent xmlns:mc="http://schemas.openxmlformats.org/markup-compatibility/2006" xmlns:a14="http://schemas.microsoft.com/office/drawing/2010/main">
      <mc:Choice Requires="a14">
        <xdr:graphicFrame macro="">
          <xdr:nvGraphicFramePr>
            <xdr:cNvPr id="2" name="Brand">
              <a:extLst>
                <a:ext uri="{FF2B5EF4-FFF2-40B4-BE49-F238E27FC236}">
                  <a16:creationId xmlns:a16="http://schemas.microsoft.com/office/drawing/2014/main" id="{71A09AC0-A5F5-49C2-AAB8-D5E5D1F39406}"/>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8639175" y="314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238125</xdr:colOff>
      <xdr:row>14</xdr:row>
      <xdr:rowOff>180975</xdr:rowOff>
    </xdr:from>
    <xdr:to>
      <xdr:col>11</xdr:col>
      <xdr:colOff>1143000</xdr:colOff>
      <xdr:row>28</xdr:row>
      <xdr:rowOff>38100</xdr:rowOff>
    </xdr:to>
    <mc:AlternateContent xmlns:mc="http://schemas.openxmlformats.org/markup-compatibility/2006">
      <mc:Choice xmlns:a14="http://schemas.microsoft.com/office/drawing/2010/main" Requires="a14">
        <xdr:graphicFrame macro="">
          <xdr:nvGraphicFramePr>
            <xdr:cNvPr id="4" name="Branch">
              <a:extLst>
                <a:ext uri="{FF2B5EF4-FFF2-40B4-BE49-F238E27FC236}">
                  <a16:creationId xmlns:a16="http://schemas.microsoft.com/office/drawing/2014/main" id="{BAA604CA-AF68-45FF-8CFD-E400D34DAE7F}"/>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6638925" y="2847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1143000</xdr:colOff>
      <xdr:row>14</xdr:row>
      <xdr:rowOff>180975</xdr:rowOff>
    </xdr:from>
    <xdr:to>
      <xdr:col>13</xdr:col>
      <xdr:colOff>161925</xdr:colOff>
      <xdr:row>28</xdr:row>
      <xdr:rowOff>38100</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C1591FB7-9FB3-4577-9C6D-ACF7365630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67725" y="2847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B" refreshedDate="45511.821413194448" createdVersion="6" refreshedVersion="6" minRefreshableVersion="3" recordCount="60" xr:uid="{FD90B90B-F481-4715-B283-3A6124B4C61E}">
  <cacheSource type="worksheet">
    <worksheetSource ref="B2:H62" sheet="Pivot"/>
  </cacheSource>
  <cacheFields count="8">
    <cacheField name="Sr. No" numFmtId="0">
      <sharedItems containsSemiMixedTypes="0" containsString="0" containsNumber="1" containsInteger="1" minValue="1" maxValue="60"/>
    </cacheField>
    <cacheField name="Name" numFmtId="0">
      <sharedItems count="5">
        <s v="Kakade Enterprises"/>
        <s v="GANESH TRADERS"/>
        <s v="PRITHVI BEVERAGES"/>
        <s v="Parakh Enterprises"/>
        <s v="Ace Energie"/>
      </sharedItems>
      <fieldGroup par="7"/>
    </cacheField>
    <cacheField name="year" numFmtId="0">
      <sharedItems containsSemiMixedTypes="0" containsString="0" containsNumber="1" containsInteger="1" minValue="2016" maxValue="2017" count="2">
        <n v="2016"/>
        <n v="2017"/>
      </sharedItems>
    </cacheField>
    <cacheField name="Brand" numFmtId="0">
      <sharedItems count="6">
        <s v="Slice"/>
        <s v="Mirinda"/>
        <s v="Pepsi"/>
        <s v="Dukes"/>
        <s v="Maza"/>
        <s v="Sprite"/>
      </sharedItems>
    </cacheField>
    <cacheField name="Jan" numFmtId="0">
      <sharedItems containsSemiMixedTypes="0" containsString="0" containsNumber="1" containsInteger="1" minValue="14" maxValue="98"/>
    </cacheField>
    <cacheField name="Feb" numFmtId="0">
      <sharedItems containsSemiMixedTypes="0" containsString="0" containsNumber="1" containsInteger="1" minValue="15" maxValue="98" count="23">
        <n v="29"/>
        <n v="85"/>
        <n v="75"/>
        <n v="68"/>
        <n v="23"/>
        <n v="86"/>
        <n v="78"/>
        <n v="35"/>
        <n v="15"/>
        <n v="79"/>
        <n v="50"/>
        <n v="46"/>
        <n v="56"/>
        <n v="65"/>
        <n v="26"/>
        <n v="63"/>
        <n v="70"/>
        <n v="90"/>
        <n v="80"/>
        <n v="98"/>
        <n v="36"/>
        <n v="25"/>
        <n v="59"/>
      </sharedItems>
    </cacheField>
    <cacheField name="Mar" numFmtId="0">
      <sharedItems containsSemiMixedTypes="0" containsString="0" containsNumber="1" containsInteger="1" minValue="15" maxValue="90" count="32">
        <n v="86"/>
        <n v="57"/>
        <n v="15"/>
        <n v="75"/>
        <n v="89"/>
        <n v="84"/>
        <n v="29"/>
        <n v="79"/>
        <n v="56"/>
        <n v="43"/>
        <n v="65"/>
        <n v="48"/>
        <n v="69"/>
        <n v="61"/>
        <n v="59"/>
        <n v="52"/>
        <n v="47"/>
        <n v="39"/>
        <n v="88"/>
        <n v="77"/>
        <n v="90"/>
        <n v="76"/>
        <n v="72"/>
        <n v="71"/>
        <n v="62"/>
        <n v="85"/>
        <n v="68"/>
        <n v="23"/>
        <n v="26"/>
        <n v="35"/>
        <n v="50"/>
        <n v="46"/>
      </sharedItems>
    </cacheField>
    <cacheField name="Name2" numFmtId="0" databaseField="0">
      <fieldGroup base="1">
        <discretePr count="5">
          <x v="0"/>
          <x v="0"/>
          <x v="0"/>
          <x v="0"/>
          <x v="0"/>
        </discretePr>
        <groupItems count="1">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B" refreshedDate="45512.786351967596" createdVersion="6" refreshedVersion="6" minRefreshableVersion="3" recordCount="100" xr:uid="{17857FC8-AFA3-4292-B32F-F2E0D43CF852}">
  <cacheSource type="worksheet">
    <worksheetSource name="Employee"/>
  </cacheSource>
  <cacheFields count="12">
    <cacheField name="Full Name" numFmtId="0">
      <sharedItems count="100">
        <s v="Suraj Saksena"/>
        <s v="Aalok Trivedi"/>
        <s v="Kirtikar Sardesai"/>
        <s v="Anuradha Zha"/>
        <s v="Hajra Hoonjan"/>
        <s v="Shilpa Lele"/>
        <s v="Vicky Joshi"/>
        <s v="Disha Parmar"/>
        <s v="Kuldeep Sharma"/>
        <s v="Aakash Dixit"/>
        <s v="Timsi Desai"/>
        <s v="Vishal Virsinghani"/>
        <s v="Lalita Rao"/>
        <s v="Kunal Shah"/>
        <s v="Tapan Ghoshal"/>
        <s v="Chetan Dalvi"/>
        <s v="Laveena Shenoy"/>
        <s v="Sonia Sasan"/>
        <s v="Heena Godbole"/>
        <s v="Zarina Vora"/>
        <s v="Tara Phule"/>
        <s v="Rakesh Kumar"/>
        <s v="Ankur Joshi"/>
        <s v="Neha Joshi"/>
        <s v="Mehul Sheth"/>
        <s v="Nayeem Khan"/>
        <s v="Sheetal Desai"/>
        <s v="Meera Lalwani"/>
        <s v="Chitra Pednekar"/>
        <s v="Sheetal Dodhia"/>
        <s v="Rupesh Sawant"/>
        <s v="Shilpa Parikh"/>
        <s v="Indu Shah"/>
        <s v="Sujay Madhrani"/>
        <s v="Reeta Naik"/>
        <s v="Andre Fernendes"/>
        <s v="Payal Singhani"/>
        <s v="Satinder Kaur Sasan"/>
        <s v="Maya Panchal"/>
        <s v="Beena Mavadia"/>
        <s v="Sagar Bidkar"/>
        <s v="Dayanand Gandhi"/>
        <s v="Farhan Sadiq"/>
        <s v="Parvati Khanna"/>
        <s v="Kabir Vora"/>
        <s v="Jignesh Tripathi"/>
        <s v="Arun Joshi"/>
        <s v="Geeta Darekar"/>
        <s v="Suchita Panchal"/>
        <s v="Vinit Shrivastava"/>
        <s v="Shazia Sheikh"/>
        <s v="Radhika Kulkarni"/>
        <s v="Shaheen Khan"/>
        <s v="Aalam Qureshi"/>
        <s v="Parul Shah"/>
        <s v="Pravin Joshi"/>
        <s v="Priya Shirodkar"/>
        <s v="K. Sita Narayanan"/>
        <s v="Uday Naik"/>
        <s v="Veena Patil"/>
        <s v="Ruheal Baig"/>
        <s v="Piyush Surti"/>
        <s v="Deepak Jain"/>
        <s v="Pooja Khetan"/>
        <s v="Pooja Gokhale"/>
        <s v="Pinky Robert"/>
        <s v="Kalpana Shirishkar"/>
        <s v="Giriraj Gupta"/>
        <s v="Neena Mukherjee"/>
        <s v="Ruby Joseph"/>
        <s v="Drishti Shah"/>
        <s v="Kinnari Mehta"/>
        <s v="Priyanka Mehta"/>
        <s v="Waheda Sheikh"/>
        <s v="Seema Ranganathan"/>
        <s v="Julie D'Souza"/>
        <s v="Jasbinder Khurana"/>
        <s v="Yamini Gupta"/>
        <s v="Pushpa Raut"/>
        <s v="Mala Bhaduri"/>
        <s v="Beena Sharma"/>
        <s v="Surendra Godse"/>
        <s v="Niki Digaria"/>
        <s v="Suman Shinde"/>
        <s v="Bharat Shetty"/>
        <s v="Nita Pandhya"/>
        <s v="Tejal Patel"/>
        <s v="Pankaj Sutradhar"/>
        <s v="Mandakini Desai"/>
        <s v="Raja Raymondekar"/>
        <s v="Mario Fernandes"/>
        <s v="Asha Trivedi"/>
        <s v="Jeena Baig"/>
        <s v="Harsha Trivedi"/>
        <s v="Rishi Malik"/>
        <s v="Katti Surti"/>
        <s v="Richa Raje"/>
        <s v="Deep Chhaya"/>
        <s v="Kajal Joglekar"/>
        <s v="Pooja Nimkar"/>
      </sharedItems>
    </cacheField>
    <cacheField name="Dept" numFmtId="0">
      <sharedItems count="8">
        <s v="Admin"/>
        <s v="CCD"/>
        <s v="Director"/>
        <s v="Finance"/>
        <s v="Mktg"/>
        <s v="Personnel"/>
        <s v="R&amp;D"/>
        <s v="Sales"/>
      </sharedItems>
    </cacheField>
    <cacheField name="Region" numFmtId="0">
      <sharedItems count="4">
        <s v="east"/>
        <s v="north"/>
        <s v="south"/>
        <s v="west"/>
      </sharedItems>
    </cacheField>
    <cacheField name="Branch" numFmtId="0">
      <sharedItems count="30">
        <s v="Calcutta"/>
        <s v="Cuttack"/>
        <s v="Darjeeling"/>
        <s v="Agra"/>
        <s v="Jaipur"/>
        <s v="Jammu"/>
        <s v="Kanpur"/>
        <s v="Banglore"/>
        <s v="Hydrabad"/>
        <s v="Nasik"/>
        <s v="Gangtok"/>
        <s v="Guwahati"/>
        <s v="Aligarh"/>
        <s v="Ambala"/>
        <s v="Delhi"/>
        <s v="Lucknow"/>
        <s v="chennai"/>
        <s v="cochin"/>
        <s v="Manglore"/>
        <s v="Baroda"/>
        <s v="Nagpur"/>
        <s v="Panji"/>
        <s v="Mysore"/>
        <s v="Mumbai"/>
        <s v="Pune"/>
        <s v="Patna"/>
        <s v="Ferozepur"/>
        <s v="Mathura"/>
        <s v="Trivanadrum"/>
        <s v="Surat"/>
      </sharedItems>
    </cacheField>
    <cacheField name="Date of joining" numFmtId="14">
      <sharedItems containsSemiMixedTypes="0" containsNonDate="0" containsDate="1" containsString="0" minDate="1977-01-01T00:00:00" maxDate="1999-12-13T00:00:00" count="75">
        <d v="1988-10-25T00:00:00"/>
        <d v="1983-03-01T00:00:00"/>
        <d v="1997-06-14T00:00:00"/>
        <d v="1987-11-25T00:00:00"/>
        <d v="1996-05-04T00:00:00"/>
        <d v="1988-02-07T00:00:00"/>
        <d v="1987-01-14T00:00:00"/>
        <d v="1999-03-01T00:00:00"/>
        <d v="1988-10-26T00:00:00"/>
        <d v="1995-03-03T00:00:00"/>
        <d v="1986-11-01T00:00:00"/>
        <d v="1999-03-02T00:00:00"/>
        <d v="1997-07-07T00:00:00"/>
        <d v="1989-04-11T00:00:00"/>
        <d v="1988-10-23T00:00:00"/>
        <d v="1998-01-15T00:00:00"/>
        <d v="1988-10-21T00:00:00"/>
        <d v="1991-09-29T00:00:00"/>
        <d v="1988-10-31T00:00:00"/>
        <d v="1988-10-19T00:00:00"/>
        <d v="1982-10-01T00:00:00"/>
        <d v="1995-12-01T00:00:00"/>
        <d v="1984-12-12T00:00:00"/>
        <d v="1984-12-11T00:00:00"/>
        <d v="1999-02-02T00:00:00"/>
        <d v="1997-12-30T00:00:00"/>
        <d v="1985-12-21T00:00:00"/>
        <d v="1995-03-04T00:00:00"/>
        <d v="1977-07-20T00:00:00"/>
        <d v="1989-04-05T00:00:00"/>
        <d v="1999-06-06T00:00:00"/>
        <d v="1990-11-05T00:00:00"/>
        <d v="1979-11-24T00:00:00"/>
        <d v="1988-10-29T00:00:00"/>
        <d v="1988-10-30T00:00:00"/>
        <d v="1999-06-05T00:00:00"/>
        <d v="1986-08-13T00:00:00"/>
        <d v="1989-04-08T00:00:00"/>
        <d v="1998-01-16T00:00:00"/>
        <d v="1992-05-05T00:00:00"/>
        <d v="1987-11-24T00:00:00"/>
        <d v="1999-06-07T00:00:00"/>
        <d v="1999-06-08T00:00:00"/>
        <d v="1989-04-07T00:00:00"/>
        <d v="1990-11-17T00:00:00"/>
        <d v="1988-10-27T00:00:00"/>
        <d v="1984-12-14T00:00:00"/>
        <d v="1984-12-13T00:00:00"/>
        <d v="1988-10-28T00:00:00"/>
        <d v="1990-08-17T00:00:00"/>
        <d v="1994-09-03T00:00:00"/>
        <d v="1999-03-03T00:00:00"/>
        <d v="1988-11-01T00:00:00"/>
        <d v="1989-09-04T00:00:00"/>
        <d v="1998-01-14T00:00:00"/>
        <d v="1980-01-06T00:00:00"/>
        <d v="1988-10-24T00:00:00"/>
        <d v="1988-09-04T00:00:00"/>
        <d v="1999-04-24T00:00:00"/>
        <d v="1988-10-22T00:00:00"/>
        <d v="1989-04-10T00:00:00"/>
        <d v="1995-03-19T00:00:00"/>
        <d v="1989-04-09T00:00:00"/>
        <d v="1995-03-05T00:00:00"/>
        <d v="1979-11-13T00:00:00"/>
        <d v="1977-01-01T00:00:00"/>
        <d v="1979-02-21T00:00:00"/>
        <d v="1999-12-12T00:00:00"/>
        <d v="1988-10-20T00:00:00"/>
        <d v="1987-11-26T00:00:00"/>
        <d v="1989-04-06T00:00:00"/>
        <d v="1992-07-02T00:00:00"/>
        <d v="1993-05-09T00:00:00"/>
        <d v="1992-10-01T00:00:00"/>
        <d v="1980-05-21T00:00:00"/>
      </sharedItems>
    </cacheField>
    <cacheField name="Salary" numFmtId="0">
      <sharedItems containsSemiMixedTypes="0" containsString="0" containsNumber="1" containsInteger="1" minValue="5950" maxValue="49000"/>
    </cacheField>
    <cacheField name="Mobile Number" numFmtId="0">
      <sharedItems containsMixedTypes="1" containsNumber="1" containsInteger="1" minValue="7709412045" maxValue="9987334056"/>
    </cacheField>
    <cacheField name="Age" numFmtId="0">
      <sharedItems containsSemiMixedTypes="0" containsString="0" containsNumber="1" containsInteger="1" minValue="15" maxValue="85"/>
    </cacheField>
    <cacheField name="rank" numFmtId="0">
      <sharedItems containsSemiMixedTypes="0" containsString="0" containsNumber="1" containsInteger="1" minValue="1" maxValue="100"/>
    </cacheField>
    <cacheField name="Column1" numFmtId="0">
      <sharedItems/>
    </cacheField>
    <cacheField name="Column2" numFmtId="0">
      <sharedItems containsString="0" containsBlank="1" containsNumber="1" containsInteger="1" minValue="2" maxValue="6"/>
    </cacheField>
    <cacheField name="Column3" numFmtId="0">
      <sharedItems containsString="0" containsBlank="1" containsNumber="1" containsInteger="1" minValue="12" maxValue="12"/>
    </cacheField>
  </cacheFields>
  <extLst>
    <ext xmlns:x14="http://schemas.microsoft.com/office/spreadsheetml/2009/9/main" uri="{725AE2AE-9491-48be-B2B4-4EB974FC3084}">
      <x14:pivotCacheDefinition pivotCacheId="171118513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799301273146" backgroundQuery="1" createdVersion="6" refreshedVersion="6" minRefreshableVersion="3" recordCount="0" supportSubquery="1" supportAdvancedDrill="1" xr:uid="{2EEFE23A-B378-47A5-8397-4C0A32218569}">
  <cacheSource type="external" connectionId="1"/>
  <cacheFields count="2">
    <cacheField name="[Vlookup].[Brand Name].[Brand Name]" caption="Brand Name" numFmtId="0" hierarchy="44" level="1">
      <sharedItems count="16">
        <s v="7UP Revive"/>
        <s v="Appy"/>
        <s v="Dukes"/>
        <s v="Gluco-Plus"/>
        <s v="H2O"/>
        <s v="Limca"/>
        <s v="LMN"/>
        <s v="Maza"/>
        <s v="MDew"/>
        <s v="Mirinda"/>
        <s v="N7up"/>
        <s v="Paneer Soda"/>
        <s v="Pepsi"/>
        <s v="Seven Up"/>
        <s v="Slice"/>
        <s v="Sprite"/>
      </sharedItems>
    </cacheField>
    <cacheField name="[Measures].[Sum of Box In Qty 2]" caption="Sum of Box In Qty 2" numFmtId="0" hierarchy="71" level="32767"/>
  </cacheFields>
  <cacheHierarchies count="73">
    <cacheHierarchy uniqueName="[Blood_Doners].[Sr.No]" caption="Sr.No" attribute="1" defaultMemberUniqueName="[Blood_Doners].[Sr.No].[All]" allUniqueName="[Blood_Doners].[Sr.No].[All]" dimensionUniqueName="[Blood_Doners]" displayFolder="" count="0" memberValueDatatype="20" unbalanced="0"/>
    <cacheHierarchy uniqueName="[Blood_Doners].[Donor's Name]" caption="Donor's Name" attribute="1" defaultMemberUniqueName="[Blood_Doners].[Donor's Name].[All]" allUniqueName="[Blood_Doners].[Donor's Name].[All]" dimensionUniqueName="[Blood_Doners]" displayFolder="" count="0" memberValueDatatype="130" unbalanced="0"/>
    <cacheHierarchy uniqueName="[Blood_Doners].[Donor's Age]" caption="Donor's Age" attribute="1" defaultMemberUniqueName="[Blood_Doners].[Donor's Age].[All]" allUniqueName="[Blood_Doners].[Donor's Age].[All]" dimensionUniqueName="[Blood_Doners]" displayFolder="" count="0" memberValueDatatype="20" unbalanced="0"/>
    <cacheHierarchy uniqueName="[Blood_Doners].[Blood Group]" caption="Blood Group" attribute="1" defaultMemberUniqueName="[Blood_Doners].[Blood Group].[All]" allUniqueName="[Blood_Doners].[Blood Group].[All]" dimensionUniqueName="[Blood_Doners]" displayFolder="" count="0" memberValueDatatype="130" unbalanced="0"/>
    <cacheHierarchy uniqueName="[Blood_Doners].[Stock In ML]" caption="Stock In ML" attribute="1" defaultMemberUniqueName="[Blood_Doners].[Stock In ML].[All]" allUniqueName="[Blood_Doners].[Stock In ML].[All]" dimensionUniqueName="[Blood_Doners]" displayFolder="" count="0" memberValueDatatype="20" unbalanced="0"/>
    <cacheHierarchy uniqueName="[Blood_Doners].[Locality]" caption="Locality" attribute="1" defaultMemberUniqueName="[Blood_Doners].[Locality].[All]" allUniqueName="[Blood_Doners].[Locality].[All]" dimensionUniqueName="[Blood_Doners]" displayFolder="" count="0" memberValueDatatype="130" unbalanced="0"/>
    <cacheHierarchy uniqueName="[Blood_Doners].[Address]" caption="Address" attribute="1" defaultMemberUniqueName="[Blood_Doners].[Address].[All]" allUniqueName="[Blood_Doners].[Address].[All]" dimensionUniqueName="[Blood_Doners]" displayFolder="" count="0" memberValueDatatype="130" unbalanced="0"/>
    <cacheHierarchy uniqueName="[Blood_Doners].[Phone Number]" caption="Phone Number" attribute="1" defaultMemberUniqueName="[Blood_Doners].[Phone Number].[All]" allUniqueName="[Blood_Doners].[Phone Number].[All]" dimensionUniqueName="[Blood_Doners]" displayFolder="" count="0" memberValueDatatype="130" unbalanced="0"/>
    <cacheHierarchy uniqueName="[Blood_Doners].[Date]" caption="Date" attribute="1" time="1" defaultMemberUniqueName="[Blood_Doners].[Date].[All]" allUniqueName="[Blood_Doners].[Date].[All]" dimensionUniqueName="[Blood_Doners]" displayFolder="" count="0" memberValueDatatype="7" unbalanced="0"/>
    <cacheHierarchy uniqueName="[Blood_Doners].[Time]" caption="Time" attribute="1" time="1" defaultMemberUniqueName="[Blood_Doners].[Time].[All]" allUniqueName="[Blood_Doners].[Time].[All]" dimensionUniqueName="[Blood_Doners]" displayFolder="" count="0" memberValueDatatype="7" unbalanced="0"/>
    <cacheHierarchy uniqueName="[Colddrinks].[Sr. No]" caption="Sr. No" attribute="1" defaultMemberUniqueName="[Colddrinks].[Sr. No].[All]" allUniqueName="[Colddrinks].[Sr. No].[All]" dimensionUniqueName="[Colddrinks]" displayFolder="" count="0" memberValueDatatype="20" unbalanced="0"/>
    <cacheHierarchy uniqueName="[Colddrinks].[Name]" caption="Name" attribute="1" defaultMemberUniqueName="[Colddrinks].[Name].[All]" allUniqueName="[Colddrinks].[Name].[All]" dimensionUniqueName="[Colddrinks]" displayFolder="" count="0" memberValueDatatype="130" unbalanced="0"/>
    <cacheHierarchy uniqueName="[Colddrinks].[year]" caption="year" attribute="1" defaultMemberUniqueName="[Colddrinks].[year].[All]" allUniqueName="[Colddrinks].[year].[All]" dimensionUniqueName="[Colddrinks]" displayFolder="" count="0" memberValueDatatype="20" unbalanced="0"/>
    <cacheHierarchy uniqueName="[Colddrinks].[Brand]" caption="Brand" attribute="1" defaultMemberUniqueName="[Colddrinks].[Brand].[All]" allUniqueName="[Colddrinks].[Brand].[All]" dimensionUniqueName="[Colddrinks]" displayFolder="" count="0" memberValueDatatype="130" unbalanced="0"/>
    <cacheHierarchy uniqueName="[Colddrinks].[Jan]" caption="Jan" attribute="1" defaultMemberUniqueName="[Colddrinks].[Jan].[All]" allUniqueName="[Colddrinks].[Jan].[All]" dimensionUniqueName="[Colddrinks]" displayFolder="" count="0" memberValueDatatype="20" unbalanced="0"/>
    <cacheHierarchy uniqueName="[Colddrinks].[Feb]" caption="Feb" attribute="1" defaultMemberUniqueName="[Colddrinks].[Feb].[All]" allUniqueName="[Colddrinks].[Feb].[All]" dimensionUniqueName="[Colddrinks]" displayFolder="" count="0" memberValueDatatype="20" unbalanced="0"/>
    <cacheHierarchy uniqueName="[Colddrinks].[Mar]" caption="Mar" attribute="1" defaultMemberUniqueName="[Colddrinks].[Mar].[All]" allUniqueName="[Colddrinks].[Mar].[All]" dimensionUniqueName="[Colddrinks]" displayFolder="" count="0" memberValueDatatype="20" unbalanced="0"/>
    <cacheHierarchy uniqueName="[Employee].[Full Name]" caption="Full Name" attribute="1" defaultMemberUniqueName="[Employee].[Full Name].[All]" allUniqueName="[Employee].[Full Name].[All]" dimensionUniqueName="[Employee]" displayFolder="" count="0" memberValueDatatype="130" unbalanced="0"/>
    <cacheHierarchy uniqueName="[Employee].[Dept]" caption="Dept" attribute="1" defaultMemberUniqueName="[Employee].[Dept].[All]" allUniqueName="[Employee].[Dept].[All]" dimensionUniqueName="[Employee]" displayFolder="" count="0" memberValueDatatype="130" unbalanced="0"/>
    <cacheHierarchy uniqueName="[Employee].[Region]" caption="Region" attribute="1" defaultMemberUniqueName="[Employee].[Region].[All]" allUniqueName="[Employee].[Region].[All]" dimensionUniqueName="[Employee]" displayFolder="" count="0" memberValueDatatype="130" unbalanced="0"/>
    <cacheHierarchy uniqueName="[Employee].[Branch]" caption="Branch" attribute="1" defaultMemberUniqueName="[Employee].[Branch].[All]" allUniqueName="[Employee].[Branch].[All]" dimensionUniqueName="[Employee]" displayFolder="" count="0" memberValueDatatype="130" unbalanced="0"/>
    <cacheHierarchy uniqueName="[Employee].[Date of joining]" caption="Date of joining" attribute="1" time="1" defaultMemberUniqueName="[Employee].[Date of joining].[All]" allUniqueName="[Employee].[Date of joining].[All]" dimensionUniqueName="[Employee]" displayFolder="" count="0" memberValueDatatype="7" unbalanced="0"/>
    <cacheHierarchy uniqueName="[Employee].[Salary]" caption="Salary" attribute="1" defaultMemberUniqueName="[Employee].[Salary].[All]" allUniqueName="[Employee].[Salary].[All]" dimensionUniqueName="[Employee]" displayFolder="" count="0" memberValueDatatype="20" unbalanced="0"/>
    <cacheHierarchy uniqueName="[Employee].[Mobile Number]" caption="Mobile Number" attribute="1" defaultMemberUniqueName="[Employee].[Mobile Number].[All]" allUniqueName="[Employee].[Mobile Number].[All]" dimensionUniqueName="[Employee]" displayFolder="" count="0" memberValueDatatype="130" unbalanced="0"/>
    <cacheHierarchy uniqueName="[Employee].[Age]" caption="Age" attribute="1" defaultMemberUniqueName="[Employee].[Age].[All]" allUniqueName="[Employee].[Age].[All]" dimensionUniqueName="[Employee]" displayFolder="" count="0" memberValueDatatype="20" unbalanced="0"/>
    <cacheHierarchy uniqueName="[Employee].[rank]" caption="rank" attribute="1" defaultMemberUniqueName="[Employee].[rank].[All]" allUniqueName="[Employee].[rank].[All]" dimensionUniqueName="[Employee]" displayFolder="" count="0" memberValueDatatype="20" unbalanced="0"/>
    <cacheHierarchy uniqueName="[Employee].[Column1]" caption="Column1" attribute="1" defaultMemberUniqueName="[Employee].[Column1].[All]" allUniqueName="[Employee].[Column1].[All]" dimensionUniqueName="[Employee]" displayFolder="" count="0" memberValueDatatype="130" unbalanced="0"/>
    <cacheHierarchy uniqueName="[Employee].[Column2]" caption="Column2" attribute="1" defaultMemberUniqueName="[Employee].[Column2].[All]" allUniqueName="[Employee].[Column2].[All]" dimensionUniqueName="[Employee]" displayFolder="" count="0" memberValueDatatype="20" unbalanced="0"/>
    <cacheHierarchy uniqueName="[Employee].[Column3]" caption="Column3" attribute="1" defaultMemberUniqueName="[Employee].[Column3].[All]" allUniqueName="[Employee].[Column3].[All]" dimensionUniqueName="[Employe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Brand Name]" caption="Brand Name" attribute="1" defaultMemberUniqueName="[Range].[Brand Name].[All]" allUniqueName="[Range].[Brand Name].[All]" dimensionUniqueName="[Range]" displayFolder="" count="0" memberValueDatatype="130" unbalanced="0"/>
    <cacheHierarchy uniqueName="[Range].[Box In Qty]" caption="Box In Qty" attribute="1" defaultMemberUniqueName="[Range].[Box In Qty].[All]" allUniqueName="[Range].[Box In Qty].[All]" dimensionUniqueName="[Range]" displayFolder="" count="0" memberValueDatatype="20" unbalanced="0"/>
    <cacheHierarchy uniqueName="[Range].[Box Rate]" caption="Box Rate" attribute="1" defaultMemberUniqueName="[Range].[Box Rate].[All]" allUniqueName="[Range].[Box Rate].[All]" dimensionUniqueName="[Range]" displayFolder="" count="0" memberValueDatatype="20" unbalanced="0"/>
    <cacheHierarchy uniqueName="[Range].[Total  Amount]" caption="Total  Amount" attribute="1" defaultMemberUniqueName="[Range].[Total  Amount].[All]" allUniqueName="[Range].[Total  Amount].[All]" dimensionUniqueName="[Range]" displayFolder="" count="0" memberValueDatatype="20" unbalanced="0"/>
    <cacheHierarchy uniqueName="[Range].[Commission]" caption="Commission" attribute="1" defaultMemberUniqueName="[Range].[Commission].[All]" allUniqueName="[Range].[Commission].[All]" dimensionUniqueName="[Range]" displayFolder="" count="0" memberValueDatatype="5" unbalanced="0"/>
    <cacheHierarchy uniqueName="[Range].[Date (Month)]" caption="Date (Month)" attribute="1" defaultMemberUniqueName="[Range].[Date (Month)].[All]" allUniqueName="[Range].[Date (Month)].[All]" dimensionUniqueName="[Range]" displayFolder="" count="0" memberValueDatatype="130" unbalanced="0"/>
    <cacheHierarchy uniqueName="[Range 1].[Sr. No]" caption="Sr. No" attribute="1" defaultMemberUniqueName="[Range 1].[Sr. No].[All]" allUniqueName="[Range 1].[Sr. No].[All]" dimensionUniqueName="[Range 1]" displayFolder="" count="0" memberValueDatatype="20" unbalanced="0"/>
    <cacheHierarchy uniqueName="[Range 1].[Name]" caption="Name" attribute="1" defaultMemberUniqueName="[Range 1].[Name].[All]" allUniqueName="[Range 1].[Name].[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Brand]" caption="Brand" attribute="1" defaultMemberUniqueName="[Range 1].[Brand].[All]" allUniqueName="[Range 1].[Brand].[All]" dimensionUniqueName="[Range 1]" displayFolder="" count="0" memberValueDatatype="130" unbalanced="0"/>
    <cacheHierarchy uniqueName="[Range 1].[Jan]" caption="Jan" attribute="1" defaultMemberUniqueName="[Range 1].[Jan].[All]" allUniqueName="[Range 1].[Jan].[All]" dimensionUniqueName="[Range 1]" displayFolder="" count="0" memberValueDatatype="20" unbalanced="0"/>
    <cacheHierarchy uniqueName="[Range 1].[Feb]" caption="Feb" attribute="1" defaultMemberUniqueName="[Range 1].[Feb].[All]" allUniqueName="[Range 1].[Feb].[All]" dimensionUniqueName="[Range 1]" displayFolder="" count="0" memberValueDatatype="20" unbalanced="0"/>
    <cacheHierarchy uniqueName="[Range 1].[Mar]" caption="Mar" attribute="1" defaultMemberUniqueName="[Range 1].[Mar].[All]" allUniqueName="[Range 1].[Mar].[All]" dimensionUniqueName="[Range 1]" displayFolder="" count="0" memberValueDatatype="20" unbalanced="0"/>
    <cacheHierarchy uniqueName="[Vlookup].[Date]" caption="Date" attribute="1" time="1" defaultMemberUniqueName="[Vlookup].[Date].[All]" allUniqueName="[Vlookup].[Date].[All]" dimensionUniqueName="[Vlookup]" displayFolder="" count="0" memberValueDatatype="7" unbalanced="0"/>
    <cacheHierarchy uniqueName="[Vlookup].[Brand Name]" caption="Brand Name" attribute="1" defaultMemberUniqueName="[Vlookup].[Brand Name].[All]" allUniqueName="[Vlookup].[Brand Name].[All]" dimensionUniqueName="[Vlookup]" displayFolder="" count="2" memberValueDatatype="130" unbalanced="0">
      <fieldsUsage count="2">
        <fieldUsage x="-1"/>
        <fieldUsage x="0"/>
      </fieldsUsage>
    </cacheHierarchy>
    <cacheHierarchy uniqueName="[Vlookup].[Box In Qty]" caption="Box In Qty" attribute="1" defaultMemberUniqueName="[Vlookup].[Box In Qty].[All]" allUniqueName="[Vlookup].[Box In Qty].[All]" dimensionUniqueName="[Vlookup]" displayFolder="" count="0" memberValueDatatype="20" unbalanced="0"/>
    <cacheHierarchy uniqueName="[Vlookup].[Box Rate]" caption="Box Rate" attribute="1" defaultMemberUniqueName="[Vlookup].[Box Rate].[All]" allUniqueName="[Vlookup].[Box Rate].[All]" dimensionUniqueName="[Vlookup]" displayFolder="" count="0" memberValueDatatype="20" unbalanced="0"/>
    <cacheHierarchy uniqueName="[Vlookup].[Total  Amount]" caption="Total  Amount" attribute="1" defaultMemberUniqueName="[Vlookup].[Total  Amount].[All]" allUniqueName="[Vlookup].[Total  Amount].[All]" dimensionUniqueName="[Vlookup]" displayFolder="" count="0" memberValueDatatype="20" unbalanced="0"/>
    <cacheHierarchy uniqueName="[Vlookup].[Commission]" caption="Commission" attribute="1" defaultMemberUniqueName="[Vlookup].[Commission].[All]" allUniqueName="[Vlookup].[Commission].[All]" dimensionUniqueName="[Vlookup]" displayFolder="" count="0" memberValueDatatype="5"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hidden="1">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oneField="1" hidden="1">
      <fieldsUsage count="1">
        <fieldUsage x="1"/>
      </fieldsUsage>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hidden="1">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827503587963" backgroundQuery="1" createdVersion="6" refreshedVersion="6" minRefreshableVersion="3" recordCount="0" supportSubquery="1" supportAdvancedDrill="1" xr:uid="{C7A3FF21-0366-478B-A2C0-FEB4A22A2349}">
  <cacheSource type="external" connectionId="1"/>
  <cacheFields count="2">
    <cacheField name="[Employee].[Dept].[Dept]" caption="Dept" numFmtId="0" hierarchy="18" level="1">
      <sharedItems count="8">
        <s v="Admin"/>
        <s v="CCD"/>
        <s v="Director"/>
        <s v="Finance"/>
        <s v="Mktg"/>
        <s v="Personnel"/>
        <s v="R&amp;D"/>
        <s v="Sales"/>
      </sharedItems>
    </cacheField>
    <cacheField name="[Measures].[Distinct Count of Region]" caption="Distinct Count of Region" numFmtId="0" hierarchy="72" level="32767"/>
  </cacheFields>
  <cacheHierarchies count="73">
    <cacheHierarchy uniqueName="[Blood_Doners].[Sr.No]" caption="Sr.No" attribute="1" defaultMemberUniqueName="[Blood_Doners].[Sr.No].[All]" allUniqueName="[Blood_Doners].[Sr.No].[All]" dimensionUniqueName="[Blood_Doners]" displayFolder="" count="0" memberValueDatatype="20" unbalanced="0"/>
    <cacheHierarchy uniqueName="[Blood_Doners].[Donor's Name]" caption="Donor's Name" attribute="1" defaultMemberUniqueName="[Blood_Doners].[Donor's Name].[All]" allUniqueName="[Blood_Doners].[Donor's Name].[All]" dimensionUniqueName="[Blood_Doners]" displayFolder="" count="0" memberValueDatatype="130" unbalanced="0"/>
    <cacheHierarchy uniqueName="[Blood_Doners].[Donor's Age]" caption="Donor's Age" attribute="1" defaultMemberUniqueName="[Blood_Doners].[Donor's Age].[All]" allUniqueName="[Blood_Doners].[Donor's Age].[All]" dimensionUniqueName="[Blood_Doners]" displayFolder="" count="0" memberValueDatatype="20" unbalanced="0"/>
    <cacheHierarchy uniqueName="[Blood_Doners].[Blood Group]" caption="Blood Group" attribute="1" defaultMemberUniqueName="[Blood_Doners].[Blood Group].[All]" allUniqueName="[Blood_Doners].[Blood Group].[All]" dimensionUniqueName="[Blood_Doners]" displayFolder="" count="0" memberValueDatatype="130" unbalanced="0"/>
    <cacheHierarchy uniqueName="[Blood_Doners].[Stock In ML]" caption="Stock In ML" attribute="1" defaultMemberUniqueName="[Blood_Doners].[Stock In ML].[All]" allUniqueName="[Blood_Doners].[Stock In ML].[All]" dimensionUniqueName="[Blood_Doners]" displayFolder="" count="0" memberValueDatatype="20" unbalanced="0"/>
    <cacheHierarchy uniqueName="[Blood_Doners].[Locality]" caption="Locality" attribute="1" defaultMemberUniqueName="[Blood_Doners].[Locality].[All]" allUniqueName="[Blood_Doners].[Locality].[All]" dimensionUniqueName="[Blood_Doners]" displayFolder="" count="0" memberValueDatatype="130" unbalanced="0"/>
    <cacheHierarchy uniqueName="[Blood_Doners].[Address]" caption="Address" attribute="1" defaultMemberUniqueName="[Blood_Doners].[Address].[All]" allUniqueName="[Blood_Doners].[Address].[All]" dimensionUniqueName="[Blood_Doners]" displayFolder="" count="0" memberValueDatatype="130" unbalanced="0"/>
    <cacheHierarchy uniqueName="[Blood_Doners].[Phone Number]" caption="Phone Number" attribute="1" defaultMemberUniqueName="[Blood_Doners].[Phone Number].[All]" allUniqueName="[Blood_Doners].[Phone Number].[All]" dimensionUniqueName="[Blood_Doners]" displayFolder="" count="0" memberValueDatatype="130" unbalanced="0"/>
    <cacheHierarchy uniqueName="[Blood_Doners].[Date]" caption="Date" attribute="1" time="1" defaultMemberUniqueName="[Blood_Doners].[Date].[All]" allUniqueName="[Blood_Doners].[Date].[All]" dimensionUniqueName="[Blood_Doners]" displayFolder="" count="0" memberValueDatatype="7" unbalanced="0"/>
    <cacheHierarchy uniqueName="[Blood_Doners].[Time]" caption="Time" attribute="1" time="1" defaultMemberUniqueName="[Blood_Doners].[Time].[All]" allUniqueName="[Blood_Doners].[Time].[All]" dimensionUniqueName="[Blood_Doners]" displayFolder="" count="0" memberValueDatatype="7" unbalanced="0"/>
    <cacheHierarchy uniqueName="[Colddrinks].[Sr. No]" caption="Sr. No" attribute="1" defaultMemberUniqueName="[Colddrinks].[Sr. No].[All]" allUniqueName="[Colddrinks].[Sr. No].[All]" dimensionUniqueName="[Colddrinks]" displayFolder="" count="0" memberValueDatatype="20" unbalanced="0"/>
    <cacheHierarchy uniqueName="[Colddrinks].[Name]" caption="Name" attribute="1" defaultMemberUniqueName="[Colddrinks].[Name].[All]" allUniqueName="[Colddrinks].[Name].[All]" dimensionUniqueName="[Colddrinks]" displayFolder="" count="0" memberValueDatatype="130" unbalanced="0"/>
    <cacheHierarchy uniqueName="[Colddrinks].[year]" caption="year" attribute="1" defaultMemberUniqueName="[Colddrinks].[year].[All]" allUniqueName="[Colddrinks].[year].[All]" dimensionUniqueName="[Colddrinks]" displayFolder="" count="0" memberValueDatatype="20" unbalanced="0"/>
    <cacheHierarchy uniqueName="[Colddrinks].[Brand]" caption="Brand" attribute="1" defaultMemberUniqueName="[Colddrinks].[Brand].[All]" allUniqueName="[Colddrinks].[Brand].[All]" dimensionUniqueName="[Colddrinks]" displayFolder="" count="0" memberValueDatatype="130" unbalanced="0"/>
    <cacheHierarchy uniqueName="[Colddrinks].[Jan]" caption="Jan" attribute="1" defaultMemberUniqueName="[Colddrinks].[Jan].[All]" allUniqueName="[Colddrinks].[Jan].[All]" dimensionUniqueName="[Colddrinks]" displayFolder="" count="0" memberValueDatatype="20" unbalanced="0"/>
    <cacheHierarchy uniqueName="[Colddrinks].[Feb]" caption="Feb" attribute="1" defaultMemberUniqueName="[Colddrinks].[Feb].[All]" allUniqueName="[Colddrinks].[Feb].[All]" dimensionUniqueName="[Colddrinks]" displayFolder="" count="0" memberValueDatatype="20" unbalanced="0"/>
    <cacheHierarchy uniqueName="[Colddrinks].[Mar]" caption="Mar" attribute="1" defaultMemberUniqueName="[Colddrinks].[Mar].[All]" allUniqueName="[Colddrinks].[Mar].[All]" dimensionUniqueName="[Colddrinks]" displayFolder="" count="0" memberValueDatatype="20" unbalanced="0"/>
    <cacheHierarchy uniqueName="[Employee].[Full Name]" caption="Full Name" attribute="1" defaultMemberUniqueName="[Employee].[Full Name].[All]" allUniqueName="[Employee].[Full Name].[All]" dimensionUniqueName="[Employee]" displayFolder="" count="0" memberValueDatatype="130" unbalanced="0"/>
    <cacheHierarchy uniqueName="[Employee].[Dept]" caption="Dept" attribute="1" defaultMemberUniqueName="[Employee].[Dept].[All]" allUniqueName="[Employee].[Dept].[All]" dimensionUniqueName="[Employee]" displayFolder="" count="2" memberValueDatatype="130" unbalanced="0">
      <fieldsUsage count="2">
        <fieldUsage x="-1"/>
        <fieldUsage x="0"/>
      </fieldsUsage>
    </cacheHierarchy>
    <cacheHierarchy uniqueName="[Employee].[Region]" caption="Region" attribute="1" defaultMemberUniqueName="[Employee].[Region].[All]" allUniqueName="[Employee].[Region].[All]" dimensionUniqueName="[Employee]" displayFolder="" count="0" memberValueDatatype="130" unbalanced="0"/>
    <cacheHierarchy uniqueName="[Employee].[Branch]" caption="Branch" attribute="1" defaultMemberUniqueName="[Employee].[Branch].[All]" allUniqueName="[Employee].[Branch].[All]" dimensionUniqueName="[Employee]" displayFolder="" count="0" memberValueDatatype="130" unbalanced="0"/>
    <cacheHierarchy uniqueName="[Employee].[Date of joining]" caption="Date of joining" attribute="1" time="1" defaultMemberUniqueName="[Employee].[Date of joining].[All]" allUniqueName="[Employee].[Date of joining].[All]" dimensionUniqueName="[Employee]" displayFolder="" count="0" memberValueDatatype="7" unbalanced="0"/>
    <cacheHierarchy uniqueName="[Employee].[Salary]" caption="Salary" attribute="1" defaultMemberUniqueName="[Employee].[Salary].[All]" allUniqueName="[Employee].[Salary].[All]" dimensionUniqueName="[Employee]" displayFolder="" count="0" memberValueDatatype="20" unbalanced="0"/>
    <cacheHierarchy uniqueName="[Employee].[Mobile Number]" caption="Mobile Number" attribute="1" defaultMemberUniqueName="[Employee].[Mobile Number].[All]" allUniqueName="[Employee].[Mobile Number].[All]" dimensionUniqueName="[Employee]" displayFolder="" count="0" memberValueDatatype="130" unbalanced="0"/>
    <cacheHierarchy uniqueName="[Employee].[Age]" caption="Age" attribute="1" defaultMemberUniqueName="[Employee].[Age].[All]" allUniqueName="[Employee].[Age].[All]" dimensionUniqueName="[Employee]" displayFolder="" count="0" memberValueDatatype="20" unbalanced="0"/>
    <cacheHierarchy uniqueName="[Employee].[rank]" caption="rank" attribute="1" defaultMemberUniqueName="[Employee].[rank].[All]" allUniqueName="[Employee].[rank].[All]" dimensionUniqueName="[Employee]" displayFolder="" count="0" memberValueDatatype="20" unbalanced="0"/>
    <cacheHierarchy uniqueName="[Employee].[Column1]" caption="Column1" attribute="1" defaultMemberUniqueName="[Employee].[Column1].[All]" allUniqueName="[Employee].[Column1].[All]" dimensionUniqueName="[Employee]" displayFolder="" count="0" memberValueDatatype="130" unbalanced="0"/>
    <cacheHierarchy uniqueName="[Employee].[Column2]" caption="Column2" attribute="1" defaultMemberUniqueName="[Employee].[Column2].[All]" allUniqueName="[Employee].[Column2].[All]" dimensionUniqueName="[Employee]" displayFolder="" count="0" memberValueDatatype="20" unbalanced="0"/>
    <cacheHierarchy uniqueName="[Employee].[Column3]" caption="Column3" attribute="1" defaultMemberUniqueName="[Employee].[Column3].[All]" allUniqueName="[Employee].[Column3].[All]" dimensionUniqueName="[Employe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Brand Name]" caption="Brand Name" attribute="1" defaultMemberUniqueName="[Range].[Brand Name].[All]" allUniqueName="[Range].[Brand Name].[All]" dimensionUniqueName="[Range]" displayFolder="" count="0" memberValueDatatype="130" unbalanced="0"/>
    <cacheHierarchy uniqueName="[Range].[Box In Qty]" caption="Box In Qty" attribute="1" defaultMemberUniqueName="[Range].[Box In Qty].[All]" allUniqueName="[Range].[Box In Qty].[All]" dimensionUniqueName="[Range]" displayFolder="" count="0" memberValueDatatype="20" unbalanced="0"/>
    <cacheHierarchy uniqueName="[Range].[Box Rate]" caption="Box Rate" attribute="1" defaultMemberUniqueName="[Range].[Box Rate].[All]" allUniqueName="[Range].[Box Rate].[All]" dimensionUniqueName="[Range]" displayFolder="" count="0" memberValueDatatype="20" unbalanced="0"/>
    <cacheHierarchy uniqueName="[Range].[Total  Amount]" caption="Total  Amount" attribute="1" defaultMemberUniqueName="[Range].[Total  Amount].[All]" allUniqueName="[Range].[Total  Amount].[All]" dimensionUniqueName="[Range]" displayFolder="" count="0" memberValueDatatype="20" unbalanced="0"/>
    <cacheHierarchy uniqueName="[Range].[Commission]" caption="Commission" attribute="1" defaultMemberUniqueName="[Range].[Commission].[All]" allUniqueName="[Range].[Commission].[All]" dimensionUniqueName="[Range]" displayFolder="" count="0" memberValueDatatype="5" unbalanced="0"/>
    <cacheHierarchy uniqueName="[Range].[Date (Month)]" caption="Date (Month)" attribute="1" defaultMemberUniqueName="[Range].[Date (Month)].[All]" allUniqueName="[Range].[Date (Month)].[All]" dimensionUniqueName="[Range]" displayFolder="" count="0" memberValueDatatype="130" unbalanced="0"/>
    <cacheHierarchy uniqueName="[Range 1].[Sr. No]" caption="Sr. No" attribute="1" defaultMemberUniqueName="[Range 1].[Sr. No].[All]" allUniqueName="[Range 1].[Sr. No].[All]" dimensionUniqueName="[Range 1]" displayFolder="" count="0" memberValueDatatype="20" unbalanced="0"/>
    <cacheHierarchy uniqueName="[Range 1].[Name]" caption="Name" attribute="1" defaultMemberUniqueName="[Range 1].[Name].[All]" allUniqueName="[Range 1].[Name].[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Brand]" caption="Brand" attribute="1" defaultMemberUniqueName="[Range 1].[Brand].[All]" allUniqueName="[Range 1].[Brand].[All]" dimensionUniqueName="[Range 1]" displayFolder="" count="0" memberValueDatatype="130" unbalanced="0"/>
    <cacheHierarchy uniqueName="[Range 1].[Jan]" caption="Jan" attribute="1" defaultMemberUniqueName="[Range 1].[Jan].[All]" allUniqueName="[Range 1].[Jan].[All]" dimensionUniqueName="[Range 1]" displayFolder="" count="0" memberValueDatatype="20" unbalanced="0"/>
    <cacheHierarchy uniqueName="[Range 1].[Feb]" caption="Feb" attribute="1" defaultMemberUniqueName="[Range 1].[Feb].[All]" allUniqueName="[Range 1].[Feb].[All]" dimensionUniqueName="[Range 1]" displayFolder="" count="0" memberValueDatatype="20" unbalanced="0"/>
    <cacheHierarchy uniqueName="[Range 1].[Mar]" caption="Mar" attribute="1" defaultMemberUniqueName="[Range 1].[Mar].[All]" allUniqueName="[Range 1].[Mar].[All]" dimensionUniqueName="[Range 1]" displayFolder="" count="0" memberValueDatatype="20" unbalanced="0"/>
    <cacheHierarchy uniqueName="[Vlookup].[Date]" caption="Date" attribute="1" time="1" defaultMemberUniqueName="[Vlookup].[Date].[All]" allUniqueName="[Vlookup].[Date].[All]" dimensionUniqueName="[Vlookup]" displayFolder="" count="0" memberValueDatatype="7" unbalanced="0"/>
    <cacheHierarchy uniqueName="[Vlookup].[Brand Name]" caption="Brand Name" attribute="1" defaultMemberUniqueName="[Vlookup].[Brand Name].[All]" allUniqueName="[Vlookup].[Brand Name].[All]" dimensionUniqueName="[Vlookup]" displayFolder="" count="0" memberValueDatatype="130" unbalanced="0"/>
    <cacheHierarchy uniqueName="[Vlookup].[Box In Qty]" caption="Box In Qty" attribute="1" defaultMemberUniqueName="[Vlookup].[Box In Qty].[All]" allUniqueName="[Vlookup].[Box In Qty].[All]" dimensionUniqueName="[Vlookup]" displayFolder="" count="0" memberValueDatatype="20" unbalanced="0"/>
    <cacheHierarchy uniqueName="[Vlookup].[Box Rate]" caption="Box Rate" attribute="1" defaultMemberUniqueName="[Vlookup].[Box Rate].[All]" allUniqueName="[Vlookup].[Box Rate].[All]" dimensionUniqueName="[Vlookup]" displayFolder="" count="0" memberValueDatatype="20" unbalanced="0"/>
    <cacheHierarchy uniqueName="[Vlookup].[Total  Amount]" caption="Total  Amount" attribute="1" defaultMemberUniqueName="[Vlookup].[Total  Amount].[All]" allUniqueName="[Vlookup].[Total  Amount].[All]" dimensionUniqueName="[Vlookup]" displayFolder="" count="0" memberValueDatatype="20" unbalanced="0"/>
    <cacheHierarchy uniqueName="[Vlookup].[Commission]" caption="Commission" attribute="1" defaultMemberUniqueName="[Vlookup].[Commission].[All]" allUniqueName="[Vlookup].[Commission].[All]" dimensionUniqueName="[Vlookup]" displayFolder="" count="0" memberValueDatatype="5"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hidden="1">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oneField="1" hidden="1">
      <fieldsUsage count="1">
        <fieldUsage x="1"/>
      </fieldsUsage>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788547222219" backgroundQuery="1" createdVersion="6" refreshedVersion="6" minRefreshableVersion="3" recordCount="0" supportSubquery="1" supportAdvancedDrill="1" xr:uid="{0B8C5AE2-9285-4B8F-BFE0-D79D949205FE}">
  <cacheSource type="external" connectionId="1"/>
  <cacheFields count="3">
    <cacheField name="[Blood_Doners].[Donor's Name].[Donor's Name]" caption="Donor's Name" numFmtId="0" hierarchy="1" level="1">
      <sharedItems count="200">
        <s v=" deepak"/>
        <s v=" kasture"/>
        <s v=" madhu"/>
        <s v="aarti"/>
        <s v="aditi"/>
        <s v="agashe"/>
        <s v="aglave"/>
        <s v="akash"/>
        <s v="alan"/>
        <s v="amit"/>
        <s v="amol"/>
        <s v="anand"/>
        <s v="anilkumar"/>
        <s v="arpita"/>
        <s v="arun"/>
        <s v="ashok"/>
        <s v="babu"/>
        <s v="badhe"/>
        <s v="baliram"/>
        <s v="balkishanji"/>
        <s v="bangad"/>
        <s v="bhadange"/>
        <s v="bhakta"/>
        <s v="bharat"/>
        <s v="bhide"/>
        <s v="bhima"/>
        <s v="bhoge"/>
        <s v="bhole"/>
        <s v="bhosale"/>
        <s v="bhutada"/>
        <s v="bob"/>
        <s v="carol"/>
        <s v="chetan"/>
        <s v="dagdulal"/>
        <s v="dattoba"/>
        <s v="david"/>
        <s v="deepak"/>
        <s v="deepakrao"/>
        <s v="deodatta"/>
        <s v="dhakol"/>
        <s v="dilip"/>
        <s v="dinde"/>
        <s v="dipak"/>
        <s v="dnyaneshwar"/>
        <s v="dongre"/>
        <s v="eric"/>
        <s v="firdous"/>
        <s v="fred"/>
        <s v="gail"/>
        <s v="ganesh"/>
        <s v="gholap"/>
        <s v="gopichand"/>
        <s v="gothi"/>
        <s v="gulabsing"/>
        <s v="hajare"/>
        <s v="hanmantrao"/>
        <s v="harishchandra"/>
        <s v="harry"/>
        <s v="hawaldar"/>
        <s v="ian"/>
        <s v="jade"/>
        <s v="jadhav"/>
        <s v="jahan"/>
        <s v="jain"/>
        <s v="janice"/>
        <s v="jaywant"/>
        <s v="jog"/>
        <s v="jon"/>
        <s v="joshi"/>
        <s v="kadam"/>
        <s v="kagade"/>
        <s v="kailas"/>
        <s v="kamble"/>
        <s v="kamlakar"/>
        <s v="kartiki"/>
        <s v="kasture"/>
        <s v="katare"/>
        <s v="katariya"/>
        <s v="kathore"/>
        <s v="kawale"/>
        <s v="khatake"/>
        <s v="kiran"/>
        <s v="kisanrao"/>
        <s v="kishor"/>
        <s v="koli"/>
        <s v="kore"/>
        <s v="kothawale"/>
        <s v="kulkarni"/>
        <s v="kumar"/>
        <s v="lala"/>
        <s v="laxman"/>
        <s v="madhukarrao"/>
        <s v="mahale"/>
        <s v="mahesh"/>
        <s v="makarand"/>
        <s v="mali"/>
        <s v="mane"/>
        <s v="mangala"/>
        <s v="mangesh"/>
        <s v="manohar"/>
        <s v="megha"/>
        <s v="mendi"/>
        <s v="milind"/>
        <s v="misra"/>
        <s v="mohan"/>
        <s v="mohiniraj"/>
        <s v="nachiket"/>
        <s v="nagnath"/>
        <s v="nandkishor"/>
        <s v="nandwate"/>
        <s v="naravade"/>
        <s v="narayan"/>
        <s v="nita"/>
        <s v="nitin"/>
        <s v="nivrutti"/>
        <s v="omkar"/>
        <s v="padvi"/>
        <s v="palepad"/>
        <s v="pallavi"/>
        <s v="pankaj"/>
        <s v="panshing"/>
        <s v="pawar"/>
        <s v="pille"/>
        <s v="poonam"/>
        <s v="popat"/>
        <s v="potdar"/>
        <s v="pragati"/>
        <s v="prajakta"/>
        <s v="prashant"/>
        <s v="pratap"/>
        <s v="pravin"/>
        <s v="priya"/>
        <s v="pushpa"/>
        <s v="rahul"/>
        <s v="rajaram"/>
        <s v="rameshrao"/>
        <s v="rathi"/>
        <s v="ravindra"/>
        <s v="riresh"/>
        <s v="roby"/>
        <s v="rohit"/>
        <s v="sable"/>
        <s v="saleemuddin"/>
        <s v="salubai"/>
        <s v="sanket"/>
        <s v="santosh"/>
        <s v="sarda"/>
        <s v="sasane"/>
        <s v="satishkumar"/>
        <s v="savitha"/>
        <s v="shankar"/>
        <s v="sharad"/>
        <s v="sheela"/>
        <s v="shetty"/>
        <s v="shinde"/>
        <s v="shirke"/>
        <s v="shivaji"/>
        <s v="shraddha"/>
        <s v="shrigopalji"/>
        <s v="shrikant"/>
        <s v="siddheshwar"/>
        <s v="sitaram"/>
        <s v="sneha"/>
        <s v="sonawane"/>
        <s v="sule"/>
        <s v="sunanda"/>
        <s v="sunil"/>
        <s v="surekha"/>
        <s v="surve"/>
        <s v="suryakant"/>
        <s v="suryakantrao"/>
        <s v="swapnil"/>
        <s v="tarachand"/>
        <s v="thakur"/>
        <s v="toshi"/>
        <s v="ubale"/>
        <s v="udgirkar"/>
        <s v="uttam"/>
        <s v="vaishali"/>
        <s v="varsha"/>
        <s v="varun"/>
        <s v="varyani"/>
        <s v="vidhya"/>
        <s v="vidya"/>
        <s v="vijay"/>
        <s v="vijayalaxmi"/>
        <s v="vikas"/>
        <s v="vinayak"/>
        <s v="vinita"/>
        <s v="vinod"/>
        <s v="vishal"/>
        <s v="vitthal"/>
        <s v="vivek"/>
        <s v="vivekanand"/>
        <s v="waghmode"/>
        <s v="wakle"/>
        <s v="williams"/>
        <s v="yadav"/>
        <s v="yogesh"/>
        <s v="youvraj"/>
      </sharedItems>
    </cacheField>
    <cacheField name="[Measures].[Sum of Donor's Age]" caption="Sum of Donor's Age" numFmtId="0" hierarchy="65" level="32767"/>
    <cacheField name="[Measures].[Count of Blood Group]" caption="Count of Blood Group" numFmtId="0" hierarchy="66" level="32767"/>
  </cacheFields>
  <cacheHierarchies count="73">
    <cacheHierarchy uniqueName="[Blood_Doners].[Sr.No]" caption="Sr.No" attribute="1" defaultMemberUniqueName="[Blood_Doners].[Sr.No].[All]" allUniqueName="[Blood_Doners].[Sr.No].[All]" dimensionUniqueName="[Blood_Doners]" displayFolder="" count="0" memberValueDatatype="20" unbalanced="0"/>
    <cacheHierarchy uniqueName="[Blood_Doners].[Donor's Name]" caption="Donor's Name" attribute="1" defaultMemberUniqueName="[Blood_Doners].[Donor's Name].[All]" allUniqueName="[Blood_Doners].[Donor's Name].[All]" dimensionUniqueName="[Blood_Doners]" displayFolder="" count="2" memberValueDatatype="130" unbalanced="0">
      <fieldsUsage count="2">
        <fieldUsage x="-1"/>
        <fieldUsage x="0"/>
      </fieldsUsage>
    </cacheHierarchy>
    <cacheHierarchy uniqueName="[Blood_Doners].[Donor's Age]" caption="Donor's Age" attribute="1" defaultMemberUniqueName="[Blood_Doners].[Donor's Age].[All]" allUniqueName="[Blood_Doners].[Donor's Age].[All]" dimensionUniqueName="[Blood_Doners]" displayFolder="" count="0" memberValueDatatype="20" unbalanced="0"/>
    <cacheHierarchy uniqueName="[Blood_Doners].[Blood Group]" caption="Blood Group" attribute="1" defaultMemberUniqueName="[Blood_Doners].[Blood Group].[All]" allUniqueName="[Blood_Doners].[Blood Group].[All]" dimensionUniqueName="[Blood_Doners]" displayFolder="" count="0" memberValueDatatype="130" unbalanced="0"/>
    <cacheHierarchy uniqueName="[Blood_Doners].[Stock In ML]" caption="Stock In ML" attribute="1" defaultMemberUniqueName="[Blood_Doners].[Stock In ML].[All]" allUniqueName="[Blood_Doners].[Stock In ML].[All]" dimensionUniqueName="[Blood_Doners]" displayFolder="" count="0" memberValueDatatype="20" unbalanced="0"/>
    <cacheHierarchy uniqueName="[Blood_Doners].[Locality]" caption="Locality" attribute="1" defaultMemberUniqueName="[Blood_Doners].[Locality].[All]" allUniqueName="[Blood_Doners].[Locality].[All]" dimensionUniqueName="[Blood_Doners]" displayFolder="" count="0" memberValueDatatype="130" unbalanced="0"/>
    <cacheHierarchy uniqueName="[Blood_Doners].[Address]" caption="Address" attribute="1" defaultMemberUniqueName="[Blood_Doners].[Address].[All]" allUniqueName="[Blood_Doners].[Address].[All]" dimensionUniqueName="[Blood_Doners]" displayFolder="" count="0" memberValueDatatype="130" unbalanced="0"/>
    <cacheHierarchy uniqueName="[Blood_Doners].[Phone Number]" caption="Phone Number" attribute="1" defaultMemberUniqueName="[Blood_Doners].[Phone Number].[All]" allUniqueName="[Blood_Doners].[Phone Number].[All]" dimensionUniqueName="[Blood_Doners]" displayFolder="" count="0" memberValueDatatype="130" unbalanced="0"/>
    <cacheHierarchy uniqueName="[Blood_Doners].[Date]" caption="Date" attribute="1" time="1" defaultMemberUniqueName="[Blood_Doners].[Date].[All]" allUniqueName="[Blood_Doners].[Date].[All]" dimensionUniqueName="[Blood_Doners]" displayFolder="" count="0" memberValueDatatype="7" unbalanced="0"/>
    <cacheHierarchy uniqueName="[Blood_Doners].[Time]" caption="Time" attribute="1" time="1" defaultMemberUniqueName="[Blood_Doners].[Time].[All]" allUniqueName="[Blood_Doners].[Time].[All]" dimensionUniqueName="[Blood_Doners]" displayFolder="" count="0" memberValueDatatype="7" unbalanced="0"/>
    <cacheHierarchy uniqueName="[Colddrinks].[Sr. No]" caption="Sr. No" attribute="1" defaultMemberUniqueName="[Colddrinks].[Sr. No].[All]" allUniqueName="[Colddrinks].[Sr. No].[All]" dimensionUniqueName="[Colddrinks]" displayFolder="" count="0" memberValueDatatype="20" unbalanced="0"/>
    <cacheHierarchy uniqueName="[Colddrinks].[Name]" caption="Name" attribute="1" defaultMemberUniqueName="[Colddrinks].[Name].[All]" allUniqueName="[Colddrinks].[Name].[All]" dimensionUniqueName="[Colddrinks]" displayFolder="" count="0" memberValueDatatype="130" unbalanced="0"/>
    <cacheHierarchy uniqueName="[Colddrinks].[year]" caption="year" attribute="1" defaultMemberUniqueName="[Colddrinks].[year].[All]" allUniqueName="[Colddrinks].[year].[All]" dimensionUniqueName="[Colddrinks]" displayFolder="" count="0" memberValueDatatype="20" unbalanced="0"/>
    <cacheHierarchy uniqueName="[Colddrinks].[Brand]" caption="Brand" attribute="1" defaultMemberUniqueName="[Colddrinks].[Brand].[All]" allUniqueName="[Colddrinks].[Brand].[All]" dimensionUniqueName="[Colddrinks]" displayFolder="" count="0" memberValueDatatype="130" unbalanced="0"/>
    <cacheHierarchy uniqueName="[Colddrinks].[Jan]" caption="Jan" attribute="1" defaultMemberUniqueName="[Colddrinks].[Jan].[All]" allUniqueName="[Colddrinks].[Jan].[All]" dimensionUniqueName="[Colddrinks]" displayFolder="" count="0" memberValueDatatype="20" unbalanced="0"/>
    <cacheHierarchy uniqueName="[Colddrinks].[Feb]" caption="Feb" attribute="1" defaultMemberUniqueName="[Colddrinks].[Feb].[All]" allUniqueName="[Colddrinks].[Feb].[All]" dimensionUniqueName="[Colddrinks]" displayFolder="" count="0" memberValueDatatype="20" unbalanced="0"/>
    <cacheHierarchy uniqueName="[Colddrinks].[Mar]" caption="Mar" attribute="1" defaultMemberUniqueName="[Colddrinks].[Mar].[All]" allUniqueName="[Colddrinks].[Mar].[All]" dimensionUniqueName="[Colddrinks]" displayFolder="" count="0" memberValueDatatype="20" unbalanced="0"/>
    <cacheHierarchy uniqueName="[Employee].[Full Name]" caption="Full Name" attribute="1" defaultMemberUniqueName="[Employee].[Full Name].[All]" allUniqueName="[Employee].[Full Name].[All]" dimensionUniqueName="[Employee]" displayFolder="" count="0" memberValueDatatype="130" unbalanced="0"/>
    <cacheHierarchy uniqueName="[Employee].[Dept]" caption="Dept" attribute="1" defaultMemberUniqueName="[Employee].[Dept].[All]" allUniqueName="[Employee].[Dept].[All]" dimensionUniqueName="[Employee]" displayFolder="" count="0" memberValueDatatype="130" unbalanced="0"/>
    <cacheHierarchy uniqueName="[Employee].[Region]" caption="Region" attribute="1" defaultMemberUniqueName="[Employee].[Region].[All]" allUniqueName="[Employee].[Region].[All]" dimensionUniqueName="[Employee]" displayFolder="" count="0" memberValueDatatype="130" unbalanced="0"/>
    <cacheHierarchy uniqueName="[Employee].[Branch]" caption="Branch" attribute="1" defaultMemberUniqueName="[Employee].[Branch].[All]" allUniqueName="[Employee].[Branch].[All]" dimensionUniqueName="[Employee]" displayFolder="" count="0" memberValueDatatype="130" unbalanced="0"/>
    <cacheHierarchy uniqueName="[Employee].[Date of joining]" caption="Date of joining" attribute="1" time="1" defaultMemberUniqueName="[Employee].[Date of joining].[All]" allUniqueName="[Employee].[Date of joining].[All]" dimensionUniqueName="[Employee]" displayFolder="" count="0" memberValueDatatype="7" unbalanced="0"/>
    <cacheHierarchy uniqueName="[Employee].[Salary]" caption="Salary" attribute="1" defaultMemberUniqueName="[Employee].[Salary].[All]" allUniqueName="[Employee].[Salary].[All]" dimensionUniqueName="[Employee]" displayFolder="" count="0" memberValueDatatype="20" unbalanced="0"/>
    <cacheHierarchy uniqueName="[Employee].[Mobile Number]" caption="Mobile Number" attribute="1" defaultMemberUniqueName="[Employee].[Mobile Number].[All]" allUniqueName="[Employee].[Mobile Number].[All]" dimensionUniqueName="[Employee]" displayFolder="" count="0" memberValueDatatype="130" unbalanced="0"/>
    <cacheHierarchy uniqueName="[Employee].[Age]" caption="Age" attribute="1" defaultMemberUniqueName="[Employee].[Age].[All]" allUniqueName="[Employee].[Age].[All]" dimensionUniqueName="[Employee]" displayFolder="" count="0" memberValueDatatype="20" unbalanced="0"/>
    <cacheHierarchy uniqueName="[Employee].[rank]" caption="rank" attribute="1" defaultMemberUniqueName="[Employee].[rank].[All]" allUniqueName="[Employee].[rank].[All]" dimensionUniqueName="[Employee]" displayFolder="" count="0" memberValueDatatype="20" unbalanced="0"/>
    <cacheHierarchy uniqueName="[Employee].[Column1]" caption="Column1" attribute="1" defaultMemberUniqueName="[Employee].[Column1].[All]" allUniqueName="[Employee].[Column1].[All]" dimensionUniqueName="[Employee]" displayFolder="" count="0" memberValueDatatype="130" unbalanced="0"/>
    <cacheHierarchy uniqueName="[Employee].[Column2]" caption="Column2" attribute="1" defaultMemberUniqueName="[Employee].[Column2].[All]" allUniqueName="[Employee].[Column2].[All]" dimensionUniqueName="[Employee]" displayFolder="" count="0" memberValueDatatype="20" unbalanced="0"/>
    <cacheHierarchy uniqueName="[Employee].[Column3]" caption="Column3" attribute="1" defaultMemberUniqueName="[Employee].[Column3].[All]" allUniqueName="[Employee].[Column3].[All]" dimensionUniqueName="[Employe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Brand Name]" caption="Brand Name" attribute="1" defaultMemberUniqueName="[Range].[Brand Name].[All]" allUniqueName="[Range].[Brand Name].[All]" dimensionUniqueName="[Range]" displayFolder="" count="0" memberValueDatatype="130" unbalanced="0"/>
    <cacheHierarchy uniqueName="[Range].[Box In Qty]" caption="Box In Qty" attribute="1" defaultMemberUniqueName="[Range].[Box In Qty].[All]" allUniqueName="[Range].[Box In Qty].[All]" dimensionUniqueName="[Range]" displayFolder="" count="0" memberValueDatatype="20" unbalanced="0"/>
    <cacheHierarchy uniqueName="[Range].[Box Rate]" caption="Box Rate" attribute="1" defaultMemberUniqueName="[Range].[Box Rate].[All]" allUniqueName="[Range].[Box Rate].[All]" dimensionUniqueName="[Range]" displayFolder="" count="0" memberValueDatatype="20" unbalanced="0"/>
    <cacheHierarchy uniqueName="[Range].[Total  Amount]" caption="Total  Amount" attribute="1" defaultMemberUniqueName="[Range].[Total  Amount].[All]" allUniqueName="[Range].[Total  Amount].[All]" dimensionUniqueName="[Range]" displayFolder="" count="0" memberValueDatatype="20" unbalanced="0"/>
    <cacheHierarchy uniqueName="[Range].[Commission]" caption="Commission" attribute="1" defaultMemberUniqueName="[Range].[Commission].[All]" allUniqueName="[Range].[Commission].[All]" dimensionUniqueName="[Range]" displayFolder="" count="0" memberValueDatatype="5" unbalanced="0"/>
    <cacheHierarchy uniqueName="[Range].[Date (Month)]" caption="Date (Month)" attribute="1" defaultMemberUniqueName="[Range].[Date (Month)].[All]" allUniqueName="[Range].[Date (Month)].[All]" dimensionUniqueName="[Range]" displayFolder="" count="0" memberValueDatatype="130" unbalanced="0"/>
    <cacheHierarchy uniqueName="[Range 1].[Sr. No]" caption="Sr. No" attribute="1" defaultMemberUniqueName="[Range 1].[Sr. No].[All]" allUniqueName="[Range 1].[Sr. No].[All]" dimensionUniqueName="[Range 1]" displayFolder="" count="0" memberValueDatatype="20" unbalanced="0"/>
    <cacheHierarchy uniqueName="[Range 1].[Name]" caption="Name" attribute="1" defaultMemberUniqueName="[Range 1].[Name].[All]" allUniqueName="[Range 1].[Name].[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Brand]" caption="Brand" attribute="1" defaultMemberUniqueName="[Range 1].[Brand].[All]" allUniqueName="[Range 1].[Brand].[All]" dimensionUniqueName="[Range 1]" displayFolder="" count="0" memberValueDatatype="130" unbalanced="0"/>
    <cacheHierarchy uniqueName="[Range 1].[Jan]" caption="Jan" attribute="1" defaultMemberUniqueName="[Range 1].[Jan].[All]" allUniqueName="[Range 1].[Jan].[All]" dimensionUniqueName="[Range 1]" displayFolder="" count="0" memberValueDatatype="20" unbalanced="0"/>
    <cacheHierarchy uniqueName="[Range 1].[Feb]" caption="Feb" attribute="1" defaultMemberUniqueName="[Range 1].[Feb].[All]" allUniqueName="[Range 1].[Feb].[All]" dimensionUniqueName="[Range 1]" displayFolder="" count="0" memberValueDatatype="20" unbalanced="0"/>
    <cacheHierarchy uniqueName="[Range 1].[Mar]" caption="Mar" attribute="1" defaultMemberUniqueName="[Range 1].[Mar].[All]" allUniqueName="[Range 1].[Mar].[All]" dimensionUniqueName="[Range 1]" displayFolder="" count="0" memberValueDatatype="20" unbalanced="0"/>
    <cacheHierarchy uniqueName="[Vlookup].[Date]" caption="Date" attribute="1" time="1" defaultMemberUniqueName="[Vlookup].[Date].[All]" allUniqueName="[Vlookup].[Date].[All]" dimensionUniqueName="[Vlookup]" displayFolder="" count="0" memberValueDatatype="7" unbalanced="0"/>
    <cacheHierarchy uniqueName="[Vlookup].[Brand Name]" caption="Brand Name" attribute="1" defaultMemberUniqueName="[Vlookup].[Brand Name].[All]" allUniqueName="[Vlookup].[Brand Name].[All]" dimensionUniqueName="[Vlookup]" displayFolder="" count="0" memberValueDatatype="130" unbalanced="0"/>
    <cacheHierarchy uniqueName="[Vlookup].[Box In Qty]" caption="Box In Qty" attribute="1" defaultMemberUniqueName="[Vlookup].[Box In Qty].[All]" allUniqueName="[Vlookup].[Box In Qty].[All]" dimensionUniqueName="[Vlookup]" displayFolder="" count="0" memberValueDatatype="20" unbalanced="0"/>
    <cacheHierarchy uniqueName="[Vlookup].[Box Rate]" caption="Box Rate" attribute="1" defaultMemberUniqueName="[Vlookup].[Box Rate].[All]" allUniqueName="[Vlookup].[Box Rate].[All]" dimensionUniqueName="[Vlookup]" displayFolder="" count="0" memberValueDatatype="20" unbalanced="0"/>
    <cacheHierarchy uniqueName="[Vlookup].[Total  Amount]" caption="Total  Amount" attribute="1" defaultMemberUniqueName="[Vlookup].[Total  Amount].[All]" allUniqueName="[Vlookup].[Total  Amount].[All]" dimensionUniqueName="[Vlookup]" displayFolder="" count="0" memberValueDatatype="20" unbalanced="0"/>
    <cacheHierarchy uniqueName="[Vlookup].[Commission]" caption="Commission" attribute="1" defaultMemberUniqueName="[Vlookup].[Commission].[All]" allUniqueName="[Vlookup].[Commission].[All]" dimensionUniqueName="[Vlookup]" displayFolder="" count="0" memberValueDatatype="5"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hidden="1">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hidden="1">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828335416663" backgroundQuery="1" createdVersion="6" refreshedVersion="6" minRefreshableVersion="3" recordCount="0" supportSubquery="1" supportAdvancedDrill="1" xr:uid="{3EDD9888-53E5-41E3-AC6E-6ADE0F6CBE72}">
  <cacheSource type="external" connectionId="1"/>
  <cacheFields count="5">
    <cacheField name="[Colddrinks].[Name].[Name]" caption="Name" numFmtId="0" hierarchy="11" level="1">
      <sharedItems count="5">
        <s v="Ace Energie"/>
        <s v="GANESH TRADERS"/>
        <s v="Kakade Enterprises"/>
        <s v="Parakh Enterprises"/>
        <s v="PRITHVI BEVERAGES"/>
      </sharedItems>
    </cacheField>
    <cacheField name="[Measures].[Sum of year 2]" caption="Sum of year 2" numFmtId="0" hierarchy="67" level="32767"/>
    <cacheField name="[Colddrinks].[Brand].[Brand]" caption="Brand" numFmtId="0" hierarchy="13" level="1">
      <sharedItems containsSemiMixedTypes="0" containsNonDate="0" containsString="0"/>
    </cacheField>
    <cacheField name="[Colddrinks].[Jan].[Jan]" caption="Jan" numFmtId="0" hierarchy="14" level="1">
      <sharedItems containsSemiMixedTypes="0" containsNonDate="0" containsString="0"/>
    </cacheField>
    <cacheField name="[Colddrinks].[Feb].[Feb]" caption="Feb" numFmtId="0" hierarchy="15" level="1">
      <sharedItems containsSemiMixedTypes="0" containsNonDate="0" containsString="0"/>
    </cacheField>
  </cacheFields>
  <cacheHierarchies count="73">
    <cacheHierarchy uniqueName="[Blood_Doners].[Sr.No]" caption="Sr.No" attribute="1" defaultMemberUniqueName="[Blood_Doners].[Sr.No].[All]" allUniqueName="[Blood_Doners].[Sr.No].[All]" dimensionUniqueName="[Blood_Doners]" displayFolder="" count="2" memberValueDatatype="20" unbalanced="0"/>
    <cacheHierarchy uniqueName="[Blood_Doners].[Donor's Name]" caption="Donor's Name" attribute="1" defaultMemberUniqueName="[Blood_Doners].[Donor's Name].[All]" allUniqueName="[Blood_Doners].[Donor's Name].[All]" dimensionUniqueName="[Blood_Doners]" displayFolder="" count="2" memberValueDatatype="130" unbalanced="0"/>
    <cacheHierarchy uniqueName="[Blood_Doners].[Donor's Age]" caption="Donor's Age" attribute="1" defaultMemberUniqueName="[Blood_Doners].[Donor's Age].[All]" allUniqueName="[Blood_Doners].[Donor's Age].[All]" dimensionUniqueName="[Blood_Doners]" displayFolder="" count="2" memberValueDatatype="20" unbalanced="0"/>
    <cacheHierarchy uniqueName="[Blood_Doners].[Blood Group]" caption="Blood Group" attribute="1" defaultMemberUniqueName="[Blood_Doners].[Blood Group].[All]" allUniqueName="[Blood_Doners].[Blood Group].[All]" dimensionUniqueName="[Blood_Doners]" displayFolder="" count="2" memberValueDatatype="130" unbalanced="0"/>
    <cacheHierarchy uniqueName="[Blood_Doners].[Stock In ML]" caption="Stock In ML" attribute="1" defaultMemberUniqueName="[Blood_Doners].[Stock In ML].[All]" allUniqueName="[Blood_Doners].[Stock In ML].[All]" dimensionUniqueName="[Blood_Doners]" displayFolder="" count="2" memberValueDatatype="20" unbalanced="0"/>
    <cacheHierarchy uniqueName="[Blood_Doners].[Locality]" caption="Locality" attribute="1" defaultMemberUniqueName="[Blood_Doners].[Locality].[All]" allUniqueName="[Blood_Doners].[Locality].[All]" dimensionUniqueName="[Blood_Doners]" displayFolder="" count="2" memberValueDatatype="130" unbalanced="0"/>
    <cacheHierarchy uniqueName="[Blood_Doners].[Address]" caption="Address" attribute="1" defaultMemberUniqueName="[Blood_Doners].[Address].[All]" allUniqueName="[Blood_Doners].[Address].[All]" dimensionUniqueName="[Blood_Doners]" displayFolder="" count="2" memberValueDatatype="130" unbalanced="0"/>
    <cacheHierarchy uniqueName="[Blood_Doners].[Phone Number]" caption="Phone Number" attribute="1" defaultMemberUniqueName="[Blood_Doners].[Phone Number].[All]" allUniqueName="[Blood_Doners].[Phone Number].[All]" dimensionUniqueName="[Blood_Doners]" displayFolder="" count="2" memberValueDatatype="130" unbalanced="0"/>
    <cacheHierarchy uniqueName="[Blood_Doners].[Date]" caption="Date" attribute="1" time="1" defaultMemberUniqueName="[Blood_Doners].[Date].[All]" allUniqueName="[Blood_Doners].[Date].[All]" dimensionUniqueName="[Blood_Doners]" displayFolder="" count="2" memberValueDatatype="7" unbalanced="0"/>
    <cacheHierarchy uniqueName="[Blood_Doners].[Time]" caption="Time" attribute="1" time="1" defaultMemberUniqueName="[Blood_Doners].[Time].[All]" allUniqueName="[Blood_Doners].[Time].[All]" dimensionUniqueName="[Blood_Doners]" displayFolder="" count="2" memberValueDatatype="7" unbalanced="0"/>
    <cacheHierarchy uniqueName="[Colddrinks].[Sr. No]" caption="Sr. No" attribute="1" defaultMemberUniqueName="[Colddrinks].[Sr. No].[All]" allUniqueName="[Colddrinks].[Sr. No].[All]" dimensionUniqueName="[Colddrinks]" displayFolder="" count="2" memberValueDatatype="20" unbalanced="0"/>
    <cacheHierarchy uniqueName="[Colddrinks].[Name]" caption="Name" attribute="1" defaultMemberUniqueName="[Colddrinks].[Name].[All]" allUniqueName="[Colddrinks].[Name].[All]" dimensionUniqueName="[Colddrinks]" displayFolder="" count="2" memberValueDatatype="130" unbalanced="0">
      <fieldsUsage count="2">
        <fieldUsage x="-1"/>
        <fieldUsage x="0"/>
      </fieldsUsage>
    </cacheHierarchy>
    <cacheHierarchy uniqueName="[Colddrinks].[year]" caption="year" attribute="1" defaultMemberUniqueName="[Colddrinks].[year].[All]" allUniqueName="[Colddrinks].[year].[All]" dimensionUniqueName="[Colddrinks]" displayFolder="" count="2" memberValueDatatype="20" unbalanced="0"/>
    <cacheHierarchy uniqueName="[Colddrinks].[Brand]" caption="Brand" attribute="1" defaultMemberUniqueName="[Colddrinks].[Brand].[All]" allUniqueName="[Colddrinks].[Brand].[All]" dimensionUniqueName="[Colddrinks]" displayFolder="" count="2" memberValueDatatype="130" unbalanced="0">
      <fieldsUsage count="2">
        <fieldUsage x="-1"/>
        <fieldUsage x="2"/>
      </fieldsUsage>
    </cacheHierarchy>
    <cacheHierarchy uniqueName="[Colddrinks].[Jan]" caption="Jan" attribute="1" defaultMemberUniqueName="[Colddrinks].[Jan].[All]" allUniqueName="[Colddrinks].[Jan].[All]" dimensionUniqueName="[Colddrinks]" displayFolder="" count="2" memberValueDatatype="20" unbalanced="0">
      <fieldsUsage count="2">
        <fieldUsage x="-1"/>
        <fieldUsage x="3"/>
      </fieldsUsage>
    </cacheHierarchy>
    <cacheHierarchy uniqueName="[Colddrinks].[Feb]" caption="Feb" attribute="1" defaultMemberUniqueName="[Colddrinks].[Feb].[All]" allUniqueName="[Colddrinks].[Feb].[All]" dimensionUniqueName="[Colddrinks]" displayFolder="" count="2" memberValueDatatype="20" unbalanced="0">
      <fieldsUsage count="2">
        <fieldUsage x="-1"/>
        <fieldUsage x="4"/>
      </fieldsUsage>
    </cacheHierarchy>
    <cacheHierarchy uniqueName="[Colddrinks].[Mar]" caption="Mar" attribute="1" defaultMemberUniqueName="[Colddrinks].[Mar].[All]" allUniqueName="[Colddrinks].[Mar].[All]" dimensionUniqueName="[Colddrinks]" displayFolder="" count="2" memberValueDatatype="20" unbalanced="0"/>
    <cacheHierarchy uniqueName="[Employee].[Full Name]" caption="Full Name" attribute="1" defaultMemberUniqueName="[Employee].[Full Name].[All]" allUniqueName="[Employee].[Full Name].[All]" dimensionUniqueName="[Employee]" displayFolder="" count="2" memberValueDatatype="130" unbalanced="0"/>
    <cacheHierarchy uniqueName="[Employee].[Dept]" caption="Dept" attribute="1" defaultMemberUniqueName="[Employee].[Dept].[All]" allUniqueName="[Employee].[Dept].[All]" dimensionUniqueName="[Employee]" displayFolder="" count="2" memberValueDatatype="130" unbalanced="0"/>
    <cacheHierarchy uniqueName="[Employee].[Region]" caption="Region" attribute="1" defaultMemberUniqueName="[Employee].[Region].[All]" allUniqueName="[Employee].[Region].[All]" dimensionUniqueName="[Employee]" displayFolder="" count="2" memberValueDatatype="130" unbalanced="0"/>
    <cacheHierarchy uniqueName="[Employee].[Branch]" caption="Branch" attribute="1" defaultMemberUniqueName="[Employee].[Branch].[All]" allUniqueName="[Employee].[Branch].[All]" dimensionUniqueName="[Employee]" displayFolder="" count="2" memberValueDatatype="130" unbalanced="0"/>
    <cacheHierarchy uniqueName="[Employee].[Date of joining]" caption="Date of joining" attribute="1" time="1" defaultMemberUniqueName="[Employee].[Date of joining].[All]" allUniqueName="[Employee].[Date of joining].[All]" dimensionUniqueName="[Employee]" displayFolder="" count="2" memberValueDatatype="7" unbalanced="0"/>
    <cacheHierarchy uniqueName="[Employee].[Salary]" caption="Salary" attribute="1" defaultMemberUniqueName="[Employee].[Salary].[All]" allUniqueName="[Employee].[Salary].[All]" dimensionUniqueName="[Employee]" displayFolder="" count="2" memberValueDatatype="20" unbalanced="0"/>
    <cacheHierarchy uniqueName="[Employee].[Mobile Number]" caption="Mobile Number" attribute="1" defaultMemberUniqueName="[Employee].[Mobile Number].[All]" allUniqueName="[Employee].[Mobile Number].[All]" dimensionUniqueName="[Employee]" displayFolder="" count="2" memberValueDatatype="130" unbalanced="0"/>
    <cacheHierarchy uniqueName="[Employee].[Age]" caption="Age" attribute="1" defaultMemberUniqueName="[Employee].[Age].[All]" allUniqueName="[Employee].[Age].[All]" dimensionUniqueName="[Employee]" displayFolder="" count="2" memberValueDatatype="20" unbalanced="0"/>
    <cacheHierarchy uniqueName="[Employee].[rank]" caption="rank" attribute="1" defaultMemberUniqueName="[Employee].[rank].[All]" allUniqueName="[Employee].[rank].[All]" dimensionUniqueName="[Employee]" displayFolder="" count="2" memberValueDatatype="20" unbalanced="0"/>
    <cacheHierarchy uniqueName="[Employee].[Column1]" caption="Column1" attribute="1" defaultMemberUniqueName="[Employee].[Column1].[All]" allUniqueName="[Employee].[Column1].[All]" dimensionUniqueName="[Employee]" displayFolder="" count="2" memberValueDatatype="130" unbalanced="0"/>
    <cacheHierarchy uniqueName="[Employee].[Column2]" caption="Column2" attribute="1" defaultMemberUniqueName="[Employee].[Column2].[All]" allUniqueName="[Employee].[Column2].[All]" dimensionUniqueName="[Employee]" displayFolder="" count="2" memberValueDatatype="20" unbalanced="0"/>
    <cacheHierarchy uniqueName="[Employee].[Column3]" caption="Column3" attribute="1" defaultMemberUniqueName="[Employee].[Column3].[All]" allUniqueName="[Employee].[Column3].[All]" dimensionUniqueName="[Employee]" displayFolder="" count="2" memberValueDatatype="20" unbalanced="0"/>
    <cacheHierarchy uniqueName="[Range].[Date]" caption="Date" attribute="1" time="1" defaultMemberUniqueName="[Range].[Date].[All]" allUniqueName="[Range].[Date].[All]" dimensionUniqueName="[Range]" displayFolder="" count="2" memberValueDatatype="7" unbalanced="0"/>
    <cacheHierarchy uniqueName="[Range].[Brand Name]" caption="Brand Name" attribute="1" defaultMemberUniqueName="[Range].[Brand Name].[All]" allUniqueName="[Range].[Brand Name].[All]" dimensionUniqueName="[Range]" displayFolder="" count="2" memberValueDatatype="130" unbalanced="0"/>
    <cacheHierarchy uniqueName="[Range].[Box In Qty]" caption="Box In Qty" attribute="1" defaultMemberUniqueName="[Range].[Box In Qty].[All]" allUniqueName="[Range].[Box In Qty].[All]" dimensionUniqueName="[Range]" displayFolder="" count="2" memberValueDatatype="20" unbalanced="0"/>
    <cacheHierarchy uniqueName="[Range].[Box Rate]" caption="Box Rate" attribute="1" defaultMemberUniqueName="[Range].[Box Rate].[All]" allUniqueName="[Range].[Box Rate].[All]" dimensionUniqueName="[Range]" displayFolder="" count="2" memberValueDatatype="20" unbalanced="0"/>
    <cacheHierarchy uniqueName="[Range].[Total  Amount]" caption="Total  Amount" attribute="1" defaultMemberUniqueName="[Range].[Total  Amount].[All]" allUniqueName="[Range].[Total  Amount].[All]" dimensionUniqueName="[Range]" displayFolder="" count="2" memberValueDatatype="20" unbalanced="0"/>
    <cacheHierarchy uniqueName="[Range].[Commission]" caption="Commission" attribute="1" defaultMemberUniqueName="[Range].[Commission].[All]" allUniqueName="[Range].[Commission].[All]" dimensionUniqueName="[Range]" displayFolder="" count="2" memberValueDatatype="5" unbalanced="0"/>
    <cacheHierarchy uniqueName="[Range].[Date (Month)]" caption="Date (Month)" attribute="1" defaultMemberUniqueName="[Range].[Date (Month)].[All]" allUniqueName="[Range].[Date (Month)].[All]" dimensionUniqueName="[Range]" displayFolder="" count="2" memberValueDatatype="130" unbalanced="0"/>
    <cacheHierarchy uniqueName="[Range 1].[Sr. No]" caption="Sr. No" attribute="1" defaultMemberUniqueName="[Range 1].[Sr. No].[All]" allUniqueName="[Range 1].[Sr. No].[All]" dimensionUniqueName="[Range 1]" displayFolder="" count="2" memberValueDatatype="20" unbalanced="0"/>
    <cacheHierarchy uniqueName="[Range 1].[Name]" caption="Name" attribute="1" defaultMemberUniqueName="[Range 1].[Name].[All]" allUniqueName="[Range 1].[Name].[All]" dimensionUniqueName="[Range 1]" displayFolder="" count="2" memberValueDatatype="130" unbalanced="0"/>
    <cacheHierarchy uniqueName="[Range 1].[year]" caption="year" attribute="1" defaultMemberUniqueName="[Range 1].[year].[All]" allUniqueName="[Range 1].[year].[All]" dimensionUniqueName="[Range 1]" displayFolder="" count="2" memberValueDatatype="20" unbalanced="0"/>
    <cacheHierarchy uniqueName="[Range 1].[Brand]" caption="Brand" attribute="1" defaultMemberUniqueName="[Range 1].[Brand].[All]" allUniqueName="[Range 1].[Brand].[All]" dimensionUniqueName="[Range 1]" displayFolder="" count="2" memberValueDatatype="130" unbalanced="0"/>
    <cacheHierarchy uniqueName="[Range 1].[Jan]" caption="Jan" attribute="1" defaultMemberUniqueName="[Range 1].[Jan].[All]" allUniqueName="[Range 1].[Jan].[All]" dimensionUniqueName="[Range 1]" displayFolder="" count="2" memberValueDatatype="20" unbalanced="0"/>
    <cacheHierarchy uniqueName="[Range 1].[Feb]" caption="Feb" attribute="1" defaultMemberUniqueName="[Range 1].[Feb].[All]" allUniqueName="[Range 1].[Feb].[All]" dimensionUniqueName="[Range 1]" displayFolder="" count="2" memberValueDatatype="20" unbalanced="0"/>
    <cacheHierarchy uniqueName="[Range 1].[Mar]" caption="Mar" attribute="1" defaultMemberUniqueName="[Range 1].[Mar].[All]" allUniqueName="[Range 1].[Mar].[All]" dimensionUniqueName="[Range 1]" displayFolder="" count="2" memberValueDatatype="20" unbalanced="0"/>
    <cacheHierarchy uniqueName="[Vlookup].[Date]" caption="Date" attribute="1" time="1" defaultMemberUniqueName="[Vlookup].[Date].[All]" allUniqueName="[Vlookup].[Date].[All]" dimensionUniqueName="[Vlookup]" displayFolder="" count="2" memberValueDatatype="7" unbalanced="0"/>
    <cacheHierarchy uniqueName="[Vlookup].[Brand Name]" caption="Brand Name" attribute="1" defaultMemberUniqueName="[Vlookup].[Brand Name].[All]" allUniqueName="[Vlookup].[Brand Name].[All]" dimensionUniqueName="[Vlookup]" displayFolder="" count="2" memberValueDatatype="130" unbalanced="0"/>
    <cacheHierarchy uniqueName="[Vlookup].[Box In Qty]" caption="Box In Qty" attribute="1" defaultMemberUniqueName="[Vlookup].[Box In Qty].[All]" allUniqueName="[Vlookup].[Box In Qty].[All]" dimensionUniqueName="[Vlookup]" displayFolder="" count="2" memberValueDatatype="20" unbalanced="0"/>
    <cacheHierarchy uniqueName="[Vlookup].[Box Rate]" caption="Box Rate" attribute="1" defaultMemberUniqueName="[Vlookup].[Box Rate].[All]" allUniqueName="[Vlookup].[Box Rate].[All]" dimensionUniqueName="[Vlookup]" displayFolder="" count="2" memberValueDatatype="20" unbalanced="0"/>
    <cacheHierarchy uniqueName="[Vlookup].[Total  Amount]" caption="Total  Amount" attribute="1" defaultMemberUniqueName="[Vlookup].[Total  Amount].[All]" allUniqueName="[Vlookup].[Total  Amount].[All]" dimensionUniqueName="[Vlookup]" displayFolder="" count="2" memberValueDatatype="20" unbalanced="0"/>
    <cacheHierarchy uniqueName="[Vlookup].[Commission]" caption="Commission" attribute="1" defaultMemberUniqueName="[Vlookup].[Commission].[All]" allUniqueName="[Vlookup].[Commission].[All]" dimensionUniqueName="[Vlookup]" displayFolder="" count="2" memberValueDatatype="5" unbalanced="0"/>
    <cacheHierarchy uniqueName="[Range].[Date (Month Index)]" caption="Date (Month Index)" attribute="1" defaultMemberUniqueName="[Range].[Date (Month Index)].[All]" allUniqueName="[Range].[Date (Month Index)].[All]" dimensionUniqueName="[Range]" displayFolder="" count="2"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hidden="1">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hidden="1">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830862037037" backgroundQuery="1" createdVersion="6" refreshedVersion="6" minRefreshableVersion="3" recordCount="0" supportSubquery="1" supportAdvancedDrill="1" xr:uid="{5C69B691-C016-486A-A483-229918F688EE}">
  <cacheSource type="external" connectionId="1"/>
  <cacheFields count="2">
    <cacheField name="[Range 1].[Name].[Name]" caption="Name" numFmtId="0" hierarchy="37" level="1">
      <sharedItems count="5">
        <s v="Ace Energie"/>
        <s v="GANESH TRADERS"/>
        <s v="Kakade Enterprises"/>
        <s v="Parakh Enterprises"/>
        <s v="PRITHVI BEVERAGES"/>
      </sharedItems>
    </cacheField>
    <cacheField name="[Measures].[Sum of year]" caption="Sum of year" numFmtId="0" hierarchy="61" level="32767"/>
  </cacheFields>
  <cacheHierarchies count="73">
    <cacheHierarchy uniqueName="[Blood_Doners].[Sr.No]" caption="Sr.No" attribute="1" defaultMemberUniqueName="[Blood_Doners].[Sr.No].[All]" allUniqueName="[Blood_Doners].[Sr.No].[All]" dimensionUniqueName="[Blood_Doners]" displayFolder="" count="0" memberValueDatatype="20" unbalanced="0"/>
    <cacheHierarchy uniqueName="[Blood_Doners].[Donor's Name]" caption="Donor's Name" attribute="1" defaultMemberUniqueName="[Blood_Doners].[Donor's Name].[All]" allUniqueName="[Blood_Doners].[Donor's Name].[All]" dimensionUniqueName="[Blood_Doners]" displayFolder="" count="0" memberValueDatatype="130" unbalanced="0"/>
    <cacheHierarchy uniqueName="[Blood_Doners].[Donor's Age]" caption="Donor's Age" attribute="1" defaultMemberUniqueName="[Blood_Doners].[Donor's Age].[All]" allUniqueName="[Blood_Doners].[Donor's Age].[All]" dimensionUniqueName="[Blood_Doners]" displayFolder="" count="0" memberValueDatatype="20" unbalanced="0"/>
    <cacheHierarchy uniqueName="[Blood_Doners].[Blood Group]" caption="Blood Group" attribute="1" defaultMemberUniqueName="[Blood_Doners].[Blood Group].[All]" allUniqueName="[Blood_Doners].[Blood Group].[All]" dimensionUniqueName="[Blood_Doners]" displayFolder="" count="0" memberValueDatatype="130" unbalanced="0"/>
    <cacheHierarchy uniqueName="[Blood_Doners].[Stock In ML]" caption="Stock In ML" attribute="1" defaultMemberUniqueName="[Blood_Doners].[Stock In ML].[All]" allUniqueName="[Blood_Doners].[Stock In ML].[All]" dimensionUniqueName="[Blood_Doners]" displayFolder="" count="0" memberValueDatatype="20" unbalanced="0"/>
    <cacheHierarchy uniqueName="[Blood_Doners].[Locality]" caption="Locality" attribute="1" defaultMemberUniqueName="[Blood_Doners].[Locality].[All]" allUniqueName="[Blood_Doners].[Locality].[All]" dimensionUniqueName="[Blood_Doners]" displayFolder="" count="0" memberValueDatatype="130" unbalanced="0"/>
    <cacheHierarchy uniqueName="[Blood_Doners].[Address]" caption="Address" attribute="1" defaultMemberUniqueName="[Blood_Doners].[Address].[All]" allUniqueName="[Blood_Doners].[Address].[All]" dimensionUniqueName="[Blood_Doners]" displayFolder="" count="0" memberValueDatatype="130" unbalanced="0"/>
    <cacheHierarchy uniqueName="[Blood_Doners].[Phone Number]" caption="Phone Number" attribute="1" defaultMemberUniqueName="[Blood_Doners].[Phone Number].[All]" allUniqueName="[Blood_Doners].[Phone Number].[All]" dimensionUniqueName="[Blood_Doners]" displayFolder="" count="0" memberValueDatatype="130" unbalanced="0"/>
    <cacheHierarchy uniqueName="[Blood_Doners].[Date]" caption="Date" attribute="1" time="1" defaultMemberUniqueName="[Blood_Doners].[Date].[All]" allUniqueName="[Blood_Doners].[Date].[All]" dimensionUniqueName="[Blood_Doners]" displayFolder="" count="0" memberValueDatatype="7" unbalanced="0"/>
    <cacheHierarchy uniqueName="[Blood_Doners].[Time]" caption="Time" attribute="1" time="1" defaultMemberUniqueName="[Blood_Doners].[Time].[All]" allUniqueName="[Blood_Doners].[Time].[All]" dimensionUniqueName="[Blood_Doners]" displayFolder="" count="0" memberValueDatatype="7" unbalanced="0"/>
    <cacheHierarchy uniqueName="[Colddrinks].[Sr. No]" caption="Sr. No" attribute="1" defaultMemberUniqueName="[Colddrinks].[Sr. No].[All]" allUniqueName="[Colddrinks].[Sr. No].[All]" dimensionUniqueName="[Colddrinks]" displayFolder="" count="0" memberValueDatatype="20" unbalanced="0"/>
    <cacheHierarchy uniqueName="[Colddrinks].[Name]" caption="Name" attribute="1" defaultMemberUniqueName="[Colddrinks].[Name].[All]" allUniqueName="[Colddrinks].[Name].[All]" dimensionUniqueName="[Colddrinks]" displayFolder="" count="0" memberValueDatatype="130" unbalanced="0"/>
    <cacheHierarchy uniqueName="[Colddrinks].[year]" caption="year" attribute="1" defaultMemberUniqueName="[Colddrinks].[year].[All]" allUniqueName="[Colddrinks].[year].[All]" dimensionUniqueName="[Colddrinks]" displayFolder="" count="0" memberValueDatatype="20" unbalanced="0"/>
    <cacheHierarchy uniqueName="[Colddrinks].[Brand]" caption="Brand" attribute="1" defaultMemberUniqueName="[Colddrinks].[Brand].[All]" allUniqueName="[Colddrinks].[Brand].[All]" dimensionUniqueName="[Colddrinks]" displayFolder="" count="0" memberValueDatatype="130" unbalanced="0"/>
    <cacheHierarchy uniqueName="[Colddrinks].[Jan]" caption="Jan" attribute="1" defaultMemberUniqueName="[Colddrinks].[Jan].[All]" allUniqueName="[Colddrinks].[Jan].[All]" dimensionUniqueName="[Colddrinks]" displayFolder="" count="0" memberValueDatatype="20" unbalanced="0"/>
    <cacheHierarchy uniqueName="[Colddrinks].[Feb]" caption="Feb" attribute="1" defaultMemberUniqueName="[Colddrinks].[Feb].[All]" allUniqueName="[Colddrinks].[Feb].[All]" dimensionUniqueName="[Colddrinks]" displayFolder="" count="0" memberValueDatatype="20" unbalanced="0"/>
    <cacheHierarchy uniqueName="[Colddrinks].[Mar]" caption="Mar" attribute="1" defaultMemberUniqueName="[Colddrinks].[Mar].[All]" allUniqueName="[Colddrinks].[Mar].[All]" dimensionUniqueName="[Colddrinks]" displayFolder="" count="0" memberValueDatatype="20" unbalanced="0"/>
    <cacheHierarchy uniqueName="[Employee].[Full Name]" caption="Full Name" attribute="1" defaultMemberUniqueName="[Employee].[Full Name].[All]" allUniqueName="[Employee].[Full Name].[All]" dimensionUniqueName="[Employee]" displayFolder="" count="0" memberValueDatatype="130" unbalanced="0"/>
    <cacheHierarchy uniqueName="[Employee].[Dept]" caption="Dept" attribute="1" defaultMemberUniqueName="[Employee].[Dept].[All]" allUniqueName="[Employee].[Dept].[All]" dimensionUniqueName="[Employee]" displayFolder="" count="0" memberValueDatatype="130" unbalanced="0"/>
    <cacheHierarchy uniqueName="[Employee].[Region]" caption="Region" attribute="1" defaultMemberUniqueName="[Employee].[Region].[All]" allUniqueName="[Employee].[Region].[All]" dimensionUniqueName="[Employee]" displayFolder="" count="0" memberValueDatatype="130" unbalanced="0"/>
    <cacheHierarchy uniqueName="[Employee].[Branch]" caption="Branch" attribute="1" defaultMemberUniqueName="[Employee].[Branch].[All]" allUniqueName="[Employee].[Branch].[All]" dimensionUniqueName="[Employee]" displayFolder="" count="0" memberValueDatatype="130" unbalanced="0"/>
    <cacheHierarchy uniqueName="[Employee].[Date of joining]" caption="Date of joining" attribute="1" time="1" defaultMemberUniqueName="[Employee].[Date of joining].[All]" allUniqueName="[Employee].[Date of joining].[All]" dimensionUniqueName="[Employee]" displayFolder="" count="0" memberValueDatatype="7" unbalanced="0"/>
    <cacheHierarchy uniqueName="[Employee].[Salary]" caption="Salary" attribute="1" defaultMemberUniqueName="[Employee].[Salary].[All]" allUniqueName="[Employee].[Salary].[All]" dimensionUniqueName="[Employee]" displayFolder="" count="0" memberValueDatatype="20" unbalanced="0"/>
    <cacheHierarchy uniqueName="[Employee].[Mobile Number]" caption="Mobile Number" attribute="1" defaultMemberUniqueName="[Employee].[Mobile Number].[All]" allUniqueName="[Employee].[Mobile Number].[All]" dimensionUniqueName="[Employee]" displayFolder="" count="0" memberValueDatatype="130" unbalanced="0"/>
    <cacheHierarchy uniqueName="[Employee].[Age]" caption="Age" attribute="1" defaultMemberUniqueName="[Employee].[Age].[All]" allUniqueName="[Employee].[Age].[All]" dimensionUniqueName="[Employee]" displayFolder="" count="0" memberValueDatatype="20" unbalanced="0"/>
    <cacheHierarchy uniqueName="[Employee].[rank]" caption="rank" attribute="1" defaultMemberUniqueName="[Employee].[rank].[All]" allUniqueName="[Employee].[rank].[All]" dimensionUniqueName="[Employee]" displayFolder="" count="0" memberValueDatatype="20" unbalanced="0"/>
    <cacheHierarchy uniqueName="[Employee].[Column1]" caption="Column1" attribute="1" defaultMemberUniqueName="[Employee].[Column1].[All]" allUniqueName="[Employee].[Column1].[All]" dimensionUniqueName="[Employee]" displayFolder="" count="0" memberValueDatatype="130" unbalanced="0"/>
    <cacheHierarchy uniqueName="[Employee].[Column2]" caption="Column2" attribute="1" defaultMemberUniqueName="[Employee].[Column2].[All]" allUniqueName="[Employee].[Column2].[All]" dimensionUniqueName="[Employee]" displayFolder="" count="0" memberValueDatatype="20" unbalanced="0"/>
    <cacheHierarchy uniqueName="[Employee].[Column3]" caption="Column3" attribute="1" defaultMemberUniqueName="[Employee].[Column3].[All]" allUniqueName="[Employee].[Column3].[All]" dimensionUniqueName="[Employe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Brand Name]" caption="Brand Name" attribute="1" defaultMemberUniqueName="[Range].[Brand Name].[All]" allUniqueName="[Range].[Brand Name].[All]" dimensionUniqueName="[Range]" displayFolder="" count="0" memberValueDatatype="130" unbalanced="0"/>
    <cacheHierarchy uniqueName="[Range].[Box In Qty]" caption="Box In Qty" attribute="1" defaultMemberUniqueName="[Range].[Box In Qty].[All]" allUniqueName="[Range].[Box In Qty].[All]" dimensionUniqueName="[Range]" displayFolder="" count="0" memberValueDatatype="20" unbalanced="0"/>
    <cacheHierarchy uniqueName="[Range].[Box Rate]" caption="Box Rate" attribute="1" defaultMemberUniqueName="[Range].[Box Rate].[All]" allUniqueName="[Range].[Box Rate].[All]" dimensionUniqueName="[Range]" displayFolder="" count="0" memberValueDatatype="20" unbalanced="0"/>
    <cacheHierarchy uniqueName="[Range].[Total  Amount]" caption="Total  Amount" attribute="1" defaultMemberUniqueName="[Range].[Total  Amount].[All]" allUniqueName="[Range].[Total  Amount].[All]" dimensionUniqueName="[Range]" displayFolder="" count="0" memberValueDatatype="20" unbalanced="0"/>
    <cacheHierarchy uniqueName="[Range].[Commission]" caption="Commission" attribute="1" defaultMemberUniqueName="[Range].[Commission].[All]" allUniqueName="[Range].[Commission].[All]" dimensionUniqueName="[Range]" displayFolder="" count="0" memberValueDatatype="5" unbalanced="0"/>
    <cacheHierarchy uniqueName="[Range].[Date (Month)]" caption="Date (Month)" attribute="1" defaultMemberUniqueName="[Range].[Date (Month)].[All]" allUniqueName="[Range].[Date (Month)].[All]" dimensionUniqueName="[Range]" displayFolder="" count="0" memberValueDatatype="130" unbalanced="0"/>
    <cacheHierarchy uniqueName="[Range 1].[Sr. No]" caption="Sr. No" attribute="1" defaultMemberUniqueName="[Range 1].[Sr. No].[All]" allUniqueName="[Range 1].[Sr. No].[All]" dimensionUniqueName="[Range 1]" displayFolder="" count="0" memberValueDatatype="20" unbalanced="0"/>
    <cacheHierarchy uniqueName="[Range 1].[Name]" caption="Name" attribute="1" defaultMemberUniqueName="[Range 1].[Name].[All]" allUniqueName="[Range 1].[Name].[All]" dimensionUniqueName="[Range 1]" displayFolder="" count="2" memberValueDatatype="130" unbalanced="0">
      <fieldsUsage count="2">
        <fieldUsage x="-1"/>
        <fieldUsage x="0"/>
      </fieldsUsage>
    </cacheHierarchy>
    <cacheHierarchy uniqueName="[Range 1].[year]" caption="year" attribute="1" defaultMemberUniqueName="[Range 1].[year].[All]" allUniqueName="[Range 1].[year].[All]" dimensionUniqueName="[Range 1]" displayFolder="" count="0" memberValueDatatype="20" unbalanced="0"/>
    <cacheHierarchy uniqueName="[Range 1].[Brand]" caption="Brand" attribute="1" defaultMemberUniqueName="[Range 1].[Brand].[All]" allUniqueName="[Range 1].[Brand].[All]" dimensionUniqueName="[Range 1]" displayFolder="" count="0" memberValueDatatype="130" unbalanced="0"/>
    <cacheHierarchy uniqueName="[Range 1].[Jan]" caption="Jan" attribute="1" defaultMemberUniqueName="[Range 1].[Jan].[All]" allUniqueName="[Range 1].[Jan].[All]" dimensionUniqueName="[Range 1]" displayFolder="" count="0" memberValueDatatype="20" unbalanced="0"/>
    <cacheHierarchy uniqueName="[Range 1].[Feb]" caption="Feb" attribute="1" defaultMemberUniqueName="[Range 1].[Feb].[All]" allUniqueName="[Range 1].[Feb].[All]" dimensionUniqueName="[Range 1]" displayFolder="" count="0" memberValueDatatype="20" unbalanced="0"/>
    <cacheHierarchy uniqueName="[Range 1].[Mar]" caption="Mar" attribute="1" defaultMemberUniqueName="[Range 1].[Mar].[All]" allUniqueName="[Range 1].[Mar].[All]" dimensionUniqueName="[Range 1]" displayFolder="" count="0" memberValueDatatype="20" unbalanced="0"/>
    <cacheHierarchy uniqueName="[Vlookup].[Date]" caption="Date" attribute="1" time="1" defaultMemberUniqueName="[Vlookup].[Date].[All]" allUniqueName="[Vlookup].[Date].[All]" dimensionUniqueName="[Vlookup]" displayFolder="" count="0" memberValueDatatype="7" unbalanced="0"/>
    <cacheHierarchy uniqueName="[Vlookup].[Brand Name]" caption="Brand Name" attribute="1" defaultMemberUniqueName="[Vlookup].[Brand Name].[All]" allUniqueName="[Vlookup].[Brand Name].[All]" dimensionUniqueName="[Vlookup]" displayFolder="" count="0" memberValueDatatype="130" unbalanced="0"/>
    <cacheHierarchy uniqueName="[Vlookup].[Box In Qty]" caption="Box In Qty" attribute="1" defaultMemberUniqueName="[Vlookup].[Box In Qty].[All]" allUniqueName="[Vlookup].[Box In Qty].[All]" dimensionUniqueName="[Vlookup]" displayFolder="" count="0" memberValueDatatype="20" unbalanced="0"/>
    <cacheHierarchy uniqueName="[Vlookup].[Box Rate]" caption="Box Rate" attribute="1" defaultMemberUniqueName="[Vlookup].[Box Rate].[All]" allUniqueName="[Vlookup].[Box Rate].[All]" dimensionUniqueName="[Vlookup]" displayFolder="" count="0" memberValueDatatype="20" unbalanced="0"/>
    <cacheHierarchy uniqueName="[Vlookup].[Total  Amount]" caption="Total  Amount" attribute="1" defaultMemberUniqueName="[Vlookup].[Total  Amount].[All]" allUniqueName="[Vlookup].[Total  Amount].[All]" dimensionUniqueName="[Vlookup]" displayFolder="" count="0" memberValueDatatype="20" unbalanced="0"/>
    <cacheHierarchy uniqueName="[Vlookup].[Commission]" caption="Commission" attribute="1" defaultMemberUniqueName="[Vlookup].[Commission].[All]" allUniqueName="[Vlookup].[Commission].[All]" dimensionUniqueName="[Vlookup]" displayFolder="" count="0" memberValueDatatype="5"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oneField="1" hidden="1">
      <fieldsUsage count="1">
        <fieldUsage x="1"/>
      </fieldsUsage>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hidden="1">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837814699073" backgroundQuery="1" createdVersion="6" refreshedVersion="6" minRefreshableVersion="3" recordCount="0" supportSubquery="1" supportAdvancedDrill="1" xr:uid="{5F9AB07F-9593-47BC-979A-E4DF3CCAE98B}">
  <cacheSource type="external" connectionId="1"/>
  <cacheFields count="6">
    <cacheField name="[Range].[Brand Name].[Brand Name]" caption="Brand Name" numFmtId="0" hierarchy="30" level="1">
      <sharedItems count="16">
        <s v="7UP Revive"/>
        <s v="Appy"/>
        <s v="Dukes"/>
        <s v="Gluco-Plus"/>
        <s v="H2O"/>
        <s v="Limca"/>
        <s v="LMN"/>
        <s v="Maza"/>
        <s v="MDew"/>
        <s v="Mirinda"/>
        <s v="N7up"/>
        <s v="Paneer Soda"/>
        <s v="Pepsi"/>
        <s v="Seven Up"/>
        <s v="Slice"/>
        <s v="Sprite"/>
      </sharedItems>
    </cacheField>
    <cacheField name="[Measures].[Sum of Box In Qty]" caption="Sum of Box In Qty" numFmtId="0" hierarchy="57" level="32767"/>
    <cacheField name="[Measures].[Sum of Total  Amount]" caption="Sum of Total  Amount" numFmtId="0" hierarchy="58" level="32767"/>
    <cacheField name="[Measures].[Sum of Box Rate]" caption="Sum of Box Rate" numFmtId="0" hierarchy="59" level="32767"/>
    <cacheField name="[Measures].[Sum of Commission]" caption="Sum of Commission" numFmtId="0" hierarchy="60" level="32767"/>
    <cacheField name="[Range].[Date (Month)].[Date (Month)]" caption="Date (Month)" numFmtId="0" hierarchy="35" level="1">
      <sharedItems containsSemiMixedTypes="0" containsNonDate="0" containsString="0"/>
    </cacheField>
  </cacheFields>
  <cacheHierarchies count="73">
    <cacheHierarchy uniqueName="[Blood_Doners].[Sr.No]" caption="Sr.No" attribute="1" defaultMemberUniqueName="[Blood_Doners].[Sr.No].[All]" allUniqueName="[Blood_Doners].[Sr.No].[All]" dimensionUniqueName="[Blood_Doners]" displayFolder="" count="0" memberValueDatatype="20" unbalanced="0"/>
    <cacheHierarchy uniqueName="[Blood_Doners].[Donor's Name]" caption="Donor's Name" attribute="1" defaultMemberUniqueName="[Blood_Doners].[Donor's Name].[All]" allUniqueName="[Blood_Doners].[Donor's Name].[All]" dimensionUniqueName="[Blood_Doners]" displayFolder="" count="0" memberValueDatatype="130" unbalanced="0"/>
    <cacheHierarchy uniqueName="[Blood_Doners].[Donor's Age]" caption="Donor's Age" attribute="1" defaultMemberUniqueName="[Blood_Doners].[Donor's Age].[All]" allUniqueName="[Blood_Doners].[Donor's Age].[All]" dimensionUniqueName="[Blood_Doners]" displayFolder="" count="0" memberValueDatatype="20" unbalanced="0"/>
    <cacheHierarchy uniqueName="[Blood_Doners].[Blood Group]" caption="Blood Group" attribute="1" defaultMemberUniqueName="[Blood_Doners].[Blood Group].[All]" allUniqueName="[Blood_Doners].[Blood Group].[All]" dimensionUniqueName="[Blood_Doners]" displayFolder="" count="0" memberValueDatatype="130" unbalanced="0"/>
    <cacheHierarchy uniqueName="[Blood_Doners].[Stock In ML]" caption="Stock In ML" attribute="1" defaultMemberUniqueName="[Blood_Doners].[Stock In ML].[All]" allUniqueName="[Blood_Doners].[Stock In ML].[All]" dimensionUniqueName="[Blood_Doners]" displayFolder="" count="0" memberValueDatatype="20" unbalanced="0"/>
    <cacheHierarchy uniqueName="[Blood_Doners].[Locality]" caption="Locality" attribute="1" defaultMemberUniqueName="[Blood_Doners].[Locality].[All]" allUniqueName="[Blood_Doners].[Locality].[All]" dimensionUniqueName="[Blood_Doners]" displayFolder="" count="0" memberValueDatatype="130" unbalanced="0"/>
    <cacheHierarchy uniqueName="[Blood_Doners].[Address]" caption="Address" attribute="1" defaultMemberUniqueName="[Blood_Doners].[Address].[All]" allUniqueName="[Blood_Doners].[Address].[All]" dimensionUniqueName="[Blood_Doners]" displayFolder="" count="0" memberValueDatatype="130" unbalanced="0"/>
    <cacheHierarchy uniqueName="[Blood_Doners].[Phone Number]" caption="Phone Number" attribute="1" defaultMemberUniqueName="[Blood_Doners].[Phone Number].[All]" allUniqueName="[Blood_Doners].[Phone Number].[All]" dimensionUniqueName="[Blood_Doners]" displayFolder="" count="0" memberValueDatatype="130" unbalanced="0"/>
    <cacheHierarchy uniqueName="[Blood_Doners].[Date]" caption="Date" attribute="1" time="1" defaultMemberUniqueName="[Blood_Doners].[Date].[All]" allUniqueName="[Blood_Doners].[Date].[All]" dimensionUniqueName="[Blood_Doners]" displayFolder="" count="0" memberValueDatatype="7" unbalanced="0"/>
    <cacheHierarchy uniqueName="[Blood_Doners].[Time]" caption="Time" attribute="1" time="1" defaultMemberUniqueName="[Blood_Doners].[Time].[All]" allUniqueName="[Blood_Doners].[Time].[All]" dimensionUniqueName="[Blood_Doners]" displayFolder="" count="0" memberValueDatatype="7" unbalanced="0"/>
    <cacheHierarchy uniqueName="[Colddrinks].[Sr. No]" caption="Sr. No" attribute="1" defaultMemberUniqueName="[Colddrinks].[Sr. No].[All]" allUniqueName="[Colddrinks].[Sr. No].[All]" dimensionUniqueName="[Colddrinks]" displayFolder="" count="0" memberValueDatatype="20" unbalanced="0"/>
    <cacheHierarchy uniqueName="[Colddrinks].[Name]" caption="Name" attribute="1" defaultMemberUniqueName="[Colddrinks].[Name].[All]" allUniqueName="[Colddrinks].[Name].[All]" dimensionUniqueName="[Colddrinks]" displayFolder="" count="0" memberValueDatatype="130" unbalanced="0"/>
    <cacheHierarchy uniqueName="[Colddrinks].[year]" caption="year" attribute="1" defaultMemberUniqueName="[Colddrinks].[year].[All]" allUniqueName="[Colddrinks].[year].[All]" dimensionUniqueName="[Colddrinks]" displayFolder="" count="0" memberValueDatatype="20" unbalanced="0"/>
    <cacheHierarchy uniqueName="[Colddrinks].[Brand]" caption="Brand" attribute="1" defaultMemberUniqueName="[Colddrinks].[Brand].[All]" allUniqueName="[Colddrinks].[Brand].[All]" dimensionUniqueName="[Colddrinks]" displayFolder="" count="0" memberValueDatatype="130" unbalanced="0"/>
    <cacheHierarchy uniqueName="[Colddrinks].[Jan]" caption="Jan" attribute="1" defaultMemberUniqueName="[Colddrinks].[Jan].[All]" allUniqueName="[Colddrinks].[Jan].[All]" dimensionUniqueName="[Colddrinks]" displayFolder="" count="0" memberValueDatatype="20" unbalanced="0"/>
    <cacheHierarchy uniqueName="[Colddrinks].[Feb]" caption="Feb" attribute="1" defaultMemberUniqueName="[Colddrinks].[Feb].[All]" allUniqueName="[Colddrinks].[Feb].[All]" dimensionUniqueName="[Colddrinks]" displayFolder="" count="0" memberValueDatatype="20" unbalanced="0"/>
    <cacheHierarchy uniqueName="[Colddrinks].[Mar]" caption="Mar" attribute="1" defaultMemberUniqueName="[Colddrinks].[Mar].[All]" allUniqueName="[Colddrinks].[Mar].[All]" dimensionUniqueName="[Colddrinks]" displayFolder="" count="0" memberValueDatatype="20" unbalanced="0"/>
    <cacheHierarchy uniqueName="[Employee].[Full Name]" caption="Full Name" attribute="1" defaultMemberUniqueName="[Employee].[Full Name].[All]" allUniqueName="[Employee].[Full Name].[All]" dimensionUniqueName="[Employee]" displayFolder="" count="0" memberValueDatatype="130" unbalanced="0"/>
    <cacheHierarchy uniqueName="[Employee].[Dept]" caption="Dept" attribute="1" defaultMemberUniqueName="[Employee].[Dept].[All]" allUniqueName="[Employee].[Dept].[All]" dimensionUniqueName="[Employee]" displayFolder="" count="0" memberValueDatatype="130" unbalanced="0"/>
    <cacheHierarchy uniqueName="[Employee].[Region]" caption="Region" attribute="1" defaultMemberUniqueName="[Employee].[Region].[All]" allUniqueName="[Employee].[Region].[All]" dimensionUniqueName="[Employee]" displayFolder="" count="0" memberValueDatatype="130" unbalanced="0"/>
    <cacheHierarchy uniqueName="[Employee].[Branch]" caption="Branch" attribute="1" defaultMemberUniqueName="[Employee].[Branch].[All]" allUniqueName="[Employee].[Branch].[All]" dimensionUniqueName="[Employee]" displayFolder="" count="0" memberValueDatatype="130" unbalanced="0"/>
    <cacheHierarchy uniqueName="[Employee].[Date of joining]" caption="Date of joining" attribute="1" time="1" defaultMemberUniqueName="[Employee].[Date of joining].[All]" allUniqueName="[Employee].[Date of joining].[All]" dimensionUniqueName="[Employee]" displayFolder="" count="0" memberValueDatatype="7" unbalanced="0"/>
    <cacheHierarchy uniqueName="[Employee].[Salary]" caption="Salary" attribute="1" defaultMemberUniqueName="[Employee].[Salary].[All]" allUniqueName="[Employee].[Salary].[All]" dimensionUniqueName="[Employee]" displayFolder="" count="0" memberValueDatatype="20" unbalanced="0"/>
    <cacheHierarchy uniqueName="[Employee].[Mobile Number]" caption="Mobile Number" attribute="1" defaultMemberUniqueName="[Employee].[Mobile Number].[All]" allUniqueName="[Employee].[Mobile Number].[All]" dimensionUniqueName="[Employee]" displayFolder="" count="0" memberValueDatatype="130" unbalanced="0"/>
    <cacheHierarchy uniqueName="[Employee].[Age]" caption="Age" attribute="1" defaultMemberUniqueName="[Employee].[Age].[All]" allUniqueName="[Employee].[Age].[All]" dimensionUniqueName="[Employee]" displayFolder="" count="0" memberValueDatatype="20" unbalanced="0"/>
    <cacheHierarchy uniqueName="[Employee].[rank]" caption="rank" attribute="1" defaultMemberUniqueName="[Employee].[rank].[All]" allUniqueName="[Employee].[rank].[All]" dimensionUniqueName="[Employee]" displayFolder="" count="0" memberValueDatatype="20" unbalanced="0"/>
    <cacheHierarchy uniqueName="[Employee].[Column1]" caption="Column1" attribute="1" defaultMemberUniqueName="[Employee].[Column1].[All]" allUniqueName="[Employee].[Column1].[All]" dimensionUniqueName="[Employee]" displayFolder="" count="0" memberValueDatatype="130" unbalanced="0"/>
    <cacheHierarchy uniqueName="[Employee].[Column2]" caption="Column2" attribute="1" defaultMemberUniqueName="[Employee].[Column2].[All]" allUniqueName="[Employee].[Column2].[All]" dimensionUniqueName="[Employee]" displayFolder="" count="0" memberValueDatatype="20" unbalanced="0"/>
    <cacheHierarchy uniqueName="[Employee].[Column3]" caption="Column3" attribute="1" defaultMemberUniqueName="[Employee].[Column3].[All]" allUniqueName="[Employee].[Column3].[All]" dimensionUniqueName="[Employe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Brand Name]" caption="Brand Name" attribute="1" defaultMemberUniqueName="[Range].[Brand Name].[All]" allUniqueName="[Range].[Brand Name].[All]" dimensionUniqueName="[Range]" displayFolder="" count="2" memberValueDatatype="130" unbalanced="0">
      <fieldsUsage count="2">
        <fieldUsage x="-1"/>
        <fieldUsage x="0"/>
      </fieldsUsage>
    </cacheHierarchy>
    <cacheHierarchy uniqueName="[Range].[Box In Qty]" caption="Box In Qty" attribute="1" defaultMemberUniqueName="[Range].[Box In Qty].[All]" allUniqueName="[Range].[Box In Qty].[All]" dimensionUniqueName="[Range]" displayFolder="" count="0" memberValueDatatype="20" unbalanced="0"/>
    <cacheHierarchy uniqueName="[Range].[Box Rate]" caption="Box Rate" attribute="1" defaultMemberUniqueName="[Range].[Box Rate].[All]" allUniqueName="[Range].[Box Rate].[All]" dimensionUniqueName="[Range]" displayFolder="" count="0" memberValueDatatype="20" unbalanced="0"/>
    <cacheHierarchy uniqueName="[Range].[Total  Amount]" caption="Total  Amount" attribute="1" defaultMemberUniqueName="[Range].[Total  Amount].[All]" allUniqueName="[Range].[Total  Amount].[All]" dimensionUniqueName="[Range]" displayFolder="" count="0" memberValueDatatype="20" unbalanced="0"/>
    <cacheHierarchy uniqueName="[Range].[Commission]" caption="Commission" attribute="1" defaultMemberUniqueName="[Range].[Commission].[All]" allUniqueName="[Range].[Commission].[All]" dimensionUniqueName="[Range]" displayFolder="" count="0" memberValueDatatype="5" unbalanced="0"/>
    <cacheHierarchy uniqueName="[Range].[Date (Month)]" caption="Date (Month)" attribute="1" defaultMemberUniqueName="[Range].[Date (Month)].[All]" allUniqueName="[Range].[Date (Month)].[All]" dimensionUniqueName="[Range]" displayFolder="" count="2" memberValueDatatype="130" unbalanced="0">
      <fieldsUsage count="2">
        <fieldUsage x="-1"/>
        <fieldUsage x="5"/>
      </fieldsUsage>
    </cacheHierarchy>
    <cacheHierarchy uniqueName="[Range 1].[Sr. No]" caption="Sr. No" attribute="1" defaultMemberUniqueName="[Range 1].[Sr. No].[All]" allUniqueName="[Range 1].[Sr. No].[All]" dimensionUniqueName="[Range 1]" displayFolder="" count="0" memberValueDatatype="20" unbalanced="0"/>
    <cacheHierarchy uniqueName="[Range 1].[Name]" caption="Name" attribute="1" defaultMemberUniqueName="[Range 1].[Name].[All]" allUniqueName="[Range 1].[Name].[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Brand]" caption="Brand" attribute="1" defaultMemberUniqueName="[Range 1].[Brand].[All]" allUniqueName="[Range 1].[Brand].[All]" dimensionUniqueName="[Range 1]" displayFolder="" count="0" memberValueDatatype="130" unbalanced="0"/>
    <cacheHierarchy uniqueName="[Range 1].[Jan]" caption="Jan" attribute="1" defaultMemberUniqueName="[Range 1].[Jan].[All]" allUniqueName="[Range 1].[Jan].[All]" dimensionUniqueName="[Range 1]" displayFolder="" count="0" memberValueDatatype="20" unbalanced="0"/>
    <cacheHierarchy uniqueName="[Range 1].[Feb]" caption="Feb" attribute="1" defaultMemberUniqueName="[Range 1].[Feb].[All]" allUniqueName="[Range 1].[Feb].[All]" dimensionUniqueName="[Range 1]" displayFolder="" count="0" memberValueDatatype="20" unbalanced="0"/>
    <cacheHierarchy uniqueName="[Range 1].[Mar]" caption="Mar" attribute="1" defaultMemberUniqueName="[Range 1].[Mar].[All]" allUniqueName="[Range 1].[Mar].[All]" dimensionUniqueName="[Range 1]" displayFolder="" count="0" memberValueDatatype="20" unbalanced="0"/>
    <cacheHierarchy uniqueName="[Vlookup].[Date]" caption="Date" attribute="1" time="1" defaultMemberUniqueName="[Vlookup].[Date].[All]" allUniqueName="[Vlookup].[Date].[All]" dimensionUniqueName="[Vlookup]" displayFolder="" count="0" memberValueDatatype="7" unbalanced="0"/>
    <cacheHierarchy uniqueName="[Vlookup].[Brand Name]" caption="Brand Name" attribute="1" defaultMemberUniqueName="[Vlookup].[Brand Name].[All]" allUniqueName="[Vlookup].[Brand Name].[All]" dimensionUniqueName="[Vlookup]" displayFolder="" count="0" memberValueDatatype="130" unbalanced="0"/>
    <cacheHierarchy uniqueName="[Vlookup].[Box In Qty]" caption="Box In Qty" attribute="1" defaultMemberUniqueName="[Vlookup].[Box In Qty].[All]" allUniqueName="[Vlookup].[Box In Qty].[All]" dimensionUniqueName="[Vlookup]" displayFolder="" count="0" memberValueDatatype="20" unbalanced="0"/>
    <cacheHierarchy uniqueName="[Vlookup].[Box Rate]" caption="Box Rate" attribute="1" defaultMemberUniqueName="[Vlookup].[Box Rate].[All]" allUniqueName="[Vlookup].[Box Rate].[All]" dimensionUniqueName="[Vlookup]" displayFolder="" count="0" memberValueDatatype="20" unbalanced="0"/>
    <cacheHierarchy uniqueName="[Vlookup].[Total  Amount]" caption="Total  Amount" attribute="1" defaultMemberUniqueName="[Vlookup].[Total  Amount].[All]" allUniqueName="[Vlookup].[Total  Amount].[All]" dimensionUniqueName="[Vlookup]" displayFolder="" count="0" memberValueDatatype="20" unbalanced="0"/>
    <cacheHierarchy uniqueName="[Vlookup].[Commission]" caption="Commission" attribute="1" defaultMemberUniqueName="[Vlookup].[Commission].[All]" allUniqueName="[Vlookup].[Commission].[All]" dimensionUniqueName="[Vlookup]" displayFolder="" count="0" memberValueDatatype="5"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oneField="1" hidden="1">
      <fieldsUsage count="1">
        <fieldUsage x="1"/>
      </fieldsUsage>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oneField="1" hidden="1">
      <fieldsUsage count="1">
        <fieldUsage x="2"/>
      </fieldsUsage>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oneField="1" hidden="1">
      <fieldsUsage count="1">
        <fieldUsage x="3"/>
      </fieldsUsage>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oneField="1" hidden="1">
      <fieldsUsage count="1">
        <fieldUsage x="4"/>
      </fieldsUsage>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hidden="1">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hidden="1">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3.725262731481" backgroundQuery="1" createdVersion="6" refreshedVersion="6" minRefreshableVersion="3" recordCount="0" supportSubquery="1" supportAdvancedDrill="1" xr:uid="{188E7090-1F80-4D08-9429-6C89AF3550B9}">
  <cacheSource type="external" connectionId="1"/>
  <cacheFields count="4">
    <cacheField name="[Measures].[Sum of year]" caption="Sum of year" numFmtId="0" hierarchy="61" level="32767"/>
    <cacheField name="[Range 1].[Name].[Name]" caption="Name" numFmtId="0" hierarchy="37" level="1">
      <sharedItems count="5">
        <s v="Ace Energie"/>
        <s v="GANESH TRADERS"/>
        <s v="Kakade Enterprises"/>
        <s v="Parakh Enterprises"/>
        <s v="PRITHVI BEVERAGES"/>
      </sharedItems>
    </cacheField>
    <cacheField name="[Range 1].[Brand].[Brand]" caption="Brand" numFmtId="0" hierarchy="39" level="1">
      <sharedItems count="6">
        <s v="Dukes"/>
        <s v="Maza"/>
        <s v="Mirinda"/>
        <s v="Pepsi"/>
        <s v="Slice"/>
        <s v="Sprite"/>
      </sharedItems>
    </cacheField>
    <cacheField name="[Measures].[Sum of Jan]" caption="Sum of Jan" numFmtId="0" hierarchy="62" level="32767"/>
  </cacheFields>
  <cacheHierarchies count="73">
    <cacheHierarchy uniqueName="[Blood_Doners].[Sr.No]" caption="Sr.No" attribute="1" defaultMemberUniqueName="[Blood_Doners].[Sr.No].[All]" allUniqueName="[Blood_Doners].[Sr.No].[All]" dimensionUniqueName="[Blood_Doners]" displayFolder="" count="2" memberValueDatatype="20" unbalanced="0"/>
    <cacheHierarchy uniqueName="[Blood_Doners].[Donor's Name]" caption="Donor's Name" attribute="1" defaultMemberUniqueName="[Blood_Doners].[Donor's Name].[All]" allUniqueName="[Blood_Doners].[Donor's Name].[All]" dimensionUniqueName="[Blood_Doners]" displayFolder="" count="2" memberValueDatatype="130" unbalanced="0"/>
    <cacheHierarchy uniqueName="[Blood_Doners].[Donor's Age]" caption="Donor's Age" attribute="1" defaultMemberUniqueName="[Blood_Doners].[Donor's Age].[All]" allUniqueName="[Blood_Doners].[Donor's Age].[All]" dimensionUniqueName="[Blood_Doners]" displayFolder="" count="2" memberValueDatatype="20" unbalanced="0"/>
    <cacheHierarchy uniqueName="[Blood_Doners].[Blood Group]" caption="Blood Group" attribute="1" defaultMemberUniqueName="[Blood_Doners].[Blood Group].[All]" allUniqueName="[Blood_Doners].[Blood Group].[All]" dimensionUniqueName="[Blood_Doners]" displayFolder="" count="2" memberValueDatatype="130" unbalanced="0"/>
    <cacheHierarchy uniqueName="[Blood_Doners].[Stock In ML]" caption="Stock In ML" attribute="1" defaultMemberUniqueName="[Blood_Doners].[Stock In ML].[All]" allUniqueName="[Blood_Doners].[Stock In ML].[All]" dimensionUniqueName="[Blood_Doners]" displayFolder="" count="2" memberValueDatatype="20" unbalanced="0"/>
    <cacheHierarchy uniqueName="[Blood_Doners].[Locality]" caption="Locality" attribute="1" defaultMemberUniqueName="[Blood_Doners].[Locality].[All]" allUniqueName="[Blood_Doners].[Locality].[All]" dimensionUniqueName="[Blood_Doners]" displayFolder="" count="2" memberValueDatatype="130" unbalanced="0"/>
    <cacheHierarchy uniqueName="[Blood_Doners].[Address]" caption="Address" attribute="1" defaultMemberUniqueName="[Blood_Doners].[Address].[All]" allUniqueName="[Blood_Doners].[Address].[All]" dimensionUniqueName="[Blood_Doners]" displayFolder="" count="2" memberValueDatatype="130" unbalanced="0"/>
    <cacheHierarchy uniqueName="[Blood_Doners].[Phone Number]" caption="Phone Number" attribute="1" defaultMemberUniqueName="[Blood_Doners].[Phone Number].[All]" allUniqueName="[Blood_Doners].[Phone Number].[All]" dimensionUniqueName="[Blood_Doners]" displayFolder="" count="2" memberValueDatatype="130" unbalanced="0"/>
    <cacheHierarchy uniqueName="[Blood_Doners].[Date]" caption="Date" attribute="1" time="1" defaultMemberUniqueName="[Blood_Doners].[Date].[All]" allUniqueName="[Blood_Doners].[Date].[All]" dimensionUniqueName="[Blood_Doners]" displayFolder="" count="2" memberValueDatatype="7" unbalanced="0"/>
    <cacheHierarchy uniqueName="[Blood_Doners].[Time]" caption="Time" attribute="1" time="1" defaultMemberUniqueName="[Blood_Doners].[Time].[All]" allUniqueName="[Blood_Doners].[Time].[All]" dimensionUniqueName="[Blood_Doners]" displayFolder="" count="2" memberValueDatatype="7" unbalanced="0"/>
    <cacheHierarchy uniqueName="[Colddrinks].[Sr. No]" caption="Sr. No" attribute="1" defaultMemberUniqueName="[Colddrinks].[Sr. No].[All]" allUniqueName="[Colddrinks].[Sr. No].[All]" dimensionUniqueName="[Colddrinks]" displayFolder="" count="2" memberValueDatatype="20" unbalanced="0"/>
    <cacheHierarchy uniqueName="[Colddrinks].[Name]" caption="Name" attribute="1" defaultMemberUniqueName="[Colddrinks].[Name].[All]" allUniqueName="[Colddrinks].[Name].[All]" dimensionUniqueName="[Colddrinks]" displayFolder="" count="2" memberValueDatatype="130" unbalanced="0"/>
    <cacheHierarchy uniqueName="[Colddrinks].[year]" caption="year" attribute="1" defaultMemberUniqueName="[Colddrinks].[year].[All]" allUniqueName="[Colddrinks].[year].[All]" dimensionUniqueName="[Colddrinks]" displayFolder="" count="2" memberValueDatatype="20" unbalanced="0"/>
    <cacheHierarchy uniqueName="[Colddrinks].[Brand]" caption="Brand" attribute="1" defaultMemberUniqueName="[Colddrinks].[Brand].[All]" allUniqueName="[Colddrinks].[Brand].[All]" dimensionUniqueName="[Colddrinks]" displayFolder="" count="2" memberValueDatatype="130" unbalanced="0"/>
    <cacheHierarchy uniqueName="[Colddrinks].[Jan]" caption="Jan" attribute="1" defaultMemberUniqueName="[Colddrinks].[Jan].[All]" allUniqueName="[Colddrinks].[Jan].[All]" dimensionUniqueName="[Colddrinks]" displayFolder="" count="2" memberValueDatatype="20" unbalanced="0"/>
    <cacheHierarchy uniqueName="[Colddrinks].[Feb]" caption="Feb" attribute="1" defaultMemberUniqueName="[Colddrinks].[Feb].[All]" allUniqueName="[Colddrinks].[Feb].[All]" dimensionUniqueName="[Colddrinks]" displayFolder="" count="2" memberValueDatatype="20" unbalanced="0"/>
    <cacheHierarchy uniqueName="[Colddrinks].[Mar]" caption="Mar" attribute="1" defaultMemberUniqueName="[Colddrinks].[Mar].[All]" allUniqueName="[Colddrinks].[Mar].[All]" dimensionUniqueName="[Colddrinks]" displayFolder="" count="2" memberValueDatatype="20" unbalanced="0"/>
    <cacheHierarchy uniqueName="[Employee].[Full Name]" caption="Full Name" attribute="1" defaultMemberUniqueName="[Employee].[Full Name].[All]" allUniqueName="[Employee].[Full Name].[All]" dimensionUniqueName="[Employee]" displayFolder="" count="2" memberValueDatatype="130" unbalanced="0"/>
    <cacheHierarchy uniqueName="[Employee].[Dept]" caption="Dept" attribute="1" defaultMemberUniqueName="[Employee].[Dept].[All]" allUniqueName="[Employee].[Dept].[All]" dimensionUniqueName="[Employee]" displayFolder="" count="2" memberValueDatatype="130" unbalanced="0"/>
    <cacheHierarchy uniqueName="[Employee].[Region]" caption="Region" attribute="1" defaultMemberUniqueName="[Employee].[Region].[All]" allUniqueName="[Employee].[Region].[All]" dimensionUniqueName="[Employee]" displayFolder="" count="2" memberValueDatatype="130" unbalanced="0"/>
    <cacheHierarchy uniqueName="[Employee].[Branch]" caption="Branch" attribute="1" defaultMemberUniqueName="[Employee].[Branch].[All]" allUniqueName="[Employee].[Branch].[All]" dimensionUniqueName="[Employee]" displayFolder="" count="2" memberValueDatatype="130" unbalanced="0"/>
    <cacheHierarchy uniqueName="[Employee].[Date of joining]" caption="Date of joining" attribute="1" time="1" defaultMemberUniqueName="[Employee].[Date of joining].[All]" allUniqueName="[Employee].[Date of joining].[All]" dimensionUniqueName="[Employee]" displayFolder="" count="2" memberValueDatatype="7" unbalanced="0"/>
    <cacheHierarchy uniqueName="[Employee].[Salary]" caption="Salary" attribute="1" defaultMemberUniqueName="[Employee].[Salary].[All]" allUniqueName="[Employee].[Salary].[All]" dimensionUniqueName="[Employee]" displayFolder="" count="2" memberValueDatatype="20" unbalanced="0"/>
    <cacheHierarchy uniqueName="[Employee].[Mobile Number]" caption="Mobile Number" attribute="1" defaultMemberUniqueName="[Employee].[Mobile Number].[All]" allUniqueName="[Employee].[Mobile Number].[All]" dimensionUniqueName="[Employee]" displayFolder="" count="2" memberValueDatatype="130" unbalanced="0"/>
    <cacheHierarchy uniqueName="[Employee].[Age]" caption="Age" attribute="1" defaultMemberUniqueName="[Employee].[Age].[All]" allUniqueName="[Employee].[Age].[All]" dimensionUniqueName="[Employee]" displayFolder="" count="2" memberValueDatatype="20" unbalanced="0"/>
    <cacheHierarchy uniqueName="[Employee].[rank]" caption="rank" attribute="1" defaultMemberUniqueName="[Employee].[rank].[All]" allUniqueName="[Employee].[rank].[All]" dimensionUniqueName="[Employee]" displayFolder="" count="2" memberValueDatatype="20" unbalanced="0"/>
    <cacheHierarchy uniqueName="[Employee].[Column1]" caption="Column1" attribute="1" defaultMemberUniqueName="[Employee].[Column1].[All]" allUniqueName="[Employee].[Column1].[All]" dimensionUniqueName="[Employee]" displayFolder="" count="2" memberValueDatatype="130" unbalanced="0"/>
    <cacheHierarchy uniqueName="[Employee].[Column2]" caption="Column2" attribute="1" defaultMemberUniqueName="[Employee].[Column2].[All]" allUniqueName="[Employee].[Column2].[All]" dimensionUniqueName="[Employee]" displayFolder="" count="2" memberValueDatatype="20" unbalanced="0"/>
    <cacheHierarchy uniqueName="[Employee].[Column3]" caption="Column3" attribute="1" defaultMemberUniqueName="[Employee].[Column3].[All]" allUniqueName="[Employee].[Column3].[All]" dimensionUniqueName="[Employee]" displayFolder="" count="2" memberValueDatatype="20" unbalanced="0"/>
    <cacheHierarchy uniqueName="[Range].[Date]" caption="Date" attribute="1" time="1" defaultMemberUniqueName="[Range].[Date].[All]" allUniqueName="[Range].[Date].[All]" dimensionUniqueName="[Range]" displayFolder="" count="2" memberValueDatatype="7" unbalanced="0"/>
    <cacheHierarchy uniqueName="[Range].[Brand Name]" caption="Brand Name" attribute="1" defaultMemberUniqueName="[Range].[Brand Name].[All]" allUniqueName="[Range].[Brand Name].[All]" dimensionUniqueName="[Range]" displayFolder="" count="2" memberValueDatatype="130" unbalanced="0"/>
    <cacheHierarchy uniqueName="[Range].[Box In Qty]" caption="Box In Qty" attribute="1" defaultMemberUniqueName="[Range].[Box In Qty].[All]" allUniqueName="[Range].[Box In Qty].[All]" dimensionUniqueName="[Range]" displayFolder="" count="2" memberValueDatatype="20" unbalanced="0"/>
    <cacheHierarchy uniqueName="[Range].[Box Rate]" caption="Box Rate" attribute="1" defaultMemberUniqueName="[Range].[Box Rate].[All]" allUniqueName="[Range].[Box Rate].[All]" dimensionUniqueName="[Range]" displayFolder="" count="2" memberValueDatatype="20" unbalanced="0"/>
    <cacheHierarchy uniqueName="[Range].[Total  Amount]" caption="Total  Amount" attribute="1" defaultMemberUniqueName="[Range].[Total  Amount].[All]" allUniqueName="[Range].[Total  Amount].[All]" dimensionUniqueName="[Range]" displayFolder="" count="2" memberValueDatatype="20" unbalanced="0"/>
    <cacheHierarchy uniqueName="[Range].[Commission]" caption="Commission" attribute="1" defaultMemberUniqueName="[Range].[Commission].[All]" allUniqueName="[Range].[Commission].[All]" dimensionUniqueName="[Range]" displayFolder="" count="2" memberValueDatatype="5" unbalanced="0"/>
    <cacheHierarchy uniqueName="[Range].[Date (Month)]" caption="Date (Month)" attribute="1" defaultMemberUniqueName="[Range].[Date (Month)].[All]" allUniqueName="[Range].[Date (Month)].[All]" dimensionUniqueName="[Range]" displayFolder="" count="2" memberValueDatatype="130" unbalanced="0"/>
    <cacheHierarchy uniqueName="[Range 1].[Sr. No]" caption="Sr. No" attribute="1" defaultMemberUniqueName="[Range 1].[Sr. No].[All]" allUniqueName="[Range 1].[Sr. No].[All]" dimensionUniqueName="[Range 1]" displayFolder="" count="2" memberValueDatatype="20" unbalanced="0"/>
    <cacheHierarchy uniqueName="[Range 1].[Name]" caption="Name" attribute="1" defaultMemberUniqueName="[Range 1].[Name].[All]" allUniqueName="[Range 1].[Name].[All]" dimensionUniqueName="[Range 1]" displayFolder="" count="2" memberValueDatatype="130" unbalanced="0">
      <fieldsUsage count="2">
        <fieldUsage x="-1"/>
        <fieldUsage x="1"/>
      </fieldsUsage>
    </cacheHierarchy>
    <cacheHierarchy uniqueName="[Range 1].[year]" caption="year" attribute="1" defaultMemberUniqueName="[Range 1].[year].[All]" allUniqueName="[Range 1].[year].[All]" dimensionUniqueName="[Range 1]" displayFolder="" count="2" memberValueDatatype="20" unbalanced="0"/>
    <cacheHierarchy uniqueName="[Range 1].[Brand]" caption="Brand" attribute="1" defaultMemberUniqueName="[Range 1].[Brand].[All]" allUniqueName="[Range 1].[Brand].[All]" dimensionUniqueName="[Range 1]" displayFolder="" count="2" memberValueDatatype="130" unbalanced="0">
      <fieldsUsage count="2">
        <fieldUsage x="-1"/>
        <fieldUsage x="2"/>
      </fieldsUsage>
    </cacheHierarchy>
    <cacheHierarchy uniqueName="[Range 1].[Jan]" caption="Jan" attribute="1" defaultMemberUniqueName="[Range 1].[Jan].[All]" allUniqueName="[Range 1].[Jan].[All]" dimensionUniqueName="[Range 1]" displayFolder="" count="2" memberValueDatatype="20" unbalanced="0"/>
    <cacheHierarchy uniqueName="[Range 1].[Feb]" caption="Feb" attribute="1" defaultMemberUniqueName="[Range 1].[Feb].[All]" allUniqueName="[Range 1].[Feb].[All]" dimensionUniqueName="[Range 1]" displayFolder="" count="2" memberValueDatatype="20" unbalanced="0"/>
    <cacheHierarchy uniqueName="[Range 1].[Mar]" caption="Mar" attribute="1" defaultMemberUniqueName="[Range 1].[Mar].[All]" allUniqueName="[Range 1].[Mar].[All]" dimensionUniqueName="[Range 1]" displayFolder="" count="2" memberValueDatatype="20" unbalanced="0"/>
    <cacheHierarchy uniqueName="[Vlookup].[Date]" caption="Date" attribute="1" time="1" defaultMemberUniqueName="[Vlookup].[Date].[All]" allUniqueName="[Vlookup].[Date].[All]" dimensionUniqueName="[Vlookup]" displayFolder="" count="2" memberValueDatatype="7" unbalanced="0"/>
    <cacheHierarchy uniqueName="[Vlookup].[Brand Name]" caption="Brand Name" attribute="1" defaultMemberUniqueName="[Vlookup].[Brand Name].[All]" allUniqueName="[Vlookup].[Brand Name].[All]" dimensionUniqueName="[Vlookup]" displayFolder="" count="2" memberValueDatatype="130" unbalanced="0"/>
    <cacheHierarchy uniqueName="[Vlookup].[Box In Qty]" caption="Box In Qty" attribute="1" defaultMemberUniqueName="[Vlookup].[Box In Qty].[All]" allUniqueName="[Vlookup].[Box In Qty].[All]" dimensionUniqueName="[Vlookup]" displayFolder="" count="2" memberValueDatatype="20" unbalanced="0"/>
    <cacheHierarchy uniqueName="[Vlookup].[Box Rate]" caption="Box Rate" attribute="1" defaultMemberUniqueName="[Vlookup].[Box Rate].[All]" allUniqueName="[Vlookup].[Box Rate].[All]" dimensionUniqueName="[Vlookup]" displayFolder="" count="2" memberValueDatatype="20" unbalanced="0"/>
    <cacheHierarchy uniqueName="[Vlookup].[Total  Amount]" caption="Total  Amount" attribute="1" defaultMemberUniqueName="[Vlookup].[Total  Amount].[All]" allUniqueName="[Vlookup].[Total  Amount].[All]" dimensionUniqueName="[Vlookup]" displayFolder="" count="2" memberValueDatatype="20" unbalanced="0"/>
    <cacheHierarchy uniqueName="[Vlookup].[Commission]" caption="Commission" attribute="1" defaultMemberUniqueName="[Vlookup].[Commission].[All]" allUniqueName="[Vlookup].[Commission].[All]" dimensionUniqueName="[Vlookup]" displayFolder="" count="2" memberValueDatatype="5" unbalanced="0"/>
    <cacheHierarchy uniqueName="[Range].[Date (Month Index)]" caption="Date (Month Index)" attribute="1" defaultMemberUniqueName="[Range].[Date (Month Index)].[All]" allUniqueName="[Range].[Date (Month Index)].[All]" dimensionUniqueName="[Range]" displayFolder="" count="2"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oneField="1" hidden="1">
      <fieldsUsage count="1">
        <fieldUsage x="0"/>
      </fieldsUsage>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oneField="1" hidden="1">
      <fieldsUsage count="1">
        <fieldUsage x="3"/>
      </fieldsUsage>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y uniqueName="[Measures].[Distinct Count of Region]" caption="Distinct Count of Region" measure="1" displayFolder="" measureGroup="Employee" count="0" hidden="1">
      <extLst>
        <ext xmlns:x15="http://schemas.microsoft.com/office/spreadsheetml/2010/11/main" uri="{B97F6D7D-B522-45F9-BDA1-12C45D357490}">
          <x15:cacheHierarchy aggregatedColumn="19"/>
        </ext>
      </extLst>
    </cacheHierarchy>
  </cacheHierarchies>
  <kpis count="0"/>
  <dimensions count="7">
    <dimension name="Blood_Doners" uniqueName="[Blood_Doners]" caption="Blood_Doners"/>
    <dimension name="Colddrinks" uniqueName="[Colddrinks]" caption="Colddrinks"/>
    <dimension name="Employee" uniqueName="[Employee]" caption="Employee"/>
    <dimension measure="1" name="Measures" uniqueName="[Measures]" caption="Measures"/>
    <dimension name="Range" uniqueName="[Range]" caption="Range"/>
    <dimension name="Range 1" uniqueName="[Range 1]" caption="Range 1"/>
    <dimension name="Vlookup" uniqueName="[Vlookup]" caption="Vlookup"/>
  </dimensions>
  <measureGroups count="6">
    <measureGroup name="Blood_Doners" caption="Blood_Doners"/>
    <measureGroup name="Colddrinks" caption="Colddrinks"/>
    <measureGroup name="Employee" caption="Employee"/>
    <measureGroup name="Range" caption="Range"/>
    <measureGroup name="Range 1" caption="Range 1"/>
    <measureGroup name="Vlookup" caption="Vlookup"/>
  </measureGroups>
  <maps count="6">
    <map measureGroup="0" dimension="0"/>
    <map measureGroup="1" dimension="1"/>
    <map measureGroup="2" dimension="2"/>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EB" refreshedDate="45512.824059722225" backgroundQuery="1" createdVersion="3" refreshedVersion="6" minRefreshableVersion="3" recordCount="0" supportSubquery="1" supportAdvancedDrill="1" xr:uid="{051A72B2-BC3D-4C9A-8BF1-A5C3043EA3AD}">
  <cacheSource type="external" connectionId="1">
    <extLst>
      <ext xmlns:x14="http://schemas.microsoft.com/office/spreadsheetml/2009/9/main" uri="{F057638F-6D5F-4e77-A914-E7F072B9BCA8}">
        <x14:sourceConnection name="ThisWorkbookDataModel"/>
      </ext>
    </extLst>
  </cacheSource>
  <cacheFields count="0"/>
  <cacheHierarchies count="72">
    <cacheHierarchy uniqueName="[Blood_Doners].[Sr.No]" caption="Sr.No" attribute="1" defaultMemberUniqueName="[Blood_Doners].[Sr.No].[All]" allUniqueName="[Blood_Doners].[Sr.No].[All]" dimensionUniqueName="[Blood_Doners]" displayFolder="" count="0" memberValueDatatype="20" unbalanced="0"/>
    <cacheHierarchy uniqueName="[Blood_Doners].[Donor's Name]" caption="Donor's Name" attribute="1" defaultMemberUniqueName="[Blood_Doners].[Donor's Name].[All]" allUniqueName="[Blood_Doners].[Donor's Name].[All]" dimensionUniqueName="[Blood_Doners]" displayFolder="" count="0" memberValueDatatype="130" unbalanced="0"/>
    <cacheHierarchy uniqueName="[Blood_Doners].[Donor's Age]" caption="Donor's Age" attribute="1" defaultMemberUniqueName="[Blood_Doners].[Donor's Age].[All]" allUniqueName="[Blood_Doners].[Donor's Age].[All]" dimensionUniqueName="[Blood_Doners]" displayFolder="" count="0" memberValueDatatype="20" unbalanced="0"/>
    <cacheHierarchy uniqueName="[Blood_Doners].[Blood Group]" caption="Blood Group" attribute="1" defaultMemberUniqueName="[Blood_Doners].[Blood Group].[All]" allUniqueName="[Blood_Doners].[Blood Group].[All]" dimensionUniqueName="[Blood_Doners]" displayFolder="" count="0" memberValueDatatype="130" unbalanced="0"/>
    <cacheHierarchy uniqueName="[Blood_Doners].[Stock In ML]" caption="Stock In ML" attribute="1" defaultMemberUniqueName="[Blood_Doners].[Stock In ML].[All]" allUniqueName="[Blood_Doners].[Stock In ML].[All]" dimensionUniqueName="[Blood_Doners]" displayFolder="" count="0" memberValueDatatype="20" unbalanced="0"/>
    <cacheHierarchy uniqueName="[Blood_Doners].[Locality]" caption="Locality" attribute="1" defaultMemberUniqueName="[Blood_Doners].[Locality].[All]" allUniqueName="[Blood_Doners].[Locality].[All]" dimensionUniqueName="[Blood_Doners]" displayFolder="" count="0" memberValueDatatype="130" unbalanced="0"/>
    <cacheHierarchy uniqueName="[Blood_Doners].[Address]" caption="Address" attribute="1" defaultMemberUniqueName="[Blood_Doners].[Address].[All]" allUniqueName="[Blood_Doners].[Address].[All]" dimensionUniqueName="[Blood_Doners]" displayFolder="" count="0" memberValueDatatype="130" unbalanced="0"/>
    <cacheHierarchy uniqueName="[Blood_Doners].[Phone Number]" caption="Phone Number" attribute="1" defaultMemberUniqueName="[Blood_Doners].[Phone Number].[All]" allUniqueName="[Blood_Doners].[Phone Number].[All]" dimensionUniqueName="[Blood_Doners]" displayFolder="" count="0" memberValueDatatype="130" unbalanced="0"/>
    <cacheHierarchy uniqueName="[Blood_Doners].[Date]" caption="Date" attribute="1" time="1" defaultMemberUniqueName="[Blood_Doners].[Date].[All]" allUniqueName="[Blood_Doners].[Date].[All]" dimensionUniqueName="[Blood_Doners]" displayFolder="" count="0" memberValueDatatype="7" unbalanced="0"/>
    <cacheHierarchy uniqueName="[Blood_Doners].[Time]" caption="Time" attribute="1" time="1" defaultMemberUniqueName="[Blood_Doners].[Time].[All]" allUniqueName="[Blood_Doners].[Time].[All]" dimensionUniqueName="[Blood_Doners]" displayFolder="" count="0" memberValueDatatype="7" unbalanced="0"/>
    <cacheHierarchy uniqueName="[Colddrinks].[Sr. No]" caption="Sr. No" attribute="1" defaultMemberUniqueName="[Colddrinks].[Sr. No].[All]" allUniqueName="[Colddrinks].[Sr. No].[All]" dimensionUniqueName="[Colddrinks]" displayFolder="" count="0" memberValueDatatype="20" unbalanced="0"/>
    <cacheHierarchy uniqueName="[Colddrinks].[Name]" caption="Name" attribute="1" defaultMemberUniqueName="[Colddrinks].[Name].[All]" allUniqueName="[Colddrinks].[Name].[All]" dimensionUniqueName="[Colddrinks]" displayFolder="" count="0" memberValueDatatype="130" unbalanced="0"/>
    <cacheHierarchy uniqueName="[Colddrinks].[year]" caption="year" attribute="1" defaultMemberUniqueName="[Colddrinks].[year].[All]" allUniqueName="[Colddrinks].[year].[All]" dimensionUniqueName="[Colddrinks]" displayFolder="" count="0" memberValueDatatype="20" unbalanced="0"/>
    <cacheHierarchy uniqueName="[Colddrinks].[Brand]" caption="Brand" attribute="1" defaultMemberUniqueName="[Colddrinks].[Brand].[All]" allUniqueName="[Colddrinks].[Brand].[All]" dimensionUniqueName="[Colddrinks]" displayFolder="" count="2" memberValueDatatype="130" unbalanced="0"/>
    <cacheHierarchy uniqueName="[Colddrinks].[Jan]" caption="Jan" attribute="1" defaultMemberUniqueName="[Colddrinks].[Jan].[All]" allUniqueName="[Colddrinks].[Jan].[All]" dimensionUniqueName="[Colddrinks]" displayFolder="" count="2" memberValueDatatype="20" unbalanced="0"/>
    <cacheHierarchy uniqueName="[Colddrinks].[Feb]" caption="Feb" attribute="1" defaultMemberUniqueName="[Colddrinks].[Feb].[All]" allUniqueName="[Colddrinks].[Feb].[All]" dimensionUniqueName="[Colddrinks]" displayFolder="" count="2" memberValueDatatype="20" unbalanced="0"/>
    <cacheHierarchy uniqueName="[Colddrinks].[Mar]" caption="Mar" attribute="1" defaultMemberUniqueName="[Colddrinks].[Mar].[All]" allUniqueName="[Colddrinks].[Mar].[All]" dimensionUniqueName="[Colddrinks]" displayFolder="" count="0" memberValueDatatype="20" unbalanced="0"/>
    <cacheHierarchy uniqueName="[Employee].[Full Name]" caption="Full Name" attribute="1" defaultMemberUniqueName="[Employee].[Full Name].[All]" allUniqueName="[Employee].[Full Name].[All]" dimensionUniqueName="[Employee]" displayFolder="" count="0" memberValueDatatype="130" unbalanced="0"/>
    <cacheHierarchy uniqueName="[Employee].[Dept]" caption="Dept" attribute="1" defaultMemberUniqueName="[Employee].[Dept].[All]" allUniqueName="[Employee].[Dept].[All]" dimensionUniqueName="[Employee]" displayFolder="" count="0" memberValueDatatype="130" unbalanced="0"/>
    <cacheHierarchy uniqueName="[Employee].[Region]" caption="Region" attribute="1" defaultMemberUniqueName="[Employee].[Region].[All]" allUniqueName="[Employee].[Region].[All]" dimensionUniqueName="[Employee]" displayFolder="" count="0" memberValueDatatype="130" unbalanced="0"/>
    <cacheHierarchy uniqueName="[Employee].[Branch]" caption="Branch" attribute="1" defaultMemberUniqueName="[Employee].[Branch].[All]" allUniqueName="[Employee].[Branch].[All]" dimensionUniqueName="[Employee]" displayFolder="" count="0" memberValueDatatype="130" unbalanced="0"/>
    <cacheHierarchy uniqueName="[Employee].[Date of joining]" caption="Date of joining" attribute="1" time="1" defaultMemberUniqueName="[Employee].[Date of joining].[All]" allUniqueName="[Employee].[Date of joining].[All]" dimensionUniqueName="[Employee]" displayFolder="" count="0" memberValueDatatype="7" unbalanced="0"/>
    <cacheHierarchy uniqueName="[Employee].[Salary]" caption="Salary" attribute="1" defaultMemberUniqueName="[Employee].[Salary].[All]" allUniqueName="[Employee].[Salary].[All]" dimensionUniqueName="[Employee]" displayFolder="" count="0" memberValueDatatype="20" unbalanced="0"/>
    <cacheHierarchy uniqueName="[Employee].[Mobile Number]" caption="Mobile Number" attribute="1" defaultMemberUniqueName="[Employee].[Mobile Number].[All]" allUniqueName="[Employee].[Mobile Number].[All]" dimensionUniqueName="[Employee]" displayFolder="" count="0" memberValueDatatype="130" unbalanced="0"/>
    <cacheHierarchy uniqueName="[Employee].[Age]" caption="Age" attribute="1" defaultMemberUniqueName="[Employee].[Age].[All]" allUniqueName="[Employee].[Age].[All]" dimensionUniqueName="[Employee]" displayFolder="" count="0" memberValueDatatype="20" unbalanced="0"/>
    <cacheHierarchy uniqueName="[Employee].[rank]" caption="rank" attribute="1" defaultMemberUniqueName="[Employee].[rank].[All]" allUniqueName="[Employee].[rank].[All]" dimensionUniqueName="[Employee]" displayFolder="" count="0" memberValueDatatype="20" unbalanced="0"/>
    <cacheHierarchy uniqueName="[Employee].[Column1]" caption="Column1" attribute="1" defaultMemberUniqueName="[Employee].[Column1].[All]" allUniqueName="[Employee].[Column1].[All]" dimensionUniqueName="[Employee]" displayFolder="" count="0" memberValueDatatype="130" unbalanced="0"/>
    <cacheHierarchy uniqueName="[Employee].[Column2]" caption="Column2" attribute="1" defaultMemberUniqueName="[Employee].[Column2].[All]" allUniqueName="[Employee].[Column2].[All]" dimensionUniqueName="[Employee]" displayFolder="" count="0" memberValueDatatype="20" unbalanced="0"/>
    <cacheHierarchy uniqueName="[Employee].[Column3]" caption="Column3" attribute="1" defaultMemberUniqueName="[Employee].[Column3].[All]" allUniqueName="[Employee].[Column3].[All]" dimensionUniqueName="[Employe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Brand Name]" caption="Brand Name" attribute="1" defaultMemberUniqueName="[Range].[Brand Name].[All]" allUniqueName="[Range].[Brand Name].[All]" dimensionUniqueName="[Range]" displayFolder="" count="0" memberValueDatatype="130" unbalanced="0"/>
    <cacheHierarchy uniqueName="[Range].[Box In Qty]" caption="Box In Qty" attribute="1" defaultMemberUniqueName="[Range].[Box In Qty].[All]" allUniqueName="[Range].[Box In Qty].[All]" dimensionUniqueName="[Range]" displayFolder="" count="0" memberValueDatatype="20" unbalanced="0"/>
    <cacheHierarchy uniqueName="[Range].[Box Rate]" caption="Box Rate" attribute="1" defaultMemberUniqueName="[Range].[Box Rate].[All]" allUniqueName="[Range].[Box Rate].[All]" dimensionUniqueName="[Range]" displayFolder="" count="0" memberValueDatatype="20" unbalanced="0"/>
    <cacheHierarchy uniqueName="[Range].[Total  Amount]" caption="Total  Amount" attribute="1" defaultMemberUniqueName="[Range].[Total  Amount].[All]" allUniqueName="[Range].[Total  Amount].[All]" dimensionUniqueName="[Range]" displayFolder="" count="0" memberValueDatatype="20" unbalanced="0"/>
    <cacheHierarchy uniqueName="[Range].[Commission]" caption="Commission" attribute="1" defaultMemberUniqueName="[Range].[Commission].[All]" allUniqueName="[Range].[Commission].[All]" dimensionUniqueName="[Range]" displayFolder="" count="0" memberValueDatatype="5" unbalanced="0"/>
    <cacheHierarchy uniqueName="[Range].[Date (Month)]" caption="Date (Month)" attribute="1" defaultMemberUniqueName="[Range].[Date (Month)].[All]" allUniqueName="[Range].[Date (Month)].[All]" dimensionUniqueName="[Range]" displayFolder="" count="0" memberValueDatatype="130" unbalanced="0"/>
    <cacheHierarchy uniqueName="[Range 1].[Sr. No]" caption="Sr. No" attribute="1" defaultMemberUniqueName="[Range 1].[Sr. No].[All]" allUniqueName="[Range 1].[Sr. No].[All]" dimensionUniqueName="[Range 1]" displayFolder="" count="0" memberValueDatatype="20" unbalanced="0"/>
    <cacheHierarchy uniqueName="[Range 1].[Name]" caption="Name" attribute="1" defaultMemberUniqueName="[Range 1].[Name].[All]" allUniqueName="[Range 1].[Name].[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Brand]" caption="Brand" attribute="1" defaultMemberUniqueName="[Range 1].[Brand].[All]" allUniqueName="[Range 1].[Brand].[All]" dimensionUniqueName="[Range 1]" displayFolder="" count="0" memberValueDatatype="130" unbalanced="0"/>
    <cacheHierarchy uniqueName="[Range 1].[Jan]" caption="Jan" attribute="1" defaultMemberUniqueName="[Range 1].[Jan].[All]" allUniqueName="[Range 1].[Jan].[All]" dimensionUniqueName="[Range 1]" displayFolder="" count="0" memberValueDatatype="20" unbalanced="0"/>
    <cacheHierarchy uniqueName="[Range 1].[Feb]" caption="Feb" attribute="1" defaultMemberUniqueName="[Range 1].[Feb].[All]" allUniqueName="[Range 1].[Feb].[All]" dimensionUniqueName="[Range 1]" displayFolder="" count="0" memberValueDatatype="20" unbalanced="0"/>
    <cacheHierarchy uniqueName="[Range 1].[Mar]" caption="Mar" attribute="1" defaultMemberUniqueName="[Range 1].[Mar].[All]" allUniqueName="[Range 1].[Mar].[All]" dimensionUniqueName="[Range 1]" displayFolder="" count="0" memberValueDatatype="20" unbalanced="0"/>
    <cacheHierarchy uniqueName="[Vlookup].[Date]" caption="Date" attribute="1" time="1" defaultMemberUniqueName="[Vlookup].[Date].[All]" allUniqueName="[Vlookup].[Date].[All]" dimensionUniqueName="[Vlookup]" displayFolder="" count="0" memberValueDatatype="7" unbalanced="0"/>
    <cacheHierarchy uniqueName="[Vlookup].[Brand Name]" caption="Brand Name" attribute="1" defaultMemberUniqueName="[Vlookup].[Brand Name].[All]" allUniqueName="[Vlookup].[Brand Name].[All]" dimensionUniqueName="[Vlookup]" displayFolder="" count="0" memberValueDatatype="130" unbalanced="0"/>
    <cacheHierarchy uniqueName="[Vlookup].[Box In Qty]" caption="Box In Qty" attribute="1" defaultMemberUniqueName="[Vlookup].[Box In Qty].[All]" allUniqueName="[Vlookup].[Box In Qty].[All]" dimensionUniqueName="[Vlookup]" displayFolder="" count="0" memberValueDatatype="20" unbalanced="0"/>
    <cacheHierarchy uniqueName="[Vlookup].[Box Rate]" caption="Box Rate" attribute="1" defaultMemberUniqueName="[Vlookup].[Box Rate].[All]" allUniqueName="[Vlookup].[Box Rate].[All]" dimensionUniqueName="[Vlookup]" displayFolder="" count="0" memberValueDatatype="20" unbalanced="0"/>
    <cacheHierarchy uniqueName="[Vlookup].[Total  Amount]" caption="Total  Amount" attribute="1" defaultMemberUniqueName="[Vlookup].[Total  Amount].[All]" allUniqueName="[Vlookup].[Total  Amount].[All]" dimensionUniqueName="[Vlookup]" displayFolder="" count="0" memberValueDatatype="20" unbalanced="0"/>
    <cacheHierarchy uniqueName="[Vlookup].[Commission]" caption="Commission" attribute="1" defaultMemberUniqueName="[Vlookup].[Commission].[All]" allUniqueName="[Vlookup].[Commission].[All]" dimensionUniqueName="[Vlookup]" displayFolder="" count="0" memberValueDatatype="5"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Employee]" caption="__XL_Count Employee" measure="1" displayFolder="" measureGroup="Employee" count="0" hidden="1"/>
    <cacheHierarchy uniqueName="[Measures].[__XL_Count Blood_Doners]" caption="__XL_Count Blood_Doners" measure="1" displayFolder="" measureGroup="Blood_Doners" count="0" hidden="1"/>
    <cacheHierarchy uniqueName="[Measures].[__XL_Count Colddrinks]" caption="__XL_Count Colddrinks" measure="1" displayFolder="" measureGroup="Colddrinks" count="0" hidden="1"/>
    <cacheHierarchy uniqueName="[Measures].[__XL_Count Vlookup]" caption="__XL_Count Vlookup" measure="1" displayFolder="" measureGroup="Vlookup" count="0" hidden="1"/>
    <cacheHierarchy uniqueName="[Measures].[__No measures defined]" caption="__No measures defined" measure="1" displayFolder="" count="0" hidden="1"/>
    <cacheHierarchy uniqueName="[Measures].[Sum of Box In Qty]" caption="Sum of Box In Qty" measure="1" displayFolder="" measureGroup="Range" count="0" hidden="1">
      <extLst>
        <ext xmlns:x15="http://schemas.microsoft.com/office/spreadsheetml/2010/11/main" uri="{B97F6D7D-B522-45F9-BDA1-12C45D357490}">
          <x15:cacheHierarchy aggregatedColumn="31"/>
        </ext>
      </extLst>
    </cacheHierarchy>
    <cacheHierarchy uniqueName="[Measures].[Sum of Total  Amount]" caption="Sum of Total  Amount" measure="1" displayFolder="" measureGroup="Range" count="0" hidden="1">
      <extLst>
        <ext xmlns:x15="http://schemas.microsoft.com/office/spreadsheetml/2010/11/main" uri="{B97F6D7D-B522-45F9-BDA1-12C45D357490}">
          <x15:cacheHierarchy aggregatedColumn="33"/>
        </ext>
      </extLst>
    </cacheHierarchy>
    <cacheHierarchy uniqueName="[Measures].[Sum of Box Rate]" caption="Sum of Box Rate" measure="1" displayFolder="" measureGroup="Range" count="0" hidden="1">
      <extLst>
        <ext xmlns:x15="http://schemas.microsoft.com/office/spreadsheetml/2010/11/main" uri="{B97F6D7D-B522-45F9-BDA1-12C45D357490}">
          <x15:cacheHierarchy aggregatedColumn="32"/>
        </ext>
      </extLst>
    </cacheHierarchy>
    <cacheHierarchy uniqueName="[Measures].[Sum of Commission]" caption="Sum of Commission" measure="1" displayFolder="" measureGroup="Range" count="0" hidden="1">
      <extLst>
        <ext xmlns:x15="http://schemas.microsoft.com/office/spreadsheetml/2010/11/main" uri="{B97F6D7D-B522-45F9-BDA1-12C45D357490}">
          <x15:cacheHierarchy aggregatedColumn="34"/>
        </ext>
      </extLst>
    </cacheHierarchy>
    <cacheHierarchy uniqueName="[Measures].[Sum of year]" caption="Sum of year" measure="1" displayFolder="" measureGroup="Range 1" count="0" hidden="1">
      <extLst>
        <ext xmlns:x15="http://schemas.microsoft.com/office/spreadsheetml/2010/11/main" uri="{B97F6D7D-B522-45F9-BDA1-12C45D357490}">
          <x15:cacheHierarchy aggregatedColumn="38"/>
        </ext>
      </extLst>
    </cacheHierarchy>
    <cacheHierarchy uniqueName="[Measures].[Sum of Jan]" caption="Sum of Jan" measure="1" displayFolder="" measureGroup="Range 1" count="0" hidden="1">
      <extLst>
        <ext xmlns:x15="http://schemas.microsoft.com/office/spreadsheetml/2010/11/main" uri="{B97F6D7D-B522-45F9-BDA1-12C45D357490}">
          <x15:cacheHierarchy aggregatedColumn="40"/>
        </ext>
      </extLst>
    </cacheHierarchy>
    <cacheHierarchy uniqueName="[Measures].[Sum of Feb]" caption="Sum of Feb" measure="1" displayFolder="" measureGroup="Range 1" count="0" hidden="1">
      <extLst>
        <ext xmlns:x15="http://schemas.microsoft.com/office/spreadsheetml/2010/11/main" uri="{B97F6D7D-B522-45F9-BDA1-12C45D357490}">
          <x15:cacheHierarchy aggregatedColumn="41"/>
        </ext>
      </extLst>
    </cacheHierarchy>
    <cacheHierarchy uniqueName="[Measures].[Sum of Mar]" caption="Sum of Mar" measure="1" displayFolder="" measureGroup="Range 1" count="0" hidden="1">
      <extLst>
        <ext xmlns:x15="http://schemas.microsoft.com/office/spreadsheetml/2010/11/main" uri="{B97F6D7D-B522-45F9-BDA1-12C45D357490}">
          <x15:cacheHierarchy aggregatedColumn="42"/>
        </ext>
      </extLst>
    </cacheHierarchy>
    <cacheHierarchy uniqueName="[Measures].[Sum of Donor's Age]" caption="Sum of Donor's Age" measure="1" displayFolder="" measureGroup="Blood_Doners" count="0" hidden="1">
      <extLst>
        <ext xmlns:x15="http://schemas.microsoft.com/office/spreadsheetml/2010/11/main" uri="{B97F6D7D-B522-45F9-BDA1-12C45D357490}">
          <x15:cacheHierarchy aggregatedColumn="2"/>
        </ext>
      </extLst>
    </cacheHierarchy>
    <cacheHierarchy uniqueName="[Measures].[Count of Blood Group]" caption="Count of Blood Group" measure="1" displayFolder="" measureGroup="Blood_Doners" count="0" hidden="1">
      <extLst>
        <ext xmlns:x15="http://schemas.microsoft.com/office/spreadsheetml/2010/11/main" uri="{B97F6D7D-B522-45F9-BDA1-12C45D357490}">
          <x15:cacheHierarchy aggregatedColumn="3"/>
        </ext>
      </extLst>
    </cacheHierarchy>
    <cacheHierarchy uniqueName="[Measures].[Sum of year 2]" caption="Sum of year 2" measure="1" displayFolder="" measureGroup="Colddrinks" count="0" hidden="1">
      <extLst>
        <ext xmlns:x15="http://schemas.microsoft.com/office/spreadsheetml/2010/11/main" uri="{B97F6D7D-B522-45F9-BDA1-12C45D357490}">
          <x15:cacheHierarchy aggregatedColumn="12"/>
        </ext>
      </extLst>
    </cacheHierarchy>
    <cacheHierarchy uniqueName="[Measures].[Sum of Jan 2]" caption="Sum of Jan 2" measure="1" displayFolder="" measureGroup="Colddrinks" count="0" hidden="1">
      <extLst>
        <ext xmlns:x15="http://schemas.microsoft.com/office/spreadsheetml/2010/11/main" uri="{B97F6D7D-B522-45F9-BDA1-12C45D357490}">
          <x15:cacheHierarchy aggregatedColumn="14"/>
        </ext>
      </extLst>
    </cacheHierarchy>
    <cacheHierarchy uniqueName="[Measures].[Sum of Feb 2]" caption="Sum of Feb 2" measure="1" displayFolder="" measureGroup="Colddrinks" count="0" hidden="1">
      <extLst>
        <ext xmlns:x15="http://schemas.microsoft.com/office/spreadsheetml/2010/11/main" uri="{B97F6D7D-B522-45F9-BDA1-12C45D357490}">
          <x15:cacheHierarchy aggregatedColumn="15"/>
        </ext>
      </extLst>
    </cacheHierarchy>
    <cacheHierarchy uniqueName="[Measures].[Count of Region]" caption="Count of Region" measure="1" displayFolder="" measureGroup="Employee" count="0" hidden="1">
      <extLst>
        <ext xmlns:x15="http://schemas.microsoft.com/office/spreadsheetml/2010/11/main" uri="{B97F6D7D-B522-45F9-BDA1-12C45D357490}">
          <x15:cacheHierarchy aggregatedColumn="19"/>
        </ext>
      </extLst>
    </cacheHierarchy>
    <cacheHierarchy uniqueName="[Measures].[Sum of Box In Qty 2]" caption="Sum of Box In Qty 2" measure="1" displayFolder="" measureGroup="Vlookup"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213668797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n v="1"/>
    <x v="0"/>
    <x v="0"/>
    <x v="0"/>
    <n v="70"/>
    <x v="0"/>
    <x v="0"/>
  </r>
  <r>
    <n v="2"/>
    <x v="1"/>
    <x v="0"/>
    <x v="0"/>
    <n v="90"/>
    <x v="1"/>
    <x v="1"/>
  </r>
  <r>
    <n v="3"/>
    <x v="2"/>
    <x v="0"/>
    <x v="0"/>
    <n v="65"/>
    <x v="2"/>
    <x v="2"/>
  </r>
  <r>
    <n v="4"/>
    <x v="3"/>
    <x v="0"/>
    <x v="1"/>
    <n v="89"/>
    <x v="3"/>
    <x v="3"/>
  </r>
  <r>
    <n v="5"/>
    <x v="4"/>
    <x v="0"/>
    <x v="0"/>
    <n v="22"/>
    <x v="4"/>
    <x v="4"/>
  </r>
  <r>
    <n v="6"/>
    <x v="0"/>
    <x v="0"/>
    <x v="1"/>
    <n v="14"/>
    <x v="1"/>
    <x v="5"/>
  </r>
  <r>
    <n v="7"/>
    <x v="1"/>
    <x v="0"/>
    <x v="1"/>
    <n v="85"/>
    <x v="5"/>
    <x v="6"/>
  </r>
  <r>
    <n v="8"/>
    <x v="2"/>
    <x v="0"/>
    <x v="1"/>
    <n v="25"/>
    <x v="6"/>
    <x v="7"/>
  </r>
  <r>
    <n v="9"/>
    <x v="3"/>
    <x v="0"/>
    <x v="1"/>
    <n v="26"/>
    <x v="7"/>
    <x v="8"/>
  </r>
  <r>
    <n v="10"/>
    <x v="4"/>
    <x v="0"/>
    <x v="1"/>
    <n v="25"/>
    <x v="2"/>
    <x v="9"/>
  </r>
  <r>
    <n v="11"/>
    <x v="0"/>
    <x v="0"/>
    <x v="2"/>
    <n v="36"/>
    <x v="8"/>
    <x v="10"/>
  </r>
  <r>
    <n v="12"/>
    <x v="1"/>
    <x v="0"/>
    <x v="2"/>
    <n v="70"/>
    <x v="9"/>
    <x v="11"/>
  </r>
  <r>
    <n v="13"/>
    <x v="2"/>
    <x v="0"/>
    <x v="2"/>
    <n v="80"/>
    <x v="10"/>
    <x v="12"/>
  </r>
  <r>
    <n v="14"/>
    <x v="3"/>
    <x v="0"/>
    <x v="2"/>
    <n v="59"/>
    <x v="11"/>
    <x v="13"/>
  </r>
  <r>
    <n v="15"/>
    <x v="4"/>
    <x v="0"/>
    <x v="2"/>
    <n v="63"/>
    <x v="12"/>
    <x v="14"/>
  </r>
  <r>
    <n v="16"/>
    <x v="0"/>
    <x v="0"/>
    <x v="3"/>
    <n v="70"/>
    <x v="0"/>
    <x v="15"/>
  </r>
  <r>
    <n v="17"/>
    <x v="1"/>
    <x v="0"/>
    <x v="3"/>
    <n v="90"/>
    <x v="1"/>
    <x v="16"/>
  </r>
  <r>
    <n v="18"/>
    <x v="2"/>
    <x v="0"/>
    <x v="3"/>
    <n v="80"/>
    <x v="2"/>
    <x v="17"/>
  </r>
  <r>
    <n v="19"/>
    <x v="3"/>
    <x v="0"/>
    <x v="3"/>
    <n v="78"/>
    <x v="3"/>
    <x v="18"/>
  </r>
  <r>
    <n v="20"/>
    <x v="4"/>
    <x v="0"/>
    <x v="3"/>
    <n v="80"/>
    <x v="4"/>
    <x v="7"/>
  </r>
  <r>
    <n v="21"/>
    <x v="0"/>
    <x v="0"/>
    <x v="4"/>
    <n v="98"/>
    <x v="1"/>
    <x v="19"/>
  </r>
  <r>
    <n v="22"/>
    <x v="1"/>
    <x v="0"/>
    <x v="4"/>
    <n v="36"/>
    <x v="13"/>
    <x v="20"/>
  </r>
  <r>
    <n v="23"/>
    <x v="2"/>
    <x v="0"/>
    <x v="4"/>
    <n v="80"/>
    <x v="14"/>
    <x v="5"/>
  </r>
  <r>
    <n v="24"/>
    <x v="3"/>
    <x v="0"/>
    <x v="4"/>
    <n v="78"/>
    <x v="7"/>
    <x v="21"/>
  </r>
  <r>
    <n v="25"/>
    <x v="4"/>
    <x v="0"/>
    <x v="4"/>
    <n v="25"/>
    <x v="2"/>
    <x v="22"/>
  </r>
  <r>
    <n v="26"/>
    <x v="0"/>
    <x v="0"/>
    <x v="5"/>
    <n v="36"/>
    <x v="8"/>
    <x v="23"/>
  </r>
  <r>
    <n v="27"/>
    <x v="1"/>
    <x v="0"/>
    <x v="5"/>
    <n v="70"/>
    <x v="9"/>
    <x v="10"/>
  </r>
  <r>
    <n v="28"/>
    <x v="2"/>
    <x v="0"/>
    <x v="5"/>
    <n v="80"/>
    <x v="10"/>
    <x v="24"/>
  </r>
  <r>
    <n v="29"/>
    <x v="3"/>
    <x v="0"/>
    <x v="5"/>
    <n v="59"/>
    <x v="11"/>
    <x v="3"/>
  </r>
  <r>
    <n v="30"/>
    <x v="4"/>
    <x v="0"/>
    <x v="5"/>
    <n v="49"/>
    <x v="15"/>
    <x v="8"/>
  </r>
  <r>
    <n v="31"/>
    <x v="0"/>
    <x v="1"/>
    <x v="0"/>
    <n v="86"/>
    <x v="16"/>
    <x v="6"/>
  </r>
  <r>
    <n v="32"/>
    <x v="1"/>
    <x v="1"/>
    <x v="0"/>
    <n v="57"/>
    <x v="17"/>
    <x v="25"/>
  </r>
  <r>
    <n v="33"/>
    <x v="2"/>
    <x v="1"/>
    <x v="0"/>
    <n v="15"/>
    <x v="18"/>
    <x v="3"/>
  </r>
  <r>
    <n v="34"/>
    <x v="3"/>
    <x v="1"/>
    <x v="0"/>
    <n v="75"/>
    <x v="6"/>
    <x v="26"/>
  </r>
  <r>
    <n v="35"/>
    <x v="4"/>
    <x v="1"/>
    <x v="0"/>
    <n v="89"/>
    <x v="18"/>
    <x v="27"/>
  </r>
  <r>
    <n v="36"/>
    <x v="0"/>
    <x v="1"/>
    <x v="1"/>
    <n v="84"/>
    <x v="19"/>
    <x v="25"/>
  </r>
  <r>
    <n v="37"/>
    <x v="1"/>
    <x v="1"/>
    <x v="1"/>
    <n v="29"/>
    <x v="20"/>
    <x v="10"/>
  </r>
  <r>
    <n v="38"/>
    <x v="2"/>
    <x v="1"/>
    <x v="1"/>
    <n v="79"/>
    <x v="18"/>
    <x v="28"/>
  </r>
  <r>
    <n v="39"/>
    <x v="3"/>
    <x v="1"/>
    <x v="1"/>
    <n v="56"/>
    <x v="6"/>
    <x v="29"/>
  </r>
  <r>
    <n v="40"/>
    <x v="4"/>
    <x v="1"/>
    <x v="1"/>
    <n v="43"/>
    <x v="21"/>
    <x v="3"/>
  </r>
  <r>
    <n v="41"/>
    <x v="0"/>
    <x v="1"/>
    <x v="2"/>
    <n v="65"/>
    <x v="20"/>
    <x v="2"/>
  </r>
  <r>
    <n v="42"/>
    <x v="1"/>
    <x v="1"/>
    <x v="2"/>
    <n v="48"/>
    <x v="16"/>
    <x v="7"/>
  </r>
  <r>
    <n v="43"/>
    <x v="2"/>
    <x v="1"/>
    <x v="2"/>
    <n v="69"/>
    <x v="18"/>
    <x v="30"/>
  </r>
  <r>
    <n v="44"/>
    <x v="3"/>
    <x v="1"/>
    <x v="2"/>
    <n v="61"/>
    <x v="22"/>
    <x v="31"/>
  </r>
  <r>
    <n v="45"/>
    <x v="4"/>
    <x v="1"/>
    <x v="2"/>
    <n v="59"/>
    <x v="15"/>
    <x v="8"/>
  </r>
  <r>
    <n v="46"/>
    <x v="0"/>
    <x v="1"/>
    <x v="3"/>
    <n v="52"/>
    <x v="16"/>
    <x v="6"/>
  </r>
  <r>
    <n v="47"/>
    <x v="1"/>
    <x v="1"/>
    <x v="3"/>
    <n v="47"/>
    <x v="17"/>
    <x v="25"/>
  </r>
  <r>
    <n v="48"/>
    <x v="2"/>
    <x v="1"/>
    <x v="3"/>
    <n v="39"/>
    <x v="18"/>
    <x v="3"/>
  </r>
  <r>
    <n v="49"/>
    <x v="3"/>
    <x v="1"/>
    <x v="3"/>
    <n v="88"/>
    <x v="6"/>
    <x v="26"/>
  </r>
  <r>
    <n v="50"/>
    <x v="4"/>
    <x v="1"/>
    <x v="3"/>
    <n v="79"/>
    <x v="18"/>
    <x v="27"/>
  </r>
  <r>
    <n v="51"/>
    <x v="0"/>
    <x v="1"/>
    <x v="4"/>
    <n v="77"/>
    <x v="19"/>
    <x v="25"/>
  </r>
  <r>
    <n v="52"/>
    <x v="1"/>
    <x v="1"/>
    <x v="4"/>
    <n v="90"/>
    <x v="20"/>
    <x v="10"/>
  </r>
  <r>
    <n v="53"/>
    <x v="2"/>
    <x v="1"/>
    <x v="4"/>
    <n v="84"/>
    <x v="18"/>
    <x v="28"/>
  </r>
  <r>
    <n v="54"/>
    <x v="3"/>
    <x v="1"/>
    <x v="4"/>
    <n v="76"/>
    <x v="6"/>
    <x v="29"/>
  </r>
  <r>
    <n v="55"/>
    <x v="4"/>
    <x v="1"/>
    <x v="4"/>
    <n v="72"/>
    <x v="21"/>
    <x v="3"/>
  </r>
  <r>
    <n v="56"/>
    <x v="0"/>
    <x v="1"/>
    <x v="5"/>
    <n v="71"/>
    <x v="20"/>
    <x v="2"/>
  </r>
  <r>
    <n v="57"/>
    <x v="1"/>
    <x v="1"/>
    <x v="5"/>
    <n v="65"/>
    <x v="16"/>
    <x v="7"/>
  </r>
  <r>
    <n v="58"/>
    <x v="2"/>
    <x v="1"/>
    <x v="5"/>
    <n v="62"/>
    <x v="18"/>
    <x v="30"/>
  </r>
  <r>
    <n v="59"/>
    <x v="3"/>
    <x v="1"/>
    <x v="5"/>
    <n v="75"/>
    <x v="22"/>
    <x v="31"/>
  </r>
  <r>
    <n v="60"/>
    <x v="4"/>
    <x v="1"/>
    <x v="5"/>
    <n v="49"/>
    <x v="15"/>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n v="17500"/>
    <s v="9324882626"/>
    <n v="18"/>
    <n v="9"/>
    <s v=" "/>
    <m/>
    <m/>
  </r>
  <r>
    <x v="1"/>
    <x v="0"/>
    <x v="0"/>
    <x v="1"/>
    <x v="1"/>
    <n v="15750"/>
    <n v="9823578786"/>
    <n v="30"/>
    <n v="18"/>
    <s v=" "/>
    <m/>
    <m/>
  </r>
  <r>
    <x v="2"/>
    <x v="0"/>
    <x v="0"/>
    <x v="2"/>
    <x v="2"/>
    <n v="7875"/>
    <n v="9869660484"/>
    <n v="35"/>
    <n v="18"/>
    <s v=" "/>
    <m/>
    <m/>
  </r>
  <r>
    <x v="3"/>
    <x v="0"/>
    <x v="1"/>
    <x v="3"/>
    <x v="3"/>
    <n v="19250"/>
    <n v="9970874230"/>
    <n v="20"/>
    <n v="44"/>
    <s v=" "/>
    <m/>
    <m/>
  </r>
  <r>
    <x v="4"/>
    <x v="0"/>
    <x v="1"/>
    <x v="4"/>
    <x v="4"/>
    <n v="9625"/>
    <n v="9869214286"/>
    <n v="19"/>
    <n v="2"/>
    <s v=" "/>
    <m/>
    <m/>
  </r>
  <r>
    <x v="5"/>
    <x v="0"/>
    <x v="1"/>
    <x v="5"/>
    <x v="1"/>
    <n v="21000"/>
    <n v="9820943526"/>
    <n v="32"/>
    <n v="44"/>
    <s v=" "/>
    <m/>
    <m/>
  </r>
  <r>
    <x v="6"/>
    <x v="0"/>
    <x v="1"/>
    <x v="6"/>
    <x v="5"/>
    <n v="15750"/>
    <n v="9890596938"/>
    <n v="22"/>
    <n v="86"/>
    <s v=" "/>
    <m/>
    <m/>
  </r>
  <r>
    <x v="7"/>
    <x v="0"/>
    <x v="2"/>
    <x v="7"/>
    <x v="6"/>
    <n v="19250"/>
    <n v="9969033341"/>
    <n v="27"/>
    <n v="11"/>
    <s v=" "/>
    <m/>
    <m/>
  </r>
  <r>
    <x v="8"/>
    <x v="0"/>
    <x v="2"/>
    <x v="8"/>
    <x v="7"/>
    <n v="7000"/>
    <n v="9764042559"/>
    <n v="15"/>
    <n v="88"/>
    <s v=" "/>
    <m/>
    <m/>
  </r>
  <r>
    <x v="9"/>
    <x v="0"/>
    <x v="3"/>
    <x v="9"/>
    <x v="1"/>
    <n v="15750"/>
    <n v="9833712250"/>
    <n v="32"/>
    <n v="18"/>
    <s v="Asst Manager"/>
    <n v="6"/>
    <m/>
  </r>
  <r>
    <x v="10"/>
    <x v="1"/>
    <x v="0"/>
    <x v="0"/>
    <x v="8"/>
    <n v="17500"/>
    <n v="7709412045"/>
    <n v="22"/>
    <n v="73"/>
    <s v=" "/>
    <m/>
    <m/>
  </r>
  <r>
    <x v="11"/>
    <x v="1"/>
    <x v="0"/>
    <x v="10"/>
    <x v="9"/>
    <n v="15750"/>
    <n v="9923326704"/>
    <n v="26"/>
    <n v="66"/>
    <s v=" "/>
    <m/>
    <m/>
  </r>
  <r>
    <x v="12"/>
    <x v="1"/>
    <x v="0"/>
    <x v="11"/>
    <x v="10"/>
    <n v="15750"/>
    <n v="9923458847"/>
    <n v="34"/>
    <n v="18"/>
    <s v=" "/>
    <m/>
    <m/>
  </r>
  <r>
    <x v="13"/>
    <x v="1"/>
    <x v="1"/>
    <x v="12"/>
    <x v="11"/>
    <n v="7000"/>
    <s v="9420034749"/>
    <n v="25"/>
    <n v="5"/>
    <s v=" "/>
    <m/>
    <m/>
  </r>
  <r>
    <x v="14"/>
    <x v="1"/>
    <x v="1"/>
    <x v="13"/>
    <x v="12"/>
    <n v="7000"/>
    <n v="9869214286"/>
    <n v="35"/>
    <n v="81"/>
    <s v=" "/>
    <m/>
    <m/>
  </r>
  <r>
    <x v="15"/>
    <x v="1"/>
    <x v="1"/>
    <x v="14"/>
    <x v="13"/>
    <n v="17325"/>
    <s v="9422541749"/>
    <n v="35"/>
    <n v="18"/>
    <s v=" "/>
    <m/>
    <m/>
  </r>
  <r>
    <x v="16"/>
    <x v="1"/>
    <x v="1"/>
    <x v="4"/>
    <x v="14"/>
    <n v="17500"/>
    <s v="9270212610"/>
    <n v="35"/>
    <n v="5"/>
    <s v=" "/>
    <m/>
    <m/>
  </r>
  <r>
    <x v="17"/>
    <x v="1"/>
    <x v="1"/>
    <x v="5"/>
    <x v="15"/>
    <n v="17500"/>
    <s v="9421144601"/>
    <n v="32"/>
    <n v="18"/>
    <s v=" "/>
    <m/>
    <m/>
  </r>
  <r>
    <x v="18"/>
    <x v="1"/>
    <x v="1"/>
    <x v="15"/>
    <x v="16"/>
    <n v="19250"/>
    <n v="9921952488"/>
    <n v="25"/>
    <n v="37"/>
    <s v=" "/>
    <m/>
    <m/>
  </r>
  <r>
    <x v="19"/>
    <x v="1"/>
    <x v="1"/>
    <x v="15"/>
    <x v="17"/>
    <n v="8750"/>
    <n v="9869214286"/>
    <n v="19"/>
    <n v="59"/>
    <s v=" "/>
    <m/>
    <m/>
  </r>
  <r>
    <x v="20"/>
    <x v="1"/>
    <x v="2"/>
    <x v="16"/>
    <x v="18"/>
    <n v="17500"/>
    <s v="9404983859"/>
    <n v="34"/>
    <n v="37"/>
    <s v=" "/>
    <m/>
    <m/>
  </r>
  <r>
    <x v="21"/>
    <x v="1"/>
    <x v="2"/>
    <x v="17"/>
    <x v="19"/>
    <n v="15750"/>
    <n v="9890939072"/>
    <n v="32"/>
    <n v="88"/>
    <s v=" "/>
    <m/>
    <m/>
  </r>
  <r>
    <x v="22"/>
    <x v="1"/>
    <x v="2"/>
    <x v="18"/>
    <x v="20"/>
    <n v="15750"/>
    <n v="9869214286"/>
    <n v="24"/>
    <n v="2"/>
    <s v=" "/>
    <m/>
    <m/>
  </r>
  <r>
    <x v="23"/>
    <x v="1"/>
    <x v="3"/>
    <x v="19"/>
    <x v="19"/>
    <n v="15750"/>
    <n v="9890596938"/>
    <n v="26"/>
    <n v="12"/>
    <s v=" "/>
    <m/>
    <m/>
  </r>
  <r>
    <x v="24"/>
    <x v="1"/>
    <x v="3"/>
    <x v="20"/>
    <x v="21"/>
    <n v="15750"/>
    <n v="9923274435"/>
    <n v="27"/>
    <n v="71"/>
    <s v=" "/>
    <m/>
    <m/>
  </r>
  <r>
    <x v="25"/>
    <x v="1"/>
    <x v="3"/>
    <x v="21"/>
    <x v="8"/>
    <n v="17500"/>
    <s v="9326929069"/>
    <n v="32"/>
    <n v="75"/>
    <s v=" "/>
    <m/>
    <m/>
  </r>
  <r>
    <x v="26"/>
    <x v="2"/>
    <x v="2"/>
    <x v="17"/>
    <x v="22"/>
    <n v="49000"/>
    <n v="9820994920"/>
    <n v="85"/>
    <n v="95"/>
    <s v=" "/>
    <m/>
    <m/>
  </r>
  <r>
    <x v="27"/>
    <x v="3"/>
    <x v="0"/>
    <x v="0"/>
    <x v="23"/>
    <n v="12000"/>
    <n v="9820977608"/>
    <n v="22"/>
    <n v="44"/>
    <s v=" "/>
    <m/>
    <m/>
  </r>
  <r>
    <x v="28"/>
    <x v="3"/>
    <x v="1"/>
    <x v="12"/>
    <x v="20"/>
    <n v="24500"/>
    <n v="9869214286"/>
    <n v="29"/>
    <n v="88"/>
    <s v=" "/>
    <m/>
    <m/>
  </r>
  <r>
    <x v="29"/>
    <x v="3"/>
    <x v="1"/>
    <x v="14"/>
    <x v="20"/>
    <n v="24500"/>
    <n v="9869214286"/>
    <n v="35"/>
    <n v="18"/>
    <s v=" "/>
    <m/>
    <m/>
  </r>
  <r>
    <x v="30"/>
    <x v="3"/>
    <x v="2"/>
    <x v="8"/>
    <x v="24"/>
    <n v="7875"/>
    <s v="9422575887"/>
    <n v="20"/>
    <n v="59"/>
    <s v=" "/>
    <n v="2"/>
    <m/>
  </r>
  <r>
    <x v="31"/>
    <x v="3"/>
    <x v="2"/>
    <x v="22"/>
    <x v="20"/>
    <n v="24500"/>
    <n v="9869214286"/>
    <n v="18"/>
    <n v="37"/>
    <s v=" "/>
    <m/>
    <m/>
  </r>
  <r>
    <x v="32"/>
    <x v="3"/>
    <x v="3"/>
    <x v="23"/>
    <x v="25"/>
    <n v="10500"/>
    <s v="9422570088"/>
    <n v="34"/>
    <n v="59"/>
    <s v=" "/>
    <m/>
    <m/>
  </r>
  <r>
    <x v="33"/>
    <x v="3"/>
    <x v="3"/>
    <x v="24"/>
    <x v="26"/>
    <n v="14875"/>
    <n v="9820737731"/>
    <n v="29"/>
    <n v="18"/>
    <s v=" "/>
    <m/>
    <m/>
  </r>
  <r>
    <x v="34"/>
    <x v="4"/>
    <x v="0"/>
    <x v="0"/>
    <x v="27"/>
    <n v="14000"/>
    <s v="9028170448"/>
    <n v="29"/>
    <n v="95"/>
    <s v=" "/>
    <m/>
    <m/>
  </r>
  <r>
    <x v="35"/>
    <x v="4"/>
    <x v="0"/>
    <x v="2"/>
    <x v="28"/>
    <n v="15750"/>
    <n v="9820452122"/>
    <n v="29"/>
    <n v="44"/>
    <s v=" "/>
    <m/>
    <m/>
  </r>
  <r>
    <x v="36"/>
    <x v="4"/>
    <x v="0"/>
    <x v="10"/>
    <x v="29"/>
    <n v="17325"/>
    <s v="9422150553"/>
    <n v="19"/>
    <n v="12"/>
    <s v=" "/>
    <m/>
    <m/>
  </r>
  <r>
    <x v="37"/>
    <x v="4"/>
    <x v="0"/>
    <x v="25"/>
    <x v="30"/>
    <n v="7875"/>
    <n v="9860806480"/>
    <n v="38"/>
    <n v="18"/>
    <s v=" "/>
    <m/>
    <m/>
  </r>
  <r>
    <x v="38"/>
    <x v="4"/>
    <x v="1"/>
    <x v="3"/>
    <x v="31"/>
    <n v="17500"/>
    <n v="9960646540"/>
    <n v="20"/>
    <n v="59"/>
    <s v=" "/>
    <m/>
    <m/>
  </r>
  <r>
    <x v="39"/>
    <x v="4"/>
    <x v="1"/>
    <x v="14"/>
    <x v="32"/>
    <n v="12250"/>
    <n v="9765776618"/>
    <n v="21"/>
    <n v="12"/>
    <s v=" "/>
    <m/>
    <m/>
  </r>
  <r>
    <x v="40"/>
    <x v="4"/>
    <x v="1"/>
    <x v="14"/>
    <x v="33"/>
    <n v="17500"/>
    <s v="9373204998"/>
    <n v="35"/>
    <n v="37"/>
    <s v=" "/>
    <m/>
    <m/>
  </r>
  <r>
    <x v="41"/>
    <x v="4"/>
    <x v="1"/>
    <x v="26"/>
    <x v="34"/>
    <n v="17500"/>
    <s v="9404444606"/>
    <n v="32"/>
    <n v="81"/>
    <s v=" "/>
    <m/>
    <m/>
  </r>
  <r>
    <x v="42"/>
    <x v="4"/>
    <x v="1"/>
    <x v="4"/>
    <x v="35"/>
    <n v="5950"/>
    <n v="9860806279"/>
    <n v="19"/>
    <n v="87"/>
    <s v=" "/>
    <m/>
    <m/>
  </r>
  <r>
    <x v="43"/>
    <x v="4"/>
    <x v="1"/>
    <x v="27"/>
    <x v="36"/>
    <n v="10500"/>
    <n v="9860774336"/>
    <n v="20"/>
    <n v="12"/>
    <s v=" "/>
    <m/>
    <m/>
  </r>
  <r>
    <x v="44"/>
    <x v="4"/>
    <x v="2"/>
    <x v="7"/>
    <x v="37"/>
    <n v="17325"/>
    <s v="9422240490"/>
    <n v="19"/>
    <n v="74"/>
    <s v=" "/>
    <m/>
    <m/>
  </r>
  <r>
    <x v="45"/>
    <x v="4"/>
    <x v="2"/>
    <x v="8"/>
    <x v="38"/>
    <n v="17500"/>
    <s v="9421159084"/>
    <n v="21"/>
    <n v="5"/>
    <s v=" "/>
    <m/>
    <m/>
  </r>
  <r>
    <x v="46"/>
    <x v="4"/>
    <x v="2"/>
    <x v="18"/>
    <x v="39"/>
    <n v="9275"/>
    <n v="9869214286"/>
    <n v="25"/>
    <n v="67"/>
    <s v="Sr. Executive"/>
    <m/>
    <m/>
  </r>
  <r>
    <x v="47"/>
    <x v="4"/>
    <x v="2"/>
    <x v="28"/>
    <x v="40"/>
    <n v="19250"/>
    <n v="9970541164"/>
    <n v="23"/>
    <n v="18"/>
    <s v=" "/>
    <m/>
    <m/>
  </r>
  <r>
    <x v="48"/>
    <x v="4"/>
    <x v="3"/>
    <x v="9"/>
    <x v="41"/>
    <n v="7875"/>
    <n v="9860806480"/>
    <n v="25"/>
    <n v="44"/>
    <s v=" "/>
    <m/>
    <m/>
  </r>
  <r>
    <x v="49"/>
    <x v="4"/>
    <x v="3"/>
    <x v="24"/>
    <x v="25"/>
    <n v="7875"/>
    <s v="9421254610"/>
    <n v="28"/>
    <n v="59"/>
    <s v=" "/>
    <m/>
    <m/>
  </r>
  <r>
    <x v="50"/>
    <x v="4"/>
    <x v="3"/>
    <x v="24"/>
    <x v="42"/>
    <n v="7875"/>
    <n v="9860831111"/>
    <n v="18"/>
    <n v="44"/>
    <s v=" "/>
    <m/>
    <m/>
  </r>
  <r>
    <x v="51"/>
    <x v="4"/>
    <x v="3"/>
    <x v="29"/>
    <x v="43"/>
    <n v="17325"/>
    <s v="9422205486"/>
    <n v="20"/>
    <n v="37"/>
    <s v=" "/>
    <m/>
    <m/>
  </r>
  <r>
    <x v="52"/>
    <x v="5"/>
    <x v="0"/>
    <x v="1"/>
    <x v="44"/>
    <n v="13825"/>
    <n v="9881927158"/>
    <n v="26"/>
    <n v="81"/>
    <s v=" "/>
    <m/>
    <m/>
  </r>
  <r>
    <x v="53"/>
    <x v="5"/>
    <x v="0"/>
    <x v="25"/>
    <x v="19"/>
    <n v="14175"/>
    <n v="9869214286"/>
    <n v="21"/>
    <n v="2"/>
    <s v=" "/>
    <m/>
    <m/>
  </r>
  <r>
    <x v="54"/>
    <x v="5"/>
    <x v="1"/>
    <x v="3"/>
    <x v="45"/>
    <n v="17500"/>
    <s v="8898626116"/>
    <n v="45"/>
    <n v="95"/>
    <s v=" "/>
    <m/>
    <m/>
  </r>
  <r>
    <x v="55"/>
    <x v="5"/>
    <x v="1"/>
    <x v="14"/>
    <x v="9"/>
    <n v="14000"/>
    <s v="9028136651"/>
    <n v="35"/>
    <n v="75"/>
    <s v=" "/>
    <m/>
    <m/>
  </r>
  <r>
    <x v="56"/>
    <x v="5"/>
    <x v="1"/>
    <x v="4"/>
    <x v="46"/>
    <n v="14875"/>
    <n v="9823324652"/>
    <n v="19"/>
    <n v="37"/>
    <s v=" "/>
    <m/>
    <m/>
  </r>
  <r>
    <x v="57"/>
    <x v="5"/>
    <x v="1"/>
    <x v="5"/>
    <x v="47"/>
    <n v="14875"/>
    <n v="9822093201"/>
    <n v="19"/>
    <n v="95"/>
    <s v=" "/>
    <m/>
    <m/>
  </r>
  <r>
    <x v="58"/>
    <x v="5"/>
    <x v="1"/>
    <x v="15"/>
    <x v="48"/>
    <n v="20125"/>
    <s v="9011096525"/>
    <n v="18"/>
    <n v="18"/>
    <s v=" "/>
    <m/>
    <m/>
  </r>
  <r>
    <x v="59"/>
    <x v="5"/>
    <x v="2"/>
    <x v="8"/>
    <x v="0"/>
    <n v="17500"/>
    <n v="9987334056"/>
    <n v="20"/>
    <n v="79"/>
    <s v=" "/>
    <m/>
    <m/>
  </r>
  <r>
    <x v="60"/>
    <x v="5"/>
    <x v="3"/>
    <x v="19"/>
    <x v="19"/>
    <n v="15750"/>
    <n v="9890984899"/>
    <n v="20"/>
    <n v="88"/>
    <s v=" "/>
    <m/>
    <m/>
  </r>
  <r>
    <x v="61"/>
    <x v="5"/>
    <x v="3"/>
    <x v="23"/>
    <x v="19"/>
    <n v="15750"/>
    <n v="9881666343"/>
    <n v="34"/>
    <n v="100"/>
    <s v=" "/>
    <m/>
    <m/>
  </r>
  <r>
    <x v="62"/>
    <x v="5"/>
    <x v="3"/>
    <x v="24"/>
    <x v="49"/>
    <n v="13825"/>
    <n v="9819204678"/>
    <n v="19"/>
    <n v="44"/>
    <s v=" "/>
    <m/>
    <m/>
  </r>
  <r>
    <x v="63"/>
    <x v="5"/>
    <x v="3"/>
    <x v="29"/>
    <x v="50"/>
    <n v="11725"/>
    <n v="9869214286"/>
    <n v="55"/>
    <n v="44"/>
    <s v=" "/>
    <m/>
    <m/>
  </r>
  <r>
    <x v="64"/>
    <x v="6"/>
    <x v="0"/>
    <x v="0"/>
    <x v="17"/>
    <n v="13300"/>
    <n v="9869855785"/>
    <n v="19"/>
    <n v="18"/>
    <s v=" "/>
    <m/>
    <m/>
  </r>
  <r>
    <x v="65"/>
    <x v="6"/>
    <x v="0"/>
    <x v="0"/>
    <x v="51"/>
    <n v="7000"/>
    <s v="9420811079"/>
    <n v="32"/>
    <n v="18"/>
    <s v=" "/>
    <m/>
    <m/>
  </r>
  <r>
    <x v="66"/>
    <x v="6"/>
    <x v="0"/>
    <x v="1"/>
    <x v="52"/>
    <n v="17500"/>
    <s v="9420000679"/>
    <n v="35"/>
    <n v="67"/>
    <s v=" "/>
    <m/>
    <m/>
  </r>
  <r>
    <x v="67"/>
    <x v="6"/>
    <x v="1"/>
    <x v="3"/>
    <x v="20"/>
    <n v="15750"/>
    <n v="9869214286"/>
    <n v="25"/>
    <n v="88"/>
    <s v=" "/>
    <m/>
    <m/>
  </r>
  <r>
    <x v="68"/>
    <x v="6"/>
    <x v="1"/>
    <x v="3"/>
    <x v="53"/>
    <n v="12425"/>
    <n v="9820264026"/>
    <n v="19"/>
    <n v="12"/>
    <s v=" "/>
    <m/>
    <m/>
  </r>
  <r>
    <x v="69"/>
    <x v="6"/>
    <x v="1"/>
    <x v="3"/>
    <x v="54"/>
    <n v="7000"/>
    <s v="9420815577"/>
    <n v="21"/>
    <n v="12"/>
    <s v=" "/>
    <m/>
    <m/>
  </r>
  <r>
    <x v="70"/>
    <x v="6"/>
    <x v="1"/>
    <x v="14"/>
    <x v="45"/>
    <n v="17500"/>
    <s v="9370498449"/>
    <n v="24"/>
    <n v="88"/>
    <s v=" "/>
    <m/>
    <m/>
  </r>
  <r>
    <x v="71"/>
    <x v="6"/>
    <x v="1"/>
    <x v="26"/>
    <x v="12"/>
    <n v="11375"/>
    <n v="9890076567"/>
    <n v="20"/>
    <n v="37"/>
    <s v=" "/>
    <m/>
    <m/>
  </r>
  <r>
    <x v="72"/>
    <x v="6"/>
    <x v="1"/>
    <x v="4"/>
    <x v="55"/>
    <n v="22750"/>
    <s v="9421692101"/>
    <n v="24"/>
    <n v="8"/>
    <s v=" "/>
    <m/>
    <m/>
  </r>
  <r>
    <x v="73"/>
    <x v="6"/>
    <x v="1"/>
    <x v="5"/>
    <x v="56"/>
    <n v="17500"/>
    <n v="9975890033"/>
    <n v="26"/>
    <n v="71"/>
    <s v=" "/>
    <m/>
    <m/>
  </r>
  <r>
    <x v="74"/>
    <x v="6"/>
    <x v="1"/>
    <x v="6"/>
    <x v="53"/>
    <n v="21000"/>
    <n v="9766007086"/>
    <n v="32"/>
    <n v="85"/>
    <s v=" "/>
    <m/>
    <m/>
  </r>
  <r>
    <x v="75"/>
    <x v="6"/>
    <x v="1"/>
    <x v="27"/>
    <x v="57"/>
    <n v="12425"/>
    <n v="9766754687"/>
    <n v="29"/>
    <n v="9"/>
    <s v=" "/>
    <m/>
    <m/>
  </r>
  <r>
    <x v="76"/>
    <x v="6"/>
    <x v="2"/>
    <x v="18"/>
    <x v="58"/>
    <n v="7875"/>
    <n v="9869207341"/>
    <n v="25"/>
    <n v="44"/>
    <s v=" "/>
    <m/>
    <m/>
  </r>
  <r>
    <x v="77"/>
    <x v="6"/>
    <x v="2"/>
    <x v="22"/>
    <x v="59"/>
    <n v="17500"/>
    <s v="9226493980"/>
    <n v="28"/>
    <n v="80"/>
    <s v=" "/>
    <m/>
    <m/>
  </r>
  <r>
    <x v="78"/>
    <x v="6"/>
    <x v="2"/>
    <x v="28"/>
    <x v="60"/>
    <n v="17325"/>
    <s v="9422419414"/>
    <n v="60"/>
    <n v="81"/>
    <s v=" "/>
    <m/>
    <m/>
  </r>
  <r>
    <x v="79"/>
    <x v="6"/>
    <x v="3"/>
    <x v="23"/>
    <x v="61"/>
    <n v="10500"/>
    <n v="9869214286"/>
    <n v="43"/>
    <n v="78"/>
    <s v=" "/>
    <m/>
    <m/>
  </r>
  <r>
    <x v="80"/>
    <x v="6"/>
    <x v="3"/>
    <x v="20"/>
    <x v="62"/>
    <n v="17325"/>
    <s v="9422410705"/>
    <n v="20"/>
    <n v="59"/>
    <s v=" "/>
    <m/>
    <m/>
  </r>
  <r>
    <x v="81"/>
    <x v="6"/>
    <x v="3"/>
    <x v="21"/>
    <x v="63"/>
    <n v="14000"/>
    <s v="9028964204"/>
    <n v="24"/>
    <n v="18"/>
    <s v=" "/>
    <m/>
    <m/>
  </r>
  <r>
    <x v="82"/>
    <x v="7"/>
    <x v="0"/>
    <x v="0"/>
    <x v="64"/>
    <n v="22750"/>
    <s v="9422054807"/>
    <n v="32"/>
    <n v="44"/>
    <s v=" "/>
    <m/>
    <m/>
  </r>
  <r>
    <x v="83"/>
    <x v="7"/>
    <x v="0"/>
    <x v="1"/>
    <x v="65"/>
    <n v="17500"/>
    <n v="9730645003"/>
    <n v="30"/>
    <n v="44"/>
    <s v=" "/>
    <m/>
    <m/>
  </r>
  <r>
    <x v="84"/>
    <x v="7"/>
    <x v="0"/>
    <x v="1"/>
    <x v="20"/>
    <n v="19250"/>
    <n v="9869214286"/>
    <n v="22"/>
    <n v="18"/>
    <s v=" "/>
    <m/>
    <m/>
  </r>
  <r>
    <x v="85"/>
    <x v="7"/>
    <x v="0"/>
    <x v="2"/>
    <x v="56"/>
    <n v="17500"/>
    <s v="9323917310"/>
    <n v="18"/>
    <n v="18"/>
    <s v=" "/>
    <m/>
    <m/>
  </r>
  <r>
    <x v="86"/>
    <x v="7"/>
    <x v="1"/>
    <x v="12"/>
    <x v="66"/>
    <n v="22750"/>
    <s v="9421686282"/>
    <n v="18"/>
    <n v="67"/>
    <s v=" "/>
    <m/>
    <m/>
  </r>
  <r>
    <x v="87"/>
    <x v="7"/>
    <x v="1"/>
    <x v="13"/>
    <x v="67"/>
    <n v="14875"/>
    <n v="9820430212"/>
    <n v="28"/>
    <n v="95"/>
    <s v=" "/>
    <m/>
    <m/>
  </r>
  <r>
    <x v="88"/>
    <x v="7"/>
    <x v="1"/>
    <x v="14"/>
    <x v="21"/>
    <n v="14000"/>
    <s v="9011234839"/>
    <n v="29"/>
    <n v="44"/>
    <s v=" "/>
    <m/>
    <m/>
  </r>
  <r>
    <x v="89"/>
    <x v="7"/>
    <x v="1"/>
    <x v="26"/>
    <x v="65"/>
    <n v="21875"/>
    <n v="9702868333"/>
    <n v="18"/>
    <n v="18"/>
    <s v=" "/>
    <m/>
    <n v="12"/>
  </r>
  <r>
    <x v="90"/>
    <x v="7"/>
    <x v="1"/>
    <x v="5"/>
    <x v="68"/>
    <n v="15750"/>
    <n v="9921835853"/>
    <n v="18"/>
    <n v="88"/>
    <s v=" "/>
    <m/>
    <m/>
  </r>
  <r>
    <x v="91"/>
    <x v="7"/>
    <x v="1"/>
    <x v="6"/>
    <x v="69"/>
    <n v="19250"/>
    <n v="9975807947"/>
    <n v="35"/>
    <n v="44"/>
    <s v=" "/>
    <m/>
    <m/>
  </r>
  <r>
    <x v="92"/>
    <x v="7"/>
    <x v="1"/>
    <x v="15"/>
    <x v="17"/>
    <n v="15750"/>
    <n v="9890582266"/>
    <n v="23"/>
    <n v="18"/>
    <s v=" "/>
    <m/>
    <m/>
  </r>
  <r>
    <x v="93"/>
    <x v="7"/>
    <x v="2"/>
    <x v="7"/>
    <x v="70"/>
    <n v="17325"/>
    <s v="9422202771"/>
    <n v="27"/>
    <n v="44"/>
    <s v=" "/>
    <m/>
    <m/>
  </r>
  <r>
    <x v="94"/>
    <x v="7"/>
    <x v="2"/>
    <x v="7"/>
    <x v="71"/>
    <n v="13125"/>
    <n v="9869214286"/>
    <n v="19"/>
    <n v="1"/>
    <s v=" "/>
    <m/>
    <m/>
  </r>
  <r>
    <x v="95"/>
    <x v="7"/>
    <x v="2"/>
    <x v="16"/>
    <x v="72"/>
    <n v="14875"/>
    <n v="9960636798"/>
    <n v="24"/>
    <n v="59"/>
    <s v=" "/>
    <m/>
    <m/>
  </r>
  <r>
    <x v="96"/>
    <x v="7"/>
    <x v="2"/>
    <x v="18"/>
    <x v="17"/>
    <n v="10500"/>
    <n v="9869424621"/>
    <n v="28"/>
    <n v="77"/>
    <s v=" "/>
    <m/>
    <m/>
  </r>
  <r>
    <x v="97"/>
    <x v="7"/>
    <x v="3"/>
    <x v="23"/>
    <x v="48"/>
    <n v="17500"/>
    <s v="9371580193"/>
    <n v="19"/>
    <n v="18"/>
    <s v=" "/>
    <m/>
    <m/>
  </r>
  <r>
    <x v="98"/>
    <x v="7"/>
    <x v="3"/>
    <x v="20"/>
    <x v="73"/>
    <n v="14875"/>
    <n v="9923858743"/>
    <n v="22"/>
    <n v="67"/>
    <s v=" "/>
    <m/>
    <m/>
  </r>
  <r>
    <x v="99"/>
    <x v="7"/>
    <x v="3"/>
    <x v="9"/>
    <x v="74"/>
    <n v="14875"/>
    <n v="9860887313"/>
    <n v="27"/>
    <n v="44"/>
    <s v=" "/>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5AFCB8-5490-42D8-A7FA-97E10D7D50F8}" name="PivotTable29"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J16:K33" firstHeaderRow="1" firstDataRow="1" firstDataCol="1"/>
  <pivotFields count="2">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dataField="1" subtotalTop="0" showAll="0" defaultSubtota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Box In Qty" fld="1" baseField="0" baseItem="0"/>
  </dataField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
        <x15:activeTabTopLevelEntity name="[Vlooku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0D7B15-D6E9-4A26-9EC8-E0D4F9A98D93}" name="PivotTable28" cacheId="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M6:N15" firstHeaderRow="1" firstDataRow="1" firstDataCol="1"/>
  <pivotFields count="2">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s>
  <rowFields count="1">
    <field x="0"/>
  </rowFields>
  <rowItems count="9">
    <i>
      <x/>
    </i>
    <i>
      <x v="1"/>
    </i>
    <i>
      <x v="2"/>
    </i>
    <i>
      <x v="3"/>
    </i>
    <i>
      <x v="4"/>
    </i>
    <i>
      <x v="5"/>
    </i>
    <i>
      <x v="6"/>
    </i>
    <i>
      <x v="7"/>
    </i>
    <i t="grand">
      <x/>
    </i>
  </rowItems>
  <colItems count="1">
    <i/>
  </colItems>
  <dataFields count="1">
    <dataField name="Distinct Count of Region" fld="1" subtotal="count" baseField="0" baseItem="4">
      <extLst>
        <ext xmlns:x15="http://schemas.microsoft.com/office/spreadsheetml/2010/11/main" uri="{FABC7310-3BB5-11E1-824E-6D434824019B}">
          <x15:dataField isCountDistinct="1"/>
        </ext>
      </extLst>
    </dataField>
  </dataField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Region"/>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raining File.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BCE01B-22DD-40AE-8050-5C1527D60D7B}" name="PivotTable27" cacheId="6" applyNumberFormats="0" applyBorderFormats="0" applyFontFormats="0" applyPatternFormats="0" applyAlignmentFormats="0" applyWidthHeightFormats="1" dataCaption="Values" updatedVersion="6" minRefreshableVersion="3" useAutoFormatting="1" subtotalHiddenItems="1" colGrandTotals="0" itemPrintTitles="1" createdVersion="6" indent="0" outline="1" outlineData="1" multipleFieldFilters="0">
  <location ref="F4:G10" firstHeaderRow="1" firstDataRow="1" firstDataCol="1" rowPageCount="2" colPageCount="1"/>
  <pivotFields count="5">
    <pivotField axis="axisRow" allDrilled="1" subtotalTop="0" showAll="0" insertBlankRow="1" dataSourceSort="1" defaultAttributeDrillState="1">
      <items count="6">
        <item x="0"/>
        <item x="1"/>
        <item x="2"/>
        <item x="3"/>
        <item x="4"/>
        <item t="default"/>
      </items>
    </pivotField>
    <pivotField dataField="1" subtotalTop="0" showAll="0" defaultSubtotal="0"/>
    <pivotField allDrilled="1" subtotalTop="0" showAll="0" insertBlankRow="1" dataSourceSort="1" defaultAttributeDrillState="1"/>
    <pivotField axis="axisPage" allDrilled="1" subtotalTop="0" showAll="0" insertBlankRow="1" dataSourceSort="1" defaultAttributeDrillState="1">
      <items count="1">
        <item t="default"/>
      </items>
    </pivotField>
    <pivotField axis="axisPage" allDrilled="1" subtotalTop="0" showAll="0" insertBlankRow="1" dataSourceSort="1" defaultAttributeDrillState="1">
      <items count="1">
        <item t="default"/>
      </items>
    </pivotField>
  </pivotFields>
  <rowFields count="1">
    <field x="0"/>
  </rowFields>
  <rowItems count="6">
    <i>
      <x/>
    </i>
    <i>
      <x v="1"/>
    </i>
    <i>
      <x v="2"/>
    </i>
    <i>
      <x v="3"/>
    </i>
    <i>
      <x v="4"/>
    </i>
    <i t="grand">
      <x/>
    </i>
  </rowItems>
  <colItems count="1">
    <i/>
  </colItems>
  <pageFields count="2">
    <pageField fld="3" hier="14" name="[Colddrinks].[Jan].[All]" cap="All"/>
    <pageField fld="4" hier="15" name="[Colddrinks].[Feb].[All]" cap="All"/>
  </pageFields>
  <dataFields count="1">
    <dataField name="Sum of year" fld="1" baseField="0" baseItem="0"/>
  </dataField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olddrinks].[Brand].&amp;[Mirind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
        <x15:activeTabTopLevelEntity name="[Colddrinks]"/>
      </x15:pivotTableUISettings>
    </ext>
    <ext xmlns:xpdl="http://schemas.microsoft.com/office/spreadsheetml/2016/pivotdefaultlayout" uri="{747A6164-185A-40DC-8AA5-F01512510D54}">
      <xpdl:pivotTableDefinition16 SubtotalsOnTopDefault="0"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1DB633-1E6F-4AF9-A50F-E530AF30699C}" name="PivotTable26" cacheId="7"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compact="0" compactData="0" multipleFieldFilters="0">
  <location ref="E16:F21" firstHeaderRow="1" firstDataRow="1" firstDataCol="1"/>
  <pivotFields count="2">
    <pivotField axis="axisRow" compact="0" allDrilled="1" outline="0" showAll="0" dataSourceSort="1" defaultSubtotal="0" defaultAttributeDrillState="1">
      <items count="5">
        <item x="0"/>
        <item x="1"/>
        <item x="2"/>
        <item x="3"/>
        <item x="4"/>
      </items>
    </pivotField>
    <pivotField dataField="1" compact="0" outline="0" showAll="0" defaultSubtotal="0"/>
  </pivotFields>
  <rowFields count="1">
    <field x="0"/>
  </rowFields>
  <rowItems count="5">
    <i>
      <x/>
    </i>
    <i>
      <x v="1"/>
    </i>
    <i>
      <x v="2"/>
    </i>
    <i>
      <x v="3"/>
    </i>
    <i>
      <x v="4"/>
    </i>
  </rowItems>
  <colItems count="1">
    <i/>
  </colItems>
  <dataFields count="1">
    <dataField name="Sum of year" fld="1" baseField="0" baseItem="0" numFmtId="177"/>
  </dataField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7E37BA-35C3-4B23-9400-CAB9F9A44C47}" name="PivotTable19" cacheId="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C204" firstHeaderRow="0" firstDataRow="1" firstDataCol="1"/>
  <pivotFields count="3">
    <pivotField axis="axisRow" allDrilled="1" subtotalTop="0" showAll="0" dataSourceSort="1" defaultSubtotal="0" defaultAttributeDrillState="1">
      <items count="2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s>
    </pivotField>
    <pivotField dataField="1" subtotalTop="0" showAll="0" defaultSubtotal="0"/>
    <pivotField dataField="1" subtotalTop="0" showAll="0" defaultSubtotal="0"/>
  </pivotFields>
  <rowFields count="1">
    <field x="0"/>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Fields count="1">
    <field x="-2"/>
  </colFields>
  <colItems count="2">
    <i>
      <x/>
    </i>
    <i i="1">
      <x v="1"/>
    </i>
  </colItems>
  <dataFields count="2">
    <dataField name="Sum of Donor's Age" fld="1" baseField="0" baseItem="0"/>
    <dataField name="Count of Blood Group" fld="2" subtotal="count" baseField="0" baseItem="0"/>
  </dataField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
        <x15:activeTabTopLevelEntity name="[Blood_Don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C478AB-084A-47DC-9397-0023D3BE9AA7}" name="PivotTable18"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D108" firstHeaderRow="1" firstDataRow="2" firstDataCol="1" rowPageCount="1" colPageCount="1"/>
  <pivotFields count="12">
    <pivotField axis="axisRow" subtotalTop="0" showAll="0">
      <items count="101">
        <item x="9"/>
        <item x="53"/>
        <item x="1"/>
        <item x="35"/>
        <item x="22"/>
        <item x="3"/>
        <item x="46"/>
        <item x="91"/>
        <item x="39"/>
        <item x="80"/>
        <item x="84"/>
        <item x="15"/>
        <item x="28"/>
        <item x="41"/>
        <item x="97"/>
        <item x="62"/>
        <item x="7"/>
        <item x="70"/>
        <item x="42"/>
        <item x="47"/>
        <item x="67"/>
        <item x="4"/>
        <item x="93"/>
        <item x="18"/>
        <item x="32"/>
        <item x="76"/>
        <item x="92"/>
        <item x="45"/>
        <item x="75"/>
        <item x="57"/>
        <item x="44"/>
        <item x="98"/>
        <item x="66"/>
        <item x="95"/>
        <item x="71"/>
        <item x="2"/>
        <item x="8"/>
        <item x="13"/>
        <item x="12"/>
        <item x="16"/>
        <item x="79"/>
        <item x="88"/>
        <item x="90"/>
        <item x="38"/>
        <item x="27"/>
        <item x="24"/>
        <item x="25"/>
        <item x="68"/>
        <item x="23"/>
        <item x="82"/>
        <item x="85"/>
        <item x="87"/>
        <item x="54"/>
        <item x="43"/>
        <item x="36"/>
        <item x="65"/>
        <item x="61"/>
        <item x="64"/>
        <item x="63"/>
        <item x="99"/>
        <item x="55"/>
        <item x="56"/>
        <item x="72"/>
        <item x="78"/>
        <item x="51"/>
        <item x="89"/>
        <item x="21"/>
        <item x="34"/>
        <item x="96"/>
        <item x="94"/>
        <item x="69"/>
        <item x="60"/>
        <item x="30"/>
        <item x="40"/>
        <item x="37"/>
        <item x="74"/>
        <item x="52"/>
        <item x="50"/>
        <item x="26"/>
        <item x="29"/>
        <item x="5"/>
        <item x="31"/>
        <item x="17"/>
        <item x="48"/>
        <item x="33"/>
        <item x="83"/>
        <item x="0"/>
        <item x="81"/>
        <item x="14"/>
        <item x="20"/>
        <item x="86"/>
        <item x="10"/>
        <item x="58"/>
        <item x="59"/>
        <item x="6"/>
        <item x="49"/>
        <item x="11"/>
        <item x="73"/>
        <item x="77"/>
        <item x="19"/>
        <item t="default"/>
      </items>
      <extLst>
        <ext xmlns:x14="http://schemas.microsoft.com/office/spreadsheetml/2009/9/main" uri="{2946ED86-A175-432a-8AC1-64E0C546D7DE}">
          <x14:pivotField fillDownLabels="1"/>
        </ext>
      </extLst>
    </pivotField>
    <pivotField axis="axisRow" subtotalTop="0" showAll="0">
      <items count="9">
        <item x="0"/>
        <item x="1"/>
        <item x="2"/>
        <item x="3"/>
        <item x="4"/>
        <item x="5"/>
        <item x="6"/>
        <item x="7"/>
        <item t="default"/>
      </items>
      <extLst>
        <ext xmlns:x14="http://schemas.microsoft.com/office/spreadsheetml/2009/9/main" uri="{2946ED86-A175-432a-8AC1-64E0C546D7DE}">
          <x14:pivotField fillDownLabels="1"/>
        </ext>
      </extLst>
    </pivotField>
    <pivotField axis="axisCol" subtotalTop="0" showAll="0">
      <items count="5">
        <item x="0"/>
        <item h="1" x="1"/>
        <item x="2"/>
        <item h="1" x="3"/>
        <item t="default"/>
      </items>
      <extLst>
        <ext xmlns:x14="http://schemas.microsoft.com/office/spreadsheetml/2009/9/main" uri="{2946ED86-A175-432a-8AC1-64E0C546D7DE}">
          <x14:pivotField fillDownLabels="1"/>
        </ext>
      </extLst>
    </pivotField>
    <pivotField axis="axisPage" subtotalTop="0" multipleItemSelectionAllowed="1" showAll="0">
      <items count="31">
        <item h="1" x="3"/>
        <item h="1" x="12"/>
        <item h="1" x="13"/>
        <item x="7"/>
        <item h="1" x="19"/>
        <item x="0"/>
        <item x="16"/>
        <item x="17"/>
        <item h="1" x="1"/>
        <item x="2"/>
        <item h="1" x="14"/>
        <item h="1" x="26"/>
        <item h="1" x="10"/>
        <item h="1" x="11"/>
        <item h="1" x="8"/>
        <item h="1" x="4"/>
        <item h="1" x="5"/>
        <item h="1" x="6"/>
        <item h="1" x="15"/>
        <item h="1" x="18"/>
        <item h="1" x="27"/>
        <item h="1" x="23"/>
        <item h="1" x="22"/>
        <item h="1" x="20"/>
        <item h="1" x="9"/>
        <item h="1" x="21"/>
        <item h="1" x="25"/>
        <item h="1" x="24"/>
        <item h="1" x="29"/>
        <item h="1" x="28"/>
        <item t="default"/>
      </items>
      <extLst>
        <ext xmlns:x14="http://schemas.microsoft.com/office/spreadsheetml/2009/9/main" uri="{2946ED86-A175-432a-8AC1-64E0C546D7DE}">
          <x14:pivotField fillDownLabels="1"/>
        </ext>
      </extLst>
    </pivotField>
    <pivotField axis="axisRow" numFmtId="177" subtotalTop="0" showAll="0">
      <items count="76">
        <item x="65"/>
        <item x="28"/>
        <item x="66"/>
        <item x="64"/>
        <item x="32"/>
        <item x="55"/>
        <item x="74"/>
        <item x="20"/>
        <item x="1"/>
        <item x="23"/>
        <item x="22"/>
        <item x="47"/>
        <item x="46"/>
        <item x="26"/>
        <item x="36"/>
        <item x="10"/>
        <item x="6"/>
        <item x="40"/>
        <item x="3"/>
        <item x="69"/>
        <item x="5"/>
        <item x="57"/>
        <item x="19"/>
        <item x="68"/>
        <item x="16"/>
        <item x="59"/>
        <item x="14"/>
        <item x="56"/>
        <item x="0"/>
        <item x="8"/>
        <item x="45"/>
        <item x="48"/>
        <item x="33"/>
        <item x="34"/>
        <item x="18"/>
        <item x="52"/>
        <item x="29"/>
        <item x="70"/>
        <item x="43"/>
        <item x="37"/>
        <item x="62"/>
        <item x="60"/>
        <item x="13"/>
        <item x="53"/>
        <item x="49"/>
        <item x="31"/>
        <item x="44"/>
        <item x="17"/>
        <item x="39"/>
        <item x="71"/>
        <item x="73"/>
        <item x="72"/>
        <item x="50"/>
        <item x="9"/>
        <item x="27"/>
        <item x="63"/>
        <item x="61"/>
        <item x="21"/>
        <item x="4"/>
        <item x="2"/>
        <item x="12"/>
        <item x="25"/>
        <item x="54"/>
        <item x="15"/>
        <item x="38"/>
        <item x="24"/>
        <item x="7"/>
        <item x="11"/>
        <item x="51"/>
        <item x="58"/>
        <item x="35"/>
        <item x="30"/>
        <item x="41"/>
        <item x="42"/>
        <item x="67"/>
        <item t="default"/>
      </items>
      <extLst>
        <ext xmlns:x14="http://schemas.microsoft.com/office/spreadsheetml/2009/9/main" uri="{2946ED86-A175-432a-8AC1-64E0C546D7DE}">
          <x14:pivotField fillDownLabels="1"/>
        </ext>
      </extLst>
    </pivotField>
    <pivotField dataField="1" subtotalTop="0" showAll="0">
      <extLst>
        <ext xmlns:x14="http://schemas.microsoft.com/office/spreadsheetml/2009/9/main" uri="{2946ED86-A175-432a-8AC1-64E0C546D7DE}">
          <x14:pivotField fillDownLabels="1"/>
        </ext>
      </extLst>
    </pivotField>
    <pivotField subtotalTop="0" showAll="0">
      <extLst>
        <ext xmlns:x14="http://schemas.microsoft.com/office/spreadsheetml/2009/9/main" uri="{2946ED86-A175-432a-8AC1-64E0C546D7DE}">
          <x14:pivotField fillDownLabels="1"/>
        </ext>
      </extLst>
    </pivotField>
    <pivotField subtotalTop="0" showAll="0">
      <extLst>
        <ext xmlns:x14="http://schemas.microsoft.com/office/spreadsheetml/2009/9/main" uri="{2946ED86-A175-432a-8AC1-64E0C546D7DE}">
          <x14:pivotField fillDownLabels="1"/>
        </ext>
      </extLst>
    </pivotField>
    <pivotField subtotalTop="0" showAll="0">
      <extLst>
        <ext xmlns:x14="http://schemas.microsoft.com/office/spreadsheetml/2009/9/main" uri="{2946ED86-A175-432a-8AC1-64E0C546D7DE}">
          <x14:pivotField fillDownLabels="1"/>
        </ext>
      </extLst>
    </pivotField>
    <pivotField subtotalTop="0" showAll="0">
      <extLst>
        <ext xmlns:x14="http://schemas.microsoft.com/office/spreadsheetml/2009/9/main" uri="{2946ED86-A175-432a-8AC1-64E0C546D7DE}">
          <x14:pivotField fillDownLabels="1"/>
        </ext>
      </extLst>
    </pivotField>
    <pivotField subtotalTop="0" showAll="0">
      <extLst>
        <ext xmlns:x14="http://schemas.microsoft.com/office/spreadsheetml/2009/9/main" uri="{2946ED86-A175-432a-8AC1-64E0C546D7DE}">
          <x14:pivotField fillDownLabels="1"/>
        </ext>
      </extLst>
    </pivotField>
    <pivotField subtotalTop="0" showAll="0">
      <extLst>
        <ext xmlns:x14="http://schemas.microsoft.com/office/spreadsheetml/2009/9/main" uri="{2946ED86-A175-432a-8AC1-64E0C546D7DE}">
          <x14:pivotField fillDownLabels="1"/>
        </ext>
      </extLst>
    </pivotField>
  </pivotFields>
  <rowFields count="3">
    <field x="0"/>
    <field x="4"/>
    <field x="1"/>
  </rowFields>
  <rowItems count="91">
    <i>
      <x v="3"/>
    </i>
    <i r="1">
      <x v="1"/>
    </i>
    <i r="2">
      <x v="4"/>
    </i>
    <i t="default" r="1">
      <x v="1"/>
    </i>
    <i t="default">
      <x v="3"/>
    </i>
    <i>
      <x v="16"/>
    </i>
    <i r="1">
      <x v="16"/>
    </i>
    <i r="2">
      <x/>
    </i>
    <i t="default" r="1">
      <x v="16"/>
    </i>
    <i t="default">
      <x v="16"/>
    </i>
    <i>
      <x v="22"/>
    </i>
    <i r="1">
      <x v="37"/>
    </i>
    <i r="2">
      <x v="7"/>
    </i>
    <i t="default" r="1">
      <x v="37"/>
    </i>
    <i t="default">
      <x v="22"/>
    </i>
    <i>
      <x v="30"/>
    </i>
    <i r="1">
      <x v="39"/>
    </i>
    <i r="2">
      <x v="4"/>
    </i>
    <i t="default" r="1">
      <x v="39"/>
    </i>
    <i t="default">
      <x v="30"/>
    </i>
    <i>
      <x v="33"/>
    </i>
    <i r="1">
      <x v="51"/>
    </i>
    <i r="2">
      <x v="7"/>
    </i>
    <i t="default" r="1">
      <x v="51"/>
    </i>
    <i t="default">
      <x v="33"/>
    </i>
    <i>
      <x v="35"/>
    </i>
    <i r="1">
      <x v="59"/>
    </i>
    <i r="2">
      <x/>
    </i>
    <i t="default" r="1">
      <x v="59"/>
    </i>
    <i t="default">
      <x v="35"/>
    </i>
    <i>
      <x v="44"/>
    </i>
    <i r="1">
      <x v="9"/>
    </i>
    <i r="2">
      <x v="3"/>
    </i>
    <i t="default" r="1">
      <x v="9"/>
    </i>
    <i t="default">
      <x v="44"/>
    </i>
    <i>
      <x v="49"/>
    </i>
    <i r="1">
      <x v="3"/>
    </i>
    <i r="2">
      <x v="7"/>
    </i>
    <i t="default" r="1">
      <x v="3"/>
    </i>
    <i t="default">
      <x v="49"/>
    </i>
    <i>
      <x v="50"/>
    </i>
    <i r="1">
      <x v="27"/>
    </i>
    <i r="2">
      <x v="7"/>
    </i>
    <i t="default" r="1">
      <x v="27"/>
    </i>
    <i t="default">
      <x v="50"/>
    </i>
    <i>
      <x v="55"/>
    </i>
    <i r="1">
      <x v="68"/>
    </i>
    <i r="2">
      <x v="6"/>
    </i>
    <i t="default" r="1">
      <x v="68"/>
    </i>
    <i t="default">
      <x v="55"/>
    </i>
    <i>
      <x v="57"/>
    </i>
    <i r="1">
      <x v="47"/>
    </i>
    <i r="2">
      <x v="6"/>
    </i>
    <i t="default" r="1">
      <x v="47"/>
    </i>
    <i t="default">
      <x v="57"/>
    </i>
    <i>
      <x v="66"/>
    </i>
    <i r="1">
      <x v="22"/>
    </i>
    <i r="2">
      <x v="1"/>
    </i>
    <i t="default" r="1">
      <x v="22"/>
    </i>
    <i t="default">
      <x v="66"/>
    </i>
    <i>
      <x v="67"/>
    </i>
    <i r="1">
      <x v="54"/>
    </i>
    <i r="2">
      <x v="4"/>
    </i>
    <i t="default" r="1">
      <x v="54"/>
    </i>
    <i t="default">
      <x v="67"/>
    </i>
    <i>
      <x v="69"/>
    </i>
    <i r="1">
      <x v="49"/>
    </i>
    <i r="2">
      <x v="7"/>
    </i>
    <i t="default" r="1">
      <x v="49"/>
    </i>
    <i t="default">
      <x v="69"/>
    </i>
    <i>
      <x v="78"/>
    </i>
    <i r="1">
      <x v="10"/>
    </i>
    <i r="2">
      <x v="2"/>
    </i>
    <i t="default" r="1">
      <x v="10"/>
    </i>
    <i t="default">
      <x v="78"/>
    </i>
    <i>
      <x v="86"/>
    </i>
    <i r="1">
      <x v="28"/>
    </i>
    <i r="2">
      <x/>
    </i>
    <i t="default" r="1">
      <x v="28"/>
    </i>
    <i t="default">
      <x v="86"/>
    </i>
    <i>
      <x v="89"/>
    </i>
    <i r="1">
      <x v="34"/>
    </i>
    <i r="2">
      <x v="1"/>
    </i>
    <i t="default" r="1">
      <x v="34"/>
    </i>
    <i t="default">
      <x v="89"/>
    </i>
    <i>
      <x v="91"/>
    </i>
    <i r="1">
      <x v="29"/>
    </i>
    <i r="2">
      <x v="1"/>
    </i>
    <i t="default" r="1">
      <x v="29"/>
    </i>
    <i t="default">
      <x v="91"/>
    </i>
    <i t="grand">
      <x/>
    </i>
  </rowItems>
  <colFields count="1">
    <field x="2"/>
  </colFields>
  <colItems count="3">
    <i>
      <x/>
    </i>
    <i>
      <x v="2"/>
    </i>
    <i t="grand">
      <x/>
    </i>
  </colItems>
  <pageFields count="1">
    <pageField fld="3" hier="-1"/>
  </pageFields>
  <dataFields count="1">
    <dataField name="Sum of Salary" fld="5"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58DFAE-066E-4A7E-81FA-4511D4F95918}" name="PivotTable17" cacheId="5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
  <location ref="A3:O11" firstHeaderRow="1" firstDataRow="3" firstDataCol="1"/>
  <pivotFields count="4">
    <pivotField dataField="1" subtotalTop="0" showAll="0" defaultSubtotal="0"/>
    <pivotField axis="axisRow" allDrilled="1" showAll="0" dataSourceSort="1" defaultAttributeDrillState="1">
      <items count="6">
        <item x="0"/>
        <item x="1"/>
        <item x="2"/>
        <item x="3"/>
        <item x="4"/>
        <item t="default"/>
      </items>
    </pivotField>
    <pivotField axis="axisCol" allDrilled="1" showAll="0" dataSourceSort="1" defaultAttributeDrillState="1">
      <items count="7">
        <item x="0"/>
        <item x="1"/>
        <item x="2"/>
        <item x="3"/>
        <item x="4"/>
        <item x="5"/>
        <item t="default"/>
      </items>
    </pivotField>
    <pivotField dataField="1" subtotalTop="0" showAll="0" defaultSubtotal="0"/>
  </pivotFields>
  <rowFields count="1">
    <field x="1"/>
  </rowFields>
  <rowItems count="6">
    <i>
      <x/>
    </i>
    <i>
      <x v="1"/>
    </i>
    <i>
      <x v="2"/>
    </i>
    <i>
      <x v="3"/>
    </i>
    <i>
      <x v="4"/>
    </i>
    <i t="grand">
      <x/>
    </i>
  </rowItems>
  <colFields count="2">
    <field x="-2"/>
    <field x="2"/>
  </colFields>
  <colItems count="14">
    <i>
      <x/>
      <x/>
    </i>
    <i r="1">
      <x v="1"/>
    </i>
    <i r="1">
      <x v="2"/>
    </i>
    <i r="1">
      <x v="3"/>
    </i>
    <i r="1">
      <x v="4"/>
    </i>
    <i r="1">
      <x v="5"/>
    </i>
    <i i="1">
      <x v="1"/>
      <x/>
    </i>
    <i r="1" i="1">
      <x v="1"/>
    </i>
    <i r="1" i="1">
      <x v="2"/>
    </i>
    <i r="1" i="1">
      <x v="3"/>
    </i>
    <i r="1" i="1">
      <x v="4"/>
    </i>
    <i r="1" i="1">
      <x v="5"/>
    </i>
    <i t="grand">
      <x/>
    </i>
    <i t="grand" i="1">
      <x v="1"/>
    </i>
  </colItems>
  <dataFields count="2">
    <dataField name="Sum of year" fld="0" baseField="0" baseItem="0"/>
    <dataField name="Sum of Jan" fld="3"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12" series="1">
      <pivotArea type="data" outline="0" fieldPosition="0">
        <references count="2">
          <reference field="4294967294" count="1" selected="0">
            <x v="0"/>
          </reference>
          <reference field="2" count="1" selected="0">
            <x v="3"/>
          </reference>
        </references>
      </pivotArea>
    </chartFormat>
    <chartFormat chart="0" format="16" series="1">
      <pivotArea type="data" outline="0" fieldPosition="0">
        <references count="2">
          <reference field="4294967294" count="1" selected="0">
            <x v="0"/>
          </reference>
          <reference field="2" count="1" selected="0">
            <x v="4"/>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7"/>
  </rowHierarchiesUsage>
  <colHierarchiesUsage count="2">
    <colHierarchyUsage hierarchyUsage="-2"/>
    <colHierarchyUsage hierarchyUsage="3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B$2:$H$62">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783268-BADF-4918-A457-9F8F22E6B62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12" firstHeaderRow="1" firstDataRow="3" firstDataCol="1"/>
  <pivotFields count="8">
    <pivotField showAll="0"/>
    <pivotField axis="axisRow" showAll="0">
      <items count="6">
        <item x="4"/>
        <item x="1"/>
        <item x="0"/>
        <item x="3"/>
        <item x="2"/>
        <item t="default"/>
      </items>
    </pivotField>
    <pivotField dataField="1" multipleItemSelectionAllowed="1" showAll="0">
      <items count="3">
        <item x="0"/>
        <item x="1"/>
        <item t="default"/>
      </items>
    </pivotField>
    <pivotField axis="axisCol" showAll="0">
      <items count="7">
        <item h="1" x="3"/>
        <item x="4"/>
        <item h="1" x="1"/>
        <item h="1" x="2"/>
        <item h="1" x="0"/>
        <item h="1" x="5"/>
        <item t="default"/>
      </items>
    </pivotField>
    <pivotField dataField="1" showAll="0"/>
    <pivotField dataField="1" showAll="0">
      <items count="24">
        <item x="8"/>
        <item x="4"/>
        <item x="21"/>
        <item x="14"/>
        <item x="0"/>
        <item x="7"/>
        <item x="20"/>
        <item x="11"/>
        <item x="10"/>
        <item x="12"/>
        <item x="22"/>
        <item x="15"/>
        <item x="13"/>
        <item x="3"/>
        <item x="16"/>
        <item x="2"/>
        <item x="6"/>
        <item x="9"/>
        <item x="18"/>
        <item x="1"/>
        <item x="5"/>
        <item x="17"/>
        <item x="19"/>
        <item t="default"/>
      </items>
    </pivotField>
    <pivotField dataField="1" showAll="0">
      <items count="33">
        <item x="2"/>
        <item x="27"/>
        <item x="28"/>
        <item x="6"/>
        <item x="29"/>
        <item x="17"/>
        <item x="9"/>
        <item x="31"/>
        <item x="16"/>
        <item x="11"/>
        <item x="30"/>
        <item x="15"/>
        <item x="8"/>
        <item x="1"/>
        <item x="14"/>
        <item x="13"/>
        <item x="24"/>
        <item x="10"/>
        <item x="26"/>
        <item x="12"/>
        <item x="23"/>
        <item x="22"/>
        <item x="3"/>
        <item x="21"/>
        <item x="19"/>
        <item x="7"/>
        <item x="5"/>
        <item x="25"/>
        <item x="0"/>
        <item x="18"/>
        <item x="4"/>
        <item x="20"/>
        <item t="default"/>
      </items>
    </pivotField>
    <pivotField axis="axisRow" showAll="0">
      <items count="2">
        <item x="0"/>
        <item t="default"/>
      </items>
    </pivotField>
  </pivotFields>
  <rowFields count="2">
    <field x="7"/>
    <field x="1"/>
  </rowFields>
  <rowItems count="7">
    <i>
      <x/>
    </i>
    <i r="1">
      <x/>
    </i>
    <i r="1">
      <x v="1"/>
    </i>
    <i r="1">
      <x v="2"/>
    </i>
    <i r="1">
      <x v="3"/>
    </i>
    <i r="1">
      <x v="4"/>
    </i>
    <i t="grand">
      <x/>
    </i>
  </rowItems>
  <colFields count="2">
    <field x="3"/>
    <field x="-2"/>
  </colFields>
  <colItems count="8">
    <i>
      <x v="1"/>
      <x/>
    </i>
    <i r="1" i="1">
      <x v="1"/>
    </i>
    <i r="1" i="2">
      <x v="2"/>
    </i>
    <i r="1" i="3">
      <x v="3"/>
    </i>
    <i t="grand">
      <x/>
    </i>
    <i t="grand" i="1">
      <x/>
    </i>
    <i t="grand" i="2">
      <x/>
    </i>
    <i t="grand" i="3">
      <x/>
    </i>
  </colItems>
  <dataFields count="4">
    <dataField name="Sum of year" fld="2" baseField="0" baseItem="0"/>
    <dataField name="Sum of Jan" fld="4" baseField="0" baseItem="0"/>
    <dataField name="Sum of Feb" fld="5" baseField="0" baseItem="0"/>
    <dataField name="Sum of Ma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9E7655C-C878-4069-965C-2A5ECADB11E1}" name="PivotTable2" cacheId="8" applyNumberFormats="0" applyBorderFormats="0" applyFontFormats="0" applyPatternFormats="0" applyAlignmentFormats="0" applyWidthHeightFormats="1" dataCaption="Values" updatedVersion="6" minRefreshableVersion="3" useAutoFormatting="1" subtotalHiddenItems="1" itemPrintTitles="1" createdVersion="6" indent="0" compact="0" compactData="0" multipleFieldFilters="0">
  <location ref="A21:E38" firstHeaderRow="0" firstDataRow="1" firstDataCol="1" rowPageCount="1" colPageCount="1"/>
  <pivotFields count="6">
    <pivotField axis="axisRow" compact="0" allDrilled="1" outline="0" showAll="0" dataSourceSort="1" defaultSubtotal="0" defaultAttributeDrillState="1">
      <items count="16">
        <item x="0"/>
        <item x="1"/>
        <item x="2"/>
        <item x="3"/>
        <item x="4"/>
        <item x="5"/>
        <item x="6"/>
        <item x="7"/>
        <item x="8"/>
        <item x="9"/>
        <item x="10"/>
        <item x="11"/>
        <item x="12"/>
        <item x="13"/>
        <item x="14"/>
        <item x="15"/>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axis="axisPage" compact="0" allDrilled="1" outline="0" showAll="0" dataSourceSort="1" defaultSubtotal="0" defaultAttributeDrillState="1"/>
  </pivotFields>
  <rowFields count="1">
    <field x="0"/>
  </rowFields>
  <rowItems count="17">
    <i>
      <x/>
    </i>
    <i>
      <x v="1"/>
    </i>
    <i>
      <x v="2"/>
    </i>
    <i>
      <x v="3"/>
    </i>
    <i>
      <x v="4"/>
    </i>
    <i>
      <x v="5"/>
    </i>
    <i>
      <x v="6"/>
    </i>
    <i>
      <x v="7"/>
    </i>
    <i>
      <x v="8"/>
    </i>
    <i>
      <x v="9"/>
    </i>
    <i>
      <x v="10"/>
    </i>
    <i>
      <x v="11"/>
    </i>
    <i>
      <x v="12"/>
    </i>
    <i>
      <x v="13"/>
    </i>
    <i>
      <x v="14"/>
    </i>
    <i>
      <x v="15"/>
    </i>
    <i t="grand">
      <x/>
    </i>
  </rowItems>
  <colFields count="1">
    <field x="-2"/>
  </colFields>
  <colItems count="4">
    <i>
      <x/>
    </i>
    <i i="1">
      <x v="1"/>
    </i>
    <i i="2">
      <x v="2"/>
    </i>
    <i i="3">
      <x v="3"/>
    </i>
  </colItems>
  <pageFields count="1">
    <pageField fld="5" hier="35" name="[Range].[Date (Month)].&amp;[Feb]" cap="Feb"/>
  </pageFields>
  <dataFields count="4">
    <dataField name="Sum of Box In Qty" fld="1" baseField="0" baseItem="0"/>
    <dataField name="Sum of Total  Amount" fld="2" baseField="0" baseItem="0"/>
    <dataField name="Sum of Box Rate" fld="3" baseField="0" baseItem="0"/>
    <dataField name="Sum of Commission" fld="4" baseField="0" baseItem="0"/>
  </dataFields>
  <pivotHierarchies count="7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lookup!$B$2:$G$8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1F4141EC-F0DD-4D8C-9F68-A5917936A0DF}" sourceName="[Colddrinks].[Brand]">
  <pivotTables>
    <pivotTable tabId="27" name="PivotTable27"/>
  </pivotTables>
  <data>
    <olap pivotCacheId="2136687972">
      <levels count="2">
        <level uniqueName="[Colddrinks].[Brand].[(All)]" sourceCaption="(All)" count="0"/>
        <level uniqueName="[Colddrinks].[Brand].[Brand]" sourceCaption="Brand" count="6">
          <ranges>
            <range startItem="0">
              <i n="[Colddrinks].[Brand].&amp;[Dukes]" c="Dukes"/>
              <i n="[Colddrinks].[Brand].&amp;[Maza]" c="Maza"/>
              <i n="[Colddrinks].[Brand].&amp;[Mirinda]" c="Mirinda"/>
              <i n="[Colddrinks].[Brand].&amp;[Pepsi]" c="Pepsi"/>
              <i n="[Colddrinks].[Brand].&amp;[Slice]" c="Slice"/>
              <i n="[Colddrinks].[Brand].&amp;[Sprite]" c="Sprite"/>
            </range>
          </ranges>
        </level>
      </levels>
      <selections count="1">
        <selection n="[Colddrinks].[Brand].&amp;[Mirinda]"/>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52043D7A-B98A-44D6-8F19-AD5ADB187EA9}" sourceName="Branch">
  <pivotTables>
    <pivotTable tabId="26" name="PivotTable18"/>
  </pivotTables>
  <data>
    <tabular pivotCacheId="1711185132">
      <items count="30">
        <i x="7" s="1"/>
        <i x="0" s="1"/>
        <i x="16" s="1"/>
        <i x="17" s="1"/>
        <i x="1"/>
        <i x="2" s="1"/>
        <i x="10"/>
        <i x="11"/>
        <i x="8"/>
        <i x="18"/>
        <i x="22"/>
        <i x="25"/>
        <i x="28"/>
        <i x="3" nd="1"/>
        <i x="12" nd="1"/>
        <i x="13" nd="1"/>
        <i x="19" nd="1"/>
        <i x="14" nd="1"/>
        <i x="26" nd="1"/>
        <i x="4" nd="1"/>
        <i x="5" nd="1"/>
        <i x="6" nd="1"/>
        <i x="15" nd="1"/>
        <i x="27" nd="1"/>
        <i x="23" nd="1"/>
        <i x="20" nd="1"/>
        <i x="9" nd="1"/>
        <i x="21" nd="1"/>
        <i x="24" nd="1"/>
        <i x="2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992FF64-5D66-4898-A8DB-D85BCCCC7A73}" sourceName="Region">
  <pivotTables>
    <pivotTable tabId="26" name="PivotTable18"/>
  </pivotTables>
  <data>
    <tabular pivotCacheId="1711185132">
      <items count="4">
        <i x="0" s="1"/>
        <i x="2" s="1"/>
        <i x="1"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765D6483-B986-405D-9259-87FE25D8D0F2}" cache="Slicer_Brand" caption="Brand"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3E0FADE8-A123-44FD-84DD-0D6CA60D9268}" cache="Slicer_Branch" caption="Branch" rowHeight="241300"/>
  <slicer name="Region" xr10:uid="{91932285-F55C-48D0-914D-9E9A970B3243}"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5F4F7F-957A-4F68-A81F-D2CDDD627021}" name="Blood_Doners" displayName="Blood_Doners" ref="B2:K215" totalsRowShown="0" headerRowDxfId="60" headerRowBorderDxfId="59" tableBorderDxfId="58" headerRowCellStyle="Accent2">
  <autoFilter ref="B2:K215" xr:uid="{9D08FBF5-C2BD-4F09-A885-CE378088B054}"/>
  <tableColumns count="10">
    <tableColumn id="1" xr3:uid="{341384A1-06CD-4B8D-8C49-1E10E8DD277C}" name="Sr.No" dataDxfId="57" dataCellStyle="Accent1"/>
    <tableColumn id="2" xr3:uid="{E52563AF-492E-4252-9200-4A896DA63D0A}" name="Donor's Name" dataDxfId="56"/>
    <tableColumn id="3" xr3:uid="{9696B74F-58A0-4AB3-A35F-835F8BEB9D77}" name="Donor's Age" dataDxfId="55"/>
    <tableColumn id="4" xr3:uid="{678E135C-187E-4F3B-AB12-65D9A448A1EB}" name="Blood Group" dataDxfId="54" dataCellStyle="Accent2"/>
    <tableColumn id="5" xr3:uid="{0B400259-75F5-40B2-8369-08615BDB8AEA}" name="Stock In ML" dataDxfId="53" dataCellStyle="Accent2"/>
    <tableColumn id="6" xr3:uid="{439F61A6-DA17-48A5-8DA7-DB7838A00CA6}" name="Locality" dataDxfId="52"/>
    <tableColumn id="7" xr3:uid="{D25AE9B2-5C3C-4E82-8ED9-9E7DF051EBE4}" name="Address" dataDxfId="51"/>
    <tableColumn id="8" xr3:uid="{5E06A531-2D10-4B8E-9A8E-1E7812840AC0}" name="Phone Number" dataDxfId="50"/>
    <tableColumn id="9" xr3:uid="{28FFA58A-8C5F-4392-BEF9-21813F31E3E3}" name="Date" dataDxfId="49"/>
    <tableColumn id="10" xr3:uid="{8A2C50B7-5B64-40F5-82F2-6659CCCE07C3}" name="Time" dataDxfId="4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CBBA5E-9980-40D3-BF9C-E0D168C77CC2}" name="Employee" displayName="Employee" ref="C2:N102" totalsRowShown="0" headerRowDxfId="47" dataDxfId="46" tableBorderDxfId="45">
  <autoFilter ref="C2:N102" xr:uid="{987507FB-74A1-4669-A9D2-27E221D7A8DB}"/>
  <tableColumns count="12">
    <tableColumn id="1" xr3:uid="{798DA950-8382-49C1-806C-7F7CCE122EC8}" name="Full Name" dataDxfId="44"/>
    <tableColumn id="2" xr3:uid="{E1D2F4B1-7281-4786-AB66-0412934B2826}" name="Dept" dataDxfId="43"/>
    <tableColumn id="3" xr3:uid="{5A35A712-67A7-47DF-AADA-6DD2379A313E}" name="Region" dataDxfId="42"/>
    <tableColumn id="4" xr3:uid="{475EA977-E2BD-4D46-ABA2-64B2D1E0B4D2}" name="Branch" dataDxfId="41"/>
    <tableColumn id="5" xr3:uid="{7120DDC3-BDD8-4CB8-BBA6-55FBBAA60C8E}" name="Date of joining" dataDxfId="40"/>
    <tableColumn id="6" xr3:uid="{0531D08F-45DC-4925-90D6-8402770C65BD}" name="Salary" dataDxfId="39"/>
    <tableColumn id="7" xr3:uid="{AC1C4757-B3A2-447E-84F6-CD73DB9BB413}" name="Mobile Number" dataDxfId="38"/>
    <tableColumn id="8" xr3:uid="{B67377F3-8B91-4714-9F66-6F74B5795EF6}" name="Age" dataDxfId="37"/>
    <tableColumn id="9" xr3:uid="{A614EE14-1B42-4D3C-A47C-E785E36D636F}" name="rank" dataDxfId="36"/>
    <tableColumn id="10" xr3:uid="{7584B1CF-8728-4A96-B52B-6E2C831F5093}" name="Column1" dataDxfId="35"/>
    <tableColumn id="11" xr3:uid="{EC04AF8C-C887-48F1-A552-4840A2221771}" name="Column2" dataDxfId="34"/>
    <tableColumn id="12" xr3:uid="{EA1DA5CE-8551-4B51-829F-3EB8E9E2EF84}" name="Column3"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711361-1AC5-484B-A259-71290C6D4A56}" name="Colddrinks" displayName="Colddrinks" ref="B2:H62" totalsRowShown="0" headerRowDxfId="32" dataDxfId="31" tableBorderDxfId="30">
  <autoFilter ref="B2:H62" xr:uid="{7BDA3F04-9DDB-419F-95C4-8B69C27944A3}"/>
  <tableColumns count="7">
    <tableColumn id="1" xr3:uid="{716242A4-B5FD-4532-9E40-5E37C0AB1AF9}" name="Sr. No" dataDxfId="29"/>
    <tableColumn id="2" xr3:uid="{18C065D2-F51B-40F1-A180-AADBD2788830}" name="Name" dataDxfId="28"/>
    <tableColumn id="3" xr3:uid="{E6D019B6-F992-416D-8A3A-242893A01FBB}" name="year" dataDxfId="27"/>
    <tableColumn id="4" xr3:uid="{EDCA9267-59F3-4018-9075-A290B4619CEE}" name="Brand" dataDxfId="26"/>
    <tableColumn id="5" xr3:uid="{33F15FE0-84F3-4EE9-A269-F51369675B27}" name="Jan" dataDxfId="25"/>
    <tableColumn id="6" xr3:uid="{3C0613DB-F732-4521-8607-C8E03DEF718B}" name="Feb" dataDxfId="24"/>
    <tableColumn id="7" xr3:uid="{05DE2456-E139-4458-835F-AB35FED6C8AE}" name="Mar" dataDxf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DC29E8-80B7-4A5D-A2A5-379B0C4402CE}" name="Vlookup" displayName="Vlookup" ref="B2:G83" totalsRowShown="0" headerRowDxfId="22" dataDxfId="20" headerRowBorderDxfId="21" tableBorderDxfId="19" totalsRowBorderDxfId="18">
  <autoFilter ref="B2:G83" xr:uid="{5C483AB8-BF64-46AE-B163-17E063B02879}"/>
  <tableColumns count="6">
    <tableColumn id="1" xr3:uid="{B654E21D-5122-4A91-A7EC-DBA7C878A642}" name="Date" dataDxfId="17"/>
    <tableColumn id="2" xr3:uid="{788EFE43-11F7-497E-80F8-18B16E0D9D92}" name="Brand Name" dataDxfId="16"/>
    <tableColumn id="3" xr3:uid="{84D0D07C-BCEC-4C06-9120-DAD33AB06253}" name="Box In Qty" dataDxfId="15"/>
    <tableColumn id="4" xr3:uid="{697EFE74-F702-44E1-BCE9-B6A639C57627}" name="Box Rate" dataDxfId="14"/>
    <tableColumn id="5" xr3:uid="{5F1A4D23-78C7-4EC9-9A7B-5E25F1528537}" name="Total  Amount" dataDxfId="13">
      <calculatedColumnFormula>D3*E3</calculatedColumnFormula>
    </tableColumn>
    <tableColumn id="6" xr3:uid="{C0D76921-E966-4018-B000-3B5A607CF9CF}" name="Commission" dataDxfId="12" dataCellStyle="Percent">
      <calculatedColumnFormula>Vlookup[](C3,'Name Manager'!$H$2:$I$18,2,0)*F3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5.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2.xml"/><Relationship Id="rId4"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sheetPr>
  <dimension ref="B3:R68"/>
  <sheetViews>
    <sheetView topLeftCell="A49" zoomScaleNormal="100" workbookViewId="0">
      <selection activeCell="M62" sqref="M62"/>
    </sheetView>
  </sheetViews>
  <sheetFormatPr defaultRowHeight="15" x14ac:dyDescent="0.25"/>
  <cols>
    <col min="1" max="1" width="9.140625" style="195"/>
    <col min="2" max="2" width="19.42578125" style="195" bestFit="1" customWidth="1"/>
    <col min="3" max="3" width="12" style="195" bestFit="1" customWidth="1"/>
    <col min="4" max="4" width="18.7109375" style="195" bestFit="1" customWidth="1"/>
    <col min="5" max="5" width="22.42578125" style="195" customWidth="1"/>
    <col min="6" max="6" width="19.42578125" style="195" bestFit="1" customWidth="1"/>
    <col min="7" max="7" width="12.140625" style="195" bestFit="1" customWidth="1"/>
    <col min="8" max="8" width="14" style="195" bestFit="1" customWidth="1"/>
    <col min="9" max="9" width="11.42578125" style="195" bestFit="1" customWidth="1"/>
    <col min="10" max="10" width="10" style="195" customWidth="1"/>
    <col min="11" max="11" width="9.140625" style="195"/>
    <col min="12" max="12" width="10.28515625" style="195" bestFit="1" customWidth="1"/>
    <col min="13" max="13" width="15.28515625" style="195" customWidth="1"/>
    <col min="14" max="14" width="10.85546875" style="195" bestFit="1" customWidth="1"/>
    <col min="15" max="15" width="22.42578125" style="195" bestFit="1" customWidth="1"/>
    <col min="16" max="16" width="14.42578125" style="195" bestFit="1" customWidth="1"/>
    <col min="17" max="17" width="9.140625" style="195"/>
    <col min="18" max="18" width="12.42578125" style="195" customWidth="1"/>
    <col min="19" max="16384" width="9.140625" style="195"/>
  </cols>
  <sheetData>
    <row r="3" spans="2:18" ht="20.25" thickBot="1" x14ac:dyDescent="0.35">
      <c r="B3" s="262" t="s">
        <v>194</v>
      </c>
      <c r="C3" s="262"/>
      <c r="D3" s="262"/>
      <c r="E3" s="262"/>
      <c r="F3" s="262"/>
      <c r="G3" s="262"/>
      <c r="H3" s="262"/>
      <c r="J3" s="153" t="s">
        <v>630</v>
      </c>
      <c r="K3" s="153" t="s">
        <v>1100</v>
      </c>
      <c r="L3" s="153" t="s">
        <v>1101</v>
      </c>
      <c r="M3" s="153" t="s">
        <v>1102</v>
      </c>
      <c r="O3" s="153" t="s">
        <v>630</v>
      </c>
      <c r="P3" s="153" t="s">
        <v>779</v>
      </c>
    </row>
    <row r="4" spans="2:18" ht="15.75" thickTop="1" x14ac:dyDescent="0.25">
      <c r="D4" s="196">
        <v>0.05</v>
      </c>
      <c r="E4" s="196">
        <v>0.1</v>
      </c>
      <c r="F4" s="196">
        <v>0.15</v>
      </c>
      <c r="G4" s="196">
        <v>0.2</v>
      </c>
      <c r="H4" s="196">
        <v>0.25</v>
      </c>
      <c r="J4" s="67" t="s">
        <v>1103</v>
      </c>
      <c r="K4" s="67">
        <v>1000</v>
      </c>
      <c r="L4" s="67">
        <v>2000</v>
      </c>
      <c r="M4" s="67">
        <f>L4-K4</f>
        <v>1000</v>
      </c>
      <c r="O4" s="67" t="s">
        <v>1103</v>
      </c>
      <c r="P4" s="67">
        <v>12</v>
      </c>
    </row>
    <row r="5" spans="2:18" x14ac:dyDescent="0.25">
      <c r="B5" s="153" t="s">
        <v>195</v>
      </c>
      <c r="C5" s="153" t="s">
        <v>196</v>
      </c>
      <c r="D5" s="153" t="s">
        <v>197</v>
      </c>
      <c r="E5" s="153" t="s">
        <v>198</v>
      </c>
      <c r="F5" s="153" t="s">
        <v>199</v>
      </c>
      <c r="G5" s="153" t="s">
        <v>200</v>
      </c>
      <c r="H5" s="153" t="s">
        <v>201</v>
      </c>
      <c r="J5" s="67" t="s">
        <v>1104</v>
      </c>
      <c r="K5" s="67">
        <v>1500</v>
      </c>
      <c r="L5" s="67">
        <v>2200</v>
      </c>
      <c r="M5" s="67">
        <f t="shared" ref="M5:M11" si="0">L5-K5</f>
        <v>700</v>
      </c>
      <c r="O5" s="67" t="s">
        <v>1104</v>
      </c>
      <c r="P5" s="67">
        <v>45</v>
      </c>
    </row>
    <row r="6" spans="2:18" x14ac:dyDescent="0.25">
      <c r="B6" s="67" t="s">
        <v>150</v>
      </c>
      <c r="C6" s="67">
        <v>68955</v>
      </c>
      <c r="D6" s="67">
        <f>C6*5%</f>
        <v>3447.75</v>
      </c>
      <c r="E6" s="67">
        <f>C6*10%</f>
        <v>6895.5</v>
      </c>
      <c r="F6" s="67">
        <f>C6*15%</f>
        <v>10343.25</v>
      </c>
      <c r="G6" s="67">
        <f>C6*20%</f>
        <v>13791</v>
      </c>
      <c r="H6" s="67">
        <f>C6*25%</f>
        <v>17238.75</v>
      </c>
      <c r="J6" s="67" t="s">
        <v>1105</v>
      </c>
      <c r="K6" s="67">
        <v>1500</v>
      </c>
      <c r="L6" s="67">
        <v>1800</v>
      </c>
      <c r="M6" s="67">
        <f t="shared" si="0"/>
        <v>300</v>
      </c>
      <c r="O6" s="67" t="s">
        <v>1105</v>
      </c>
      <c r="P6" s="67">
        <v>19</v>
      </c>
    </row>
    <row r="7" spans="2:18" x14ac:dyDescent="0.25">
      <c r="B7" s="67" t="s">
        <v>151</v>
      </c>
      <c r="C7" s="67">
        <v>43116</v>
      </c>
      <c r="D7" s="67">
        <f>C7*5%</f>
        <v>2155.8000000000002</v>
      </c>
      <c r="E7" s="67">
        <f>C7*10%</f>
        <v>4311.6000000000004</v>
      </c>
      <c r="F7" s="67">
        <f>C7*15%</f>
        <v>6467.4</v>
      </c>
      <c r="G7" s="67">
        <f>C7*20%</f>
        <v>8623.2000000000007</v>
      </c>
      <c r="H7" s="67">
        <f>C7*25%</f>
        <v>10779</v>
      </c>
      <c r="J7" s="67" t="s">
        <v>1106</v>
      </c>
      <c r="K7" s="67">
        <v>95242</v>
      </c>
      <c r="L7" s="67">
        <v>2500</v>
      </c>
      <c r="M7" s="67">
        <f t="shared" si="0"/>
        <v>-92742</v>
      </c>
      <c r="O7" s="67" t="s">
        <v>1106</v>
      </c>
      <c r="P7" s="67">
        <v>32</v>
      </c>
    </row>
    <row r="8" spans="2:18" x14ac:dyDescent="0.25">
      <c r="B8" s="67" t="s">
        <v>153</v>
      </c>
      <c r="C8" s="67">
        <v>27088</v>
      </c>
      <c r="D8" s="67">
        <f>C8*5%</f>
        <v>1354.4</v>
      </c>
      <c r="E8" s="67">
        <f>C8*10%</f>
        <v>2708.8</v>
      </c>
      <c r="F8" s="67">
        <f>C8*15%</f>
        <v>4063.2</v>
      </c>
      <c r="G8" s="67">
        <f>C8*20%</f>
        <v>5417.6</v>
      </c>
      <c r="H8" s="67">
        <f>C8*25%</f>
        <v>6772</v>
      </c>
      <c r="J8" s="67" t="s">
        <v>1107</v>
      </c>
      <c r="K8" s="67">
        <v>1500</v>
      </c>
      <c r="L8" s="67">
        <v>1500</v>
      </c>
      <c r="M8" s="67">
        <f t="shared" si="0"/>
        <v>0</v>
      </c>
      <c r="O8" s="67" t="s">
        <v>1107</v>
      </c>
      <c r="P8" s="67">
        <v>54</v>
      </c>
    </row>
    <row r="9" spans="2:18" x14ac:dyDescent="0.25">
      <c r="B9" s="67" t="s">
        <v>154</v>
      </c>
      <c r="C9" s="67">
        <v>79399</v>
      </c>
      <c r="D9" s="67">
        <f>C9*5%</f>
        <v>3969.9500000000003</v>
      </c>
      <c r="E9" s="67">
        <f>C9*10%</f>
        <v>7939.9000000000005</v>
      </c>
      <c r="F9" s="67">
        <f>C9*15%</f>
        <v>11909.85</v>
      </c>
      <c r="G9" s="67">
        <f>C9*20%</f>
        <v>15879.800000000001</v>
      </c>
      <c r="H9" s="67">
        <f>C9*25%</f>
        <v>19849.75</v>
      </c>
      <c r="J9" s="67" t="s">
        <v>1108</v>
      </c>
      <c r="K9" s="67">
        <v>1620</v>
      </c>
      <c r="L9" s="67">
        <v>2000</v>
      </c>
      <c r="M9" s="67">
        <f t="shared" si="0"/>
        <v>380</v>
      </c>
      <c r="O9" s="67" t="s">
        <v>1108</v>
      </c>
      <c r="P9" s="67">
        <v>29</v>
      </c>
    </row>
    <row r="10" spans="2:18" x14ac:dyDescent="0.25">
      <c r="B10" s="67" t="s">
        <v>155</v>
      </c>
      <c r="C10" s="67">
        <v>10952</v>
      </c>
      <c r="D10" s="67">
        <f>C10*5%</f>
        <v>547.6</v>
      </c>
      <c r="E10" s="67">
        <f>C10*10%</f>
        <v>1095.2</v>
      </c>
      <c r="F10" s="67">
        <f>C10*15%</f>
        <v>1642.8</v>
      </c>
      <c r="G10" s="67">
        <f>C10*20%</f>
        <v>2190.4</v>
      </c>
      <c r="H10" s="67">
        <f>C10*25%</f>
        <v>2738</v>
      </c>
      <c r="J10" s="67" t="s">
        <v>1109</v>
      </c>
      <c r="K10" s="67">
        <v>1320</v>
      </c>
      <c r="L10" s="67">
        <v>1500</v>
      </c>
      <c r="M10" s="67">
        <f t="shared" si="0"/>
        <v>180</v>
      </c>
      <c r="O10" s="67" t="s">
        <v>1109</v>
      </c>
      <c r="P10" s="67">
        <v>85</v>
      </c>
    </row>
    <row r="11" spans="2:18" x14ac:dyDescent="0.25">
      <c r="J11" s="67" t="s">
        <v>1110</v>
      </c>
      <c r="K11" s="67">
        <v>1230</v>
      </c>
      <c r="L11" s="67">
        <v>1600</v>
      </c>
      <c r="M11" s="67">
        <f t="shared" si="0"/>
        <v>370</v>
      </c>
      <c r="O11" s="67" t="s">
        <v>1110</v>
      </c>
      <c r="P11" s="67">
        <v>45</v>
      </c>
    </row>
    <row r="13" spans="2:18" ht="30" x14ac:dyDescent="0.25">
      <c r="B13" s="154" t="s">
        <v>630</v>
      </c>
      <c r="C13" s="154" t="s">
        <v>1111</v>
      </c>
      <c r="D13" s="154" t="s">
        <v>1112</v>
      </c>
      <c r="E13" s="154" t="s">
        <v>1113</v>
      </c>
      <c r="F13" s="154" t="s">
        <v>1114</v>
      </c>
      <c r="G13" s="154" t="s">
        <v>1115</v>
      </c>
      <c r="H13" s="154" t="s">
        <v>1116</v>
      </c>
    </row>
    <row r="14" spans="2:18" x14ac:dyDescent="0.25">
      <c r="B14" s="155" t="s">
        <v>1117</v>
      </c>
      <c r="C14" s="197">
        <v>33498</v>
      </c>
      <c r="D14" s="197">
        <v>42346</v>
      </c>
      <c r="E14" s="156">
        <v>8600712031</v>
      </c>
      <c r="F14" s="194">
        <v>42346</v>
      </c>
      <c r="G14" s="194">
        <v>42709</v>
      </c>
      <c r="H14" s="156" t="s">
        <v>1118</v>
      </c>
      <c r="J14" s="198" t="s">
        <v>43</v>
      </c>
      <c r="L14" s="199" t="s">
        <v>42</v>
      </c>
      <c r="O14" s="153" t="s">
        <v>1288</v>
      </c>
      <c r="P14" s="153" t="s">
        <v>1289</v>
      </c>
    </row>
    <row r="15" spans="2:18" x14ac:dyDescent="0.25">
      <c r="B15" s="155" t="s">
        <v>1119</v>
      </c>
      <c r="C15" s="197">
        <v>34381</v>
      </c>
      <c r="D15" s="197">
        <v>42242</v>
      </c>
      <c r="E15" s="156">
        <v>9405336495</v>
      </c>
      <c r="F15" s="194">
        <v>42242</v>
      </c>
      <c r="G15" s="194">
        <v>42516</v>
      </c>
      <c r="H15" s="156" t="s">
        <v>1120</v>
      </c>
      <c r="J15" s="200" t="s">
        <v>41</v>
      </c>
      <c r="K15" s="201"/>
      <c r="L15" s="202">
        <v>182</v>
      </c>
      <c r="O15" s="203">
        <v>585</v>
      </c>
      <c r="P15" s="67">
        <v>2000</v>
      </c>
      <c r="R15" s="182">
        <f t="shared" ref="R15:R22" si="1">(O15-P15*100)-100</f>
        <v>-199515</v>
      </c>
    </row>
    <row r="16" spans="2:18" x14ac:dyDescent="0.25">
      <c r="B16" s="155" t="s">
        <v>1121</v>
      </c>
      <c r="C16" s="197">
        <v>33687</v>
      </c>
      <c r="D16" s="197">
        <v>33687</v>
      </c>
      <c r="E16" s="156">
        <v>9890623505</v>
      </c>
      <c r="F16" s="194">
        <v>42242</v>
      </c>
      <c r="G16" s="194">
        <v>42516</v>
      </c>
      <c r="H16" s="156" t="s">
        <v>1118</v>
      </c>
      <c r="J16" s="204" t="str">
        <f t="shared" ref="J16:J19" si="2">J15</f>
        <v>Brand A</v>
      </c>
      <c r="K16" s="201"/>
      <c r="L16" s="205">
        <v>133</v>
      </c>
      <c r="O16" s="203">
        <v>7855</v>
      </c>
      <c r="P16" s="67">
        <v>2200</v>
      </c>
      <c r="R16" s="182">
        <f t="shared" si="1"/>
        <v>-212245</v>
      </c>
    </row>
    <row r="17" spans="2:18" x14ac:dyDescent="0.25">
      <c r="B17" s="155" t="s">
        <v>1122</v>
      </c>
      <c r="C17" s="197">
        <v>33713</v>
      </c>
      <c r="D17" s="197">
        <v>42296</v>
      </c>
      <c r="E17" s="156">
        <v>9403639658</v>
      </c>
      <c r="F17" s="194">
        <v>42296</v>
      </c>
      <c r="G17" s="194">
        <v>42540</v>
      </c>
      <c r="H17" s="156" t="s">
        <v>1123</v>
      </c>
      <c r="J17" s="204" t="str">
        <f t="shared" si="2"/>
        <v>Brand A</v>
      </c>
      <c r="K17" s="201"/>
      <c r="L17" s="205">
        <v>287</v>
      </c>
      <c r="O17" s="203">
        <v>55</v>
      </c>
      <c r="P17" s="67">
        <v>1800</v>
      </c>
      <c r="R17" s="182">
        <f t="shared" si="1"/>
        <v>-180045</v>
      </c>
    </row>
    <row r="18" spans="2:18" x14ac:dyDescent="0.25">
      <c r="B18" s="155" t="s">
        <v>1124</v>
      </c>
      <c r="C18" s="197">
        <v>34672</v>
      </c>
      <c r="D18" s="197">
        <v>42296</v>
      </c>
      <c r="E18" s="156">
        <v>9764263485</v>
      </c>
      <c r="F18" s="194">
        <v>42296</v>
      </c>
      <c r="G18" s="194">
        <v>42540</v>
      </c>
      <c r="H18" s="156" t="s">
        <v>1123</v>
      </c>
      <c r="J18" s="204" t="str">
        <f t="shared" si="2"/>
        <v>Brand A</v>
      </c>
      <c r="K18" s="201"/>
      <c r="L18" s="205">
        <v>280</v>
      </c>
      <c r="O18" s="203">
        <v>1500</v>
      </c>
      <c r="P18" s="67">
        <v>2500</v>
      </c>
      <c r="R18" s="182">
        <f t="shared" si="1"/>
        <v>-248600</v>
      </c>
    </row>
    <row r="19" spans="2:18" x14ac:dyDescent="0.25">
      <c r="B19" s="155" t="s">
        <v>1125</v>
      </c>
      <c r="C19" s="197">
        <v>33068</v>
      </c>
      <c r="D19" s="197">
        <v>42163</v>
      </c>
      <c r="E19" s="156">
        <v>8550916123</v>
      </c>
      <c r="F19" s="194">
        <v>42222</v>
      </c>
      <c r="G19" s="194">
        <v>42496</v>
      </c>
      <c r="H19" s="156" t="s">
        <v>1118</v>
      </c>
      <c r="J19" s="204" t="str">
        <f t="shared" si="2"/>
        <v>Brand A</v>
      </c>
      <c r="K19" s="201"/>
      <c r="L19" s="205">
        <v>128</v>
      </c>
      <c r="O19" s="203">
        <v>1500</v>
      </c>
      <c r="P19" s="67">
        <v>1500</v>
      </c>
      <c r="R19" s="182">
        <f t="shared" si="1"/>
        <v>-148600</v>
      </c>
    </row>
    <row r="20" spans="2:18" x14ac:dyDescent="0.25">
      <c r="B20" s="155" t="s">
        <v>1126</v>
      </c>
      <c r="C20" s="197">
        <v>35667</v>
      </c>
      <c r="D20" s="197">
        <v>42308</v>
      </c>
      <c r="E20" s="156">
        <v>9767475655</v>
      </c>
      <c r="F20" s="194">
        <v>42308</v>
      </c>
      <c r="G20" s="194" t="s">
        <v>1491</v>
      </c>
      <c r="H20" s="156" t="s">
        <v>1127</v>
      </c>
      <c r="J20" s="204" t="s">
        <v>40</v>
      </c>
      <c r="K20" s="201"/>
      <c r="L20" s="206">
        <f>SUM(L15:L19)</f>
        <v>1010</v>
      </c>
      <c r="O20" s="203">
        <v>500</v>
      </c>
      <c r="P20" s="67">
        <v>2000</v>
      </c>
      <c r="R20" s="182">
        <f t="shared" si="1"/>
        <v>-199600</v>
      </c>
    </row>
    <row r="21" spans="2:18" x14ac:dyDescent="0.25">
      <c r="B21" s="155" t="s">
        <v>1128</v>
      </c>
      <c r="C21" s="197">
        <v>35010</v>
      </c>
      <c r="D21" s="197">
        <v>42325</v>
      </c>
      <c r="E21" s="156">
        <v>8308492418</v>
      </c>
      <c r="F21" s="194">
        <v>42325</v>
      </c>
      <c r="G21" s="194">
        <v>42568</v>
      </c>
      <c r="H21" s="156" t="s">
        <v>1123</v>
      </c>
      <c r="J21" s="204" t="str">
        <f t="shared" ref="J21:J22" si="3">J20</f>
        <v>Brand B</v>
      </c>
      <c r="K21" s="201"/>
      <c r="L21" s="205">
        <v>203</v>
      </c>
      <c r="O21" s="203">
        <v>1320</v>
      </c>
      <c r="P21" s="67">
        <v>1500</v>
      </c>
      <c r="R21" s="182">
        <f t="shared" si="1"/>
        <v>-148780</v>
      </c>
    </row>
    <row r="22" spans="2:18" x14ac:dyDescent="0.25">
      <c r="B22" s="155" t="s">
        <v>1129</v>
      </c>
      <c r="C22" s="197">
        <v>29963</v>
      </c>
      <c r="D22" s="197">
        <v>42197</v>
      </c>
      <c r="E22" s="156">
        <v>9850834448</v>
      </c>
      <c r="F22" s="194">
        <v>42197</v>
      </c>
      <c r="G22" s="194">
        <v>42377</v>
      </c>
      <c r="H22" s="156" t="s">
        <v>1130</v>
      </c>
      <c r="J22" s="204" t="str">
        <f t="shared" si="3"/>
        <v>Brand B</v>
      </c>
      <c r="K22" s="201"/>
      <c r="L22" s="205">
        <v>106</v>
      </c>
      <c r="O22" s="203">
        <v>900</v>
      </c>
      <c r="P22" s="67">
        <v>1600</v>
      </c>
      <c r="R22" s="182">
        <f t="shared" si="1"/>
        <v>-159200</v>
      </c>
    </row>
    <row r="23" spans="2:18" x14ac:dyDescent="0.25">
      <c r="B23" s="155" t="s">
        <v>1131</v>
      </c>
      <c r="C23" s="197">
        <v>31762</v>
      </c>
      <c r="D23" s="197">
        <v>42016</v>
      </c>
      <c r="E23" s="156">
        <v>8855900898</v>
      </c>
      <c r="F23" s="194">
        <v>42016</v>
      </c>
      <c r="G23" s="194">
        <v>42376</v>
      </c>
      <c r="H23" s="156" t="s">
        <v>1132</v>
      </c>
      <c r="J23" s="204" t="s">
        <v>39</v>
      </c>
      <c r="K23" s="201"/>
      <c r="L23" s="205">
        <v>241</v>
      </c>
    </row>
    <row r="24" spans="2:18" x14ac:dyDescent="0.25">
      <c r="B24" s="155" t="s">
        <v>1133</v>
      </c>
      <c r="C24" s="197">
        <v>32815</v>
      </c>
      <c r="D24" s="197">
        <v>42705</v>
      </c>
      <c r="E24" s="156">
        <v>9028996001</v>
      </c>
      <c r="F24" s="194">
        <v>42705</v>
      </c>
      <c r="G24" s="194">
        <v>42713</v>
      </c>
      <c r="H24" s="156" t="s">
        <v>1118</v>
      </c>
      <c r="J24" s="204" t="str">
        <f t="shared" ref="J24:J29" si="4">J23</f>
        <v>Brand C</v>
      </c>
      <c r="K24" s="201"/>
      <c r="L24" s="205">
        <v>250</v>
      </c>
    </row>
    <row r="25" spans="2:18" x14ac:dyDescent="0.25">
      <c r="B25" s="155" t="s">
        <v>1134</v>
      </c>
      <c r="C25" s="197">
        <v>35729</v>
      </c>
      <c r="D25" s="197">
        <v>42371</v>
      </c>
      <c r="E25" s="156">
        <v>8007634937</v>
      </c>
      <c r="F25" s="194">
        <v>42371</v>
      </c>
      <c r="G25" s="194">
        <v>42644</v>
      </c>
      <c r="H25" s="156" t="s">
        <v>1135</v>
      </c>
      <c r="J25" s="204" t="str">
        <f t="shared" si="4"/>
        <v>Brand C</v>
      </c>
      <c r="K25" s="201"/>
      <c r="L25" s="205">
        <f>SUM(L21:L24)</f>
        <v>800</v>
      </c>
      <c r="P25" s="195">
        <f>SUM(P15:P24)</f>
        <v>15100</v>
      </c>
    </row>
    <row r="26" spans="2:18" x14ac:dyDescent="0.25">
      <c r="B26" s="155" t="s">
        <v>1136</v>
      </c>
      <c r="C26" s="197">
        <v>34297</v>
      </c>
      <c r="D26" s="197">
        <v>42212</v>
      </c>
      <c r="E26" s="156">
        <v>9766320405</v>
      </c>
      <c r="F26" s="194">
        <v>42212</v>
      </c>
      <c r="G26" s="194">
        <v>42396</v>
      </c>
      <c r="H26" s="155"/>
      <c r="J26" s="204" t="str">
        <f t="shared" si="4"/>
        <v>Brand C</v>
      </c>
      <c r="K26" s="201"/>
      <c r="L26" s="205">
        <v>201</v>
      </c>
      <c r="O26" s="195" t="s">
        <v>1290</v>
      </c>
    </row>
    <row r="27" spans="2:18" x14ac:dyDescent="0.25">
      <c r="B27" s="155" t="s">
        <v>1137</v>
      </c>
      <c r="C27" s="197">
        <v>35383</v>
      </c>
      <c r="D27" s="197">
        <v>42212</v>
      </c>
      <c r="E27" s="156">
        <v>8149444387</v>
      </c>
      <c r="F27" s="194">
        <v>42212</v>
      </c>
      <c r="G27" s="194">
        <v>42396</v>
      </c>
      <c r="H27" s="155" t="s">
        <v>1118</v>
      </c>
      <c r="J27" s="204" t="str">
        <f t="shared" si="4"/>
        <v>Brand C</v>
      </c>
      <c r="K27" s="201"/>
      <c r="L27" s="205">
        <v>347</v>
      </c>
      <c r="O27" s="195" t="s">
        <v>1291</v>
      </c>
    </row>
    <row r="28" spans="2:18" x14ac:dyDescent="0.25">
      <c r="B28" s="155" t="s">
        <v>1138</v>
      </c>
      <c r="C28" s="197" t="s">
        <v>1490</v>
      </c>
      <c r="D28" s="197">
        <v>42212</v>
      </c>
      <c r="E28" s="156">
        <v>8390146725</v>
      </c>
      <c r="F28" s="194">
        <v>42212</v>
      </c>
      <c r="G28" s="194">
        <v>42396</v>
      </c>
      <c r="H28" s="155" t="s">
        <v>1118</v>
      </c>
      <c r="J28" s="204" t="str">
        <f t="shared" si="4"/>
        <v>Brand C</v>
      </c>
      <c r="K28" s="201"/>
      <c r="L28" s="205">
        <v>343</v>
      </c>
    </row>
    <row r="29" spans="2:18" x14ac:dyDescent="0.25">
      <c r="J29" s="207" t="str">
        <f t="shared" si="4"/>
        <v>Brand C</v>
      </c>
      <c r="K29" s="201"/>
      <c r="L29" s="208">
        <f>SUM(L26:L28)</f>
        <v>891</v>
      </c>
    </row>
    <row r="30" spans="2:18" x14ac:dyDescent="0.25">
      <c r="L30" s="195">
        <f>SUM(L29,L25,L20)</f>
        <v>2701</v>
      </c>
      <c r="P30" s="195">
        <f>K11</f>
        <v>1230</v>
      </c>
    </row>
    <row r="31" spans="2:18" x14ac:dyDescent="0.25">
      <c r="L31" s="164"/>
    </row>
    <row r="33" spans="2:15" x14ac:dyDescent="0.25">
      <c r="B33" s="37" t="s">
        <v>630</v>
      </c>
      <c r="C33" s="37" t="s">
        <v>1292</v>
      </c>
      <c r="D33" s="37" t="s">
        <v>1293</v>
      </c>
      <c r="E33" s="37" t="s">
        <v>1294</v>
      </c>
      <c r="F33" s="37" t="s">
        <v>1295</v>
      </c>
      <c r="G33" s="37" t="s">
        <v>1307</v>
      </c>
      <c r="H33" s="37" t="s">
        <v>1308</v>
      </c>
      <c r="I33" s="37" t="s">
        <v>1296</v>
      </c>
      <c r="J33" s="37" t="s">
        <v>1297</v>
      </c>
      <c r="K33" s="37" t="s">
        <v>1309</v>
      </c>
      <c r="M33" s="37" t="s">
        <v>1492</v>
      </c>
      <c r="N33" s="37" t="s">
        <v>1493</v>
      </c>
      <c r="O33" s="37"/>
    </row>
    <row r="34" spans="2:15" x14ac:dyDescent="0.25">
      <c r="B34" s="213" t="s">
        <v>1117</v>
      </c>
      <c r="C34" s="213">
        <f>LEN(B34)</f>
        <v>14</v>
      </c>
      <c r="D34" s="213" t="str">
        <f>LOWER(B34)</f>
        <v>walchale sagar</v>
      </c>
      <c r="E34" s="213" t="str">
        <f>UPPER(B34)</f>
        <v>WALCHALE SAGAR</v>
      </c>
      <c r="F34" s="213" t="str">
        <f>PROPER(B34)</f>
        <v>Walchale Sagar</v>
      </c>
      <c r="G34" s="213">
        <f>FIND(I34,B34,1)</f>
        <v>1</v>
      </c>
      <c r="H34" s="213">
        <f>SEARCH(J34,B34,3)</f>
        <v>10</v>
      </c>
      <c r="I34" s="213" t="str">
        <f>LEFT(B34,7)</f>
        <v>Walchal</v>
      </c>
      <c r="J34" s="213" t="str">
        <f>RIGHT(B34,5)</f>
        <v>Sagar</v>
      </c>
      <c r="K34" s="213" t="str">
        <f>MID(B34,10,14)</f>
        <v>Sagar</v>
      </c>
      <c r="M34" s="213" t="str">
        <f>LEFT(B34,SEARCH(" ",B34)-1)</f>
        <v>Walchale</v>
      </c>
      <c r="N34" s="213" t="str">
        <f>RIGHT(B34,LEN(B34)-SEARCH(" ",B34))</f>
        <v>Sagar</v>
      </c>
      <c r="O34" s="213" t="str">
        <f>UPPER(RIGHT(B34,LEN(B34)-SEARCH(" ",B34))&amp;" "&amp;LEFT(B34,SEARCH(" ",B34)-1))</f>
        <v>SAGAR WALCHALE</v>
      </c>
    </row>
    <row r="35" spans="2:15" x14ac:dyDescent="0.25">
      <c r="B35" s="213" t="s">
        <v>1119</v>
      </c>
      <c r="C35" s="213">
        <f>LEN(B35)</f>
        <v>12</v>
      </c>
      <c r="D35" s="213" t="str">
        <f>LOWER(B35)</f>
        <v>rohan jadhav</v>
      </c>
      <c r="E35" s="213" t="str">
        <f>UPPER(B35)</f>
        <v>ROHAN JADHAV</v>
      </c>
      <c r="F35" s="213" t="str">
        <f>PROPER(B35)</f>
        <v>Rohan Jadhav</v>
      </c>
      <c r="G35" s="213">
        <f t="shared" ref="G35:G47" si="5">FIND(I35,B35,1)</f>
        <v>1</v>
      </c>
      <c r="H35" s="213">
        <f t="shared" ref="H35:H48" si="6">SEARCH(J35,B35,3)</f>
        <v>8</v>
      </c>
      <c r="I35" s="213" t="str">
        <f>LEFT(B35,7)</f>
        <v>Rohan J</v>
      </c>
      <c r="J35" s="213" t="str">
        <f>RIGHT(B35,5)</f>
        <v>adhav</v>
      </c>
      <c r="K35" s="213" t="str">
        <f>MID(B35,10,14)</f>
        <v>hav</v>
      </c>
      <c r="M35" s="213" t="str">
        <f t="shared" ref="M35:M44" si="7">LEFT(B35,SEARCH(" ",B35)-1)</f>
        <v>Rohan</v>
      </c>
      <c r="N35" s="213" t="str">
        <f t="shared" ref="N35:N44" si="8">RIGHT(B35,LEN(B35)-SEARCH(" ",B35))</f>
        <v>Jadhav</v>
      </c>
      <c r="O35" s="213" t="str">
        <f>UPPER(RIGHT(B35,LEN(B35)-SEARCH(" ",B35))&amp; " " &amp;LEFT(B35,SEARCH(" ",B35)-1))</f>
        <v>JADHAV ROHAN</v>
      </c>
    </row>
    <row r="36" spans="2:15" x14ac:dyDescent="0.25">
      <c r="B36" s="213" t="s">
        <v>1121</v>
      </c>
      <c r="C36" s="213">
        <f t="shared" ref="C36:C48" si="9">LEN(B36)</f>
        <v>12</v>
      </c>
      <c r="D36" s="213" t="str">
        <f t="shared" ref="D36:D48" si="10">LOWER(B36)</f>
        <v>pandav akash</v>
      </c>
      <c r="E36" s="213" t="str">
        <f t="shared" ref="E36:E48" si="11">UPPER(B36)</f>
        <v>PANDAV AKASH</v>
      </c>
      <c r="F36" s="213" t="str">
        <f t="shared" ref="F36:F48" si="12">PROPER(B36)</f>
        <v>Pandav Akash</v>
      </c>
      <c r="G36" s="213">
        <f t="shared" si="5"/>
        <v>1</v>
      </c>
      <c r="H36" s="213">
        <f t="shared" si="6"/>
        <v>8</v>
      </c>
      <c r="I36" s="213" t="str">
        <f t="shared" ref="I36:I48" si="13">LEFT(B36,7)</f>
        <v xml:space="preserve">Pandav </v>
      </c>
      <c r="J36" s="213" t="str">
        <f t="shared" ref="J36:J48" si="14">RIGHT(B36,5)</f>
        <v>Akash</v>
      </c>
      <c r="K36" s="213" t="str">
        <f t="shared" ref="K36:K48" si="15">MID(B36,10,14)</f>
        <v>ash</v>
      </c>
      <c r="M36" s="213" t="str">
        <f t="shared" si="7"/>
        <v>Pandav</v>
      </c>
      <c r="N36" s="213" t="str">
        <f t="shared" si="8"/>
        <v>Akash</v>
      </c>
      <c r="O36" s="213" t="str">
        <f>UPPER(RIGHT(B36,LEN(B36)-SEARCH(" ",B36))&amp; " " &amp;LEFT(B36,SEARCH(" ",B36)-1))</f>
        <v>AKASH PANDAV</v>
      </c>
    </row>
    <row r="37" spans="2:15" x14ac:dyDescent="0.25">
      <c r="B37" s="213" t="s">
        <v>1122</v>
      </c>
      <c r="C37" s="213">
        <f t="shared" si="9"/>
        <v>12</v>
      </c>
      <c r="D37" s="213" t="str">
        <f t="shared" si="10"/>
        <v>shaikh sahid</v>
      </c>
      <c r="E37" s="213" t="str">
        <f t="shared" si="11"/>
        <v>SHAIKH SAHID</v>
      </c>
      <c r="F37" s="213" t="str">
        <f t="shared" si="12"/>
        <v>Shaikh Sahid</v>
      </c>
      <c r="G37" s="213">
        <f t="shared" si="5"/>
        <v>1</v>
      </c>
      <c r="H37" s="213">
        <f t="shared" si="6"/>
        <v>8</v>
      </c>
      <c r="I37" s="213" t="str">
        <f t="shared" si="13"/>
        <v xml:space="preserve">Shaikh </v>
      </c>
      <c r="J37" s="213" t="str">
        <f t="shared" si="14"/>
        <v>Sahid</v>
      </c>
      <c r="K37" s="213" t="str">
        <f t="shared" si="15"/>
        <v>hid</v>
      </c>
      <c r="M37" s="213" t="str">
        <f t="shared" si="7"/>
        <v>Shaikh</v>
      </c>
      <c r="N37" s="213" t="str">
        <f t="shared" si="8"/>
        <v>Sahid</v>
      </c>
      <c r="O37" s="213" t="str">
        <f>UPPER(RIGHT(B37,LEN(B37)-SEARCH(" ",B37))&amp;" "&amp;LEFT(B37,SEARCH(" ",B37)-1))</f>
        <v>SAHID SHAIKH</v>
      </c>
    </row>
    <row r="38" spans="2:15" x14ac:dyDescent="0.25">
      <c r="B38" s="213" t="s">
        <v>1124</v>
      </c>
      <c r="C38" s="213">
        <f t="shared" si="9"/>
        <v>13</v>
      </c>
      <c r="D38" s="213" t="str">
        <f t="shared" si="10"/>
        <v>ghodke vishal</v>
      </c>
      <c r="E38" s="213" t="str">
        <f t="shared" si="11"/>
        <v>GHODKE VISHAL</v>
      </c>
      <c r="F38" s="213" t="str">
        <f t="shared" si="12"/>
        <v>Ghodke Vishal</v>
      </c>
      <c r="G38" s="213">
        <f t="shared" si="5"/>
        <v>1</v>
      </c>
      <c r="H38" s="213">
        <f t="shared" si="6"/>
        <v>9</v>
      </c>
      <c r="I38" s="213" t="str">
        <f t="shared" si="13"/>
        <v xml:space="preserve">Ghodke </v>
      </c>
      <c r="J38" s="213" t="str">
        <f t="shared" si="14"/>
        <v>ishal</v>
      </c>
      <c r="K38" s="213" t="str">
        <f t="shared" si="15"/>
        <v>shal</v>
      </c>
      <c r="M38" s="213" t="str">
        <f t="shared" si="7"/>
        <v>Ghodke</v>
      </c>
      <c r="N38" s="213" t="str">
        <f t="shared" si="8"/>
        <v>Vishal</v>
      </c>
      <c r="O38" s="213" t="str">
        <f t="shared" ref="O38:O48" si="16">UPPER(RIGHT(B38,LEN(B38)-SEARCH(" ",B38))&amp;" "&amp;LEFT(B38,SEARCH(" ",B38)-1))</f>
        <v>VISHAL GHODKE</v>
      </c>
    </row>
    <row r="39" spans="2:15" x14ac:dyDescent="0.25">
      <c r="B39" s="213" t="s">
        <v>1125</v>
      </c>
      <c r="C39" s="213">
        <f t="shared" si="9"/>
        <v>15</v>
      </c>
      <c r="D39" s="213" t="str">
        <f t="shared" si="10"/>
        <v>gaikwad hushang</v>
      </c>
      <c r="E39" s="213" t="str">
        <f t="shared" si="11"/>
        <v>GAIKWAD HUSHANG</v>
      </c>
      <c r="F39" s="213" t="str">
        <f t="shared" si="12"/>
        <v>Gaikwad Hushang</v>
      </c>
      <c r="G39" s="213">
        <f t="shared" si="5"/>
        <v>1</v>
      </c>
      <c r="H39" s="213">
        <f t="shared" si="6"/>
        <v>11</v>
      </c>
      <c r="I39" s="213" t="str">
        <f t="shared" si="13"/>
        <v>Gaikwad</v>
      </c>
      <c r="J39" s="213" t="str">
        <f t="shared" si="14"/>
        <v>shang</v>
      </c>
      <c r="K39" s="213" t="str">
        <f t="shared" si="15"/>
        <v>ushang</v>
      </c>
      <c r="M39" s="213" t="str">
        <f t="shared" si="7"/>
        <v>Gaikwad</v>
      </c>
      <c r="N39" s="213" t="str">
        <f t="shared" si="8"/>
        <v>Hushang</v>
      </c>
      <c r="O39" s="213" t="str">
        <f t="shared" si="16"/>
        <v>HUSHANG GAIKWAD</v>
      </c>
    </row>
    <row r="40" spans="2:15" x14ac:dyDescent="0.25">
      <c r="B40" s="213" t="s">
        <v>1126</v>
      </c>
      <c r="C40" s="213">
        <f t="shared" si="9"/>
        <v>13</v>
      </c>
      <c r="D40" s="213" t="str">
        <f t="shared" si="10"/>
        <v>tamboli sahil</v>
      </c>
      <c r="E40" s="213" t="str">
        <f t="shared" si="11"/>
        <v>TAMBOLI SAHIL</v>
      </c>
      <c r="F40" s="213" t="str">
        <f t="shared" si="12"/>
        <v>Tamboli Sahil</v>
      </c>
      <c r="G40" s="213">
        <f t="shared" si="5"/>
        <v>1</v>
      </c>
      <c r="H40" s="213">
        <f t="shared" si="6"/>
        <v>9</v>
      </c>
      <c r="I40" s="213" t="str">
        <f t="shared" si="13"/>
        <v>Tamboli</v>
      </c>
      <c r="J40" s="213" t="str">
        <f t="shared" si="14"/>
        <v>Sahil</v>
      </c>
      <c r="K40" s="213" t="str">
        <f t="shared" si="15"/>
        <v>ahil</v>
      </c>
      <c r="M40" s="213" t="str">
        <f t="shared" si="7"/>
        <v>Tamboli</v>
      </c>
      <c r="N40" s="213" t="str">
        <f t="shared" si="8"/>
        <v>Sahil</v>
      </c>
      <c r="O40" s="213" t="str">
        <f t="shared" si="16"/>
        <v>SAHIL TAMBOLI</v>
      </c>
    </row>
    <row r="41" spans="2:15" x14ac:dyDescent="0.25">
      <c r="B41" s="213" t="s">
        <v>1128</v>
      </c>
      <c r="C41" s="213">
        <f t="shared" si="9"/>
        <v>17</v>
      </c>
      <c r="D41" s="213" t="str">
        <f t="shared" si="10"/>
        <v>ambavanekar rohan</v>
      </c>
      <c r="E41" s="213" t="str">
        <f t="shared" si="11"/>
        <v>AMBAVANEKAR ROHAN</v>
      </c>
      <c r="F41" s="213" t="str">
        <f t="shared" si="12"/>
        <v>Ambavanekar Rohan</v>
      </c>
      <c r="G41" s="213">
        <f t="shared" si="5"/>
        <v>1</v>
      </c>
      <c r="H41" s="213">
        <f t="shared" si="6"/>
        <v>13</v>
      </c>
      <c r="I41" s="213" t="str">
        <f t="shared" si="13"/>
        <v>Ambavan</v>
      </c>
      <c r="J41" s="213" t="str">
        <f t="shared" si="14"/>
        <v>Rohan</v>
      </c>
      <c r="K41" s="213" t="str">
        <f t="shared" si="15"/>
        <v>ar Rohan</v>
      </c>
      <c r="M41" s="213" t="str">
        <f t="shared" si="7"/>
        <v>Ambavanekar</v>
      </c>
      <c r="N41" s="213" t="str">
        <f t="shared" si="8"/>
        <v>Rohan</v>
      </c>
      <c r="O41" s="213" t="str">
        <f t="shared" si="16"/>
        <v>ROHAN AMBAVANEKAR</v>
      </c>
    </row>
    <row r="42" spans="2:15" x14ac:dyDescent="0.25">
      <c r="B42" s="213" t="s">
        <v>1129</v>
      </c>
      <c r="C42" s="213">
        <f t="shared" si="9"/>
        <v>16</v>
      </c>
      <c r="D42" s="213" t="str">
        <f t="shared" si="10"/>
        <v>nalawade dhanaji</v>
      </c>
      <c r="E42" s="213" t="str">
        <f t="shared" si="11"/>
        <v>NALAWADE DHANAJI</v>
      </c>
      <c r="F42" s="213" t="str">
        <f t="shared" si="12"/>
        <v>Nalawade Dhanaji</v>
      </c>
      <c r="G42" s="213">
        <f t="shared" si="5"/>
        <v>1</v>
      </c>
      <c r="H42" s="213">
        <f t="shared" si="6"/>
        <v>12</v>
      </c>
      <c r="I42" s="213" t="str">
        <f t="shared" si="13"/>
        <v>Nalawad</v>
      </c>
      <c r="J42" s="213" t="str">
        <f t="shared" si="14"/>
        <v>anaji</v>
      </c>
      <c r="K42" s="213" t="str">
        <f t="shared" si="15"/>
        <v>Dhanaji</v>
      </c>
      <c r="M42" s="213" t="str">
        <f t="shared" si="7"/>
        <v>Nalawade</v>
      </c>
      <c r="N42" s="213" t="str">
        <f t="shared" si="8"/>
        <v>Dhanaji</v>
      </c>
      <c r="O42" s="213" t="str">
        <f t="shared" si="16"/>
        <v>DHANAJI NALAWADE</v>
      </c>
    </row>
    <row r="43" spans="2:15" x14ac:dyDescent="0.25">
      <c r="B43" s="213" t="s">
        <v>1131</v>
      </c>
      <c r="C43" s="213">
        <f t="shared" si="9"/>
        <v>12</v>
      </c>
      <c r="D43" s="213" t="str">
        <f t="shared" si="10"/>
        <v>kale shekhar</v>
      </c>
      <c r="E43" s="213" t="str">
        <f t="shared" si="11"/>
        <v>KALE SHEKHAR</v>
      </c>
      <c r="F43" s="213" t="str">
        <f t="shared" si="12"/>
        <v>Kale Shekhar</v>
      </c>
      <c r="G43" s="213">
        <f t="shared" si="5"/>
        <v>1</v>
      </c>
      <c r="H43" s="213">
        <f t="shared" si="6"/>
        <v>8</v>
      </c>
      <c r="I43" s="213" t="str">
        <f t="shared" si="13"/>
        <v>Kale Sh</v>
      </c>
      <c r="J43" s="213" t="str">
        <f t="shared" si="14"/>
        <v>ekhar</v>
      </c>
      <c r="K43" s="213" t="str">
        <f t="shared" si="15"/>
        <v>har</v>
      </c>
      <c r="M43" s="213" t="str">
        <f t="shared" si="7"/>
        <v>Kale</v>
      </c>
      <c r="N43" s="213" t="str">
        <f t="shared" si="8"/>
        <v>Shekhar</v>
      </c>
      <c r="O43" s="213" t="str">
        <f t="shared" si="16"/>
        <v>SHEKHAR KALE</v>
      </c>
    </row>
    <row r="44" spans="2:15" x14ac:dyDescent="0.25">
      <c r="B44" s="213" t="s">
        <v>1133</v>
      </c>
      <c r="C44" s="213">
        <f t="shared" si="9"/>
        <v>15</v>
      </c>
      <c r="D44" s="213" t="str">
        <f t="shared" si="10"/>
        <v>bhojsane ramesh</v>
      </c>
      <c r="E44" s="213" t="str">
        <f t="shared" si="11"/>
        <v>BHOJSANE RAMESH</v>
      </c>
      <c r="F44" s="213" t="str">
        <f t="shared" si="12"/>
        <v>Bhojsane Ramesh</v>
      </c>
      <c r="G44" s="213">
        <f t="shared" si="5"/>
        <v>1</v>
      </c>
      <c r="H44" s="213">
        <f t="shared" si="6"/>
        <v>11</v>
      </c>
      <c r="I44" s="213" t="str">
        <f t="shared" si="13"/>
        <v>Bhojsan</v>
      </c>
      <c r="J44" s="213" t="str">
        <f t="shared" si="14"/>
        <v>amesh</v>
      </c>
      <c r="K44" s="213" t="str">
        <f t="shared" si="15"/>
        <v>Ramesh</v>
      </c>
      <c r="M44" s="213" t="str">
        <f t="shared" si="7"/>
        <v>Bhojsane</v>
      </c>
      <c r="N44" s="213" t="str">
        <f t="shared" si="8"/>
        <v>Ramesh</v>
      </c>
      <c r="O44" s="213" t="str">
        <f t="shared" si="16"/>
        <v>RAMESH BHOJSANE</v>
      </c>
    </row>
    <row r="45" spans="2:15" x14ac:dyDescent="0.25">
      <c r="B45" s="213" t="s">
        <v>1134</v>
      </c>
      <c r="C45" s="213">
        <f t="shared" si="9"/>
        <v>10</v>
      </c>
      <c r="D45" s="213" t="str">
        <f t="shared" si="10"/>
        <v>ghom akash</v>
      </c>
      <c r="E45" s="213" t="str">
        <f t="shared" si="11"/>
        <v>GHOM AKASH</v>
      </c>
      <c r="F45" s="213" t="str">
        <f t="shared" si="12"/>
        <v>Ghom Akash</v>
      </c>
      <c r="G45" s="213">
        <f t="shared" si="5"/>
        <v>1</v>
      </c>
      <c r="H45" s="213">
        <f t="shared" si="6"/>
        <v>6</v>
      </c>
      <c r="I45" s="213" t="str">
        <f t="shared" si="13"/>
        <v>Ghom Ak</v>
      </c>
      <c r="J45" s="213" t="str">
        <f t="shared" si="14"/>
        <v>Akash</v>
      </c>
      <c r="K45" s="213" t="str">
        <f t="shared" si="15"/>
        <v>h</v>
      </c>
      <c r="M45" s="213" t="str">
        <f>LEFT(B45,SEARCH(" ",B45)-1)</f>
        <v>Ghom</v>
      </c>
      <c r="N45" s="213" t="str">
        <f>RIGHT(B45,LEN(B45)-SEARCH(" ",B45))</f>
        <v>Akash</v>
      </c>
      <c r="O45" s="213" t="str">
        <f t="shared" si="16"/>
        <v>AKASH GHOM</v>
      </c>
    </row>
    <row r="46" spans="2:15" x14ac:dyDescent="0.25">
      <c r="B46" s="213" t="s">
        <v>1136</v>
      </c>
      <c r="C46" s="213">
        <f t="shared" si="9"/>
        <v>12</v>
      </c>
      <c r="D46" s="213" t="str">
        <f t="shared" si="10"/>
        <v>patale sumit</v>
      </c>
      <c r="E46" s="213" t="str">
        <f t="shared" si="11"/>
        <v>PATALE SUMIT</v>
      </c>
      <c r="F46" s="213" t="str">
        <f t="shared" si="12"/>
        <v>Patale Sumit</v>
      </c>
      <c r="G46" s="213">
        <f t="shared" si="5"/>
        <v>1</v>
      </c>
      <c r="H46" s="213">
        <f t="shared" si="6"/>
        <v>8</v>
      </c>
      <c r="I46" s="213" t="str">
        <f t="shared" si="13"/>
        <v xml:space="preserve">Patale </v>
      </c>
      <c r="J46" s="213" t="str">
        <f t="shared" si="14"/>
        <v>Sumit</v>
      </c>
      <c r="K46" s="213" t="str">
        <f t="shared" si="15"/>
        <v>mit</v>
      </c>
      <c r="M46" s="213" t="str">
        <f>LEFT(B46,SEARCH(" ",B46)-1)</f>
        <v>Patale</v>
      </c>
      <c r="N46" s="213" t="str">
        <f>RIGHT(B46,LEN(B46)-SEARCH(" ",B46))</f>
        <v>Sumit</v>
      </c>
      <c r="O46" s="213" t="str">
        <f t="shared" si="16"/>
        <v>SUMIT PATALE</v>
      </c>
    </row>
    <row r="47" spans="2:15" x14ac:dyDescent="0.25">
      <c r="B47" s="213" t="s">
        <v>1137</v>
      </c>
      <c r="C47" s="213">
        <f t="shared" si="9"/>
        <v>12</v>
      </c>
      <c r="D47" s="213" t="str">
        <f t="shared" si="10"/>
        <v>dalvi yogesh</v>
      </c>
      <c r="E47" s="213" t="str">
        <f t="shared" si="11"/>
        <v>DALVI YOGESH</v>
      </c>
      <c r="F47" s="213" t="str">
        <f t="shared" si="12"/>
        <v>Dalvi Yogesh</v>
      </c>
      <c r="G47" s="213">
        <f t="shared" si="5"/>
        <v>1</v>
      </c>
      <c r="H47" s="213">
        <f t="shared" si="6"/>
        <v>8</v>
      </c>
      <c r="I47" s="213" t="str">
        <f t="shared" si="13"/>
        <v>Dalvi Y</v>
      </c>
      <c r="J47" s="213" t="str">
        <f t="shared" si="14"/>
        <v>ogesh</v>
      </c>
      <c r="K47" s="213" t="str">
        <f t="shared" si="15"/>
        <v>esh</v>
      </c>
      <c r="M47" s="213" t="str">
        <f>LEFT(B47,SEARCH(" ",B47)-1)</f>
        <v>Dalvi</v>
      </c>
      <c r="N47" s="213" t="str">
        <f>RIGHT(B47,LEN(B47)-SEARCH(" ",B47))</f>
        <v>Yogesh</v>
      </c>
      <c r="O47" s="213" t="str">
        <f t="shared" si="16"/>
        <v>YOGESH DALVI</v>
      </c>
    </row>
    <row r="48" spans="2:15" x14ac:dyDescent="0.25">
      <c r="B48" s="213" t="s">
        <v>1138</v>
      </c>
      <c r="C48" s="213">
        <f t="shared" si="9"/>
        <v>13</v>
      </c>
      <c r="D48" s="213" t="str">
        <f t="shared" si="10"/>
        <v>vavare milind</v>
      </c>
      <c r="E48" s="213" t="str">
        <f t="shared" si="11"/>
        <v>VAVARE MILIND</v>
      </c>
      <c r="F48" s="213" t="str">
        <f t="shared" si="12"/>
        <v>Vavare Milind</v>
      </c>
      <c r="G48" s="213">
        <f>FIND(J48,B48,1)</f>
        <v>9</v>
      </c>
      <c r="H48" s="213">
        <f t="shared" si="6"/>
        <v>9</v>
      </c>
      <c r="I48" s="213" t="str">
        <f t="shared" si="13"/>
        <v xml:space="preserve">Vavare </v>
      </c>
      <c r="J48" s="213" t="str">
        <f t="shared" si="14"/>
        <v>ilind</v>
      </c>
      <c r="K48" s="213" t="str">
        <f t="shared" si="15"/>
        <v>lind</v>
      </c>
      <c r="M48" s="213" t="str">
        <f>LEFT(B48,SEARCH(" ",B48)-1)</f>
        <v>Vavare</v>
      </c>
      <c r="N48" s="213" t="str">
        <f>RIGHT(B48,LEN(B48)-SEARCH(" ",B48))</f>
        <v>Milind</v>
      </c>
      <c r="O48" s="213" t="str">
        <f t="shared" si="16"/>
        <v>MILIND VAVARE</v>
      </c>
    </row>
    <row r="53" spans="8:10" ht="30" x14ac:dyDescent="0.25">
      <c r="H53" s="154" t="s">
        <v>1116</v>
      </c>
      <c r="I53" s="154" t="s">
        <v>1626</v>
      </c>
      <c r="J53" s="195" t="str">
        <f>UPPER("time")</f>
        <v>TIME</v>
      </c>
    </row>
    <row r="54" spans="8:10" x14ac:dyDescent="0.25">
      <c r="H54" s="211">
        <v>0.41666666666666669</v>
      </c>
      <c r="I54" s="211">
        <v>0.5</v>
      </c>
      <c r="J54" s="212">
        <f>I54-H54</f>
        <v>8.3333333333333315E-2</v>
      </c>
    </row>
    <row r="55" spans="8:10" x14ac:dyDescent="0.25">
      <c r="H55" s="211">
        <v>0.58333333333333337</v>
      </c>
      <c r="I55" s="211">
        <v>0.66666666666666696</v>
      </c>
      <c r="J55" s="212">
        <f t="shared" ref="J55:J67" si="17">I55-H55</f>
        <v>8.3333333333333592E-2</v>
      </c>
    </row>
    <row r="56" spans="8:10" x14ac:dyDescent="0.25">
      <c r="H56" s="211">
        <v>0.41666666666666669</v>
      </c>
      <c r="I56" s="211">
        <v>0.5</v>
      </c>
      <c r="J56" s="212">
        <f t="shared" si="17"/>
        <v>8.3333333333333315E-2</v>
      </c>
    </row>
    <row r="57" spans="8:10" x14ac:dyDescent="0.25">
      <c r="H57" s="211">
        <v>0.5</v>
      </c>
      <c r="I57" s="211">
        <v>0.58333333333333304</v>
      </c>
      <c r="J57" s="212">
        <f t="shared" si="17"/>
        <v>8.3333333333333037E-2</v>
      </c>
    </row>
    <row r="58" spans="8:10" x14ac:dyDescent="0.25">
      <c r="H58" s="211">
        <v>0.5</v>
      </c>
      <c r="I58" s="211">
        <v>0.58333333333333304</v>
      </c>
      <c r="J58" s="212">
        <f t="shared" si="17"/>
        <v>8.3333333333333037E-2</v>
      </c>
    </row>
    <row r="59" spans="8:10" x14ac:dyDescent="0.25">
      <c r="H59" s="211">
        <v>0.41666666666666669</v>
      </c>
      <c r="I59" s="211">
        <v>0.5</v>
      </c>
      <c r="J59" s="212">
        <f t="shared" si="17"/>
        <v>8.3333333333333315E-2</v>
      </c>
    </row>
    <row r="60" spans="8:10" x14ac:dyDescent="0.25">
      <c r="H60" s="211">
        <v>0.625</v>
      </c>
      <c r="I60" s="211">
        <v>0.70833333333333304</v>
      </c>
      <c r="J60" s="212">
        <f t="shared" si="17"/>
        <v>8.3333333333333037E-2</v>
      </c>
    </row>
    <row r="61" spans="8:10" x14ac:dyDescent="0.25">
      <c r="H61" s="211">
        <v>0.5</v>
      </c>
      <c r="I61" s="211">
        <v>0.58333333333333304</v>
      </c>
      <c r="J61" s="212">
        <f t="shared" si="17"/>
        <v>8.3333333333333037E-2</v>
      </c>
    </row>
    <row r="62" spans="8:10" x14ac:dyDescent="0.25">
      <c r="H62" s="211">
        <v>0.77083333333333337</v>
      </c>
      <c r="I62" s="211">
        <v>0.85416666666666696</v>
      </c>
      <c r="J62" s="212">
        <f t="shared" si="17"/>
        <v>8.3333333333333592E-2</v>
      </c>
    </row>
    <row r="63" spans="8:10" x14ac:dyDescent="0.25">
      <c r="H63" s="211">
        <v>0.83333333333333337</v>
      </c>
      <c r="I63" s="211">
        <v>0.91666666666666696</v>
      </c>
      <c r="J63" s="212">
        <f t="shared" si="17"/>
        <v>8.3333333333333592E-2</v>
      </c>
    </row>
    <row r="64" spans="8:10" x14ac:dyDescent="0.25">
      <c r="H64" s="211">
        <v>0.41666666666666669</v>
      </c>
      <c r="I64" s="211">
        <v>0.5</v>
      </c>
      <c r="J64" s="212">
        <f t="shared" si="17"/>
        <v>8.3333333333333315E-2</v>
      </c>
    </row>
    <row r="65" spans="8:10" x14ac:dyDescent="0.25">
      <c r="H65" s="211">
        <v>0.83333333333333337</v>
      </c>
      <c r="I65" s="211">
        <v>0.91666666666666696</v>
      </c>
      <c r="J65" s="212">
        <f t="shared" si="17"/>
        <v>8.3333333333333592E-2</v>
      </c>
    </row>
    <row r="66" spans="8:10" x14ac:dyDescent="0.25">
      <c r="H66" s="211">
        <v>0.41666666666666669</v>
      </c>
      <c r="I66" s="211">
        <v>0.5</v>
      </c>
      <c r="J66" s="212">
        <f t="shared" si="17"/>
        <v>8.3333333333333315E-2</v>
      </c>
    </row>
    <row r="67" spans="8:10" x14ac:dyDescent="0.25">
      <c r="H67" s="211">
        <v>0.41666666666666669</v>
      </c>
      <c r="I67" s="211">
        <v>0.5</v>
      </c>
      <c r="J67" s="212">
        <f t="shared" si="17"/>
        <v>8.3333333333333315E-2</v>
      </c>
    </row>
    <row r="68" spans="8:10" x14ac:dyDescent="0.25">
      <c r="I68" s="210"/>
    </row>
  </sheetData>
  <mergeCells count="1">
    <mergeCell ref="B3:H3"/>
  </mergeCells>
  <conditionalFormatting sqref="J3:M11">
    <cfRule type="expression" dxfId="11" priority="17">
      <formula>$M3&lt;=0</formula>
    </cfRule>
  </conditionalFormatting>
  <conditionalFormatting sqref="O15:O22">
    <cfRule type="expression" dxfId="10" priority="14">
      <formula>((O15/P15*100)/100)&gt;70%</formula>
    </cfRule>
    <cfRule type="expression" dxfId="9" priority="15">
      <formula>((O15/P15*100)/100)&lt;50%</formula>
    </cfRule>
  </conditionalFormatting>
  <conditionalFormatting sqref="P25">
    <cfRule type="expression" dxfId="8" priority="12">
      <formula>SUM($P$15:$P$22)&lt;16000</formula>
    </cfRule>
    <cfRule type="expression" dxfId="7" priority="13">
      <formula>SUM($P$15:$P$22)&gt;=16000</formula>
    </cfRule>
  </conditionalFormatting>
  <conditionalFormatting sqref="R15">
    <cfRule type="expression" priority="11">
      <formula>(O15/P15*100)*100</formula>
    </cfRule>
  </conditionalFormatting>
  <conditionalFormatting sqref="L15:L29">
    <cfRule type="expression" dxfId="6" priority="1">
      <formula>SUM(L29,L25,L20)&gt;500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B2:R59"/>
  <sheetViews>
    <sheetView workbookViewId="0">
      <selection activeCell="I36" sqref="I36"/>
    </sheetView>
  </sheetViews>
  <sheetFormatPr defaultColWidth="9.140625" defaultRowHeight="15" x14ac:dyDescent="0.25"/>
  <cols>
    <col min="1" max="1" width="5.7109375" style="5" customWidth="1"/>
    <col min="2" max="2" width="18.85546875" style="5" bestFit="1" customWidth="1"/>
    <col min="3" max="3" width="16.42578125" style="5" bestFit="1" customWidth="1"/>
    <col min="4" max="4" width="9.42578125" style="5" bestFit="1" customWidth="1"/>
    <col min="5" max="5" width="12" style="5" bestFit="1" customWidth="1"/>
    <col min="6" max="6" width="14.42578125" style="5" customWidth="1"/>
    <col min="7" max="7" width="13.42578125" style="5" bestFit="1" customWidth="1"/>
    <col min="8" max="8" width="14.85546875" style="5" bestFit="1" customWidth="1"/>
    <col min="9" max="10" width="8.7109375" style="5" customWidth="1"/>
    <col min="11" max="11" width="15.28515625" style="5" customWidth="1"/>
    <col min="12" max="12" width="10.42578125" style="5" customWidth="1"/>
    <col min="13" max="13" width="12.7109375" style="5" customWidth="1"/>
    <col min="14" max="14" width="10" style="5" bestFit="1" customWidth="1"/>
    <col min="15" max="16384" width="9.140625" style="5"/>
  </cols>
  <sheetData>
    <row r="2" spans="2:14" x14ac:dyDescent="0.25">
      <c r="D2" s="17">
        <v>0.65</v>
      </c>
      <c r="E2" s="17">
        <v>0.2</v>
      </c>
      <c r="F2" s="17">
        <v>0.18</v>
      </c>
      <c r="H2" s="17">
        <v>0.1</v>
      </c>
    </row>
    <row r="3" spans="2:14" x14ac:dyDescent="0.25">
      <c r="B3" s="69" t="s">
        <v>231</v>
      </c>
      <c r="C3" s="70" t="s">
        <v>208</v>
      </c>
      <c r="D3" s="70" t="s">
        <v>209</v>
      </c>
      <c r="E3" s="70" t="s">
        <v>210</v>
      </c>
      <c r="F3" s="70" t="s">
        <v>211</v>
      </c>
      <c r="G3" s="70" t="s">
        <v>0</v>
      </c>
      <c r="H3" s="70" t="s">
        <v>212</v>
      </c>
      <c r="I3" s="70" t="s">
        <v>213</v>
      </c>
      <c r="J3" s="70" t="s">
        <v>214</v>
      </c>
      <c r="K3" s="70" t="s">
        <v>215</v>
      </c>
      <c r="L3" s="70" t="s">
        <v>216</v>
      </c>
    </row>
    <row r="4" spans="2:14" x14ac:dyDescent="0.25">
      <c r="B4" s="68" t="s">
        <v>217</v>
      </c>
      <c r="C4" s="68">
        <v>4521</v>
      </c>
      <c r="D4" s="68">
        <f>C4*D$2</f>
        <v>2938.65</v>
      </c>
      <c r="E4" s="68">
        <f t="shared" ref="E4:L4" si="0">D4*E$2</f>
        <v>587.73</v>
      </c>
      <c r="F4" s="68">
        <f t="shared" si="0"/>
        <v>105.7914</v>
      </c>
      <c r="G4" s="68">
        <f>SUM(C4:F$4)</f>
        <v>8153.1713999999993</v>
      </c>
      <c r="H4" s="68">
        <f t="shared" si="0"/>
        <v>815.31713999999999</v>
      </c>
      <c r="I4" s="68">
        <f t="shared" si="0"/>
        <v>0</v>
      </c>
      <c r="J4" s="68">
        <f t="shared" si="0"/>
        <v>0</v>
      </c>
      <c r="K4" s="68">
        <f t="shared" si="0"/>
        <v>0</v>
      </c>
      <c r="L4" s="68">
        <f t="shared" si="0"/>
        <v>0</v>
      </c>
    </row>
    <row r="5" spans="2:14" x14ac:dyDescent="0.25">
      <c r="B5" s="68" t="s">
        <v>218</v>
      </c>
      <c r="C5" s="68">
        <v>25632</v>
      </c>
      <c r="D5" s="68">
        <f t="shared" ref="D5:D15" si="1">C5*D$2</f>
        <v>16660.8</v>
      </c>
      <c r="E5" s="68">
        <f t="shared" ref="E5:L5" si="2">D5*E$2</f>
        <v>3332.16</v>
      </c>
      <c r="F5" s="68">
        <f t="shared" si="2"/>
        <v>599.78879999999992</v>
      </c>
      <c r="G5" s="68">
        <f>SUM(C$4:F5)</f>
        <v>54377.9202</v>
      </c>
      <c r="H5" s="68">
        <f t="shared" si="2"/>
        <v>5437.7920200000008</v>
      </c>
      <c r="I5" s="68">
        <f t="shared" si="2"/>
        <v>0</v>
      </c>
      <c r="J5" s="68">
        <f t="shared" si="2"/>
        <v>0</v>
      </c>
      <c r="K5" s="68">
        <f t="shared" si="2"/>
        <v>0</v>
      </c>
      <c r="L5" s="68">
        <f t="shared" si="2"/>
        <v>0</v>
      </c>
    </row>
    <row r="6" spans="2:14" x14ac:dyDescent="0.25">
      <c r="B6" s="68" t="s">
        <v>219</v>
      </c>
      <c r="C6" s="68">
        <v>15852</v>
      </c>
      <c r="D6" s="68">
        <f t="shared" si="1"/>
        <v>10303.800000000001</v>
      </c>
      <c r="E6" s="68">
        <f t="shared" ref="E6:L6" si="3">D6*E$2</f>
        <v>2060.7600000000002</v>
      </c>
      <c r="F6" s="68">
        <f t="shared" si="3"/>
        <v>370.93680000000001</v>
      </c>
      <c r="G6" s="68">
        <f>SUM(C$4:F6)</f>
        <v>82965.416999999987</v>
      </c>
      <c r="H6" s="68">
        <f t="shared" si="3"/>
        <v>8296.5416999999998</v>
      </c>
      <c r="I6" s="68">
        <f t="shared" si="3"/>
        <v>0</v>
      </c>
      <c r="J6" s="68">
        <f t="shared" si="3"/>
        <v>0</v>
      </c>
      <c r="K6" s="68">
        <f t="shared" si="3"/>
        <v>0</v>
      </c>
      <c r="L6" s="68">
        <f t="shared" si="3"/>
        <v>0</v>
      </c>
    </row>
    <row r="7" spans="2:14" x14ac:dyDescent="0.25">
      <c r="B7" s="68" t="s">
        <v>220</v>
      </c>
      <c r="C7" s="68">
        <v>19500</v>
      </c>
      <c r="D7" s="68">
        <f t="shared" si="1"/>
        <v>12675</v>
      </c>
      <c r="E7" s="68">
        <f t="shared" ref="E7:L7" si="4">D7*E$2</f>
        <v>2535</v>
      </c>
      <c r="F7" s="68">
        <f t="shared" si="4"/>
        <v>456.3</v>
      </c>
      <c r="G7" s="68">
        <f>SUM(C$4:F7)</f>
        <v>118131.71699999999</v>
      </c>
      <c r="H7" s="68">
        <f t="shared" si="4"/>
        <v>11813.171699999999</v>
      </c>
      <c r="I7" s="68">
        <f t="shared" si="4"/>
        <v>0</v>
      </c>
      <c r="J7" s="68">
        <f t="shared" si="4"/>
        <v>0</v>
      </c>
      <c r="K7" s="68">
        <f t="shared" si="4"/>
        <v>0</v>
      </c>
      <c r="L7" s="68">
        <f t="shared" si="4"/>
        <v>0</v>
      </c>
    </row>
    <row r="8" spans="2:14" x14ac:dyDescent="0.25">
      <c r="B8" s="68" t="s">
        <v>221</v>
      </c>
      <c r="C8" s="68">
        <v>20200</v>
      </c>
      <c r="D8" s="68">
        <f t="shared" si="1"/>
        <v>13130</v>
      </c>
      <c r="E8" s="68">
        <f t="shared" ref="E8:L8" si="5">D8*E$2</f>
        <v>2626</v>
      </c>
      <c r="F8" s="68">
        <f t="shared" si="5"/>
        <v>472.68</v>
      </c>
      <c r="G8" s="68">
        <f>SUM(C$4:F8)</f>
        <v>154560.397</v>
      </c>
      <c r="H8" s="68">
        <f t="shared" si="5"/>
        <v>15456.039700000001</v>
      </c>
      <c r="I8" s="68">
        <f t="shared" si="5"/>
        <v>0</v>
      </c>
      <c r="J8" s="68">
        <f t="shared" si="5"/>
        <v>0</v>
      </c>
      <c r="K8" s="68">
        <f t="shared" si="5"/>
        <v>0</v>
      </c>
      <c r="L8" s="68">
        <f t="shared" si="5"/>
        <v>0</v>
      </c>
    </row>
    <row r="9" spans="2:14" x14ac:dyDescent="0.25">
      <c r="B9" s="68" t="s">
        <v>222</v>
      </c>
      <c r="C9" s="68">
        <v>13600</v>
      </c>
      <c r="D9" s="68">
        <f t="shared" si="1"/>
        <v>8840</v>
      </c>
      <c r="E9" s="68">
        <f t="shared" ref="E9:L9" si="6">D9*E$2</f>
        <v>1768</v>
      </c>
      <c r="F9" s="68">
        <f t="shared" si="6"/>
        <v>318.24</v>
      </c>
      <c r="G9" s="68">
        <f>SUM(C$4:F9)</f>
        <v>179086.63699999999</v>
      </c>
      <c r="H9" s="68">
        <f t="shared" si="6"/>
        <v>17908.663700000001</v>
      </c>
      <c r="I9" s="68">
        <f t="shared" si="6"/>
        <v>0</v>
      </c>
      <c r="J9" s="68">
        <f t="shared" si="6"/>
        <v>0</v>
      </c>
      <c r="K9" s="68">
        <f t="shared" si="6"/>
        <v>0</v>
      </c>
      <c r="L9" s="68">
        <f t="shared" si="6"/>
        <v>0</v>
      </c>
    </row>
    <row r="10" spans="2:14" x14ac:dyDescent="0.25">
      <c r="B10" s="68" t="s">
        <v>223</v>
      </c>
      <c r="C10" s="68">
        <v>33200</v>
      </c>
      <c r="D10" s="68">
        <f t="shared" si="1"/>
        <v>21580</v>
      </c>
      <c r="E10" s="68">
        <f t="shared" ref="E10:L10" si="7">D10*E$2</f>
        <v>4316</v>
      </c>
      <c r="F10" s="68">
        <f t="shared" si="7"/>
        <v>776.88</v>
      </c>
      <c r="G10" s="68">
        <f>SUM(C$4:F10)</f>
        <v>238959.51699999999</v>
      </c>
      <c r="H10" s="68">
        <f t="shared" si="7"/>
        <v>23895.951700000001</v>
      </c>
      <c r="I10" s="68">
        <f t="shared" si="7"/>
        <v>0</v>
      </c>
      <c r="J10" s="68">
        <f t="shared" si="7"/>
        <v>0</v>
      </c>
      <c r="K10" s="68">
        <f t="shared" si="7"/>
        <v>0</v>
      </c>
      <c r="L10" s="68">
        <f t="shared" si="7"/>
        <v>0</v>
      </c>
    </row>
    <row r="11" spans="2:14" x14ac:dyDescent="0.25">
      <c r="B11" s="68" t="s">
        <v>224</v>
      </c>
      <c r="C11" s="68">
        <v>9400</v>
      </c>
      <c r="D11" s="68">
        <f t="shared" si="1"/>
        <v>6110</v>
      </c>
      <c r="E11" s="68">
        <f t="shared" ref="E11:L11" si="8">D11*E$2</f>
        <v>1222</v>
      </c>
      <c r="F11" s="68">
        <f t="shared" si="8"/>
        <v>219.95999999999998</v>
      </c>
      <c r="G11" s="68">
        <f>SUM(C$4:F11)</f>
        <v>255911.47699999998</v>
      </c>
      <c r="H11" s="68">
        <f t="shared" si="8"/>
        <v>25591.147700000001</v>
      </c>
      <c r="I11" s="68">
        <f t="shared" si="8"/>
        <v>0</v>
      </c>
      <c r="J11" s="68">
        <f t="shared" si="8"/>
        <v>0</v>
      </c>
      <c r="K11" s="68">
        <f t="shared" si="8"/>
        <v>0</v>
      </c>
      <c r="L11" s="68">
        <f t="shared" si="8"/>
        <v>0</v>
      </c>
    </row>
    <row r="12" spans="2:14" x14ac:dyDescent="0.25">
      <c r="B12" s="68" t="s">
        <v>225</v>
      </c>
      <c r="C12" s="68">
        <v>28100</v>
      </c>
      <c r="D12" s="68">
        <f t="shared" si="1"/>
        <v>18265</v>
      </c>
      <c r="E12" s="68">
        <f t="shared" ref="E12:L12" si="9">D12*E$2</f>
        <v>3653</v>
      </c>
      <c r="F12" s="68">
        <f t="shared" si="9"/>
        <v>657.54</v>
      </c>
      <c r="G12" s="68">
        <f>SUM(C$4:F12)</f>
        <v>306587.01699999993</v>
      </c>
      <c r="H12" s="68">
        <f t="shared" si="9"/>
        <v>30658.701699999994</v>
      </c>
      <c r="I12" s="68">
        <f t="shared" si="9"/>
        <v>0</v>
      </c>
      <c r="J12" s="68">
        <f t="shared" si="9"/>
        <v>0</v>
      </c>
      <c r="K12" s="68">
        <f t="shared" si="9"/>
        <v>0</v>
      </c>
      <c r="L12" s="68">
        <f t="shared" si="9"/>
        <v>0</v>
      </c>
    </row>
    <row r="13" spans="2:14" x14ac:dyDescent="0.25">
      <c r="B13" s="68" t="s">
        <v>226</v>
      </c>
      <c r="C13" s="68">
        <v>21300</v>
      </c>
      <c r="D13" s="68">
        <f t="shared" si="1"/>
        <v>13845</v>
      </c>
      <c r="E13" s="68">
        <f t="shared" ref="E13:L13" si="10">D13*E$2</f>
        <v>2769</v>
      </c>
      <c r="F13" s="68">
        <f t="shared" si="10"/>
        <v>498.41999999999996</v>
      </c>
      <c r="G13" s="68">
        <f>SUM(C$4:F13)</f>
        <v>344999.43699999992</v>
      </c>
      <c r="H13" s="68">
        <f t="shared" si="10"/>
        <v>34499.943699999996</v>
      </c>
      <c r="I13" s="68">
        <f t="shared" si="10"/>
        <v>0</v>
      </c>
      <c r="J13" s="68">
        <f t="shared" si="10"/>
        <v>0</v>
      </c>
      <c r="K13" s="68">
        <f t="shared" si="10"/>
        <v>0</v>
      </c>
      <c r="L13" s="68">
        <f t="shared" si="10"/>
        <v>0</v>
      </c>
    </row>
    <row r="14" spans="2:14" x14ac:dyDescent="0.25">
      <c r="B14" s="68" t="s">
        <v>227</v>
      </c>
      <c r="C14" s="68">
        <v>16500</v>
      </c>
      <c r="D14" s="68">
        <f t="shared" si="1"/>
        <v>10725</v>
      </c>
      <c r="E14" s="68">
        <f t="shared" ref="E14:L14" si="11">D14*E$2</f>
        <v>2145</v>
      </c>
      <c r="F14" s="68">
        <f t="shared" si="11"/>
        <v>386.09999999999997</v>
      </c>
      <c r="G14" s="68">
        <f>SUM(C$4:F14)</f>
        <v>374755.53699999989</v>
      </c>
      <c r="H14" s="68">
        <f t="shared" si="11"/>
        <v>37475.553699999989</v>
      </c>
      <c r="I14" s="68">
        <f t="shared" si="11"/>
        <v>0</v>
      </c>
      <c r="J14" s="68">
        <f t="shared" si="11"/>
        <v>0</v>
      </c>
      <c r="K14" s="68">
        <f t="shared" si="11"/>
        <v>0</v>
      </c>
      <c r="L14" s="68">
        <f t="shared" si="11"/>
        <v>0</v>
      </c>
    </row>
    <row r="15" spans="2:14" x14ac:dyDescent="0.25">
      <c r="B15" s="68" t="s">
        <v>228</v>
      </c>
      <c r="C15" s="68">
        <v>14300</v>
      </c>
      <c r="D15" s="68">
        <f t="shared" si="1"/>
        <v>9295</v>
      </c>
      <c r="E15" s="68">
        <f t="shared" ref="E15:L15" si="12">D15*E$2</f>
        <v>1859</v>
      </c>
      <c r="F15" s="68">
        <f t="shared" si="12"/>
        <v>334.62</v>
      </c>
      <c r="G15" s="68">
        <f>SUM(C$4:F15)</f>
        <v>400544.15699999989</v>
      </c>
      <c r="H15" s="68">
        <f t="shared" si="12"/>
        <v>40054.41569999999</v>
      </c>
      <c r="I15" s="68">
        <f t="shared" si="12"/>
        <v>0</v>
      </c>
      <c r="J15" s="68">
        <f t="shared" si="12"/>
        <v>0</v>
      </c>
      <c r="K15" s="68">
        <f t="shared" si="12"/>
        <v>0</v>
      </c>
      <c r="L15" s="68">
        <f t="shared" si="12"/>
        <v>0</v>
      </c>
      <c r="N15" s="209">
        <f>COUNTBLANK(I17:M30)</f>
        <v>42</v>
      </c>
    </row>
    <row r="17" spans="2:18" x14ac:dyDescent="0.25">
      <c r="B17" s="4" t="s">
        <v>1</v>
      </c>
      <c r="C17" s="4"/>
      <c r="D17" s="4"/>
      <c r="E17" s="4"/>
      <c r="F17" s="4"/>
      <c r="G17" s="4"/>
      <c r="H17" s="4"/>
      <c r="I17" s="4"/>
      <c r="J17" s="2"/>
      <c r="K17" s="3"/>
      <c r="M17"/>
      <c r="N17"/>
      <c r="O17"/>
      <c r="P17"/>
      <c r="Q17"/>
      <c r="R17"/>
    </row>
    <row r="18" spans="2:18" x14ac:dyDescent="0.25">
      <c r="B18" s="74" t="s">
        <v>2</v>
      </c>
      <c r="C18" s="74" t="s">
        <v>3</v>
      </c>
      <c r="D18" s="74" t="s">
        <v>4</v>
      </c>
      <c r="E18" s="74" t="s">
        <v>5</v>
      </c>
      <c r="F18" s="74" t="s">
        <v>38</v>
      </c>
      <c r="G18" s="74" t="s">
        <v>6</v>
      </c>
      <c r="H18" s="74" t="s">
        <v>230</v>
      </c>
      <c r="J18" s="2"/>
      <c r="K18" s="3"/>
      <c r="M18"/>
      <c r="N18"/>
      <c r="O18"/>
      <c r="P18"/>
      <c r="Q18"/>
      <c r="R18"/>
    </row>
    <row r="19" spans="2:18" x14ac:dyDescent="0.25">
      <c r="B19" s="72">
        <v>1</v>
      </c>
      <c r="C19" s="73" t="s">
        <v>7</v>
      </c>
      <c r="D19" s="72">
        <v>225</v>
      </c>
      <c r="E19" s="72">
        <v>55</v>
      </c>
      <c r="F19" s="72">
        <v>10</v>
      </c>
      <c r="G19" s="72">
        <f>E19-F19</f>
        <v>45</v>
      </c>
      <c r="H19" s="72">
        <f>(E19-(E19*10%))*F19</f>
        <v>495</v>
      </c>
      <c r="I19" s="5">
        <f>(E19*F19)-(E19*F19)*10%</f>
        <v>495</v>
      </c>
      <c r="J19" s="6"/>
      <c r="M19"/>
      <c r="N19"/>
      <c r="O19"/>
      <c r="P19"/>
      <c r="Q19"/>
      <c r="R19"/>
    </row>
    <row r="20" spans="2:18" x14ac:dyDescent="0.25">
      <c r="B20" s="72">
        <v>2</v>
      </c>
      <c r="C20" s="73" t="s">
        <v>8</v>
      </c>
      <c r="D20" s="72">
        <v>175</v>
      </c>
      <c r="E20" s="72">
        <v>120</v>
      </c>
      <c r="F20" s="72">
        <v>52</v>
      </c>
      <c r="G20" s="72">
        <f t="shared" ref="G20:G28" si="13">E20-F20</f>
        <v>68</v>
      </c>
      <c r="H20" s="72">
        <f t="shared" ref="H20:H28" si="14">(E20-(E20*10%))*F20</f>
        <v>5616</v>
      </c>
      <c r="I20" s="5">
        <f t="shared" ref="I20:I28" si="15">(E20*F20)-(E20*F20)*10%</f>
        <v>5616</v>
      </c>
      <c r="J20" s="6"/>
      <c r="M20"/>
    </row>
    <row r="21" spans="2:18" x14ac:dyDescent="0.25">
      <c r="B21" s="72">
        <v>3</v>
      </c>
      <c r="C21" s="73" t="s">
        <v>9</v>
      </c>
      <c r="D21" s="72">
        <v>425</v>
      </c>
      <c r="E21" s="72">
        <v>90</v>
      </c>
      <c r="F21" s="72">
        <v>30</v>
      </c>
      <c r="G21" s="72">
        <f t="shared" si="13"/>
        <v>60</v>
      </c>
      <c r="H21" s="72">
        <f t="shared" si="14"/>
        <v>2430</v>
      </c>
      <c r="I21" s="5">
        <f t="shared" si="15"/>
        <v>2430</v>
      </c>
      <c r="J21" s="6"/>
      <c r="K21" s="188" t="s">
        <v>1310</v>
      </c>
      <c r="M21"/>
    </row>
    <row r="22" spans="2:18" x14ac:dyDescent="0.25">
      <c r="B22" s="72">
        <v>4</v>
      </c>
      <c r="C22" s="73" t="s">
        <v>10</v>
      </c>
      <c r="D22" s="72">
        <v>25</v>
      </c>
      <c r="E22" s="72">
        <v>200</v>
      </c>
      <c r="F22" s="72">
        <v>25</v>
      </c>
      <c r="G22" s="72">
        <f t="shared" si="13"/>
        <v>175</v>
      </c>
      <c r="H22" s="72">
        <f t="shared" si="14"/>
        <v>4500</v>
      </c>
      <c r="I22" s="5">
        <f t="shared" si="15"/>
        <v>4500</v>
      </c>
      <c r="J22" s="6"/>
      <c r="K22" s="188" t="s">
        <v>1311</v>
      </c>
      <c r="L22" s="187"/>
      <c r="M22"/>
    </row>
    <row r="23" spans="2:18" x14ac:dyDescent="0.25">
      <c r="B23" s="72">
        <v>5</v>
      </c>
      <c r="C23" s="73" t="s">
        <v>11</v>
      </c>
      <c r="D23" s="72">
        <v>35</v>
      </c>
      <c r="E23" s="72">
        <v>500</v>
      </c>
      <c r="F23" s="72">
        <v>5</v>
      </c>
      <c r="G23" s="72">
        <f t="shared" si="13"/>
        <v>495</v>
      </c>
      <c r="H23" s="72">
        <f t="shared" si="14"/>
        <v>2250</v>
      </c>
      <c r="I23" s="5">
        <f t="shared" si="15"/>
        <v>2250</v>
      </c>
      <c r="J23" s="6"/>
      <c r="K23" s="188" t="s">
        <v>1312</v>
      </c>
      <c r="L23" s="187">
        <f>COUNT(F19:F28)</f>
        <v>10</v>
      </c>
      <c r="M23"/>
    </row>
    <row r="24" spans="2:18" x14ac:dyDescent="0.25">
      <c r="B24" s="72">
        <v>6</v>
      </c>
      <c r="C24" s="73" t="s">
        <v>12</v>
      </c>
      <c r="D24" s="72">
        <v>30</v>
      </c>
      <c r="E24" s="72">
        <v>300</v>
      </c>
      <c r="F24" s="72">
        <v>12</v>
      </c>
      <c r="G24" s="72">
        <f t="shared" si="13"/>
        <v>288</v>
      </c>
      <c r="H24" s="72">
        <f t="shared" si="14"/>
        <v>3240</v>
      </c>
      <c r="I24" s="5">
        <f t="shared" si="15"/>
        <v>3240</v>
      </c>
      <c r="J24" s="6"/>
      <c r="K24" s="188" t="s">
        <v>1313</v>
      </c>
      <c r="L24" s="187">
        <f>COUNT(G19:G28)</f>
        <v>10</v>
      </c>
      <c r="M24"/>
    </row>
    <row r="25" spans="2:18" x14ac:dyDescent="0.25">
      <c r="B25" s="72">
        <v>7</v>
      </c>
      <c r="C25" s="73" t="s">
        <v>13</v>
      </c>
      <c r="D25" s="72">
        <v>12</v>
      </c>
      <c r="E25" s="72">
        <v>452</v>
      </c>
      <c r="F25" s="72">
        <v>4</v>
      </c>
      <c r="G25" s="72">
        <f t="shared" si="13"/>
        <v>448</v>
      </c>
      <c r="H25" s="72">
        <f t="shared" si="14"/>
        <v>1627.2</v>
      </c>
      <c r="I25" s="5">
        <f t="shared" si="15"/>
        <v>1627.2</v>
      </c>
      <c r="J25" s="6"/>
      <c r="K25" s="188" t="s">
        <v>1314</v>
      </c>
      <c r="L25" s="187">
        <f>AVERAGEA(B19:E19)</f>
        <v>70.25</v>
      </c>
      <c r="M25"/>
    </row>
    <row r="26" spans="2:18" x14ac:dyDescent="0.25">
      <c r="B26" s="72">
        <v>8</v>
      </c>
      <c r="C26" s="73" t="s">
        <v>14</v>
      </c>
      <c r="D26" s="72">
        <v>37</v>
      </c>
      <c r="E26" s="72">
        <v>85</v>
      </c>
      <c r="F26" s="72">
        <v>19</v>
      </c>
      <c r="G26" s="72">
        <f t="shared" si="13"/>
        <v>66</v>
      </c>
      <c r="H26" s="72">
        <f t="shared" si="14"/>
        <v>1453.5</v>
      </c>
      <c r="I26" s="5">
        <f t="shared" si="15"/>
        <v>1453.5</v>
      </c>
      <c r="J26" s="6"/>
      <c r="K26" s="188" t="s">
        <v>1315</v>
      </c>
      <c r="L26" s="187">
        <f>MIN(F19:F28)</f>
        <v>4</v>
      </c>
      <c r="M26"/>
    </row>
    <row r="27" spans="2:18" x14ac:dyDescent="0.25">
      <c r="B27" s="72">
        <v>9</v>
      </c>
      <c r="C27" s="73" t="s">
        <v>15</v>
      </c>
      <c r="D27" s="72">
        <v>275</v>
      </c>
      <c r="E27" s="72">
        <v>99</v>
      </c>
      <c r="F27" s="72">
        <v>22</v>
      </c>
      <c r="G27" s="72">
        <f t="shared" si="13"/>
        <v>77</v>
      </c>
      <c r="H27" s="72">
        <f t="shared" si="14"/>
        <v>1960.1999999999998</v>
      </c>
      <c r="I27" s="5">
        <f t="shared" si="15"/>
        <v>1960.2</v>
      </c>
      <c r="J27" s="6"/>
      <c r="K27" s="188" t="s">
        <v>1316</v>
      </c>
      <c r="L27" s="187">
        <f>MAX(G19:G28)</f>
        <v>495</v>
      </c>
      <c r="M27"/>
    </row>
    <row r="28" spans="2:18" x14ac:dyDescent="0.25">
      <c r="B28" s="72">
        <v>10</v>
      </c>
      <c r="C28" s="73" t="s">
        <v>16</v>
      </c>
      <c r="D28" s="72">
        <v>425</v>
      </c>
      <c r="E28" s="72">
        <v>68</v>
      </c>
      <c r="F28" s="72">
        <v>9</v>
      </c>
      <c r="G28" s="72">
        <f t="shared" si="13"/>
        <v>59</v>
      </c>
      <c r="H28" s="72">
        <f t="shared" si="14"/>
        <v>550.80000000000007</v>
      </c>
      <c r="I28" s="5">
        <f t="shared" si="15"/>
        <v>550.79999999999995</v>
      </c>
      <c r="J28" s="6"/>
      <c r="K28" s="188" t="s">
        <v>1317</v>
      </c>
      <c r="L28" s="187">
        <f>LARGE(G19:G29,2)</f>
        <v>448</v>
      </c>
      <c r="M28"/>
    </row>
    <row r="29" spans="2:18" x14ac:dyDescent="0.25">
      <c r="G29" s="18" t="s">
        <v>0</v>
      </c>
      <c r="H29" s="166">
        <f>SUM(H19:H28)</f>
        <v>24122.7</v>
      </c>
      <c r="K29" s="188" t="s">
        <v>1318</v>
      </c>
      <c r="L29" s="5">
        <f>SMALL(G19:G28,2)</f>
        <v>59</v>
      </c>
    </row>
    <row r="30" spans="2:18" x14ac:dyDescent="0.25">
      <c r="K30" s="188" t="s">
        <v>1319</v>
      </c>
      <c r="L30" s="5">
        <f>COUNTBLANK(B15:H17)</f>
        <v>13</v>
      </c>
    </row>
    <row r="31" spans="2:18" ht="30" x14ac:dyDescent="0.25">
      <c r="B31" s="97" t="s">
        <v>811</v>
      </c>
      <c r="C31" s="97" t="s">
        <v>812</v>
      </c>
      <c r="D31" s="97" t="s">
        <v>813</v>
      </c>
      <c r="E31" s="98" t="s">
        <v>814</v>
      </c>
      <c r="F31" s="99" t="s">
        <v>815</v>
      </c>
    </row>
    <row r="32" spans="2:18" x14ac:dyDescent="0.25">
      <c r="B32" s="67">
        <v>25</v>
      </c>
      <c r="C32" s="67">
        <v>3525</v>
      </c>
      <c r="D32" s="100">
        <v>0.2</v>
      </c>
      <c r="E32" s="101">
        <f>B32+(B32*D32)</f>
        <v>30</v>
      </c>
      <c r="F32" s="102">
        <v>27</v>
      </c>
      <c r="G32" s="5">
        <f>COUNTA(F32:F35)</f>
        <v>4</v>
      </c>
    </row>
    <row r="33" spans="2:10" x14ac:dyDescent="0.25">
      <c r="B33" s="67">
        <v>45</v>
      </c>
      <c r="C33" s="67">
        <v>6242</v>
      </c>
      <c r="D33" s="100">
        <v>0.2</v>
      </c>
      <c r="E33" s="101">
        <f>B33+(B33*D33)</f>
        <v>54</v>
      </c>
      <c r="F33" s="102">
        <v>52</v>
      </c>
    </row>
    <row r="34" spans="2:10" x14ac:dyDescent="0.25">
      <c r="B34" s="67">
        <v>65</v>
      </c>
      <c r="C34" s="67">
        <v>3522</v>
      </c>
      <c r="D34" s="100">
        <v>0.2</v>
      </c>
      <c r="E34" s="101">
        <f>B34+(B34*D34)</f>
        <v>78</v>
      </c>
      <c r="F34" s="102">
        <v>75</v>
      </c>
      <c r="G34" s="5">
        <f>COUNT(F31:F35)</f>
        <v>4</v>
      </c>
      <c r="I34" s="5">
        <f>LARGE(I19:I28,1)</f>
        <v>5616</v>
      </c>
    </row>
    <row r="35" spans="2:10" x14ac:dyDescent="0.25">
      <c r="B35" s="67">
        <v>75</v>
      </c>
      <c r="C35" s="67">
        <v>4521</v>
      </c>
      <c r="D35" s="100">
        <v>0.2</v>
      </c>
      <c r="E35" s="101">
        <f>B35+(B35*D35)</f>
        <v>90</v>
      </c>
      <c r="F35" s="102">
        <v>82</v>
      </c>
      <c r="I35" s="5">
        <f>LARGE(I19:I29,2)</f>
        <v>4500</v>
      </c>
    </row>
    <row r="38" spans="2:10" x14ac:dyDescent="0.25">
      <c r="B38">
        <f ca="1">RAND()</f>
        <v>3.7873766517516616E-3</v>
      </c>
      <c r="C38"/>
      <c r="D38"/>
      <c r="E38"/>
      <c r="F38"/>
      <c r="G38"/>
      <c r="H38"/>
      <c r="I38"/>
      <c r="J38"/>
    </row>
    <row r="39" spans="2:10" x14ac:dyDescent="0.25">
      <c r="B39">
        <f t="shared" ref="B39:B54" ca="1" si="16">RAND()</f>
        <v>0.73296032418691759</v>
      </c>
      <c r="C39"/>
      <c r="D39"/>
      <c r="E39"/>
      <c r="F39"/>
      <c r="G39"/>
      <c r="H39"/>
      <c r="I39"/>
      <c r="J39"/>
    </row>
    <row r="40" spans="2:10" x14ac:dyDescent="0.25">
      <c r="B40">
        <f t="shared" ca="1" si="16"/>
        <v>0.58722485799321511</v>
      </c>
      <c r="C40"/>
      <c r="D40"/>
      <c r="E40"/>
      <c r="F40">
        <f ca="1">COUNTA(B38:B56)</f>
        <v>18</v>
      </c>
      <c r="G40"/>
      <c r="H40"/>
      <c r="I40"/>
      <c r="J40"/>
    </row>
    <row r="41" spans="2:10" x14ac:dyDescent="0.25">
      <c r="B41">
        <f t="shared" ca="1" si="16"/>
        <v>0.61736312947373961</v>
      </c>
      <c r="C41"/>
      <c r="D41"/>
      <c r="E41"/>
      <c r="F41"/>
      <c r="G41"/>
      <c r="H41"/>
      <c r="I41"/>
      <c r="J41"/>
    </row>
    <row r="42" spans="2:10" x14ac:dyDescent="0.25">
      <c r="B42">
        <f t="shared" ca="1" si="16"/>
        <v>0.57248041597217936</v>
      </c>
      <c r="C42"/>
      <c r="D42"/>
      <c r="E42"/>
      <c r="F42"/>
      <c r="G42"/>
      <c r="H42"/>
      <c r="I42"/>
      <c r="J42"/>
    </row>
    <row r="43" spans="2:10" x14ac:dyDescent="0.25">
      <c r="B43">
        <f t="shared" ca="1" si="16"/>
        <v>0.74901359079142749</v>
      </c>
      <c r="C43"/>
      <c r="D43"/>
      <c r="E43"/>
      <c r="F43">
        <f ca="1">AVERAGEA(B38:B55)</f>
        <v>0.42036905077531084</v>
      </c>
      <c r="G43"/>
      <c r="H43"/>
      <c r="I43"/>
      <c r="J43"/>
    </row>
    <row r="44" spans="2:10" x14ac:dyDescent="0.25">
      <c r="B44">
        <f t="shared" ca="1" si="16"/>
        <v>0.83312340053350808</v>
      </c>
      <c r="C44"/>
      <c r="D44">
        <f ca="1">COUNT(B38:B55)</f>
        <v>14</v>
      </c>
      <c r="E44">
        <f ca="1">MIN(B38:B56)</f>
        <v>3.7873766517516616E-3</v>
      </c>
      <c r="F44"/>
      <c r="G44"/>
      <c r="H44"/>
      <c r="I44"/>
      <c r="J44"/>
    </row>
    <row r="45" spans="2:10" x14ac:dyDescent="0.25">
      <c r="B45" t="s">
        <v>1494</v>
      </c>
      <c r="C45"/>
      <c r="D45"/>
      <c r="E45">
        <f ca="1">MAX(B38:B57)</f>
        <v>0.87121499369729438</v>
      </c>
      <c r="F45"/>
      <c r="G45"/>
      <c r="H45"/>
      <c r="I45"/>
      <c r="J45"/>
    </row>
    <row r="46" spans="2:10" x14ac:dyDescent="0.25">
      <c r="B46">
        <f t="shared" ca="1" si="16"/>
        <v>0.17347004543085953</v>
      </c>
      <c r="C46"/>
      <c r="D46"/>
      <c r="E46"/>
      <c r="F46"/>
      <c r="G46"/>
      <c r="H46"/>
      <c r="I46"/>
      <c r="J46"/>
    </row>
    <row r="47" spans="2:10" x14ac:dyDescent="0.25">
      <c r="B47">
        <f t="shared" ca="1" si="16"/>
        <v>0.87121499369729438</v>
      </c>
      <c r="C47"/>
      <c r="D47"/>
      <c r="E47"/>
      <c r="F47"/>
      <c r="G47"/>
      <c r="H47"/>
      <c r="I47"/>
      <c r="J47"/>
    </row>
    <row r="48" spans="2:10" x14ac:dyDescent="0.25">
      <c r="B48">
        <f t="shared" ca="1" si="16"/>
        <v>0.29666755402797362</v>
      </c>
      <c r="C48"/>
      <c r="D48"/>
      <c r="E48"/>
      <c r="F48"/>
      <c r="G48"/>
      <c r="H48"/>
      <c r="I48"/>
      <c r="J48"/>
    </row>
    <row r="49" spans="2:10" x14ac:dyDescent="0.25">
      <c r="B49" t="s">
        <v>1494</v>
      </c>
      <c r="C49"/>
      <c r="D49"/>
      <c r="E49"/>
      <c r="F49"/>
      <c r="G49"/>
      <c r="H49"/>
      <c r="I49"/>
      <c r="J49"/>
    </row>
    <row r="50" spans="2:10" x14ac:dyDescent="0.25">
      <c r="B50">
        <f t="shared" ca="1" si="16"/>
        <v>8.9585354703510256E-2</v>
      </c>
      <c r="C50"/>
      <c r="D50"/>
      <c r="E50"/>
      <c r="F50"/>
      <c r="G50"/>
      <c r="H50"/>
      <c r="I50"/>
      <c r="J50"/>
    </row>
    <row r="51" spans="2:10" x14ac:dyDescent="0.25">
      <c r="B51">
        <f t="shared" ca="1" si="16"/>
        <v>0.75226670566272957</v>
      </c>
      <c r="C51"/>
      <c r="D51"/>
      <c r="E51"/>
      <c r="F51"/>
      <c r="G51"/>
      <c r="H51"/>
      <c r="I51"/>
      <c r="J51"/>
    </row>
    <row r="52" spans="2:10" x14ac:dyDescent="0.25">
      <c r="B52">
        <f t="shared" ca="1" si="16"/>
        <v>0.80633916649981008</v>
      </c>
      <c r="C52"/>
      <c r="D52"/>
      <c r="E52"/>
      <c r="F52"/>
      <c r="G52"/>
      <c r="H52"/>
      <c r="I52"/>
      <c r="J52"/>
    </row>
    <row r="53" spans="2:10" x14ac:dyDescent="0.25">
      <c r="B53" t="s">
        <v>1494</v>
      </c>
      <c r="C53"/>
      <c r="D53"/>
      <c r="E53"/>
      <c r="F53"/>
      <c r="G53"/>
      <c r="H53"/>
      <c r="I53"/>
      <c r="J53"/>
    </row>
    <row r="54" spans="2:10" x14ac:dyDescent="0.25">
      <c r="B54">
        <f t="shared" ca="1" si="16"/>
        <v>0.48114599833067739</v>
      </c>
      <c r="C54"/>
      <c r="D54"/>
      <c r="E54"/>
      <c r="F54"/>
      <c r="G54"/>
      <c r="H54"/>
      <c r="I54"/>
      <c r="J54"/>
    </row>
    <row r="55" spans="2:10" x14ac:dyDescent="0.25">
      <c r="B55" t="s">
        <v>1494</v>
      </c>
      <c r="C55"/>
      <c r="D55"/>
      <c r="E55"/>
      <c r="F55"/>
      <c r="G55"/>
      <c r="H55"/>
      <c r="I55"/>
      <c r="J55"/>
    </row>
    <row r="56" spans="2:10" x14ac:dyDescent="0.25">
      <c r="B56"/>
      <c r="C56"/>
      <c r="D56"/>
      <c r="E56"/>
      <c r="F56"/>
      <c r="G56"/>
      <c r="H56"/>
      <c r="I56"/>
      <c r="J56"/>
    </row>
    <row r="57" spans="2:10" x14ac:dyDescent="0.25">
      <c r="B57"/>
      <c r="C57"/>
      <c r="D57"/>
      <c r="E57"/>
      <c r="F57"/>
      <c r="G57"/>
      <c r="H57"/>
      <c r="I57"/>
      <c r="J57"/>
    </row>
    <row r="58" spans="2:10" x14ac:dyDescent="0.25">
      <c r="B58"/>
      <c r="C58"/>
      <c r="D58"/>
      <c r="E58"/>
      <c r="F58"/>
      <c r="G58"/>
      <c r="H58"/>
      <c r="I58"/>
      <c r="J58"/>
    </row>
    <row r="59" spans="2:10" x14ac:dyDescent="0.25">
      <c r="B59"/>
      <c r="C59"/>
      <c r="D59"/>
      <c r="E59"/>
      <c r="F59"/>
      <c r="G59"/>
      <c r="H59"/>
      <c r="I59"/>
      <c r="J59"/>
    </row>
  </sheetData>
  <scenarios current="1" show="1">
    <scenario name="Balewadi" locked="1" count="10" user="admin" comment="Created by admin on 2/16/2018">
      <inputCells r="D19" val="200"/>
      <inputCells r="D20" val="150"/>
      <inputCells r="D21" val="400"/>
      <inputCells r="D22" val="10"/>
      <inputCells r="D23" val="20"/>
      <inputCells r="D24" val="25"/>
      <inputCells r="D25" val="10"/>
      <inputCells r="D26" val="35"/>
      <inputCells r="D27" val="250"/>
      <inputCells r="D28" val="400"/>
    </scenario>
    <scenario name="kothrud" locked="1" count="10" user="admin" comment="Created by admin on 2/16/2018">
      <inputCells r="D19" val="225"/>
      <inputCells r="D20" val="175"/>
      <inputCells r="D21" val="425"/>
      <inputCells r="D22" val="25"/>
      <inputCells r="D23" val="35"/>
      <inputCells r="D24" val="30"/>
      <inputCells r="D25" val="12"/>
      <inputCells r="D26" val="37"/>
      <inputCells r="D27" val="275"/>
      <inputCells r="D28" val="425"/>
    </scenario>
    <scenario name="Sangvi" locked="1" count="10" user="admin" comment="Created by admin on 2/16/2018">
      <inputCells r="D19" val="210"/>
      <inputCells r="D20" val="160"/>
      <inputCells r="D21" val="410"/>
      <inputCells r="D22" val="13"/>
      <inputCells r="D23" val="22"/>
      <inputCells r="D24" val="27"/>
      <inputCells r="D25" val="13"/>
      <inputCells r="D26" val="35"/>
      <inputCells r="D27" val="255"/>
      <inputCells r="D28" val="415"/>
    </scenario>
    <scenario name="Shivajinagar" locked="1" count="10" user="admin" comment="Created by admin on 2/16/2018">
      <inputCells r="D19" val="220"/>
      <inputCells r="D20" val="170"/>
      <inputCells r="D21" val="420"/>
      <inputCells r="D22" val="16"/>
      <inputCells r="D23" val="26"/>
      <inputCells r="D24" val="32"/>
      <inputCells r="D25" val="18"/>
      <inputCells r="D26" val="42"/>
      <inputCells r="D27" val="280"/>
      <inputCells r="D28" val="430"/>
    </scenario>
  </scenario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7030A0"/>
  </sheetPr>
  <dimension ref="B2:J189"/>
  <sheetViews>
    <sheetView workbookViewId="0">
      <selection activeCell="K10" sqref="K10"/>
    </sheetView>
  </sheetViews>
  <sheetFormatPr defaultRowHeight="15" x14ac:dyDescent="0.25"/>
  <cols>
    <col min="1" max="1" width="4.85546875" customWidth="1"/>
    <col min="2" max="2" width="18.5703125" bestFit="1" customWidth="1"/>
    <col min="3" max="3" width="15.140625" style="116" bestFit="1" customWidth="1"/>
    <col min="4" max="4" width="26.5703125" style="116" bestFit="1" customWidth="1"/>
    <col min="5" max="5" width="12.42578125" style="116" customWidth="1"/>
    <col min="247" max="247" width="16.85546875" bestFit="1" customWidth="1"/>
    <col min="248" max="248" width="12.28515625" bestFit="1" customWidth="1"/>
    <col min="249" max="249" width="9.7109375" bestFit="1" customWidth="1"/>
    <col min="250" max="250" width="12.28515625" bestFit="1" customWidth="1"/>
    <col min="252" max="252" width="16.85546875" bestFit="1" customWidth="1"/>
    <col min="253" max="253" width="12.28515625" bestFit="1" customWidth="1"/>
    <col min="254" max="254" width="9.7109375" bestFit="1" customWidth="1"/>
    <col min="255" max="255" width="12.28515625" bestFit="1" customWidth="1"/>
    <col min="257" max="257" width="16.85546875" bestFit="1" customWidth="1"/>
    <col min="258" max="258" width="12.28515625" bestFit="1" customWidth="1"/>
    <col min="259" max="259" width="9.7109375" bestFit="1" customWidth="1"/>
    <col min="260" max="260" width="12.28515625" bestFit="1" customWidth="1"/>
    <col min="503" max="503" width="16.85546875" bestFit="1" customWidth="1"/>
    <col min="504" max="504" width="12.28515625" bestFit="1" customWidth="1"/>
    <col min="505" max="505" width="9.7109375" bestFit="1" customWidth="1"/>
    <col min="506" max="506" width="12.28515625" bestFit="1" customWidth="1"/>
    <col min="508" max="508" width="16.85546875" bestFit="1" customWidth="1"/>
    <col min="509" max="509" width="12.28515625" bestFit="1" customWidth="1"/>
    <col min="510" max="510" width="9.7109375" bestFit="1" customWidth="1"/>
    <col min="511" max="511" width="12.28515625" bestFit="1" customWidth="1"/>
    <col min="513" max="513" width="16.85546875" bestFit="1" customWidth="1"/>
    <col min="514" max="514" width="12.28515625" bestFit="1" customWidth="1"/>
    <col min="515" max="515" width="9.7109375" bestFit="1" customWidth="1"/>
    <col min="516" max="516" width="12.28515625" bestFit="1" customWidth="1"/>
    <col min="759" max="759" width="16.85546875" bestFit="1" customWidth="1"/>
    <col min="760" max="760" width="12.28515625" bestFit="1" customWidth="1"/>
    <col min="761" max="761" width="9.7109375" bestFit="1" customWidth="1"/>
    <col min="762" max="762" width="12.28515625" bestFit="1" customWidth="1"/>
    <col min="764" max="764" width="16.85546875" bestFit="1" customWidth="1"/>
    <col min="765" max="765" width="12.28515625" bestFit="1" customWidth="1"/>
    <col min="766" max="766" width="9.7109375" bestFit="1" customWidth="1"/>
    <col min="767" max="767" width="12.28515625" bestFit="1" customWidth="1"/>
    <col min="769" max="769" width="16.85546875" bestFit="1" customWidth="1"/>
    <col min="770" max="770" width="12.28515625" bestFit="1" customWidth="1"/>
    <col min="771" max="771" width="9.7109375" bestFit="1" customWidth="1"/>
    <col min="772" max="772" width="12.28515625" bestFit="1" customWidth="1"/>
    <col min="1015" max="1015" width="16.85546875" bestFit="1" customWidth="1"/>
    <col min="1016" max="1016" width="12.28515625" bestFit="1" customWidth="1"/>
    <col min="1017" max="1017" width="9.7109375" bestFit="1" customWidth="1"/>
    <col min="1018" max="1018" width="12.28515625" bestFit="1" customWidth="1"/>
    <col min="1020" max="1020" width="16.85546875" bestFit="1" customWidth="1"/>
    <col min="1021" max="1021" width="12.28515625" bestFit="1" customWidth="1"/>
    <col min="1022" max="1022" width="9.7109375" bestFit="1" customWidth="1"/>
    <col min="1023" max="1023" width="12.28515625" bestFit="1" customWidth="1"/>
    <col min="1025" max="1025" width="16.85546875" bestFit="1" customWidth="1"/>
    <col min="1026" max="1026" width="12.28515625" bestFit="1" customWidth="1"/>
    <col min="1027" max="1027" width="9.7109375" bestFit="1" customWidth="1"/>
    <col min="1028" max="1028" width="12.28515625" bestFit="1" customWidth="1"/>
    <col min="1271" max="1271" width="16.85546875" bestFit="1" customWidth="1"/>
    <col min="1272" max="1272" width="12.28515625" bestFit="1" customWidth="1"/>
    <col min="1273" max="1273" width="9.7109375" bestFit="1" customWidth="1"/>
    <col min="1274" max="1274" width="12.28515625" bestFit="1" customWidth="1"/>
    <col min="1276" max="1276" width="16.85546875" bestFit="1" customWidth="1"/>
    <col min="1277" max="1277" width="12.28515625" bestFit="1" customWidth="1"/>
    <col min="1278" max="1278" width="9.7109375" bestFit="1" customWidth="1"/>
    <col min="1279" max="1279" width="12.28515625" bestFit="1" customWidth="1"/>
    <col min="1281" max="1281" width="16.85546875" bestFit="1" customWidth="1"/>
    <col min="1282" max="1282" width="12.28515625" bestFit="1" customWidth="1"/>
    <col min="1283" max="1283" width="9.7109375" bestFit="1" customWidth="1"/>
    <col min="1284" max="1284" width="12.28515625" bestFit="1" customWidth="1"/>
    <col min="1527" max="1527" width="16.85546875" bestFit="1" customWidth="1"/>
    <col min="1528" max="1528" width="12.28515625" bestFit="1" customWidth="1"/>
    <col min="1529" max="1529" width="9.7109375" bestFit="1" customWidth="1"/>
    <col min="1530" max="1530" width="12.28515625" bestFit="1" customWidth="1"/>
    <col min="1532" max="1532" width="16.85546875" bestFit="1" customWidth="1"/>
    <col min="1533" max="1533" width="12.28515625" bestFit="1" customWidth="1"/>
    <col min="1534" max="1534" width="9.7109375" bestFit="1" customWidth="1"/>
    <col min="1535" max="1535" width="12.28515625" bestFit="1" customWidth="1"/>
    <col min="1537" max="1537" width="16.85546875" bestFit="1" customWidth="1"/>
    <col min="1538" max="1538" width="12.28515625" bestFit="1" customWidth="1"/>
    <col min="1539" max="1539" width="9.7109375" bestFit="1" customWidth="1"/>
    <col min="1540" max="1540" width="12.28515625" bestFit="1" customWidth="1"/>
    <col min="1783" max="1783" width="16.85546875" bestFit="1" customWidth="1"/>
    <col min="1784" max="1784" width="12.28515625" bestFit="1" customWidth="1"/>
    <col min="1785" max="1785" width="9.7109375" bestFit="1" customWidth="1"/>
    <col min="1786" max="1786" width="12.28515625" bestFit="1" customWidth="1"/>
    <col min="1788" max="1788" width="16.85546875" bestFit="1" customWidth="1"/>
    <col min="1789" max="1789" width="12.28515625" bestFit="1" customWidth="1"/>
    <col min="1790" max="1790" width="9.7109375" bestFit="1" customWidth="1"/>
    <col min="1791" max="1791" width="12.28515625" bestFit="1" customWidth="1"/>
    <col min="1793" max="1793" width="16.85546875" bestFit="1" customWidth="1"/>
    <col min="1794" max="1794" width="12.28515625" bestFit="1" customWidth="1"/>
    <col min="1795" max="1795" width="9.7109375" bestFit="1" customWidth="1"/>
    <col min="1796" max="1796" width="12.28515625" bestFit="1" customWidth="1"/>
    <col min="2039" max="2039" width="16.85546875" bestFit="1" customWidth="1"/>
    <col min="2040" max="2040" width="12.28515625" bestFit="1" customWidth="1"/>
    <col min="2041" max="2041" width="9.7109375" bestFit="1" customWidth="1"/>
    <col min="2042" max="2042" width="12.28515625" bestFit="1" customWidth="1"/>
    <col min="2044" max="2044" width="16.85546875" bestFit="1" customWidth="1"/>
    <col min="2045" max="2045" width="12.28515625" bestFit="1" customWidth="1"/>
    <col min="2046" max="2046" width="9.7109375" bestFit="1" customWidth="1"/>
    <col min="2047" max="2047" width="12.28515625" bestFit="1" customWidth="1"/>
    <col min="2049" max="2049" width="16.85546875" bestFit="1" customWidth="1"/>
    <col min="2050" max="2050" width="12.28515625" bestFit="1" customWidth="1"/>
    <col min="2051" max="2051" width="9.7109375" bestFit="1" customWidth="1"/>
    <col min="2052" max="2052" width="12.28515625" bestFit="1" customWidth="1"/>
    <col min="2295" max="2295" width="16.85546875" bestFit="1" customWidth="1"/>
    <col min="2296" max="2296" width="12.28515625" bestFit="1" customWidth="1"/>
    <col min="2297" max="2297" width="9.7109375" bestFit="1" customWidth="1"/>
    <col min="2298" max="2298" width="12.28515625" bestFit="1" customWidth="1"/>
    <col min="2300" max="2300" width="16.85546875" bestFit="1" customWidth="1"/>
    <col min="2301" max="2301" width="12.28515625" bestFit="1" customWidth="1"/>
    <col min="2302" max="2302" width="9.7109375" bestFit="1" customWidth="1"/>
    <col min="2303" max="2303" width="12.28515625" bestFit="1" customWidth="1"/>
    <col min="2305" max="2305" width="16.85546875" bestFit="1" customWidth="1"/>
    <col min="2306" max="2306" width="12.28515625" bestFit="1" customWidth="1"/>
    <col min="2307" max="2307" width="9.7109375" bestFit="1" customWidth="1"/>
    <col min="2308" max="2308" width="12.28515625" bestFit="1" customWidth="1"/>
    <col min="2551" max="2551" width="16.85546875" bestFit="1" customWidth="1"/>
    <col min="2552" max="2552" width="12.28515625" bestFit="1" customWidth="1"/>
    <col min="2553" max="2553" width="9.7109375" bestFit="1" customWidth="1"/>
    <col min="2554" max="2554" width="12.28515625" bestFit="1" customWidth="1"/>
    <col min="2556" max="2556" width="16.85546875" bestFit="1" customWidth="1"/>
    <col min="2557" max="2557" width="12.28515625" bestFit="1" customWidth="1"/>
    <col min="2558" max="2558" width="9.7109375" bestFit="1" customWidth="1"/>
    <col min="2559" max="2559" width="12.28515625" bestFit="1" customWidth="1"/>
    <col min="2561" max="2561" width="16.85546875" bestFit="1" customWidth="1"/>
    <col min="2562" max="2562" width="12.28515625" bestFit="1" customWidth="1"/>
    <col min="2563" max="2563" width="9.7109375" bestFit="1" customWidth="1"/>
    <col min="2564" max="2564" width="12.28515625" bestFit="1" customWidth="1"/>
    <col min="2807" max="2807" width="16.85546875" bestFit="1" customWidth="1"/>
    <col min="2808" max="2808" width="12.28515625" bestFit="1" customWidth="1"/>
    <col min="2809" max="2809" width="9.7109375" bestFit="1" customWidth="1"/>
    <col min="2810" max="2810" width="12.28515625" bestFit="1" customWidth="1"/>
    <col min="2812" max="2812" width="16.85546875" bestFit="1" customWidth="1"/>
    <col min="2813" max="2813" width="12.28515625" bestFit="1" customWidth="1"/>
    <col min="2814" max="2814" width="9.7109375" bestFit="1" customWidth="1"/>
    <col min="2815" max="2815" width="12.28515625" bestFit="1" customWidth="1"/>
    <col min="2817" max="2817" width="16.85546875" bestFit="1" customWidth="1"/>
    <col min="2818" max="2818" width="12.28515625" bestFit="1" customWidth="1"/>
    <col min="2819" max="2819" width="9.7109375" bestFit="1" customWidth="1"/>
    <col min="2820" max="2820" width="12.28515625" bestFit="1" customWidth="1"/>
    <col min="3063" max="3063" width="16.85546875" bestFit="1" customWidth="1"/>
    <col min="3064" max="3064" width="12.28515625" bestFit="1" customWidth="1"/>
    <col min="3065" max="3065" width="9.7109375" bestFit="1" customWidth="1"/>
    <col min="3066" max="3066" width="12.28515625" bestFit="1" customWidth="1"/>
    <col min="3068" max="3068" width="16.85546875" bestFit="1" customWidth="1"/>
    <col min="3069" max="3069" width="12.28515625" bestFit="1" customWidth="1"/>
    <col min="3070" max="3070" width="9.7109375" bestFit="1" customWidth="1"/>
    <col min="3071" max="3071" width="12.28515625" bestFit="1" customWidth="1"/>
    <col min="3073" max="3073" width="16.85546875" bestFit="1" customWidth="1"/>
    <col min="3074" max="3074" width="12.28515625" bestFit="1" customWidth="1"/>
    <col min="3075" max="3075" width="9.7109375" bestFit="1" customWidth="1"/>
    <col min="3076" max="3076" width="12.28515625" bestFit="1" customWidth="1"/>
    <col min="3319" max="3319" width="16.85546875" bestFit="1" customWidth="1"/>
    <col min="3320" max="3320" width="12.28515625" bestFit="1" customWidth="1"/>
    <col min="3321" max="3321" width="9.7109375" bestFit="1" customWidth="1"/>
    <col min="3322" max="3322" width="12.28515625" bestFit="1" customWidth="1"/>
    <col min="3324" max="3324" width="16.85546875" bestFit="1" customWidth="1"/>
    <col min="3325" max="3325" width="12.28515625" bestFit="1" customWidth="1"/>
    <col min="3326" max="3326" width="9.7109375" bestFit="1" customWidth="1"/>
    <col min="3327" max="3327" width="12.28515625" bestFit="1" customWidth="1"/>
    <col min="3329" max="3329" width="16.85546875" bestFit="1" customWidth="1"/>
    <col min="3330" max="3330" width="12.28515625" bestFit="1" customWidth="1"/>
    <col min="3331" max="3331" width="9.7109375" bestFit="1" customWidth="1"/>
    <col min="3332" max="3332" width="12.28515625" bestFit="1" customWidth="1"/>
    <col min="3575" max="3575" width="16.85546875" bestFit="1" customWidth="1"/>
    <col min="3576" max="3576" width="12.28515625" bestFit="1" customWidth="1"/>
    <col min="3577" max="3577" width="9.7109375" bestFit="1" customWidth="1"/>
    <col min="3578" max="3578" width="12.28515625" bestFit="1" customWidth="1"/>
    <col min="3580" max="3580" width="16.85546875" bestFit="1" customWidth="1"/>
    <col min="3581" max="3581" width="12.28515625" bestFit="1" customWidth="1"/>
    <col min="3582" max="3582" width="9.7109375" bestFit="1" customWidth="1"/>
    <col min="3583" max="3583" width="12.28515625" bestFit="1" customWidth="1"/>
    <col min="3585" max="3585" width="16.85546875" bestFit="1" customWidth="1"/>
    <col min="3586" max="3586" width="12.28515625" bestFit="1" customWidth="1"/>
    <col min="3587" max="3587" width="9.7109375" bestFit="1" customWidth="1"/>
    <col min="3588" max="3588" width="12.28515625" bestFit="1" customWidth="1"/>
    <col min="3831" max="3831" width="16.85546875" bestFit="1" customWidth="1"/>
    <col min="3832" max="3832" width="12.28515625" bestFit="1" customWidth="1"/>
    <col min="3833" max="3833" width="9.7109375" bestFit="1" customWidth="1"/>
    <col min="3834" max="3834" width="12.28515625" bestFit="1" customWidth="1"/>
    <col min="3836" max="3836" width="16.85546875" bestFit="1" customWidth="1"/>
    <col min="3837" max="3837" width="12.28515625" bestFit="1" customWidth="1"/>
    <col min="3838" max="3838" width="9.7109375" bestFit="1" customWidth="1"/>
    <col min="3839" max="3839" width="12.28515625" bestFit="1" customWidth="1"/>
    <col min="3841" max="3841" width="16.85546875" bestFit="1" customWidth="1"/>
    <col min="3842" max="3842" width="12.28515625" bestFit="1" customWidth="1"/>
    <col min="3843" max="3843" width="9.7109375" bestFit="1" customWidth="1"/>
    <col min="3844" max="3844" width="12.28515625" bestFit="1" customWidth="1"/>
    <col min="4087" max="4087" width="16.85546875" bestFit="1" customWidth="1"/>
    <col min="4088" max="4088" width="12.28515625" bestFit="1" customWidth="1"/>
    <col min="4089" max="4089" width="9.7109375" bestFit="1" customWidth="1"/>
    <col min="4090" max="4090" width="12.28515625" bestFit="1" customWidth="1"/>
    <col min="4092" max="4092" width="16.85546875" bestFit="1" customWidth="1"/>
    <col min="4093" max="4093" width="12.28515625" bestFit="1" customWidth="1"/>
    <col min="4094" max="4094" width="9.7109375" bestFit="1" customWidth="1"/>
    <col min="4095" max="4095" width="12.28515625" bestFit="1" customWidth="1"/>
    <col min="4097" max="4097" width="16.85546875" bestFit="1" customWidth="1"/>
    <col min="4098" max="4098" width="12.28515625" bestFit="1" customWidth="1"/>
    <col min="4099" max="4099" width="9.7109375" bestFit="1" customWidth="1"/>
    <col min="4100" max="4100" width="12.28515625" bestFit="1" customWidth="1"/>
    <col min="4343" max="4343" width="16.85546875" bestFit="1" customWidth="1"/>
    <col min="4344" max="4344" width="12.28515625" bestFit="1" customWidth="1"/>
    <col min="4345" max="4345" width="9.7109375" bestFit="1" customWidth="1"/>
    <col min="4346" max="4346" width="12.28515625" bestFit="1" customWidth="1"/>
    <col min="4348" max="4348" width="16.85546875" bestFit="1" customWidth="1"/>
    <col min="4349" max="4349" width="12.28515625" bestFit="1" customWidth="1"/>
    <col min="4350" max="4350" width="9.7109375" bestFit="1" customWidth="1"/>
    <col min="4351" max="4351" width="12.28515625" bestFit="1" customWidth="1"/>
    <col min="4353" max="4353" width="16.85546875" bestFit="1" customWidth="1"/>
    <col min="4354" max="4354" width="12.28515625" bestFit="1" customWidth="1"/>
    <col min="4355" max="4355" width="9.7109375" bestFit="1" customWidth="1"/>
    <col min="4356" max="4356" width="12.28515625" bestFit="1" customWidth="1"/>
    <col min="4599" max="4599" width="16.85546875" bestFit="1" customWidth="1"/>
    <col min="4600" max="4600" width="12.28515625" bestFit="1" customWidth="1"/>
    <col min="4601" max="4601" width="9.7109375" bestFit="1" customWidth="1"/>
    <col min="4602" max="4602" width="12.28515625" bestFit="1" customWidth="1"/>
    <col min="4604" max="4604" width="16.85546875" bestFit="1" customWidth="1"/>
    <col min="4605" max="4605" width="12.28515625" bestFit="1" customWidth="1"/>
    <col min="4606" max="4606" width="9.7109375" bestFit="1" customWidth="1"/>
    <col min="4607" max="4607" width="12.28515625" bestFit="1" customWidth="1"/>
    <col min="4609" max="4609" width="16.85546875" bestFit="1" customWidth="1"/>
    <col min="4610" max="4610" width="12.28515625" bestFit="1" customWidth="1"/>
    <col min="4611" max="4611" width="9.7109375" bestFit="1" customWidth="1"/>
    <col min="4612" max="4612" width="12.28515625" bestFit="1" customWidth="1"/>
    <col min="4855" max="4855" width="16.85546875" bestFit="1" customWidth="1"/>
    <col min="4856" max="4856" width="12.28515625" bestFit="1" customWidth="1"/>
    <col min="4857" max="4857" width="9.7109375" bestFit="1" customWidth="1"/>
    <col min="4858" max="4858" width="12.28515625" bestFit="1" customWidth="1"/>
    <col min="4860" max="4860" width="16.85546875" bestFit="1" customWidth="1"/>
    <col min="4861" max="4861" width="12.28515625" bestFit="1" customWidth="1"/>
    <col min="4862" max="4862" width="9.7109375" bestFit="1" customWidth="1"/>
    <col min="4863" max="4863" width="12.28515625" bestFit="1" customWidth="1"/>
    <col min="4865" max="4865" width="16.85546875" bestFit="1" customWidth="1"/>
    <col min="4866" max="4866" width="12.28515625" bestFit="1" customWidth="1"/>
    <col min="4867" max="4867" width="9.7109375" bestFit="1" customWidth="1"/>
    <col min="4868" max="4868" width="12.28515625" bestFit="1" customWidth="1"/>
    <col min="5111" max="5111" width="16.85546875" bestFit="1" customWidth="1"/>
    <col min="5112" max="5112" width="12.28515625" bestFit="1" customWidth="1"/>
    <col min="5113" max="5113" width="9.7109375" bestFit="1" customWidth="1"/>
    <col min="5114" max="5114" width="12.28515625" bestFit="1" customWidth="1"/>
    <col min="5116" max="5116" width="16.85546875" bestFit="1" customWidth="1"/>
    <col min="5117" max="5117" width="12.28515625" bestFit="1" customWidth="1"/>
    <col min="5118" max="5118" width="9.7109375" bestFit="1" customWidth="1"/>
    <col min="5119" max="5119" width="12.28515625" bestFit="1" customWidth="1"/>
    <col min="5121" max="5121" width="16.85546875" bestFit="1" customWidth="1"/>
    <col min="5122" max="5122" width="12.28515625" bestFit="1" customWidth="1"/>
    <col min="5123" max="5123" width="9.7109375" bestFit="1" customWidth="1"/>
    <col min="5124" max="5124" width="12.28515625" bestFit="1" customWidth="1"/>
    <col min="5367" max="5367" width="16.85546875" bestFit="1" customWidth="1"/>
    <col min="5368" max="5368" width="12.28515625" bestFit="1" customWidth="1"/>
    <col min="5369" max="5369" width="9.7109375" bestFit="1" customWidth="1"/>
    <col min="5370" max="5370" width="12.28515625" bestFit="1" customWidth="1"/>
    <col min="5372" max="5372" width="16.85546875" bestFit="1" customWidth="1"/>
    <col min="5373" max="5373" width="12.28515625" bestFit="1" customWidth="1"/>
    <col min="5374" max="5374" width="9.7109375" bestFit="1" customWidth="1"/>
    <col min="5375" max="5375" width="12.28515625" bestFit="1" customWidth="1"/>
    <col min="5377" max="5377" width="16.85546875" bestFit="1" customWidth="1"/>
    <col min="5378" max="5378" width="12.28515625" bestFit="1" customWidth="1"/>
    <col min="5379" max="5379" width="9.7109375" bestFit="1" customWidth="1"/>
    <col min="5380" max="5380" width="12.28515625" bestFit="1" customWidth="1"/>
    <col min="5623" max="5623" width="16.85546875" bestFit="1" customWidth="1"/>
    <col min="5624" max="5624" width="12.28515625" bestFit="1" customWidth="1"/>
    <col min="5625" max="5625" width="9.7109375" bestFit="1" customWidth="1"/>
    <col min="5626" max="5626" width="12.28515625" bestFit="1" customWidth="1"/>
    <col min="5628" max="5628" width="16.85546875" bestFit="1" customWidth="1"/>
    <col min="5629" max="5629" width="12.28515625" bestFit="1" customWidth="1"/>
    <col min="5630" max="5630" width="9.7109375" bestFit="1" customWidth="1"/>
    <col min="5631" max="5631" width="12.28515625" bestFit="1" customWidth="1"/>
    <col min="5633" max="5633" width="16.85546875" bestFit="1" customWidth="1"/>
    <col min="5634" max="5634" width="12.28515625" bestFit="1" customWidth="1"/>
    <col min="5635" max="5635" width="9.7109375" bestFit="1" customWidth="1"/>
    <col min="5636" max="5636" width="12.28515625" bestFit="1" customWidth="1"/>
    <col min="5879" max="5879" width="16.85546875" bestFit="1" customWidth="1"/>
    <col min="5880" max="5880" width="12.28515625" bestFit="1" customWidth="1"/>
    <col min="5881" max="5881" width="9.7109375" bestFit="1" customWidth="1"/>
    <col min="5882" max="5882" width="12.28515625" bestFit="1" customWidth="1"/>
    <col min="5884" max="5884" width="16.85546875" bestFit="1" customWidth="1"/>
    <col min="5885" max="5885" width="12.28515625" bestFit="1" customWidth="1"/>
    <col min="5886" max="5886" width="9.7109375" bestFit="1" customWidth="1"/>
    <col min="5887" max="5887" width="12.28515625" bestFit="1" customWidth="1"/>
    <col min="5889" max="5889" width="16.85546875" bestFit="1" customWidth="1"/>
    <col min="5890" max="5890" width="12.28515625" bestFit="1" customWidth="1"/>
    <col min="5891" max="5891" width="9.7109375" bestFit="1" customWidth="1"/>
    <col min="5892" max="5892" width="12.28515625" bestFit="1" customWidth="1"/>
    <col min="6135" max="6135" width="16.85546875" bestFit="1" customWidth="1"/>
    <col min="6136" max="6136" width="12.28515625" bestFit="1" customWidth="1"/>
    <col min="6137" max="6137" width="9.7109375" bestFit="1" customWidth="1"/>
    <col min="6138" max="6138" width="12.28515625" bestFit="1" customWidth="1"/>
    <col min="6140" max="6140" width="16.85546875" bestFit="1" customWidth="1"/>
    <col min="6141" max="6141" width="12.28515625" bestFit="1" customWidth="1"/>
    <col min="6142" max="6142" width="9.7109375" bestFit="1" customWidth="1"/>
    <col min="6143" max="6143" width="12.28515625" bestFit="1" customWidth="1"/>
    <col min="6145" max="6145" width="16.85546875" bestFit="1" customWidth="1"/>
    <col min="6146" max="6146" width="12.28515625" bestFit="1" customWidth="1"/>
    <col min="6147" max="6147" width="9.7109375" bestFit="1" customWidth="1"/>
    <col min="6148" max="6148" width="12.28515625" bestFit="1" customWidth="1"/>
    <col min="6391" max="6391" width="16.85546875" bestFit="1" customWidth="1"/>
    <col min="6392" max="6392" width="12.28515625" bestFit="1" customWidth="1"/>
    <col min="6393" max="6393" width="9.7109375" bestFit="1" customWidth="1"/>
    <col min="6394" max="6394" width="12.28515625" bestFit="1" customWidth="1"/>
    <col min="6396" max="6396" width="16.85546875" bestFit="1" customWidth="1"/>
    <col min="6397" max="6397" width="12.28515625" bestFit="1" customWidth="1"/>
    <col min="6398" max="6398" width="9.7109375" bestFit="1" customWidth="1"/>
    <col min="6399" max="6399" width="12.28515625" bestFit="1" customWidth="1"/>
    <col min="6401" max="6401" width="16.85546875" bestFit="1" customWidth="1"/>
    <col min="6402" max="6402" width="12.28515625" bestFit="1" customWidth="1"/>
    <col min="6403" max="6403" width="9.7109375" bestFit="1" customWidth="1"/>
    <col min="6404" max="6404" width="12.28515625" bestFit="1" customWidth="1"/>
    <col min="6647" max="6647" width="16.85546875" bestFit="1" customWidth="1"/>
    <col min="6648" max="6648" width="12.28515625" bestFit="1" customWidth="1"/>
    <col min="6649" max="6649" width="9.7109375" bestFit="1" customWidth="1"/>
    <col min="6650" max="6650" width="12.28515625" bestFit="1" customWidth="1"/>
    <col min="6652" max="6652" width="16.85546875" bestFit="1" customWidth="1"/>
    <col min="6653" max="6653" width="12.28515625" bestFit="1" customWidth="1"/>
    <col min="6654" max="6654" width="9.7109375" bestFit="1" customWidth="1"/>
    <col min="6655" max="6655" width="12.28515625" bestFit="1" customWidth="1"/>
    <col min="6657" max="6657" width="16.85546875" bestFit="1" customWidth="1"/>
    <col min="6658" max="6658" width="12.28515625" bestFit="1" customWidth="1"/>
    <col min="6659" max="6659" width="9.7109375" bestFit="1" customWidth="1"/>
    <col min="6660" max="6660" width="12.28515625" bestFit="1" customWidth="1"/>
    <col min="6903" max="6903" width="16.85546875" bestFit="1" customWidth="1"/>
    <col min="6904" max="6904" width="12.28515625" bestFit="1" customWidth="1"/>
    <col min="6905" max="6905" width="9.7109375" bestFit="1" customWidth="1"/>
    <col min="6906" max="6906" width="12.28515625" bestFit="1" customWidth="1"/>
    <col min="6908" max="6908" width="16.85546875" bestFit="1" customWidth="1"/>
    <col min="6909" max="6909" width="12.28515625" bestFit="1" customWidth="1"/>
    <col min="6910" max="6910" width="9.7109375" bestFit="1" customWidth="1"/>
    <col min="6911" max="6911" width="12.28515625" bestFit="1" customWidth="1"/>
    <col min="6913" max="6913" width="16.85546875" bestFit="1" customWidth="1"/>
    <col min="6914" max="6914" width="12.28515625" bestFit="1" customWidth="1"/>
    <col min="6915" max="6915" width="9.7109375" bestFit="1" customWidth="1"/>
    <col min="6916" max="6916" width="12.28515625" bestFit="1" customWidth="1"/>
    <col min="7159" max="7159" width="16.85546875" bestFit="1" customWidth="1"/>
    <col min="7160" max="7160" width="12.28515625" bestFit="1" customWidth="1"/>
    <col min="7161" max="7161" width="9.7109375" bestFit="1" customWidth="1"/>
    <col min="7162" max="7162" width="12.28515625" bestFit="1" customWidth="1"/>
    <col min="7164" max="7164" width="16.85546875" bestFit="1" customWidth="1"/>
    <col min="7165" max="7165" width="12.28515625" bestFit="1" customWidth="1"/>
    <col min="7166" max="7166" width="9.7109375" bestFit="1" customWidth="1"/>
    <col min="7167" max="7167" width="12.28515625" bestFit="1" customWidth="1"/>
    <col min="7169" max="7169" width="16.85546875" bestFit="1" customWidth="1"/>
    <col min="7170" max="7170" width="12.28515625" bestFit="1" customWidth="1"/>
    <col min="7171" max="7171" width="9.7109375" bestFit="1" customWidth="1"/>
    <col min="7172" max="7172" width="12.28515625" bestFit="1" customWidth="1"/>
    <col min="7415" max="7415" width="16.85546875" bestFit="1" customWidth="1"/>
    <col min="7416" max="7416" width="12.28515625" bestFit="1" customWidth="1"/>
    <col min="7417" max="7417" width="9.7109375" bestFit="1" customWidth="1"/>
    <col min="7418" max="7418" width="12.28515625" bestFit="1" customWidth="1"/>
    <col min="7420" max="7420" width="16.85546875" bestFit="1" customWidth="1"/>
    <col min="7421" max="7421" width="12.28515625" bestFit="1" customWidth="1"/>
    <col min="7422" max="7422" width="9.7109375" bestFit="1" customWidth="1"/>
    <col min="7423" max="7423" width="12.28515625" bestFit="1" customWidth="1"/>
    <col min="7425" max="7425" width="16.85546875" bestFit="1" customWidth="1"/>
    <col min="7426" max="7426" width="12.28515625" bestFit="1" customWidth="1"/>
    <col min="7427" max="7427" width="9.7109375" bestFit="1" customWidth="1"/>
    <col min="7428" max="7428" width="12.28515625" bestFit="1" customWidth="1"/>
    <col min="7671" max="7671" width="16.85546875" bestFit="1" customWidth="1"/>
    <col min="7672" max="7672" width="12.28515625" bestFit="1" customWidth="1"/>
    <col min="7673" max="7673" width="9.7109375" bestFit="1" customWidth="1"/>
    <col min="7674" max="7674" width="12.28515625" bestFit="1" customWidth="1"/>
    <col min="7676" max="7676" width="16.85546875" bestFit="1" customWidth="1"/>
    <col min="7677" max="7677" width="12.28515625" bestFit="1" customWidth="1"/>
    <col min="7678" max="7678" width="9.7109375" bestFit="1" customWidth="1"/>
    <col min="7679" max="7679" width="12.28515625" bestFit="1" customWidth="1"/>
    <col min="7681" max="7681" width="16.85546875" bestFit="1" customWidth="1"/>
    <col min="7682" max="7682" width="12.28515625" bestFit="1" customWidth="1"/>
    <col min="7683" max="7683" width="9.7109375" bestFit="1" customWidth="1"/>
    <col min="7684" max="7684" width="12.28515625" bestFit="1" customWidth="1"/>
    <col min="7927" max="7927" width="16.85546875" bestFit="1" customWidth="1"/>
    <col min="7928" max="7928" width="12.28515625" bestFit="1" customWidth="1"/>
    <col min="7929" max="7929" width="9.7109375" bestFit="1" customWidth="1"/>
    <col min="7930" max="7930" width="12.28515625" bestFit="1" customWidth="1"/>
    <col min="7932" max="7932" width="16.85546875" bestFit="1" customWidth="1"/>
    <col min="7933" max="7933" width="12.28515625" bestFit="1" customWidth="1"/>
    <col min="7934" max="7934" width="9.7109375" bestFit="1" customWidth="1"/>
    <col min="7935" max="7935" width="12.28515625" bestFit="1" customWidth="1"/>
    <col min="7937" max="7937" width="16.85546875" bestFit="1" customWidth="1"/>
    <col min="7938" max="7938" width="12.28515625" bestFit="1" customWidth="1"/>
    <col min="7939" max="7939" width="9.7109375" bestFit="1" customWidth="1"/>
    <col min="7940" max="7940" width="12.28515625" bestFit="1" customWidth="1"/>
    <col min="8183" max="8183" width="16.85546875" bestFit="1" customWidth="1"/>
    <col min="8184" max="8184" width="12.28515625" bestFit="1" customWidth="1"/>
    <col min="8185" max="8185" width="9.7109375" bestFit="1" customWidth="1"/>
    <col min="8186" max="8186" width="12.28515625" bestFit="1" customWidth="1"/>
    <col min="8188" max="8188" width="16.85546875" bestFit="1" customWidth="1"/>
    <col min="8189" max="8189" width="12.28515625" bestFit="1" customWidth="1"/>
    <col min="8190" max="8190" width="9.7109375" bestFit="1" customWidth="1"/>
    <col min="8191" max="8191" width="12.28515625" bestFit="1" customWidth="1"/>
    <col min="8193" max="8193" width="16.85546875" bestFit="1" customWidth="1"/>
    <col min="8194" max="8194" width="12.28515625" bestFit="1" customWidth="1"/>
    <col min="8195" max="8195" width="9.7109375" bestFit="1" customWidth="1"/>
    <col min="8196" max="8196" width="12.28515625" bestFit="1" customWidth="1"/>
    <col min="8439" max="8439" width="16.85546875" bestFit="1" customWidth="1"/>
    <col min="8440" max="8440" width="12.28515625" bestFit="1" customWidth="1"/>
    <col min="8441" max="8441" width="9.7109375" bestFit="1" customWidth="1"/>
    <col min="8442" max="8442" width="12.28515625" bestFit="1" customWidth="1"/>
    <col min="8444" max="8444" width="16.85546875" bestFit="1" customWidth="1"/>
    <col min="8445" max="8445" width="12.28515625" bestFit="1" customWidth="1"/>
    <col min="8446" max="8446" width="9.7109375" bestFit="1" customWidth="1"/>
    <col min="8447" max="8447" width="12.28515625" bestFit="1" customWidth="1"/>
    <col min="8449" max="8449" width="16.85546875" bestFit="1" customWidth="1"/>
    <col min="8450" max="8450" width="12.28515625" bestFit="1" customWidth="1"/>
    <col min="8451" max="8451" width="9.7109375" bestFit="1" customWidth="1"/>
    <col min="8452" max="8452" width="12.28515625" bestFit="1" customWidth="1"/>
    <col min="8695" max="8695" width="16.85546875" bestFit="1" customWidth="1"/>
    <col min="8696" max="8696" width="12.28515625" bestFit="1" customWidth="1"/>
    <col min="8697" max="8697" width="9.7109375" bestFit="1" customWidth="1"/>
    <col min="8698" max="8698" width="12.28515625" bestFit="1" customWidth="1"/>
    <col min="8700" max="8700" width="16.85546875" bestFit="1" customWidth="1"/>
    <col min="8701" max="8701" width="12.28515625" bestFit="1" customWidth="1"/>
    <col min="8702" max="8702" width="9.7109375" bestFit="1" customWidth="1"/>
    <col min="8703" max="8703" width="12.28515625" bestFit="1" customWidth="1"/>
    <col min="8705" max="8705" width="16.85546875" bestFit="1" customWidth="1"/>
    <col min="8706" max="8706" width="12.28515625" bestFit="1" customWidth="1"/>
    <col min="8707" max="8707" width="9.7109375" bestFit="1" customWidth="1"/>
    <col min="8708" max="8708" width="12.28515625" bestFit="1" customWidth="1"/>
    <col min="8951" max="8951" width="16.85546875" bestFit="1" customWidth="1"/>
    <col min="8952" max="8952" width="12.28515625" bestFit="1" customWidth="1"/>
    <col min="8953" max="8953" width="9.7109375" bestFit="1" customWidth="1"/>
    <col min="8954" max="8954" width="12.28515625" bestFit="1" customWidth="1"/>
    <col min="8956" max="8956" width="16.85546875" bestFit="1" customWidth="1"/>
    <col min="8957" max="8957" width="12.28515625" bestFit="1" customWidth="1"/>
    <col min="8958" max="8958" width="9.7109375" bestFit="1" customWidth="1"/>
    <col min="8959" max="8959" width="12.28515625" bestFit="1" customWidth="1"/>
    <col min="8961" max="8961" width="16.85546875" bestFit="1" customWidth="1"/>
    <col min="8962" max="8962" width="12.28515625" bestFit="1" customWidth="1"/>
    <col min="8963" max="8963" width="9.7109375" bestFit="1" customWidth="1"/>
    <col min="8964" max="8964" width="12.28515625" bestFit="1" customWidth="1"/>
    <col min="9207" max="9207" width="16.85546875" bestFit="1" customWidth="1"/>
    <col min="9208" max="9208" width="12.28515625" bestFit="1" customWidth="1"/>
    <col min="9209" max="9209" width="9.7109375" bestFit="1" customWidth="1"/>
    <col min="9210" max="9210" width="12.28515625" bestFit="1" customWidth="1"/>
    <col min="9212" max="9212" width="16.85546875" bestFit="1" customWidth="1"/>
    <col min="9213" max="9213" width="12.28515625" bestFit="1" customWidth="1"/>
    <col min="9214" max="9214" width="9.7109375" bestFit="1" customWidth="1"/>
    <col min="9215" max="9215" width="12.28515625" bestFit="1" customWidth="1"/>
    <col min="9217" max="9217" width="16.85546875" bestFit="1" customWidth="1"/>
    <col min="9218" max="9218" width="12.28515625" bestFit="1" customWidth="1"/>
    <col min="9219" max="9219" width="9.7109375" bestFit="1" customWidth="1"/>
    <col min="9220" max="9220" width="12.28515625" bestFit="1" customWidth="1"/>
    <col min="9463" max="9463" width="16.85546875" bestFit="1" customWidth="1"/>
    <col min="9464" max="9464" width="12.28515625" bestFit="1" customWidth="1"/>
    <col min="9465" max="9465" width="9.7109375" bestFit="1" customWidth="1"/>
    <col min="9466" max="9466" width="12.28515625" bestFit="1" customWidth="1"/>
    <col min="9468" max="9468" width="16.85546875" bestFit="1" customWidth="1"/>
    <col min="9469" max="9469" width="12.28515625" bestFit="1" customWidth="1"/>
    <col min="9470" max="9470" width="9.7109375" bestFit="1" customWidth="1"/>
    <col min="9471" max="9471" width="12.28515625" bestFit="1" customWidth="1"/>
    <col min="9473" max="9473" width="16.85546875" bestFit="1" customWidth="1"/>
    <col min="9474" max="9474" width="12.28515625" bestFit="1" customWidth="1"/>
    <col min="9475" max="9475" width="9.7109375" bestFit="1" customWidth="1"/>
    <col min="9476" max="9476" width="12.28515625" bestFit="1" customWidth="1"/>
    <col min="9719" max="9719" width="16.85546875" bestFit="1" customWidth="1"/>
    <col min="9720" max="9720" width="12.28515625" bestFit="1" customWidth="1"/>
    <col min="9721" max="9721" width="9.7109375" bestFit="1" customWidth="1"/>
    <col min="9722" max="9722" width="12.28515625" bestFit="1" customWidth="1"/>
    <col min="9724" max="9724" width="16.85546875" bestFit="1" customWidth="1"/>
    <col min="9725" max="9725" width="12.28515625" bestFit="1" customWidth="1"/>
    <col min="9726" max="9726" width="9.7109375" bestFit="1" customWidth="1"/>
    <col min="9727" max="9727" width="12.28515625" bestFit="1" customWidth="1"/>
    <col min="9729" max="9729" width="16.85546875" bestFit="1" customWidth="1"/>
    <col min="9730" max="9730" width="12.28515625" bestFit="1" customWidth="1"/>
    <col min="9731" max="9731" width="9.7109375" bestFit="1" customWidth="1"/>
    <col min="9732" max="9732" width="12.28515625" bestFit="1" customWidth="1"/>
    <col min="9975" max="9975" width="16.85546875" bestFit="1" customWidth="1"/>
    <col min="9976" max="9976" width="12.28515625" bestFit="1" customWidth="1"/>
    <col min="9977" max="9977" width="9.7109375" bestFit="1" customWidth="1"/>
    <col min="9978" max="9978" width="12.28515625" bestFit="1" customWidth="1"/>
    <col min="9980" max="9980" width="16.85546875" bestFit="1" customWidth="1"/>
    <col min="9981" max="9981" width="12.28515625" bestFit="1" customWidth="1"/>
    <col min="9982" max="9982" width="9.7109375" bestFit="1" customWidth="1"/>
    <col min="9983" max="9983" width="12.28515625" bestFit="1" customWidth="1"/>
    <col min="9985" max="9985" width="16.85546875" bestFit="1" customWidth="1"/>
    <col min="9986" max="9986" width="12.28515625" bestFit="1" customWidth="1"/>
    <col min="9987" max="9987" width="9.7109375" bestFit="1" customWidth="1"/>
    <col min="9988" max="9988" width="12.28515625" bestFit="1" customWidth="1"/>
    <col min="10231" max="10231" width="16.85546875" bestFit="1" customWidth="1"/>
    <col min="10232" max="10232" width="12.28515625" bestFit="1" customWidth="1"/>
    <col min="10233" max="10233" width="9.7109375" bestFit="1" customWidth="1"/>
    <col min="10234" max="10234" width="12.28515625" bestFit="1" customWidth="1"/>
    <col min="10236" max="10236" width="16.85546875" bestFit="1" customWidth="1"/>
    <col min="10237" max="10237" width="12.28515625" bestFit="1" customWidth="1"/>
    <col min="10238" max="10238" width="9.7109375" bestFit="1" customWidth="1"/>
    <col min="10239" max="10239" width="12.28515625" bestFit="1" customWidth="1"/>
    <col min="10241" max="10241" width="16.85546875" bestFit="1" customWidth="1"/>
    <col min="10242" max="10242" width="12.28515625" bestFit="1" customWidth="1"/>
    <col min="10243" max="10243" width="9.7109375" bestFit="1" customWidth="1"/>
    <col min="10244" max="10244" width="12.28515625" bestFit="1" customWidth="1"/>
    <col min="10487" max="10487" width="16.85546875" bestFit="1" customWidth="1"/>
    <col min="10488" max="10488" width="12.28515625" bestFit="1" customWidth="1"/>
    <col min="10489" max="10489" width="9.7109375" bestFit="1" customWidth="1"/>
    <col min="10490" max="10490" width="12.28515625" bestFit="1" customWidth="1"/>
    <col min="10492" max="10492" width="16.85546875" bestFit="1" customWidth="1"/>
    <col min="10493" max="10493" width="12.28515625" bestFit="1" customWidth="1"/>
    <col min="10494" max="10494" width="9.7109375" bestFit="1" customWidth="1"/>
    <col min="10495" max="10495" width="12.28515625" bestFit="1" customWidth="1"/>
    <col min="10497" max="10497" width="16.85546875" bestFit="1" customWidth="1"/>
    <col min="10498" max="10498" width="12.28515625" bestFit="1" customWidth="1"/>
    <col min="10499" max="10499" width="9.7109375" bestFit="1" customWidth="1"/>
    <col min="10500" max="10500" width="12.28515625" bestFit="1" customWidth="1"/>
    <col min="10743" max="10743" width="16.85546875" bestFit="1" customWidth="1"/>
    <col min="10744" max="10744" width="12.28515625" bestFit="1" customWidth="1"/>
    <col min="10745" max="10745" width="9.7109375" bestFit="1" customWidth="1"/>
    <col min="10746" max="10746" width="12.28515625" bestFit="1" customWidth="1"/>
    <col min="10748" max="10748" width="16.85546875" bestFit="1" customWidth="1"/>
    <col min="10749" max="10749" width="12.28515625" bestFit="1" customWidth="1"/>
    <col min="10750" max="10750" width="9.7109375" bestFit="1" customWidth="1"/>
    <col min="10751" max="10751" width="12.28515625" bestFit="1" customWidth="1"/>
    <col min="10753" max="10753" width="16.85546875" bestFit="1" customWidth="1"/>
    <col min="10754" max="10754" width="12.28515625" bestFit="1" customWidth="1"/>
    <col min="10755" max="10755" width="9.7109375" bestFit="1" customWidth="1"/>
    <col min="10756" max="10756" width="12.28515625" bestFit="1" customWidth="1"/>
    <col min="10999" max="10999" width="16.85546875" bestFit="1" customWidth="1"/>
    <col min="11000" max="11000" width="12.28515625" bestFit="1" customWidth="1"/>
    <col min="11001" max="11001" width="9.7109375" bestFit="1" customWidth="1"/>
    <col min="11002" max="11002" width="12.28515625" bestFit="1" customWidth="1"/>
    <col min="11004" max="11004" width="16.85546875" bestFit="1" customWidth="1"/>
    <col min="11005" max="11005" width="12.28515625" bestFit="1" customWidth="1"/>
    <col min="11006" max="11006" width="9.7109375" bestFit="1" customWidth="1"/>
    <col min="11007" max="11007" width="12.28515625" bestFit="1" customWidth="1"/>
    <col min="11009" max="11009" width="16.85546875" bestFit="1" customWidth="1"/>
    <col min="11010" max="11010" width="12.28515625" bestFit="1" customWidth="1"/>
    <col min="11011" max="11011" width="9.7109375" bestFit="1" customWidth="1"/>
    <col min="11012" max="11012" width="12.28515625" bestFit="1" customWidth="1"/>
    <col min="11255" max="11255" width="16.85546875" bestFit="1" customWidth="1"/>
    <col min="11256" max="11256" width="12.28515625" bestFit="1" customWidth="1"/>
    <col min="11257" max="11257" width="9.7109375" bestFit="1" customWidth="1"/>
    <col min="11258" max="11258" width="12.28515625" bestFit="1" customWidth="1"/>
    <col min="11260" max="11260" width="16.85546875" bestFit="1" customWidth="1"/>
    <col min="11261" max="11261" width="12.28515625" bestFit="1" customWidth="1"/>
    <col min="11262" max="11262" width="9.7109375" bestFit="1" customWidth="1"/>
    <col min="11263" max="11263" width="12.28515625" bestFit="1" customWidth="1"/>
    <col min="11265" max="11265" width="16.85546875" bestFit="1" customWidth="1"/>
    <col min="11266" max="11266" width="12.28515625" bestFit="1" customWidth="1"/>
    <col min="11267" max="11267" width="9.7109375" bestFit="1" customWidth="1"/>
    <col min="11268" max="11268" width="12.28515625" bestFit="1" customWidth="1"/>
    <col min="11511" max="11511" width="16.85546875" bestFit="1" customWidth="1"/>
    <col min="11512" max="11512" width="12.28515625" bestFit="1" customWidth="1"/>
    <col min="11513" max="11513" width="9.7109375" bestFit="1" customWidth="1"/>
    <col min="11514" max="11514" width="12.28515625" bestFit="1" customWidth="1"/>
    <col min="11516" max="11516" width="16.85546875" bestFit="1" customWidth="1"/>
    <col min="11517" max="11517" width="12.28515625" bestFit="1" customWidth="1"/>
    <col min="11518" max="11518" width="9.7109375" bestFit="1" customWidth="1"/>
    <col min="11519" max="11519" width="12.28515625" bestFit="1" customWidth="1"/>
    <col min="11521" max="11521" width="16.85546875" bestFit="1" customWidth="1"/>
    <col min="11522" max="11522" width="12.28515625" bestFit="1" customWidth="1"/>
    <col min="11523" max="11523" width="9.7109375" bestFit="1" customWidth="1"/>
    <col min="11524" max="11524" width="12.28515625" bestFit="1" customWidth="1"/>
    <col min="11767" max="11767" width="16.85546875" bestFit="1" customWidth="1"/>
    <col min="11768" max="11768" width="12.28515625" bestFit="1" customWidth="1"/>
    <col min="11769" max="11769" width="9.7109375" bestFit="1" customWidth="1"/>
    <col min="11770" max="11770" width="12.28515625" bestFit="1" customWidth="1"/>
    <col min="11772" max="11772" width="16.85546875" bestFit="1" customWidth="1"/>
    <col min="11773" max="11773" width="12.28515625" bestFit="1" customWidth="1"/>
    <col min="11774" max="11774" width="9.7109375" bestFit="1" customWidth="1"/>
    <col min="11775" max="11775" width="12.28515625" bestFit="1" customWidth="1"/>
    <col min="11777" max="11777" width="16.85546875" bestFit="1" customWidth="1"/>
    <col min="11778" max="11778" width="12.28515625" bestFit="1" customWidth="1"/>
    <col min="11779" max="11779" width="9.7109375" bestFit="1" customWidth="1"/>
    <col min="11780" max="11780" width="12.28515625" bestFit="1" customWidth="1"/>
    <col min="12023" max="12023" width="16.85546875" bestFit="1" customWidth="1"/>
    <col min="12024" max="12024" width="12.28515625" bestFit="1" customWidth="1"/>
    <col min="12025" max="12025" width="9.7109375" bestFit="1" customWidth="1"/>
    <col min="12026" max="12026" width="12.28515625" bestFit="1" customWidth="1"/>
    <col min="12028" max="12028" width="16.85546875" bestFit="1" customWidth="1"/>
    <col min="12029" max="12029" width="12.28515625" bestFit="1" customWidth="1"/>
    <col min="12030" max="12030" width="9.7109375" bestFit="1" customWidth="1"/>
    <col min="12031" max="12031" width="12.28515625" bestFit="1" customWidth="1"/>
    <col min="12033" max="12033" width="16.85546875" bestFit="1" customWidth="1"/>
    <col min="12034" max="12034" width="12.28515625" bestFit="1" customWidth="1"/>
    <col min="12035" max="12035" width="9.7109375" bestFit="1" customWidth="1"/>
    <col min="12036" max="12036" width="12.28515625" bestFit="1" customWidth="1"/>
    <col min="12279" max="12279" width="16.85546875" bestFit="1" customWidth="1"/>
    <col min="12280" max="12280" width="12.28515625" bestFit="1" customWidth="1"/>
    <col min="12281" max="12281" width="9.7109375" bestFit="1" customWidth="1"/>
    <col min="12282" max="12282" width="12.28515625" bestFit="1" customWidth="1"/>
    <col min="12284" max="12284" width="16.85546875" bestFit="1" customWidth="1"/>
    <col min="12285" max="12285" width="12.28515625" bestFit="1" customWidth="1"/>
    <col min="12286" max="12286" width="9.7109375" bestFit="1" customWidth="1"/>
    <col min="12287" max="12287" width="12.28515625" bestFit="1" customWidth="1"/>
    <col min="12289" max="12289" width="16.85546875" bestFit="1" customWidth="1"/>
    <col min="12290" max="12290" width="12.28515625" bestFit="1" customWidth="1"/>
    <col min="12291" max="12291" width="9.7109375" bestFit="1" customWidth="1"/>
    <col min="12292" max="12292" width="12.28515625" bestFit="1" customWidth="1"/>
    <col min="12535" max="12535" width="16.85546875" bestFit="1" customWidth="1"/>
    <col min="12536" max="12536" width="12.28515625" bestFit="1" customWidth="1"/>
    <col min="12537" max="12537" width="9.7109375" bestFit="1" customWidth="1"/>
    <col min="12538" max="12538" width="12.28515625" bestFit="1" customWidth="1"/>
    <col min="12540" max="12540" width="16.85546875" bestFit="1" customWidth="1"/>
    <col min="12541" max="12541" width="12.28515625" bestFit="1" customWidth="1"/>
    <col min="12542" max="12542" width="9.7109375" bestFit="1" customWidth="1"/>
    <col min="12543" max="12543" width="12.28515625" bestFit="1" customWidth="1"/>
    <col min="12545" max="12545" width="16.85546875" bestFit="1" customWidth="1"/>
    <col min="12546" max="12546" width="12.28515625" bestFit="1" customWidth="1"/>
    <col min="12547" max="12547" width="9.7109375" bestFit="1" customWidth="1"/>
    <col min="12548" max="12548" width="12.28515625" bestFit="1" customWidth="1"/>
    <col min="12791" max="12791" width="16.85546875" bestFit="1" customWidth="1"/>
    <col min="12792" max="12792" width="12.28515625" bestFit="1" customWidth="1"/>
    <col min="12793" max="12793" width="9.7109375" bestFit="1" customWidth="1"/>
    <col min="12794" max="12794" width="12.28515625" bestFit="1" customWidth="1"/>
    <col min="12796" max="12796" width="16.85546875" bestFit="1" customWidth="1"/>
    <col min="12797" max="12797" width="12.28515625" bestFit="1" customWidth="1"/>
    <col min="12798" max="12798" width="9.7109375" bestFit="1" customWidth="1"/>
    <col min="12799" max="12799" width="12.28515625" bestFit="1" customWidth="1"/>
    <col min="12801" max="12801" width="16.85546875" bestFit="1" customWidth="1"/>
    <col min="12802" max="12802" width="12.28515625" bestFit="1" customWidth="1"/>
    <col min="12803" max="12803" width="9.7109375" bestFit="1" customWidth="1"/>
    <col min="12804" max="12804" width="12.28515625" bestFit="1" customWidth="1"/>
    <col min="13047" max="13047" width="16.85546875" bestFit="1" customWidth="1"/>
    <col min="13048" max="13048" width="12.28515625" bestFit="1" customWidth="1"/>
    <col min="13049" max="13049" width="9.7109375" bestFit="1" customWidth="1"/>
    <col min="13050" max="13050" width="12.28515625" bestFit="1" customWidth="1"/>
    <col min="13052" max="13052" width="16.85546875" bestFit="1" customWidth="1"/>
    <col min="13053" max="13053" width="12.28515625" bestFit="1" customWidth="1"/>
    <col min="13054" max="13054" width="9.7109375" bestFit="1" customWidth="1"/>
    <col min="13055" max="13055" width="12.28515625" bestFit="1" customWidth="1"/>
    <col min="13057" max="13057" width="16.85546875" bestFit="1" customWidth="1"/>
    <col min="13058" max="13058" width="12.28515625" bestFit="1" customWidth="1"/>
    <col min="13059" max="13059" width="9.7109375" bestFit="1" customWidth="1"/>
    <col min="13060" max="13060" width="12.28515625" bestFit="1" customWidth="1"/>
    <col min="13303" max="13303" width="16.85546875" bestFit="1" customWidth="1"/>
    <col min="13304" max="13304" width="12.28515625" bestFit="1" customWidth="1"/>
    <col min="13305" max="13305" width="9.7109375" bestFit="1" customWidth="1"/>
    <col min="13306" max="13306" width="12.28515625" bestFit="1" customWidth="1"/>
    <col min="13308" max="13308" width="16.85546875" bestFit="1" customWidth="1"/>
    <col min="13309" max="13309" width="12.28515625" bestFit="1" customWidth="1"/>
    <col min="13310" max="13310" width="9.7109375" bestFit="1" customWidth="1"/>
    <col min="13311" max="13311" width="12.28515625" bestFit="1" customWidth="1"/>
    <col min="13313" max="13313" width="16.85546875" bestFit="1" customWidth="1"/>
    <col min="13314" max="13314" width="12.28515625" bestFit="1" customWidth="1"/>
    <col min="13315" max="13315" width="9.7109375" bestFit="1" customWidth="1"/>
    <col min="13316" max="13316" width="12.28515625" bestFit="1" customWidth="1"/>
    <col min="13559" max="13559" width="16.85546875" bestFit="1" customWidth="1"/>
    <col min="13560" max="13560" width="12.28515625" bestFit="1" customWidth="1"/>
    <col min="13561" max="13561" width="9.7109375" bestFit="1" customWidth="1"/>
    <col min="13562" max="13562" width="12.28515625" bestFit="1" customWidth="1"/>
    <col min="13564" max="13564" width="16.85546875" bestFit="1" customWidth="1"/>
    <col min="13565" max="13565" width="12.28515625" bestFit="1" customWidth="1"/>
    <col min="13566" max="13566" width="9.7109375" bestFit="1" customWidth="1"/>
    <col min="13567" max="13567" width="12.28515625" bestFit="1" customWidth="1"/>
    <col min="13569" max="13569" width="16.85546875" bestFit="1" customWidth="1"/>
    <col min="13570" max="13570" width="12.28515625" bestFit="1" customWidth="1"/>
    <col min="13571" max="13571" width="9.7109375" bestFit="1" customWidth="1"/>
    <col min="13572" max="13572" width="12.28515625" bestFit="1" customWidth="1"/>
    <col min="13815" max="13815" width="16.85546875" bestFit="1" customWidth="1"/>
    <col min="13816" max="13816" width="12.28515625" bestFit="1" customWidth="1"/>
    <col min="13817" max="13817" width="9.7109375" bestFit="1" customWidth="1"/>
    <col min="13818" max="13818" width="12.28515625" bestFit="1" customWidth="1"/>
    <col min="13820" max="13820" width="16.85546875" bestFit="1" customWidth="1"/>
    <col min="13821" max="13821" width="12.28515625" bestFit="1" customWidth="1"/>
    <col min="13822" max="13822" width="9.7109375" bestFit="1" customWidth="1"/>
    <col min="13823" max="13823" width="12.28515625" bestFit="1" customWidth="1"/>
    <col min="13825" max="13825" width="16.85546875" bestFit="1" customWidth="1"/>
    <col min="13826" max="13826" width="12.28515625" bestFit="1" customWidth="1"/>
    <col min="13827" max="13827" width="9.7109375" bestFit="1" customWidth="1"/>
    <col min="13828" max="13828" width="12.28515625" bestFit="1" customWidth="1"/>
    <col min="14071" max="14071" width="16.85546875" bestFit="1" customWidth="1"/>
    <col min="14072" max="14072" width="12.28515625" bestFit="1" customWidth="1"/>
    <col min="14073" max="14073" width="9.7109375" bestFit="1" customWidth="1"/>
    <col min="14074" max="14074" width="12.28515625" bestFit="1" customWidth="1"/>
    <col min="14076" max="14076" width="16.85546875" bestFit="1" customWidth="1"/>
    <col min="14077" max="14077" width="12.28515625" bestFit="1" customWidth="1"/>
    <col min="14078" max="14078" width="9.7109375" bestFit="1" customWidth="1"/>
    <col min="14079" max="14079" width="12.28515625" bestFit="1" customWidth="1"/>
    <col min="14081" max="14081" width="16.85546875" bestFit="1" customWidth="1"/>
    <col min="14082" max="14082" width="12.28515625" bestFit="1" customWidth="1"/>
    <col min="14083" max="14083" width="9.7109375" bestFit="1" customWidth="1"/>
    <col min="14084" max="14084" width="12.28515625" bestFit="1" customWidth="1"/>
    <col min="14327" max="14327" width="16.85546875" bestFit="1" customWidth="1"/>
    <col min="14328" max="14328" width="12.28515625" bestFit="1" customWidth="1"/>
    <col min="14329" max="14329" width="9.7109375" bestFit="1" customWidth="1"/>
    <col min="14330" max="14330" width="12.28515625" bestFit="1" customWidth="1"/>
    <col min="14332" max="14332" width="16.85546875" bestFit="1" customWidth="1"/>
    <col min="14333" max="14333" width="12.28515625" bestFit="1" customWidth="1"/>
    <col min="14334" max="14334" width="9.7109375" bestFit="1" customWidth="1"/>
    <col min="14335" max="14335" width="12.28515625" bestFit="1" customWidth="1"/>
    <col min="14337" max="14337" width="16.85546875" bestFit="1" customWidth="1"/>
    <col min="14338" max="14338" width="12.28515625" bestFit="1" customWidth="1"/>
    <col min="14339" max="14339" width="9.7109375" bestFit="1" customWidth="1"/>
    <col min="14340" max="14340" width="12.28515625" bestFit="1" customWidth="1"/>
    <col min="14583" max="14583" width="16.85546875" bestFit="1" customWidth="1"/>
    <col min="14584" max="14584" width="12.28515625" bestFit="1" customWidth="1"/>
    <col min="14585" max="14585" width="9.7109375" bestFit="1" customWidth="1"/>
    <col min="14586" max="14586" width="12.28515625" bestFit="1" customWidth="1"/>
    <col min="14588" max="14588" width="16.85546875" bestFit="1" customWidth="1"/>
    <col min="14589" max="14589" width="12.28515625" bestFit="1" customWidth="1"/>
    <col min="14590" max="14590" width="9.7109375" bestFit="1" customWidth="1"/>
    <col min="14591" max="14591" width="12.28515625" bestFit="1" customWidth="1"/>
    <col min="14593" max="14593" width="16.85546875" bestFit="1" customWidth="1"/>
    <col min="14594" max="14594" width="12.28515625" bestFit="1" customWidth="1"/>
    <col min="14595" max="14595" width="9.7109375" bestFit="1" customWidth="1"/>
    <col min="14596" max="14596" width="12.28515625" bestFit="1" customWidth="1"/>
    <col min="14839" max="14839" width="16.85546875" bestFit="1" customWidth="1"/>
    <col min="14840" max="14840" width="12.28515625" bestFit="1" customWidth="1"/>
    <col min="14841" max="14841" width="9.7109375" bestFit="1" customWidth="1"/>
    <col min="14842" max="14842" width="12.28515625" bestFit="1" customWidth="1"/>
    <col min="14844" max="14844" width="16.85546875" bestFit="1" customWidth="1"/>
    <col min="14845" max="14845" width="12.28515625" bestFit="1" customWidth="1"/>
    <col min="14846" max="14846" width="9.7109375" bestFit="1" customWidth="1"/>
    <col min="14847" max="14847" width="12.28515625" bestFit="1" customWidth="1"/>
    <col min="14849" max="14849" width="16.85546875" bestFit="1" customWidth="1"/>
    <col min="14850" max="14850" width="12.28515625" bestFit="1" customWidth="1"/>
    <col min="14851" max="14851" width="9.7109375" bestFit="1" customWidth="1"/>
    <col min="14852" max="14852" width="12.28515625" bestFit="1" customWidth="1"/>
    <col min="15095" max="15095" width="16.85546875" bestFit="1" customWidth="1"/>
    <col min="15096" max="15096" width="12.28515625" bestFit="1" customWidth="1"/>
    <col min="15097" max="15097" width="9.7109375" bestFit="1" customWidth="1"/>
    <col min="15098" max="15098" width="12.28515625" bestFit="1" customWidth="1"/>
    <col min="15100" max="15100" width="16.85546875" bestFit="1" customWidth="1"/>
    <col min="15101" max="15101" width="12.28515625" bestFit="1" customWidth="1"/>
    <col min="15102" max="15102" width="9.7109375" bestFit="1" customWidth="1"/>
    <col min="15103" max="15103" width="12.28515625" bestFit="1" customWidth="1"/>
    <col min="15105" max="15105" width="16.85546875" bestFit="1" customWidth="1"/>
    <col min="15106" max="15106" width="12.28515625" bestFit="1" customWidth="1"/>
    <col min="15107" max="15107" width="9.7109375" bestFit="1" customWidth="1"/>
    <col min="15108" max="15108" width="12.28515625" bestFit="1" customWidth="1"/>
    <col min="15351" max="15351" width="16.85546875" bestFit="1" customWidth="1"/>
    <col min="15352" max="15352" width="12.28515625" bestFit="1" customWidth="1"/>
    <col min="15353" max="15353" width="9.7109375" bestFit="1" customWidth="1"/>
    <col min="15354" max="15354" width="12.28515625" bestFit="1" customWidth="1"/>
    <col min="15356" max="15356" width="16.85546875" bestFit="1" customWidth="1"/>
    <col min="15357" max="15357" width="12.28515625" bestFit="1" customWidth="1"/>
    <col min="15358" max="15358" width="9.7109375" bestFit="1" customWidth="1"/>
    <col min="15359" max="15359" width="12.28515625" bestFit="1" customWidth="1"/>
    <col min="15361" max="15361" width="16.85546875" bestFit="1" customWidth="1"/>
    <col min="15362" max="15362" width="12.28515625" bestFit="1" customWidth="1"/>
    <col min="15363" max="15363" width="9.7109375" bestFit="1" customWidth="1"/>
    <col min="15364" max="15364" width="12.28515625" bestFit="1" customWidth="1"/>
    <col min="15607" max="15607" width="16.85546875" bestFit="1" customWidth="1"/>
    <col min="15608" max="15608" width="12.28515625" bestFit="1" customWidth="1"/>
    <col min="15609" max="15609" width="9.7109375" bestFit="1" customWidth="1"/>
    <col min="15610" max="15610" width="12.28515625" bestFit="1" customWidth="1"/>
    <col min="15612" max="15612" width="16.85546875" bestFit="1" customWidth="1"/>
    <col min="15613" max="15613" width="12.28515625" bestFit="1" customWidth="1"/>
    <col min="15614" max="15614" width="9.7109375" bestFit="1" customWidth="1"/>
    <col min="15615" max="15615" width="12.28515625" bestFit="1" customWidth="1"/>
    <col min="15617" max="15617" width="16.85546875" bestFit="1" customWidth="1"/>
    <col min="15618" max="15618" width="12.28515625" bestFit="1" customWidth="1"/>
    <col min="15619" max="15619" width="9.7109375" bestFit="1" customWidth="1"/>
    <col min="15620" max="15620" width="12.28515625" bestFit="1" customWidth="1"/>
    <col min="15863" max="15863" width="16.85546875" bestFit="1" customWidth="1"/>
    <col min="15864" max="15864" width="12.28515625" bestFit="1" customWidth="1"/>
    <col min="15865" max="15865" width="9.7109375" bestFit="1" customWidth="1"/>
    <col min="15866" max="15866" width="12.28515625" bestFit="1" customWidth="1"/>
    <col min="15868" max="15868" width="16.85546875" bestFit="1" customWidth="1"/>
    <col min="15869" max="15869" width="12.28515625" bestFit="1" customWidth="1"/>
    <col min="15870" max="15870" width="9.7109375" bestFit="1" customWidth="1"/>
    <col min="15871" max="15871" width="12.28515625" bestFit="1" customWidth="1"/>
    <col min="15873" max="15873" width="16.85546875" bestFit="1" customWidth="1"/>
    <col min="15874" max="15874" width="12.28515625" bestFit="1" customWidth="1"/>
    <col min="15875" max="15875" width="9.7109375" bestFit="1" customWidth="1"/>
    <col min="15876" max="15876" width="12.28515625" bestFit="1" customWidth="1"/>
    <col min="16119" max="16119" width="16.85546875" bestFit="1" customWidth="1"/>
    <col min="16120" max="16120" width="12.28515625" bestFit="1" customWidth="1"/>
    <col min="16121" max="16121" width="9.7109375" bestFit="1" customWidth="1"/>
    <col min="16122" max="16122" width="12.28515625" bestFit="1" customWidth="1"/>
    <col min="16124" max="16124" width="16.85546875" bestFit="1" customWidth="1"/>
    <col min="16125" max="16125" width="12.28515625" bestFit="1" customWidth="1"/>
    <col min="16126" max="16126" width="9.7109375" bestFit="1" customWidth="1"/>
    <col min="16127" max="16127" width="12.28515625" bestFit="1" customWidth="1"/>
    <col min="16129" max="16129" width="16.85546875" bestFit="1" customWidth="1"/>
    <col min="16130" max="16130" width="12.28515625" bestFit="1" customWidth="1"/>
    <col min="16131" max="16131" width="9.7109375" bestFit="1" customWidth="1"/>
    <col min="16132" max="16132" width="12.28515625" bestFit="1" customWidth="1"/>
  </cols>
  <sheetData>
    <row r="2" spans="2:5" x14ac:dyDescent="0.25">
      <c r="B2" s="115" t="s">
        <v>843</v>
      </c>
    </row>
    <row r="3" spans="2:5" ht="15.75" thickBot="1" x14ac:dyDescent="0.3">
      <c r="B3" s="115"/>
    </row>
    <row r="4" spans="2:5" ht="15.75" thickBot="1" x14ac:dyDescent="0.3">
      <c r="B4" s="117" t="s">
        <v>844</v>
      </c>
      <c r="C4" s="118">
        <v>5000</v>
      </c>
    </row>
    <row r="5" spans="2:5" ht="15.75" thickBot="1" x14ac:dyDescent="0.3">
      <c r="B5" s="117" t="s">
        <v>845</v>
      </c>
      <c r="C5" s="119">
        <v>0.08</v>
      </c>
    </row>
    <row r="6" spans="2:5" x14ac:dyDescent="0.25">
      <c r="B6" s="117"/>
      <c r="C6" s="120"/>
    </row>
    <row r="7" spans="2:5" x14ac:dyDescent="0.25">
      <c r="B7" s="115" t="s">
        <v>846</v>
      </c>
      <c r="C7" s="120"/>
    </row>
    <row r="8" spans="2:5" ht="15.75" thickBot="1" x14ac:dyDescent="0.3">
      <c r="B8" s="115"/>
    </row>
    <row r="9" spans="2:5" ht="15.75" thickBot="1" x14ac:dyDescent="0.3">
      <c r="B9" s="121" t="s">
        <v>738</v>
      </c>
      <c r="C9" s="122" t="s">
        <v>847</v>
      </c>
      <c r="D9" s="122" t="s">
        <v>848</v>
      </c>
      <c r="E9" s="123" t="s">
        <v>849</v>
      </c>
    </row>
    <row r="10" spans="2:5" ht="15.75" thickBot="1" x14ac:dyDescent="0.3">
      <c r="B10" s="124">
        <v>42269</v>
      </c>
      <c r="C10" s="125">
        <f>$C$4</f>
        <v>5000</v>
      </c>
      <c r="D10" s="125">
        <f>$C4*$C$5/12</f>
        <v>33.333333333333336</v>
      </c>
      <c r="E10" s="126">
        <f>C10+D10</f>
        <v>5033.333333333333</v>
      </c>
    </row>
    <row r="11" spans="2:5" ht="15.75" thickBot="1" x14ac:dyDescent="0.3">
      <c r="B11" s="124">
        <v>42299</v>
      </c>
      <c r="C11" s="125">
        <f>$C$4+$E10</f>
        <v>10033.333333333332</v>
      </c>
      <c r="D11" s="125">
        <f>$C11*$C$5/12</f>
        <v>66.888888888888886</v>
      </c>
      <c r="E11" s="126">
        <f>C11+D11</f>
        <v>10100.222222222221</v>
      </c>
    </row>
    <row r="12" spans="2:5" ht="15.75" thickBot="1" x14ac:dyDescent="0.3">
      <c r="B12" s="124">
        <v>42330</v>
      </c>
      <c r="C12" s="125">
        <f t="shared" ref="C12:C75" si="0">$C$4+$E11</f>
        <v>15100.222222222221</v>
      </c>
      <c r="D12" s="125">
        <f t="shared" ref="D12:D75" si="1">$C12*$C$5/12</f>
        <v>100.66814814814813</v>
      </c>
      <c r="E12" s="126">
        <f t="shared" ref="E12:E75" si="2">C12+D12</f>
        <v>15200.890370370369</v>
      </c>
    </row>
    <row r="13" spans="2:5" ht="15.75" thickBot="1" x14ac:dyDescent="0.3">
      <c r="B13" s="124">
        <v>42360</v>
      </c>
      <c r="C13" s="125">
        <f t="shared" si="0"/>
        <v>20200.890370370369</v>
      </c>
      <c r="D13" s="125">
        <f t="shared" si="1"/>
        <v>134.6726024691358</v>
      </c>
      <c r="E13" s="126">
        <f t="shared" si="2"/>
        <v>20335.562972839503</v>
      </c>
    </row>
    <row r="14" spans="2:5" ht="15.75" thickBot="1" x14ac:dyDescent="0.3">
      <c r="B14" s="124">
        <v>42391</v>
      </c>
      <c r="C14" s="125">
        <f t="shared" si="0"/>
        <v>25335.562972839503</v>
      </c>
      <c r="D14" s="125">
        <f t="shared" si="1"/>
        <v>168.90375315226336</v>
      </c>
      <c r="E14" s="126">
        <f t="shared" si="2"/>
        <v>25504.466725991766</v>
      </c>
    </row>
    <row r="15" spans="2:5" ht="15.75" thickBot="1" x14ac:dyDescent="0.3">
      <c r="B15" s="124">
        <v>42422</v>
      </c>
      <c r="C15" s="125">
        <f t="shared" si="0"/>
        <v>30504.466725991766</v>
      </c>
      <c r="D15" s="125">
        <f t="shared" si="1"/>
        <v>203.36311150661177</v>
      </c>
      <c r="E15" s="126">
        <f t="shared" si="2"/>
        <v>30707.829837498379</v>
      </c>
    </row>
    <row r="16" spans="2:5" ht="15.75" thickBot="1" x14ac:dyDescent="0.3">
      <c r="B16" s="124">
        <v>42451</v>
      </c>
      <c r="C16" s="125">
        <f t="shared" si="0"/>
        <v>35707.829837498379</v>
      </c>
      <c r="D16" s="125">
        <f t="shared" si="1"/>
        <v>238.05219891665584</v>
      </c>
      <c r="E16" s="126">
        <f t="shared" si="2"/>
        <v>35945.882036415038</v>
      </c>
    </row>
    <row r="17" spans="2:8" ht="15.75" thickBot="1" x14ac:dyDescent="0.3">
      <c r="B17" s="124">
        <v>42482</v>
      </c>
      <c r="C17" s="125">
        <f t="shared" si="0"/>
        <v>40945.882036415038</v>
      </c>
      <c r="D17" s="125">
        <f t="shared" si="1"/>
        <v>272.97254690943356</v>
      </c>
      <c r="E17" s="126">
        <f t="shared" si="2"/>
        <v>41218.854583324472</v>
      </c>
    </row>
    <row r="18" spans="2:8" ht="15.75" thickBot="1" x14ac:dyDescent="0.3">
      <c r="B18" s="124">
        <v>42512</v>
      </c>
      <c r="C18" s="125">
        <f t="shared" si="0"/>
        <v>46218.854583324472</v>
      </c>
      <c r="D18" s="125">
        <f t="shared" si="1"/>
        <v>308.12569722216318</v>
      </c>
      <c r="E18" s="126">
        <f t="shared" si="2"/>
        <v>46526.980280546632</v>
      </c>
    </row>
    <row r="19" spans="2:8" ht="15.75" thickBot="1" x14ac:dyDescent="0.3">
      <c r="B19" s="124">
        <v>42543</v>
      </c>
      <c r="C19" s="125">
        <f t="shared" si="0"/>
        <v>51526.980280546632</v>
      </c>
      <c r="D19" s="125">
        <f t="shared" si="1"/>
        <v>343.51320187031087</v>
      </c>
      <c r="E19" s="126">
        <f t="shared" si="2"/>
        <v>51870.49348241694</v>
      </c>
    </row>
    <row r="20" spans="2:8" ht="15.75" thickBot="1" x14ac:dyDescent="0.3">
      <c r="B20" s="124">
        <v>42573</v>
      </c>
      <c r="C20" s="125">
        <f t="shared" si="0"/>
        <v>56870.49348241694</v>
      </c>
      <c r="D20" s="125">
        <f t="shared" si="1"/>
        <v>379.13662321611292</v>
      </c>
      <c r="E20" s="126">
        <f t="shared" si="2"/>
        <v>57249.630105633056</v>
      </c>
    </row>
    <row r="21" spans="2:8" ht="15.75" thickBot="1" x14ac:dyDescent="0.3">
      <c r="B21" s="124">
        <v>42604</v>
      </c>
      <c r="C21" s="125">
        <f t="shared" si="0"/>
        <v>62249.630105633056</v>
      </c>
      <c r="D21" s="125">
        <f t="shared" si="1"/>
        <v>414.99753403755375</v>
      </c>
      <c r="E21" s="126">
        <f t="shared" si="2"/>
        <v>62664.627639670609</v>
      </c>
    </row>
    <row r="22" spans="2:8" ht="15.75" thickBot="1" x14ac:dyDescent="0.3">
      <c r="B22" s="124">
        <v>42635</v>
      </c>
      <c r="C22" s="125">
        <f t="shared" si="0"/>
        <v>67664.627639670609</v>
      </c>
      <c r="D22" s="125">
        <f t="shared" si="1"/>
        <v>451.09751759780403</v>
      </c>
      <c r="E22" s="126">
        <f t="shared" si="2"/>
        <v>68115.725157268418</v>
      </c>
      <c r="H22">
        <f>180/12</f>
        <v>15</v>
      </c>
    </row>
    <row r="23" spans="2:8" ht="15.75" thickBot="1" x14ac:dyDescent="0.3">
      <c r="B23" s="124">
        <v>42665</v>
      </c>
      <c r="C23" s="125">
        <f t="shared" si="0"/>
        <v>73115.725157268418</v>
      </c>
      <c r="D23" s="125">
        <f t="shared" si="1"/>
        <v>487.4381677151228</v>
      </c>
      <c r="E23" s="126">
        <f t="shared" si="2"/>
        <v>73603.163324983543</v>
      </c>
    </row>
    <row r="24" spans="2:8" ht="15.75" thickBot="1" x14ac:dyDescent="0.3">
      <c r="B24" s="124">
        <v>42696</v>
      </c>
      <c r="C24" s="125">
        <f t="shared" si="0"/>
        <v>78603.163324983543</v>
      </c>
      <c r="D24" s="125">
        <f t="shared" si="1"/>
        <v>524.02108883322364</v>
      </c>
      <c r="E24" s="126">
        <f t="shared" si="2"/>
        <v>79127.184413816765</v>
      </c>
    </row>
    <row r="25" spans="2:8" ht="15.75" thickBot="1" x14ac:dyDescent="0.3">
      <c r="B25" s="124">
        <v>42726</v>
      </c>
      <c r="C25" s="125">
        <f t="shared" si="0"/>
        <v>84127.184413816765</v>
      </c>
      <c r="D25" s="125">
        <f t="shared" si="1"/>
        <v>560.8478960921118</v>
      </c>
      <c r="E25" s="126">
        <f t="shared" si="2"/>
        <v>84688.032309908871</v>
      </c>
    </row>
    <row r="26" spans="2:8" ht="15.75" thickBot="1" x14ac:dyDescent="0.3">
      <c r="B26" s="124">
        <v>42757</v>
      </c>
      <c r="C26" s="125">
        <f t="shared" si="0"/>
        <v>89688.032309908871</v>
      </c>
      <c r="D26" s="125">
        <f t="shared" si="1"/>
        <v>597.92021539939253</v>
      </c>
      <c r="E26" s="126">
        <f t="shared" si="2"/>
        <v>90285.952525308268</v>
      </c>
    </row>
    <row r="27" spans="2:8" ht="15.75" thickBot="1" x14ac:dyDescent="0.3">
      <c r="B27" s="124">
        <v>42788</v>
      </c>
      <c r="C27" s="125">
        <f t="shared" si="0"/>
        <v>95285.952525308268</v>
      </c>
      <c r="D27" s="125">
        <f t="shared" si="1"/>
        <v>635.23968350205507</v>
      </c>
      <c r="E27" s="126">
        <f t="shared" si="2"/>
        <v>95921.192208810317</v>
      </c>
    </row>
    <row r="28" spans="2:8" ht="15.75" thickBot="1" x14ac:dyDescent="0.3">
      <c r="B28" s="124">
        <v>42816</v>
      </c>
      <c r="C28" s="125">
        <f t="shared" si="0"/>
        <v>100921.19220881032</v>
      </c>
      <c r="D28" s="125">
        <f t="shared" si="1"/>
        <v>672.80794805873541</v>
      </c>
      <c r="E28" s="126">
        <f t="shared" si="2"/>
        <v>101594.00015686905</v>
      </c>
    </row>
    <row r="29" spans="2:8" ht="15.75" thickBot="1" x14ac:dyDescent="0.3">
      <c r="B29" s="124">
        <v>42847</v>
      </c>
      <c r="C29" s="125">
        <f t="shared" si="0"/>
        <v>106594.00015686905</v>
      </c>
      <c r="D29" s="125">
        <f t="shared" si="1"/>
        <v>710.6266677124604</v>
      </c>
      <c r="E29" s="126">
        <f t="shared" si="2"/>
        <v>107304.62682458152</v>
      </c>
    </row>
    <row r="30" spans="2:8" ht="15.75" thickBot="1" x14ac:dyDescent="0.3">
      <c r="B30" s="124">
        <v>42877</v>
      </c>
      <c r="C30" s="125">
        <f t="shared" si="0"/>
        <v>112304.62682458152</v>
      </c>
      <c r="D30" s="125">
        <f t="shared" si="1"/>
        <v>748.6975121638767</v>
      </c>
      <c r="E30" s="126">
        <f t="shared" si="2"/>
        <v>113053.3243367454</v>
      </c>
    </row>
    <row r="31" spans="2:8" ht="15.75" thickBot="1" x14ac:dyDescent="0.3">
      <c r="B31" s="124">
        <v>42908</v>
      </c>
      <c r="C31" s="125">
        <f t="shared" si="0"/>
        <v>118053.3243367454</v>
      </c>
      <c r="D31" s="125">
        <f t="shared" si="1"/>
        <v>787.02216224496931</v>
      </c>
      <c r="E31" s="126">
        <f t="shared" si="2"/>
        <v>118840.34649899037</v>
      </c>
    </row>
    <row r="32" spans="2:8" ht="15.75" thickBot="1" x14ac:dyDescent="0.3">
      <c r="B32" s="124">
        <v>42938</v>
      </c>
      <c r="C32" s="125">
        <f t="shared" si="0"/>
        <v>123840.34649899037</v>
      </c>
      <c r="D32" s="125">
        <f t="shared" si="1"/>
        <v>825.60230999326916</v>
      </c>
      <c r="E32" s="126">
        <f t="shared" si="2"/>
        <v>124665.94880898364</v>
      </c>
    </row>
    <row r="33" spans="2:10" ht="15.75" thickBot="1" x14ac:dyDescent="0.3">
      <c r="B33" s="124">
        <v>42969</v>
      </c>
      <c r="C33" s="125">
        <f t="shared" si="0"/>
        <v>129665.94880898364</v>
      </c>
      <c r="D33" s="125">
        <f t="shared" si="1"/>
        <v>864.4396587265577</v>
      </c>
      <c r="E33" s="126">
        <f t="shared" si="2"/>
        <v>130530.38846771019</v>
      </c>
    </row>
    <row r="34" spans="2:10" ht="15.75" thickBot="1" x14ac:dyDescent="0.3">
      <c r="B34" s="124">
        <v>43000</v>
      </c>
      <c r="C34" s="125">
        <f t="shared" si="0"/>
        <v>135530.38846771017</v>
      </c>
      <c r="D34" s="125">
        <f t="shared" si="1"/>
        <v>903.53592311806779</v>
      </c>
      <c r="E34" s="126">
        <f t="shared" si="2"/>
        <v>136433.92439082824</v>
      </c>
    </row>
    <row r="35" spans="2:10" ht="15.75" thickBot="1" x14ac:dyDescent="0.3">
      <c r="B35" s="124">
        <v>43030</v>
      </c>
      <c r="C35" s="125">
        <f t="shared" si="0"/>
        <v>141433.92439082824</v>
      </c>
      <c r="D35" s="125">
        <f t="shared" si="1"/>
        <v>942.89282927218835</v>
      </c>
      <c r="E35" s="126">
        <f t="shared" si="2"/>
        <v>142376.81722010043</v>
      </c>
    </row>
    <row r="36" spans="2:10" ht="15.75" thickBot="1" x14ac:dyDescent="0.3">
      <c r="B36" s="124">
        <v>43061</v>
      </c>
      <c r="C36" s="125">
        <f t="shared" si="0"/>
        <v>147376.81722010043</v>
      </c>
      <c r="D36" s="125">
        <f t="shared" si="1"/>
        <v>982.51211480066956</v>
      </c>
      <c r="E36" s="126">
        <f t="shared" si="2"/>
        <v>148359.32933490109</v>
      </c>
    </row>
    <row r="37" spans="2:10" ht="15.75" thickBot="1" x14ac:dyDescent="0.3">
      <c r="B37" s="124">
        <v>43091</v>
      </c>
      <c r="C37" s="125">
        <f t="shared" si="0"/>
        <v>153359.32933490109</v>
      </c>
      <c r="D37" s="125">
        <f t="shared" si="1"/>
        <v>1022.3955288993407</v>
      </c>
      <c r="E37" s="126">
        <f t="shared" si="2"/>
        <v>154381.72486380042</v>
      </c>
      <c r="H37">
        <v>5000</v>
      </c>
      <c r="I37">
        <v>180</v>
      </c>
      <c r="J37">
        <f>H37*I37</f>
        <v>900000</v>
      </c>
    </row>
    <row r="38" spans="2:10" ht="15.75" thickBot="1" x14ac:dyDescent="0.3">
      <c r="B38" s="124">
        <v>43122</v>
      </c>
      <c r="C38" s="125">
        <f t="shared" si="0"/>
        <v>159381.72486380042</v>
      </c>
      <c r="D38" s="125">
        <f t="shared" si="1"/>
        <v>1062.5448324253362</v>
      </c>
      <c r="E38" s="126">
        <f t="shared" si="2"/>
        <v>160444.26969622576</v>
      </c>
    </row>
    <row r="39" spans="2:10" ht="15.75" thickBot="1" x14ac:dyDescent="0.3">
      <c r="B39" s="124">
        <v>43153</v>
      </c>
      <c r="C39" s="125">
        <f t="shared" si="0"/>
        <v>165444.26969622576</v>
      </c>
      <c r="D39" s="125">
        <f t="shared" si="1"/>
        <v>1102.9617979748384</v>
      </c>
      <c r="E39" s="126">
        <f t="shared" si="2"/>
        <v>166547.23149420059</v>
      </c>
    </row>
    <row r="40" spans="2:10" ht="15.75" thickBot="1" x14ac:dyDescent="0.3">
      <c r="B40" s="124">
        <v>43181</v>
      </c>
      <c r="C40" s="125">
        <f t="shared" si="0"/>
        <v>171547.23149420059</v>
      </c>
      <c r="D40" s="125">
        <f t="shared" si="1"/>
        <v>1143.6482099613374</v>
      </c>
      <c r="E40" s="126">
        <f t="shared" si="2"/>
        <v>172690.87970416193</v>
      </c>
    </row>
    <row r="41" spans="2:10" ht="15.75" thickBot="1" x14ac:dyDescent="0.3">
      <c r="B41" s="124">
        <v>43212</v>
      </c>
      <c r="C41" s="125">
        <f t="shared" si="0"/>
        <v>177690.87970416193</v>
      </c>
      <c r="D41" s="125">
        <f t="shared" si="1"/>
        <v>1184.6058646944127</v>
      </c>
      <c r="E41" s="126">
        <f t="shared" si="2"/>
        <v>178875.48556885633</v>
      </c>
    </row>
    <row r="42" spans="2:10" ht="15.75" thickBot="1" x14ac:dyDescent="0.3">
      <c r="B42" s="124">
        <v>43242</v>
      </c>
      <c r="C42" s="125">
        <f t="shared" si="0"/>
        <v>183875.48556885633</v>
      </c>
      <c r="D42" s="125">
        <f t="shared" si="1"/>
        <v>1225.8365704590422</v>
      </c>
      <c r="E42" s="126">
        <f t="shared" si="2"/>
        <v>185101.32213931537</v>
      </c>
    </row>
    <row r="43" spans="2:10" ht="15.75" thickBot="1" x14ac:dyDescent="0.3">
      <c r="B43" s="124">
        <v>43273</v>
      </c>
      <c r="C43" s="125">
        <f t="shared" si="0"/>
        <v>190101.32213931537</v>
      </c>
      <c r="D43" s="125">
        <f t="shared" si="1"/>
        <v>1267.3421475954358</v>
      </c>
      <c r="E43" s="126">
        <f t="shared" si="2"/>
        <v>191368.66428691079</v>
      </c>
    </row>
    <row r="44" spans="2:10" ht="15.75" thickBot="1" x14ac:dyDescent="0.3">
      <c r="B44" s="124">
        <v>43303</v>
      </c>
      <c r="C44" s="125">
        <f t="shared" si="0"/>
        <v>196368.66428691079</v>
      </c>
      <c r="D44" s="125">
        <f t="shared" si="1"/>
        <v>1309.1244285794053</v>
      </c>
      <c r="E44" s="126">
        <f t="shared" si="2"/>
        <v>197677.7887154902</v>
      </c>
    </row>
    <row r="45" spans="2:10" ht="15.75" thickBot="1" x14ac:dyDescent="0.3">
      <c r="B45" s="124">
        <v>43334</v>
      </c>
      <c r="C45" s="125">
        <f t="shared" si="0"/>
        <v>202677.7887154902</v>
      </c>
      <c r="D45" s="125">
        <f t="shared" si="1"/>
        <v>1351.1852581032679</v>
      </c>
      <c r="E45" s="126">
        <f t="shared" si="2"/>
        <v>204028.97397359347</v>
      </c>
    </row>
    <row r="46" spans="2:10" ht="15.75" thickBot="1" x14ac:dyDescent="0.3">
      <c r="B46" s="124">
        <v>43365</v>
      </c>
      <c r="C46" s="125">
        <f t="shared" si="0"/>
        <v>209028.97397359347</v>
      </c>
      <c r="D46" s="125">
        <f t="shared" si="1"/>
        <v>1393.5264931572899</v>
      </c>
      <c r="E46" s="126">
        <f t="shared" si="2"/>
        <v>210422.50046675076</v>
      </c>
    </row>
    <row r="47" spans="2:10" ht="15.75" thickBot="1" x14ac:dyDescent="0.3">
      <c r="B47" s="124">
        <v>43395</v>
      </c>
      <c r="C47" s="125">
        <f t="shared" si="0"/>
        <v>215422.50046675076</v>
      </c>
      <c r="D47" s="125">
        <f t="shared" si="1"/>
        <v>1436.1500031116718</v>
      </c>
      <c r="E47" s="126">
        <f t="shared" si="2"/>
        <v>216858.65046986242</v>
      </c>
    </row>
    <row r="48" spans="2:10" ht="15.75" thickBot="1" x14ac:dyDescent="0.3">
      <c r="B48" s="124">
        <v>43426</v>
      </c>
      <c r="C48" s="125">
        <f t="shared" si="0"/>
        <v>221858.65046986242</v>
      </c>
      <c r="D48" s="125">
        <f t="shared" si="1"/>
        <v>1479.0576697990828</v>
      </c>
      <c r="E48" s="126">
        <f t="shared" si="2"/>
        <v>223337.7081396615</v>
      </c>
    </row>
    <row r="49" spans="2:5" ht="15.75" thickBot="1" x14ac:dyDescent="0.3">
      <c r="B49" s="124">
        <v>43456</v>
      </c>
      <c r="C49" s="125">
        <f t="shared" si="0"/>
        <v>228337.7081396615</v>
      </c>
      <c r="D49" s="125">
        <f t="shared" si="1"/>
        <v>1522.2513875977431</v>
      </c>
      <c r="E49" s="126">
        <f t="shared" si="2"/>
        <v>229859.95952725923</v>
      </c>
    </row>
    <row r="50" spans="2:5" ht="15.75" thickBot="1" x14ac:dyDescent="0.3">
      <c r="B50" s="124">
        <v>43487</v>
      </c>
      <c r="C50" s="125">
        <f t="shared" si="0"/>
        <v>234859.95952725923</v>
      </c>
      <c r="D50" s="125">
        <f t="shared" si="1"/>
        <v>1565.7330635150618</v>
      </c>
      <c r="E50" s="126">
        <f t="shared" si="2"/>
        <v>236425.6925907743</v>
      </c>
    </row>
    <row r="51" spans="2:5" ht="15.75" thickBot="1" x14ac:dyDescent="0.3">
      <c r="B51" s="124">
        <v>43518</v>
      </c>
      <c r="C51" s="125">
        <f t="shared" si="0"/>
        <v>241425.6925907743</v>
      </c>
      <c r="D51" s="125">
        <f t="shared" si="1"/>
        <v>1609.5046172718287</v>
      </c>
      <c r="E51" s="126">
        <f t="shared" si="2"/>
        <v>243035.19720804613</v>
      </c>
    </row>
    <row r="52" spans="2:5" ht="15.75" thickBot="1" x14ac:dyDescent="0.3">
      <c r="B52" s="124">
        <v>43546</v>
      </c>
      <c r="C52" s="125">
        <f t="shared" si="0"/>
        <v>248035.19720804613</v>
      </c>
      <c r="D52" s="125">
        <f t="shared" si="1"/>
        <v>1653.567981386974</v>
      </c>
      <c r="E52" s="126">
        <f t="shared" si="2"/>
        <v>249688.76518943309</v>
      </c>
    </row>
    <row r="53" spans="2:5" ht="15.75" thickBot="1" x14ac:dyDescent="0.3">
      <c r="B53" s="124">
        <v>43577</v>
      </c>
      <c r="C53" s="125">
        <f t="shared" si="0"/>
        <v>254688.76518943309</v>
      </c>
      <c r="D53" s="125">
        <f t="shared" si="1"/>
        <v>1697.9251012628874</v>
      </c>
      <c r="E53" s="126">
        <f t="shared" si="2"/>
        <v>256386.69029069599</v>
      </c>
    </row>
    <row r="54" spans="2:5" ht="15.75" thickBot="1" x14ac:dyDescent="0.3">
      <c r="B54" s="124">
        <v>43607</v>
      </c>
      <c r="C54" s="125">
        <f t="shared" si="0"/>
        <v>261386.69029069599</v>
      </c>
      <c r="D54" s="125">
        <f t="shared" si="1"/>
        <v>1742.5779352713068</v>
      </c>
      <c r="E54" s="126">
        <f t="shared" si="2"/>
        <v>263129.2682259673</v>
      </c>
    </row>
    <row r="55" spans="2:5" ht="15.75" thickBot="1" x14ac:dyDescent="0.3">
      <c r="B55" s="124">
        <v>43638</v>
      </c>
      <c r="C55" s="125">
        <f t="shared" si="0"/>
        <v>268129.2682259673</v>
      </c>
      <c r="D55" s="125">
        <f t="shared" si="1"/>
        <v>1787.5284548397822</v>
      </c>
      <c r="E55" s="126">
        <f t="shared" si="2"/>
        <v>269916.79668080708</v>
      </c>
    </row>
    <row r="56" spans="2:5" ht="15.75" thickBot="1" x14ac:dyDescent="0.3">
      <c r="B56" s="124">
        <v>43668</v>
      </c>
      <c r="C56" s="125">
        <f t="shared" si="0"/>
        <v>274916.79668080708</v>
      </c>
      <c r="D56" s="125">
        <f t="shared" si="1"/>
        <v>1832.7786445387139</v>
      </c>
      <c r="E56" s="126">
        <f t="shared" si="2"/>
        <v>276749.5753253458</v>
      </c>
    </row>
    <row r="57" spans="2:5" ht="15.75" thickBot="1" x14ac:dyDescent="0.3">
      <c r="B57" s="124">
        <v>43699</v>
      </c>
      <c r="C57" s="125">
        <f t="shared" si="0"/>
        <v>281749.5753253458</v>
      </c>
      <c r="D57" s="125">
        <f t="shared" si="1"/>
        <v>1878.3305021689721</v>
      </c>
      <c r="E57" s="126">
        <f t="shared" si="2"/>
        <v>283627.90582751477</v>
      </c>
    </row>
    <row r="58" spans="2:5" ht="15.75" thickBot="1" x14ac:dyDescent="0.3">
      <c r="B58" s="124">
        <v>43730</v>
      </c>
      <c r="C58" s="125">
        <f t="shared" si="0"/>
        <v>288627.90582751477</v>
      </c>
      <c r="D58" s="125">
        <f t="shared" si="1"/>
        <v>1924.1860388500984</v>
      </c>
      <c r="E58" s="126">
        <f t="shared" si="2"/>
        <v>290552.09186636488</v>
      </c>
    </row>
    <row r="59" spans="2:5" ht="15.75" thickBot="1" x14ac:dyDescent="0.3">
      <c r="B59" s="124">
        <v>43760</v>
      </c>
      <c r="C59" s="125">
        <f t="shared" si="0"/>
        <v>295552.09186636488</v>
      </c>
      <c r="D59" s="125">
        <f t="shared" si="1"/>
        <v>1970.3472791090992</v>
      </c>
      <c r="E59" s="126">
        <f t="shared" si="2"/>
        <v>297522.439145474</v>
      </c>
    </row>
    <row r="60" spans="2:5" ht="15.75" thickBot="1" x14ac:dyDescent="0.3">
      <c r="B60" s="124">
        <v>43791</v>
      </c>
      <c r="C60" s="125">
        <f t="shared" si="0"/>
        <v>302522.439145474</v>
      </c>
      <c r="D60" s="125">
        <f t="shared" si="1"/>
        <v>2016.8162609698265</v>
      </c>
      <c r="E60" s="126">
        <f t="shared" si="2"/>
        <v>304539.25540644384</v>
      </c>
    </row>
    <row r="61" spans="2:5" ht="15.75" thickBot="1" x14ac:dyDescent="0.3">
      <c r="B61" s="124">
        <v>43821</v>
      </c>
      <c r="C61" s="125">
        <f t="shared" si="0"/>
        <v>309539.25540644384</v>
      </c>
      <c r="D61" s="125">
        <f t="shared" si="1"/>
        <v>2063.5950360429592</v>
      </c>
      <c r="E61" s="126">
        <f t="shared" si="2"/>
        <v>311602.85044248682</v>
      </c>
    </row>
    <row r="62" spans="2:5" ht="15.75" thickBot="1" x14ac:dyDescent="0.3">
      <c r="B62" s="124">
        <v>43852</v>
      </c>
      <c r="C62" s="125">
        <f t="shared" si="0"/>
        <v>316602.85044248682</v>
      </c>
      <c r="D62" s="125">
        <f t="shared" si="1"/>
        <v>2110.6856696165787</v>
      </c>
      <c r="E62" s="126">
        <f t="shared" si="2"/>
        <v>318713.53611210338</v>
      </c>
    </row>
    <row r="63" spans="2:5" ht="15.75" thickBot="1" x14ac:dyDescent="0.3">
      <c r="B63" s="124">
        <v>43883</v>
      </c>
      <c r="C63" s="125">
        <f t="shared" si="0"/>
        <v>323713.53611210338</v>
      </c>
      <c r="D63" s="125">
        <f t="shared" si="1"/>
        <v>2158.0902407473559</v>
      </c>
      <c r="E63" s="126">
        <f t="shared" si="2"/>
        <v>325871.62635285076</v>
      </c>
    </row>
    <row r="64" spans="2:5" ht="15.75" thickBot="1" x14ac:dyDescent="0.3">
      <c r="B64" s="124">
        <v>43912</v>
      </c>
      <c r="C64" s="125">
        <f t="shared" si="0"/>
        <v>330871.62635285076</v>
      </c>
      <c r="D64" s="125">
        <f t="shared" si="1"/>
        <v>2205.8108423523386</v>
      </c>
      <c r="E64" s="126">
        <f t="shared" si="2"/>
        <v>333077.43719520309</v>
      </c>
    </row>
    <row r="65" spans="2:5" ht="15.75" thickBot="1" x14ac:dyDescent="0.3">
      <c r="B65" s="124">
        <v>43943</v>
      </c>
      <c r="C65" s="125">
        <f t="shared" si="0"/>
        <v>338077.43719520309</v>
      </c>
      <c r="D65" s="125">
        <f t="shared" si="1"/>
        <v>2253.8495813013537</v>
      </c>
      <c r="E65" s="126">
        <f t="shared" si="2"/>
        <v>340331.28677650442</v>
      </c>
    </row>
    <row r="66" spans="2:5" ht="15.75" thickBot="1" x14ac:dyDescent="0.3">
      <c r="B66" s="124">
        <v>43973</v>
      </c>
      <c r="C66" s="125">
        <f t="shared" si="0"/>
        <v>345331.28677650442</v>
      </c>
      <c r="D66" s="125">
        <f t="shared" si="1"/>
        <v>2302.2085785100294</v>
      </c>
      <c r="E66" s="126">
        <f t="shared" si="2"/>
        <v>347633.49535501446</v>
      </c>
    </row>
    <row r="67" spans="2:5" ht="15.75" thickBot="1" x14ac:dyDescent="0.3">
      <c r="B67" s="124">
        <v>44004</v>
      </c>
      <c r="C67" s="125">
        <f t="shared" si="0"/>
        <v>352633.49535501446</v>
      </c>
      <c r="D67" s="125">
        <f t="shared" si="1"/>
        <v>2350.8899690334297</v>
      </c>
      <c r="E67" s="126">
        <f t="shared" si="2"/>
        <v>354984.38532404788</v>
      </c>
    </row>
    <row r="68" spans="2:5" ht="15.75" thickBot="1" x14ac:dyDescent="0.3">
      <c r="B68" s="124">
        <v>44034</v>
      </c>
      <c r="C68" s="125">
        <f t="shared" si="0"/>
        <v>359984.38532404788</v>
      </c>
      <c r="D68" s="125">
        <f t="shared" si="1"/>
        <v>2399.8959021603191</v>
      </c>
      <c r="E68" s="126">
        <f t="shared" si="2"/>
        <v>362384.2812262082</v>
      </c>
    </row>
    <row r="69" spans="2:5" ht="15.75" thickBot="1" x14ac:dyDescent="0.3">
      <c r="B69" s="124">
        <v>44065</v>
      </c>
      <c r="C69" s="125">
        <f t="shared" si="0"/>
        <v>367384.2812262082</v>
      </c>
      <c r="D69" s="125">
        <f t="shared" si="1"/>
        <v>2449.2285415080546</v>
      </c>
      <c r="E69" s="126">
        <f t="shared" si="2"/>
        <v>369833.50976771623</v>
      </c>
    </row>
    <row r="70" spans="2:5" ht="15.75" thickBot="1" x14ac:dyDescent="0.3">
      <c r="B70" s="124">
        <v>44096</v>
      </c>
      <c r="C70" s="125">
        <f t="shared" si="0"/>
        <v>374833.50976771623</v>
      </c>
      <c r="D70" s="125">
        <f t="shared" si="1"/>
        <v>2498.8900651181079</v>
      </c>
      <c r="E70" s="126">
        <f t="shared" si="2"/>
        <v>377332.39983283432</v>
      </c>
    </row>
    <row r="71" spans="2:5" ht="15.75" thickBot="1" x14ac:dyDescent="0.3">
      <c r="B71" s="124">
        <v>44126</v>
      </c>
      <c r="C71" s="125">
        <f t="shared" si="0"/>
        <v>382332.39983283432</v>
      </c>
      <c r="D71" s="125">
        <f t="shared" si="1"/>
        <v>2548.8826655522289</v>
      </c>
      <c r="E71" s="126">
        <f t="shared" si="2"/>
        <v>384881.28249838657</v>
      </c>
    </row>
    <row r="72" spans="2:5" ht="15.75" thickBot="1" x14ac:dyDescent="0.3">
      <c r="B72" s="124">
        <v>44157</v>
      </c>
      <c r="C72" s="125">
        <f t="shared" si="0"/>
        <v>389881.28249838657</v>
      </c>
      <c r="D72" s="125">
        <f t="shared" si="1"/>
        <v>2599.2085499892441</v>
      </c>
      <c r="E72" s="126">
        <f t="shared" si="2"/>
        <v>392480.49104837584</v>
      </c>
    </row>
    <row r="73" spans="2:5" ht="15.75" thickBot="1" x14ac:dyDescent="0.3">
      <c r="B73" s="124">
        <v>44187</v>
      </c>
      <c r="C73" s="125">
        <f t="shared" si="0"/>
        <v>397480.49104837584</v>
      </c>
      <c r="D73" s="125">
        <f t="shared" si="1"/>
        <v>2649.869940322506</v>
      </c>
      <c r="E73" s="126">
        <f t="shared" si="2"/>
        <v>400130.36098869838</v>
      </c>
    </row>
    <row r="74" spans="2:5" ht="15.75" thickBot="1" x14ac:dyDescent="0.3">
      <c r="B74" s="124">
        <v>44218</v>
      </c>
      <c r="C74" s="125">
        <f t="shared" si="0"/>
        <v>405130.36098869838</v>
      </c>
      <c r="D74" s="125">
        <f t="shared" si="1"/>
        <v>2700.8690732579894</v>
      </c>
      <c r="E74" s="126">
        <f t="shared" si="2"/>
        <v>407831.23006195639</v>
      </c>
    </row>
    <row r="75" spans="2:5" ht="15.75" thickBot="1" x14ac:dyDescent="0.3">
      <c r="B75" s="124">
        <v>44249</v>
      </c>
      <c r="C75" s="125">
        <f t="shared" si="0"/>
        <v>412831.23006195639</v>
      </c>
      <c r="D75" s="125">
        <f t="shared" si="1"/>
        <v>2752.2082004130425</v>
      </c>
      <c r="E75" s="126">
        <f t="shared" si="2"/>
        <v>415583.43826236943</v>
      </c>
    </row>
    <row r="76" spans="2:5" ht="15.75" thickBot="1" x14ac:dyDescent="0.3">
      <c r="B76" s="124">
        <v>44277</v>
      </c>
      <c r="C76" s="125">
        <f t="shared" ref="C76:C139" si="3">$C$4+$E75</f>
        <v>420583.43826236943</v>
      </c>
      <c r="D76" s="125">
        <f t="shared" ref="D76:D139" si="4">$C76*$C$5/12</f>
        <v>2803.889588415796</v>
      </c>
      <c r="E76" s="126">
        <f t="shared" ref="E76:E139" si="5">C76+D76</f>
        <v>423387.32785078522</v>
      </c>
    </row>
    <row r="77" spans="2:5" ht="15.75" thickBot="1" x14ac:dyDescent="0.3">
      <c r="B77" s="124">
        <v>44308</v>
      </c>
      <c r="C77" s="125">
        <f t="shared" si="3"/>
        <v>428387.32785078522</v>
      </c>
      <c r="D77" s="125">
        <f t="shared" si="4"/>
        <v>2855.9155190052347</v>
      </c>
      <c r="E77" s="126">
        <f t="shared" si="5"/>
        <v>431243.24336979043</v>
      </c>
    </row>
    <row r="78" spans="2:5" ht="15.75" thickBot="1" x14ac:dyDescent="0.3">
      <c r="B78" s="124">
        <v>44338</v>
      </c>
      <c r="C78" s="125">
        <f t="shared" si="3"/>
        <v>436243.24336979043</v>
      </c>
      <c r="D78" s="125">
        <f t="shared" si="4"/>
        <v>2908.2882891319364</v>
      </c>
      <c r="E78" s="126">
        <f t="shared" si="5"/>
        <v>439151.53165892238</v>
      </c>
    </row>
    <row r="79" spans="2:5" ht="15.75" thickBot="1" x14ac:dyDescent="0.3">
      <c r="B79" s="124">
        <v>44369</v>
      </c>
      <c r="C79" s="125">
        <f t="shared" si="3"/>
        <v>444151.53165892238</v>
      </c>
      <c r="D79" s="125">
        <f t="shared" si="4"/>
        <v>2961.010211059483</v>
      </c>
      <c r="E79" s="126">
        <f t="shared" si="5"/>
        <v>447112.54186998185</v>
      </c>
    </row>
    <row r="80" spans="2:5" ht="15.75" thickBot="1" x14ac:dyDescent="0.3">
      <c r="B80" s="124">
        <v>44399</v>
      </c>
      <c r="C80" s="125">
        <f t="shared" si="3"/>
        <v>452112.54186998185</v>
      </c>
      <c r="D80" s="125">
        <f t="shared" si="4"/>
        <v>3014.0836124665457</v>
      </c>
      <c r="E80" s="126">
        <f t="shared" si="5"/>
        <v>455126.62548244838</v>
      </c>
    </row>
    <row r="81" spans="2:5" ht="15.75" thickBot="1" x14ac:dyDescent="0.3">
      <c r="B81" s="124">
        <v>44430</v>
      </c>
      <c r="C81" s="125">
        <f t="shared" si="3"/>
        <v>460126.62548244838</v>
      </c>
      <c r="D81" s="125">
        <f t="shared" si="4"/>
        <v>3067.5108365496558</v>
      </c>
      <c r="E81" s="126">
        <f t="shared" si="5"/>
        <v>463194.136318998</v>
      </c>
    </row>
    <row r="82" spans="2:5" ht="15.75" thickBot="1" x14ac:dyDescent="0.3">
      <c r="B82" s="124">
        <v>44461</v>
      </c>
      <c r="C82" s="125">
        <f t="shared" si="3"/>
        <v>468194.136318998</v>
      </c>
      <c r="D82" s="125">
        <f t="shared" si="4"/>
        <v>3121.294242126653</v>
      </c>
      <c r="E82" s="126">
        <f t="shared" si="5"/>
        <v>471315.43056112464</v>
      </c>
    </row>
    <row r="83" spans="2:5" ht="15.75" thickBot="1" x14ac:dyDescent="0.3">
      <c r="B83" s="124">
        <v>44491</v>
      </c>
      <c r="C83" s="125">
        <f t="shared" si="3"/>
        <v>476315.43056112464</v>
      </c>
      <c r="D83" s="125">
        <f t="shared" si="4"/>
        <v>3175.4362037408314</v>
      </c>
      <c r="E83" s="126">
        <f t="shared" si="5"/>
        <v>479490.86676486547</v>
      </c>
    </row>
    <row r="84" spans="2:5" ht="15.75" thickBot="1" x14ac:dyDescent="0.3">
      <c r="B84" s="124">
        <v>44522</v>
      </c>
      <c r="C84" s="125">
        <f t="shared" si="3"/>
        <v>484490.86676486547</v>
      </c>
      <c r="D84" s="125">
        <f t="shared" si="4"/>
        <v>3229.9391117657701</v>
      </c>
      <c r="E84" s="126">
        <f t="shared" si="5"/>
        <v>487720.80587663123</v>
      </c>
    </row>
    <row r="85" spans="2:5" ht="15.75" thickBot="1" x14ac:dyDescent="0.3">
      <c r="B85" s="124">
        <v>44552</v>
      </c>
      <c r="C85" s="125">
        <f t="shared" si="3"/>
        <v>492720.80587663123</v>
      </c>
      <c r="D85" s="125">
        <f t="shared" si="4"/>
        <v>3284.8053725108748</v>
      </c>
      <c r="E85" s="126">
        <f t="shared" si="5"/>
        <v>496005.61124914209</v>
      </c>
    </row>
    <row r="86" spans="2:5" ht="15.75" thickBot="1" x14ac:dyDescent="0.3">
      <c r="B86" s="124">
        <v>44583</v>
      </c>
      <c r="C86" s="125">
        <f t="shared" si="3"/>
        <v>501005.61124914209</v>
      </c>
      <c r="D86" s="125">
        <f t="shared" si="4"/>
        <v>3340.0374083276142</v>
      </c>
      <c r="E86" s="126">
        <f t="shared" si="5"/>
        <v>504345.64865746972</v>
      </c>
    </row>
    <row r="87" spans="2:5" ht="15.75" thickBot="1" x14ac:dyDescent="0.3">
      <c r="B87" s="124">
        <v>44614</v>
      </c>
      <c r="C87" s="125">
        <f t="shared" si="3"/>
        <v>509345.64865746972</v>
      </c>
      <c r="D87" s="125">
        <f t="shared" si="4"/>
        <v>3395.6376577164647</v>
      </c>
      <c r="E87" s="126">
        <f t="shared" si="5"/>
        <v>512741.28631518618</v>
      </c>
    </row>
    <row r="88" spans="2:5" ht="15.75" thickBot="1" x14ac:dyDescent="0.3">
      <c r="B88" s="124">
        <v>44642</v>
      </c>
      <c r="C88" s="125">
        <f t="shared" si="3"/>
        <v>517741.28631518618</v>
      </c>
      <c r="D88" s="125">
        <f t="shared" si="4"/>
        <v>3451.6085754345745</v>
      </c>
      <c r="E88" s="126">
        <f t="shared" si="5"/>
        <v>521192.89489062078</v>
      </c>
    </row>
    <row r="89" spans="2:5" ht="15.75" thickBot="1" x14ac:dyDescent="0.3">
      <c r="B89" s="124">
        <v>44673</v>
      </c>
      <c r="C89" s="125">
        <f t="shared" si="3"/>
        <v>526192.89489062084</v>
      </c>
      <c r="D89" s="125">
        <f t="shared" si="4"/>
        <v>3507.9526326041391</v>
      </c>
      <c r="E89" s="126">
        <f t="shared" si="5"/>
        <v>529700.84752322501</v>
      </c>
    </row>
    <row r="90" spans="2:5" ht="15.75" thickBot="1" x14ac:dyDescent="0.3">
      <c r="B90" s="124">
        <v>44703</v>
      </c>
      <c r="C90" s="125">
        <f t="shared" si="3"/>
        <v>534700.84752322501</v>
      </c>
      <c r="D90" s="125">
        <f t="shared" si="4"/>
        <v>3564.6723168214999</v>
      </c>
      <c r="E90" s="126">
        <f t="shared" si="5"/>
        <v>538265.51984004653</v>
      </c>
    </row>
    <row r="91" spans="2:5" ht="15.75" thickBot="1" x14ac:dyDescent="0.3">
      <c r="B91" s="124">
        <v>44734</v>
      </c>
      <c r="C91" s="125">
        <f t="shared" si="3"/>
        <v>543265.51984004653</v>
      </c>
      <c r="D91" s="125">
        <f t="shared" si="4"/>
        <v>3621.7701322669768</v>
      </c>
      <c r="E91" s="126">
        <f t="shared" si="5"/>
        <v>546887.28997231356</v>
      </c>
    </row>
    <row r="92" spans="2:5" ht="15.75" thickBot="1" x14ac:dyDescent="0.3">
      <c r="B92" s="124">
        <v>44764</v>
      </c>
      <c r="C92" s="125">
        <f t="shared" si="3"/>
        <v>551887.28997231356</v>
      </c>
      <c r="D92" s="125">
        <f t="shared" si="4"/>
        <v>3679.2485998154239</v>
      </c>
      <c r="E92" s="126">
        <f t="shared" si="5"/>
        <v>555566.53857212898</v>
      </c>
    </row>
    <row r="93" spans="2:5" ht="15.75" thickBot="1" x14ac:dyDescent="0.3">
      <c r="B93" s="124">
        <v>44795</v>
      </c>
      <c r="C93" s="125">
        <f t="shared" si="3"/>
        <v>560566.53857212898</v>
      </c>
      <c r="D93" s="125">
        <f t="shared" si="4"/>
        <v>3737.1102571475262</v>
      </c>
      <c r="E93" s="126">
        <f t="shared" si="5"/>
        <v>564303.64882927656</v>
      </c>
    </row>
    <row r="94" spans="2:5" ht="15.75" thickBot="1" x14ac:dyDescent="0.3">
      <c r="B94" s="124">
        <v>44826</v>
      </c>
      <c r="C94" s="125">
        <f t="shared" si="3"/>
        <v>569303.64882927656</v>
      </c>
      <c r="D94" s="125">
        <f t="shared" si="4"/>
        <v>3795.3576588618439</v>
      </c>
      <c r="E94" s="126">
        <f t="shared" si="5"/>
        <v>573099.00648813834</v>
      </c>
    </row>
    <row r="95" spans="2:5" ht="15.75" thickBot="1" x14ac:dyDescent="0.3">
      <c r="B95" s="124">
        <v>44856</v>
      </c>
      <c r="C95" s="125">
        <f t="shared" si="3"/>
        <v>578099.00648813834</v>
      </c>
      <c r="D95" s="125">
        <f t="shared" si="4"/>
        <v>3853.993376587589</v>
      </c>
      <c r="E95" s="126">
        <f t="shared" si="5"/>
        <v>581952.99986472598</v>
      </c>
    </row>
    <row r="96" spans="2:5" ht="15.75" thickBot="1" x14ac:dyDescent="0.3">
      <c r="B96" s="124">
        <v>44887</v>
      </c>
      <c r="C96" s="125">
        <f t="shared" si="3"/>
        <v>586952.99986472598</v>
      </c>
      <c r="D96" s="125">
        <f t="shared" si="4"/>
        <v>3913.0199990981732</v>
      </c>
      <c r="E96" s="126">
        <f t="shared" si="5"/>
        <v>590866.01986382413</v>
      </c>
    </row>
    <row r="97" spans="2:5" ht="15.75" thickBot="1" x14ac:dyDescent="0.3">
      <c r="B97" s="124">
        <v>44917</v>
      </c>
      <c r="C97" s="125">
        <f t="shared" si="3"/>
        <v>595866.01986382413</v>
      </c>
      <c r="D97" s="125">
        <f t="shared" si="4"/>
        <v>3972.4401324254941</v>
      </c>
      <c r="E97" s="126">
        <f t="shared" si="5"/>
        <v>599838.45999624964</v>
      </c>
    </row>
    <row r="98" spans="2:5" ht="15.75" thickBot="1" x14ac:dyDescent="0.3">
      <c r="B98" s="124">
        <v>44948</v>
      </c>
      <c r="C98" s="125">
        <f t="shared" si="3"/>
        <v>604838.45999624964</v>
      </c>
      <c r="D98" s="125">
        <f t="shared" si="4"/>
        <v>4032.2563999749977</v>
      </c>
      <c r="E98" s="126">
        <f t="shared" si="5"/>
        <v>608870.71639622469</v>
      </c>
    </row>
    <row r="99" spans="2:5" ht="15.75" thickBot="1" x14ac:dyDescent="0.3">
      <c r="B99" s="124">
        <v>44979</v>
      </c>
      <c r="C99" s="125">
        <f t="shared" si="3"/>
        <v>613870.71639622469</v>
      </c>
      <c r="D99" s="125">
        <f t="shared" si="4"/>
        <v>4092.471442641498</v>
      </c>
      <c r="E99" s="126">
        <f t="shared" si="5"/>
        <v>617963.18783886614</v>
      </c>
    </row>
    <row r="100" spans="2:5" ht="15.75" thickBot="1" x14ac:dyDescent="0.3">
      <c r="B100" s="124">
        <v>45007</v>
      </c>
      <c r="C100" s="125">
        <f t="shared" si="3"/>
        <v>622963.18783886614</v>
      </c>
      <c r="D100" s="125">
        <f t="shared" si="4"/>
        <v>4153.0879189257748</v>
      </c>
      <c r="E100" s="126">
        <f t="shared" si="5"/>
        <v>627116.27575779194</v>
      </c>
    </row>
    <row r="101" spans="2:5" ht="15.75" thickBot="1" x14ac:dyDescent="0.3">
      <c r="B101" s="124">
        <v>45038</v>
      </c>
      <c r="C101" s="125">
        <f t="shared" si="3"/>
        <v>632116.27575779194</v>
      </c>
      <c r="D101" s="125">
        <f t="shared" si="4"/>
        <v>4214.1085050519459</v>
      </c>
      <c r="E101" s="126">
        <f t="shared" si="5"/>
        <v>636330.38426284387</v>
      </c>
    </row>
    <row r="102" spans="2:5" ht="15.75" thickBot="1" x14ac:dyDescent="0.3">
      <c r="B102" s="124">
        <v>45068</v>
      </c>
      <c r="C102" s="125">
        <f t="shared" si="3"/>
        <v>641330.38426284387</v>
      </c>
      <c r="D102" s="125">
        <f t="shared" si="4"/>
        <v>4275.5358950856262</v>
      </c>
      <c r="E102" s="126">
        <f t="shared" si="5"/>
        <v>645605.92015792953</v>
      </c>
    </row>
    <row r="103" spans="2:5" ht="15.75" thickBot="1" x14ac:dyDescent="0.3">
      <c r="B103" s="124">
        <v>45099</v>
      </c>
      <c r="C103" s="125">
        <f t="shared" si="3"/>
        <v>650605.92015792953</v>
      </c>
      <c r="D103" s="125">
        <f t="shared" si="4"/>
        <v>4337.3728010528639</v>
      </c>
      <c r="E103" s="126">
        <f t="shared" si="5"/>
        <v>654943.29295898241</v>
      </c>
    </row>
    <row r="104" spans="2:5" ht="15.75" thickBot="1" x14ac:dyDescent="0.3">
      <c r="B104" s="124">
        <v>45129</v>
      </c>
      <c r="C104" s="125">
        <f t="shared" si="3"/>
        <v>659943.29295898241</v>
      </c>
      <c r="D104" s="125">
        <f t="shared" si="4"/>
        <v>4399.6219530598828</v>
      </c>
      <c r="E104" s="126">
        <f t="shared" si="5"/>
        <v>664342.91491204232</v>
      </c>
    </row>
    <row r="105" spans="2:5" ht="15.75" thickBot="1" x14ac:dyDescent="0.3">
      <c r="B105" s="124">
        <v>45160</v>
      </c>
      <c r="C105" s="125">
        <f t="shared" si="3"/>
        <v>669342.91491204232</v>
      </c>
      <c r="D105" s="125">
        <f t="shared" si="4"/>
        <v>4462.2860994136154</v>
      </c>
      <c r="E105" s="126">
        <f t="shared" si="5"/>
        <v>673805.20101145597</v>
      </c>
    </row>
    <row r="106" spans="2:5" ht="15.75" thickBot="1" x14ac:dyDescent="0.3">
      <c r="B106" s="124">
        <v>45191</v>
      </c>
      <c r="C106" s="125">
        <f t="shared" si="3"/>
        <v>678805.20101145597</v>
      </c>
      <c r="D106" s="125">
        <f t="shared" si="4"/>
        <v>4525.3680067430396</v>
      </c>
      <c r="E106" s="126">
        <f t="shared" si="5"/>
        <v>683330.56901819899</v>
      </c>
    </row>
    <row r="107" spans="2:5" ht="15.75" thickBot="1" x14ac:dyDescent="0.3">
      <c r="B107" s="124">
        <v>45221</v>
      </c>
      <c r="C107" s="125">
        <f t="shared" si="3"/>
        <v>688330.56901819899</v>
      </c>
      <c r="D107" s="125">
        <f t="shared" si="4"/>
        <v>4588.8704601213267</v>
      </c>
      <c r="E107" s="126">
        <f t="shared" si="5"/>
        <v>692919.4394783203</v>
      </c>
    </row>
    <row r="108" spans="2:5" ht="15.75" thickBot="1" x14ac:dyDescent="0.3">
      <c r="B108" s="124">
        <v>45252</v>
      </c>
      <c r="C108" s="125">
        <f t="shared" si="3"/>
        <v>697919.4394783203</v>
      </c>
      <c r="D108" s="125">
        <f t="shared" si="4"/>
        <v>4652.7962631888022</v>
      </c>
      <c r="E108" s="126">
        <f t="shared" si="5"/>
        <v>702572.23574150912</v>
      </c>
    </row>
    <row r="109" spans="2:5" ht="15.75" thickBot="1" x14ac:dyDescent="0.3">
      <c r="B109" s="124">
        <v>45282</v>
      </c>
      <c r="C109" s="125">
        <f t="shared" si="3"/>
        <v>707572.23574150912</v>
      </c>
      <c r="D109" s="125">
        <f t="shared" si="4"/>
        <v>4717.1482382767272</v>
      </c>
      <c r="E109" s="126">
        <f t="shared" si="5"/>
        <v>712289.38397978584</v>
      </c>
    </row>
    <row r="110" spans="2:5" ht="15.75" thickBot="1" x14ac:dyDescent="0.3">
      <c r="B110" s="124">
        <v>45313</v>
      </c>
      <c r="C110" s="125">
        <f t="shared" si="3"/>
        <v>717289.38397978584</v>
      </c>
      <c r="D110" s="125">
        <f t="shared" si="4"/>
        <v>4781.9292265319054</v>
      </c>
      <c r="E110" s="126">
        <f t="shared" si="5"/>
        <v>722071.31320631772</v>
      </c>
    </row>
    <row r="111" spans="2:5" ht="15.75" thickBot="1" x14ac:dyDescent="0.3">
      <c r="B111" s="124">
        <v>45344</v>
      </c>
      <c r="C111" s="125">
        <f t="shared" si="3"/>
        <v>727071.31320631772</v>
      </c>
      <c r="D111" s="125">
        <f t="shared" si="4"/>
        <v>4847.1420880421183</v>
      </c>
      <c r="E111" s="126">
        <f t="shared" si="5"/>
        <v>731918.45529435982</v>
      </c>
    </row>
    <row r="112" spans="2:5" ht="15.75" thickBot="1" x14ac:dyDescent="0.3">
      <c r="B112" s="124">
        <v>45373</v>
      </c>
      <c r="C112" s="125">
        <f t="shared" si="3"/>
        <v>736918.45529435982</v>
      </c>
      <c r="D112" s="125">
        <f t="shared" si="4"/>
        <v>4912.7897019623988</v>
      </c>
      <c r="E112" s="126">
        <f t="shared" si="5"/>
        <v>741831.2449963222</v>
      </c>
    </row>
    <row r="113" spans="2:5" ht="15.75" thickBot="1" x14ac:dyDescent="0.3">
      <c r="B113" s="124">
        <v>45404</v>
      </c>
      <c r="C113" s="125">
        <f t="shared" si="3"/>
        <v>746831.2449963222</v>
      </c>
      <c r="D113" s="125">
        <f t="shared" si="4"/>
        <v>4978.8749666421481</v>
      </c>
      <c r="E113" s="126">
        <f t="shared" si="5"/>
        <v>751810.11996296432</v>
      </c>
    </row>
    <row r="114" spans="2:5" ht="15.75" thickBot="1" x14ac:dyDescent="0.3">
      <c r="B114" s="124">
        <v>45434</v>
      </c>
      <c r="C114" s="125">
        <f t="shared" si="3"/>
        <v>756810.11996296432</v>
      </c>
      <c r="D114" s="125">
        <f t="shared" si="4"/>
        <v>5045.4007997530962</v>
      </c>
      <c r="E114" s="126">
        <f t="shared" si="5"/>
        <v>761855.52076271747</v>
      </c>
    </row>
    <row r="115" spans="2:5" ht="15.75" thickBot="1" x14ac:dyDescent="0.3">
      <c r="B115" s="124">
        <v>45465</v>
      </c>
      <c r="C115" s="125">
        <f t="shared" si="3"/>
        <v>766855.52076271747</v>
      </c>
      <c r="D115" s="125">
        <f t="shared" si="4"/>
        <v>5112.3701384181168</v>
      </c>
      <c r="E115" s="126">
        <f t="shared" si="5"/>
        <v>771967.89090113563</v>
      </c>
    </row>
    <row r="116" spans="2:5" ht="15.75" thickBot="1" x14ac:dyDescent="0.3">
      <c r="B116" s="124">
        <v>45495</v>
      </c>
      <c r="C116" s="125">
        <f t="shared" si="3"/>
        <v>776967.89090113563</v>
      </c>
      <c r="D116" s="125">
        <f t="shared" si="4"/>
        <v>5179.7859393409044</v>
      </c>
      <c r="E116" s="126">
        <f t="shared" si="5"/>
        <v>782147.67684047658</v>
      </c>
    </row>
    <row r="117" spans="2:5" ht="15.75" thickBot="1" x14ac:dyDescent="0.3">
      <c r="B117" s="124">
        <v>45526</v>
      </c>
      <c r="C117" s="125">
        <f t="shared" si="3"/>
        <v>787147.67684047658</v>
      </c>
      <c r="D117" s="125">
        <f t="shared" si="4"/>
        <v>5247.6511789365104</v>
      </c>
      <c r="E117" s="126">
        <f t="shared" si="5"/>
        <v>792395.32801941305</v>
      </c>
    </row>
    <row r="118" spans="2:5" ht="15.75" thickBot="1" x14ac:dyDescent="0.3">
      <c r="B118" s="124">
        <v>45557</v>
      </c>
      <c r="C118" s="125">
        <f t="shared" si="3"/>
        <v>797395.32801941305</v>
      </c>
      <c r="D118" s="125">
        <f t="shared" si="4"/>
        <v>5315.9688534627539</v>
      </c>
      <c r="E118" s="126">
        <f t="shared" si="5"/>
        <v>802711.29687287577</v>
      </c>
    </row>
    <row r="119" spans="2:5" ht="15.75" thickBot="1" x14ac:dyDescent="0.3">
      <c r="B119" s="124">
        <v>45587</v>
      </c>
      <c r="C119" s="125">
        <f t="shared" si="3"/>
        <v>807711.29687287577</v>
      </c>
      <c r="D119" s="125">
        <f t="shared" si="4"/>
        <v>5384.7419791525053</v>
      </c>
      <c r="E119" s="126">
        <f t="shared" si="5"/>
        <v>813096.03885202832</v>
      </c>
    </row>
    <row r="120" spans="2:5" ht="15.75" thickBot="1" x14ac:dyDescent="0.3">
      <c r="B120" s="124">
        <v>45618</v>
      </c>
      <c r="C120" s="125">
        <f t="shared" si="3"/>
        <v>818096.03885202832</v>
      </c>
      <c r="D120" s="125">
        <f t="shared" si="4"/>
        <v>5453.9735923468552</v>
      </c>
      <c r="E120" s="126">
        <f t="shared" si="5"/>
        <v>823550.0124443752</v>
      </c>
    </row>
    <row r="121" spans="2:5" ht="15.75" thickBot="1" x14ac:dyDescent="0.3">
      <c r="B121" s="124">
        <v>45648</v>
      </c>
      <c r="C121" s="125">
        <f t="shared" si="3"/>
        <v>828550.0124443752</v>
      </c>
      <c r="D121" s="125">
        <f t="shared" si="4"/>
        <v>5523.6667496291675</v>
      </c>
      <c r="E121" s="126">
        <f t="shared" si="5"/>
        <v>834073.67919400439</v>
      </c>
    </row>
    <row r="122" spans="2:5" ht="15.75" thickBot="1" x14ac:dyDescent="0.3">
      <c r="B122" s="124">
        <v>45679</v>
      </c>
      <c r="C122" s="125">
        <f t="shared" si="3"/>
        <v>839073.67919400439</v>
      </c>
      <c r="D122" s="125">
        <f t="shared" si="4"/>
        <v>5593.8245279600296</v>
      </c>
      <c r="E122" s="126">
        <f t="shared" si="5"/>
        <v>844667.50372196443</v>
      </c>
    </row>
    <row r="123" spans="2:5" ht="15.75" thickBot="1" x14ac:dyDescent="0.3">
      <c r="B123" s="124">
        <v>45710</v>
      </c>
      <c r="C123" s="125">
        <f t="shared" si="3"/>
        <v>849667.50372196443</v>
      </c>
      <c r="D123" s="125">
        <f t="shared" si="4"/>
        <v>5664.4500248130962</v>
      </c>
      <c r="E123" s="126">
        <f t="shared" si="5"/>
        <v>855331.95374677749</v>
      </c>
    </row>
    <row r="124" spans="2:5" ht="15.75" thickBot="1" x14ac:dyDescent="0.3">
      <c r="B124" s="124">
        <v>45738</v>
      </c>
      <c r="C124" s="125">
        <f t="shared" si="3"/>
        <v>860331.95374677749</v>
      </c>
      <c r="D124" s="125">
        <f t="shared" si="4"/>
        <v>5735.5463583118499</v>
      </c>
      <c r="E124" s="126">
        <f t="shared" si="5"/>
        <v>866067.50010508939</v>
      </c>
    </row>
    <row r="125" spans="2:5" ht="15.75" thickBot="1" x14ac:dyDescent="0.3">
      <c r="B125" s="124">
        <v>45769</v>
      </c>
      <c r="C125" s="125">
        <f t="shared" si="3"/>
        <v>871067.50010508939</v>
      </c>
      <c r="D125" s="125">
        <f t="shared" si="4"/>
        <v>5807.1166673672633</v>
      </c>
      <c r="E125" s="126">
        <f t="shared" si="5"/>
        <v>876874.61677245668</v>
      </c>
    </row>
    <row r="126" spans="2:5" ht="15.75" thickBot="1" x14ac:dyDescent="0.3">
      <c r="B126" s="124">
        <v>45799</v>
      </c>
      <c r="C126" s="125">
        <f t="shared" si="3"/>
        <v>881874.61677245668</v>
      </c>
      <c r="D126" s="125">
        <f t="shared" si="4"/>
        <v>5879.164111816378</v>
      </c>
      <c r="E126" s="126">
        <f t="shared" si="5"/>
        <v>887753.780884273</v>
      </c>
    </row>
    <row r="127" spans="2:5" ht="15.75" thickBot="1" x14ac:dyDescent="0.3">
      <c r="B127" s="124">
        <v>45830</v>
      </c>
      <c r="C127" s="125">
        <f t="shared" si="3"/>
        <v>892753.780884273</v>
      </c>
      <c r="D127" s="125">
        <f t="shared" si="4"/>
        <v>5951.6918725618198</v>
      </c>
      <c r="E127" s="126">
        <f t="shared" si="5"/>
        <v>898705.47275683482</v>
      </c>
    </row>
    <row r="128" spans="2:5" ht="15.75" thickBot="1" x14ac:dyDescent="0.3">
      <c r="B128" s="124">
        <v>45860</v>
      </c>
      <c r="C128" s="125">
        <f t="shared" si="3"/>
        <v>903705.47275683482</v>
      </c>
      <c r="D128" s="125">
        <f t="shared" si="4"/>
        <v>6024.7031517122314</v>
      </c>
      <c r="E128" s="126">
        <f t="shared" si="5"/>
        <v>909730.17590854701</v>
      </c>
    </row>
    <row r="129" spans="2:5" ht="15.75" thickBot="1" x14ac:dyDescent="0.3">
      <c r="B129" s="124">
        <v>45891</v>
      </c>
      <c r="C129" s="125">
        <f t="shared" si="3"/>
        <v>914730.17590854701</v>
      </c>
      <c r="D129" s="125">
        <f t="shared" si="4"/>
        <v>6098.2011727236468</v>
      </c>
      <c r="E129" s="126">
        <f t="shared" si="5"/>
        <v>920828.37708127068</v>
      </c>
    </row>
    <row r="130" spans="2:5" ht="15.75" thickBot="1" x14ac:dyDescent="0.3">
      <c r="B130" s="124">
        <v>45922</v>
      </c>
      <c r="C130" s="125">
        <f t="shared" si="3"/>
        <v>925828.37708127068</v>
      </c>
      <c r="D130" s="125">
        <f t="shared" si="4"/>
        <v>6172.1891805418045</v>
      </c>
      <c r="E130" s="126">
        <f t="shared" si="5"/>
        <v>932000.56626181246</v>
      </c>
    </row>
    <row r="131" spans="2:5" ht="15.75" thickBot="1" x14ac:dyDescent="0.3">
      <c r="B131" s="124">
        <v>45952</v>
      </c>
      <c r="C131" s="125">
        <f t="shared" si="3"/>
        <v>937000.56626181246</v>
      </c>
      <c r="D131" s="125">
        <f t="shared" si="4"/>
        <v>6246.6704417454166</v>
      </c>
      <c r="E131" s="126">
        <f t="shared" si="5"/>
        <v>943247.23670355789</v>
      </c>
    </row>
    <row r="132" spans="2:5" ht="15.75" thickBot="1" x14ac:dyDescent="0.3">
      <c r="B132" s="124">
        <v>45983</v>
      </c>
      <c r="C132" s="125">
        <f t="shared" si="3"/>
        <v>948247.23670355789</v>
      </c>
      <c r="D132" s="125">
        <f t="shared" si="4"/>
        <v>6321.6482446903865</v>
      </c>
      <c r="E132" s="126">
        <f t="shared" si="5"/>
        <v>954568.88494824828</v>
      </c>
    </row>
    <row r="133" spans="2:5" ht="15.75" thickBot="1" x14ac:dyDescent="0.3">
      <c r="B133" s="124">
        <v>46013</v>
      </c>
      <c r="C133" s="125">
        <f t="shared" si="3"/>
        <v>959568.88494824828</v>
      </c>
      <c r="D133" s="125">
        <f t="shared" si="4"/>
        <v>6397.1258996549886</v>
      </c>
      <c r="E133" s="126">
        <f t="shared" si="5"/>
        <v>965966.01084790332</v>
      </c>
    </row>
    <row r="134" spans="2:5" ht="15.75" thickBot="1" x14ac:dyDescent="0.3">
      <c r="B134" s="124">
        <v>46044</v>
      </c>
      <c r="C134" s="125">
        <f t="shared" si="3"/>
        <v>970966.01084790332</v>
      </c>
      <c r="D134" s="125">
        <f t="shared" si="4"/>
        <v>6473.1067389860218</v>
      </c>
      <c r="E134" s="126">
        <f t="shared" si="5"/>
        <v>977439.1175868893</v>
      </c>
    </row>
    <row r="135" spans="2:5" ht="15.75" thickBot="1" x14ac:dyDescent="0.3">
      <c r="B135" s="124">
        <v>46075</v>
      </c>
      <c r="C135" s="125">
        <f t="shared" si="3"/>
        <v>982439.1175868893</v>
      </c>
      <c r="D135" s="125">
        <f t="shared" si="4"/>
        <v>6549.5941172459288</v>
      </c>
      <c r="E135" s="126">
        <f t="shared" si="5"/>
        <v>988988.71170413529</v>
      </c>
    </row>
    <row r="136" spans="2:5" ht="15.75" thickBot="1" x14ac:dyDescent="0.3">
      <c r="B136" s="124">
        <v>46103</v>
      </c>
      <c r="C136" s="125">
        <f t="shared" si="3"/>
        <v>993988.71170413529</v>
      </c>
      <c r="D136" s="125">
        <f t="shared" si="4"/>
        <v>6626.5914113609024</v>
      </c>
      <c r="E136" s="126">
        <f t="shared" si="5"/>
        <v>1000615.3031154962</v>
      </c>
    </row>
    <row r="137" spans="2:5" ht="15.75" thickBot="1" x14ac:dyDescent="0.3">
      <c r="B137" s="124">
        <v>46134</v>
      </c>
      <c r="C137" s="125">
        <f t="shared" si="3"/>
        <v>1005615.3031154962</v>
      </c>
      <c r="D137" s="125">
        <f t="shared" si="4"/>
        <v>6704.1020207699739</v>
      </c>
      <c r="E137" s="126">
        <f t="shared" si="5"/>
        <v>1012319.4051362661</v>
      </c>
    </row>
    <row r="138" spans="2:5" ht="15.75" thickBot="1" x14ac:dyDescent="0.3">
      <c r="B138" s="124">
        <v>46164</v>
      </c>
      <c r="C138" s="125">
        <f t="shared" si="3"/>
        <v>1017319.4051362661</v>
      </c>
      <c r="D138" s="125">
        <f t="shared" si="4"/>
        <v>6782.1293675751076</v>
      </c>
      <c r="E138" s="126">
        <f t="shared" si="5"/>
        <v>1024101.5345038413</v>
      </c>
    </row>
    <row r="139" spans="2:5" ht="15.75" thickBot="1" x14ac:dyDescent="0.3">
      <c r="B139" s="124">
        <v>46195</v>
      </c>
      <c r="C139" s="125">
        <f t="shared" si="3"/>
        <v>1029101.5345038413</v>
      </c>
      <c r="D139" s="125">
        <f t="shared" si="4"/>
        <v>6860.6768966922755</v>
      </c>
      <c r="E139" s="126">
        <f t="shared" si="5"/>
        <v>1035962.2114005336</v>
      </c>
    </row>
    <row r="140" spans="2:5" ht="15.75" thickBot="1" x14ac:dyDescent="0.3">
      <c r="B140" s="124">
        <v>46225</v>
      </c>
      <c r="C140" s="125">
        <f t="shared" ref="C140:C189" si="6">$C$4+$E139</f>
        <v>1040962.2114005336</v>
      </c>
      <c r="D140" s="125">
        <f t="shared" ref="D140:D189" si="7">$C140*$C$5/12</f>
        <v>6939.7480760035578</v>
      </c>
      <c r="E140" s="126">
        <f t="shared" ref="E140:E189" si="8">C140+D140</f>
        <v>1047901.9594765371</v>
      </c>
    </row>
    <row r="141" spans="2:5" ht="15.75" thickBot="1" x14ac:dyDescent="0.3">
      <c r="B141" s="124">
        <v>46256</v>
      </c>
      <c r="C141" s="125">
        <f t="shared" si="6"/>
        <v>1052901.9594765371</v>
      </c>
      <c r="D141" s="125">
        <f t="shared" si="7"/>
        <v>7019.3463965102464</v>
      </c>
      <c r="E141" s="126">
        <f t="shared" si="8"/>
        <v>1059921.3058730473</v>
      </c>
    </row>
    <row r="142" spans="2:5" ht="15.75" thickBot="1" x14ac:dyDescent="0.3">
      <c r="B142" s="124">
        <v>46287</v>
      </c>
      <c r="C142" s="125">
        <f t="shared" si="6"/>
        <v>1064921.3058730473</v>
      </c>
      <c r="D142" s="125">
        <f t="shared" si="7"/>
        <v>7099.4753724869815</v>
      </c>
      <c r="E142" s="126">
        <f t="shared" si="8"/>
        <v>1072020.7812455343</v>
      </c>
    </row>
    <row r="143" spans="2:5" ht="15.75" thickBot="1" x14ac:dyDescent="0.3">
      <c r="B143" s="124">
        <v>46317</v>
      </c>
      <c r="C143" s="125">
        <f t="shared" si="6"/>
        <v>1077020.7812455343</v>
      </c>
      <c r="D143" s="125">
        <f t="shared" si="7"/>
        <v>7180.1385416368948</v>
      </c>
      <c r="E143" s="126">
        <f t="shared" si="8"/>
        <v>1084200.9197871713</v>
      </c>
    </row>
    <row r="144" spans="2:5" ht="15.75" thickBot="1" x14ac:dyDescent="0.3">
      <c r="B144" s="124">
        <v>46348</v>
      </c>
      <c r="C144" s="125">
        <f t="shared" si="6"/>
        <v>1089200.9197871713</v>
      </c>
      <c r="D144" s="125">
        <f t="shared" si="7"/>
        <v>7261.3394652478091</v>
      </c>
      <c r="E144" s="126">
        <f t="shared" si="8"/>
        <v>1096462.259252419</v>
      </c>
    </row>
    <row r="145" spans="2:5" ht="15.75" thickBot="1" x14ac:dyDescent="0.3">
      <c r="B145" s="124">
        <v>46378</v>
      </c>
      <c r="C145" s="125">
        <f t="shared" si="6"/>
        <v>1101462.259252419</v>
      </c>
      <c r="D145" s="125">
        <f t="shared" si="7"/>
        <v>7343.0817283494607</v>
      </c>
      <c r="E145" s="126">
        <f t="shared" si="8"/>
        <v>1108805.3409807684</v>
      </c>
    </row>
    <row r="146" spans="2:5" ht="15.75" thickBot="1" x14ac:dyDescent="0.3">
      <c r="B146" s="124">
        <v>46409</v>
      </c>
      <c r="C146" s="125">
        <f t="shared" si="6"/>
        <v>1113805.3409807684</v>
      </c>
      <c r="D146" s="125">
        <f t="shared" si="7"/>
        <v>7425.3689398717897</v>
      </c>
      <c r="E146" s="126">
        <f t="shared" si="8"/>
        <v>1121230.7099206403</v>
      </c>
    </row>
    <row r="147" spans="2:5" ht="15.75" thickBot="1" x14ac:dyDescent="0.3">
      <c r="B147" s="124">
        <v>46440</v>
      </c>
      <c r="C147" s="125">
        <f t="shared" si="6"/>
        <v>1126230.7099206403</v>
      </c>
      <c r="D147" s="125">
        <f t="shared" si="7"/>
        <v>7508.204732804269</v>
      </c>
      <c r="E147" s="126">
        <f t="shared" si="8"/>
        <v>1133738.9146534447</v>
      </c>
    </row>
    <row r="148" spans="2:5" ht="15.75" thickBot="1" x14ac:dyDescent="0.3">
      <c r="B148" s="124">
        <v>46468</v>
      </c>
      <c r="C148" s="125">
        <f t="shared" si="6"/>
        <v>1138738.9146534447</v>
      </c>
      <c r="D148" s="125">
        <f t="shared" si="7"/>
        <v>7591.5927643562982</v>
      </c>
      <c r="E148" s="126">
        <f t="shared" si="8"/>
        <v>1146330.5074178011</v>
      </c>
    </row>
    <row r="149" spans="2:5" ht="15.75" thickBot="1" x14ac:dyDescent="0.3">
      <c r="B149" s="124">
        <v>46499</v>
      </c>
      <c r="C149" s="125">
        <f t="shared" si="6"/>
        <v>1151330.5074178011</v>
      </c>
      <c r="D149" s="125">
        <f t="shared" si="7"/>
        <v>7675.5367161186741</v>
      </c>
      <c r="E149" s="126">
        <f t="shared" si="8"/>
        <v>1159006.0441339198</v>
      </c>
    </row>
    <row r="150" spans="2:5" ht="15.75" thickBot="1" x14ac:dyDescent="0.3">
      <c r="B150" s="124">
        <v>46529</v>
      </c>
      <c r="C150" s="125">
        <f t="shared" si="6"/>
        <v>1164006.0441339198</v>
      </c>
      <c r="D150" s="125">
        <f t="shared" si="7"/>
        <v>7760.0402942261317</v>
      </c>
      <c r="E150" s="126">
        <f t="shared" si="8"/>
        <v>1171766.0844281458</v>
      </c>
    </row>
    <row r="151" spans="2:5" ht="15.75" thickBot="1" x14ac:dyDescent="0.3">
      <c r="B151" s="124">
        <v>46560</v>
      </c>
      <c r="C151" s="125">
        <f t="shared" si="6"/>
        <v>1176766.0844281458</v>
      </c>
      <c r="D151" s="125">
        <f t="shared" si="7"/>
        <v>7845.1072295209715</v>
      </c>
      <c r="E151" s="126">
        <f t="shared" si="8"/>
        <v>1184611.1916576668</v>
      </c>
    </row>
    <row r="152" spans="2:5" ht="15.75" thickBot="1" x14ac:dyDescent="0.3">
      <c r="B152" s="124">
        <v>46590</v>
      </c>
      <c r="C152" s="125">
        <f t="shared" si="6"/>
        <v>1189611.1916576668</v>
      </c>
      <c r="D152" s="125">
        <f t="shared" si="7"/>
        <v>7930.7412777177788</v>
      </c>
      <c r="E152" s="126">
        <f t="shared" si="8"/>
        <v>1197541.9329353846</v>
      </c>
    </row>
    <row r="153" spans="2:5" ht="15.75" thickBot="1" x14ac:dyDescent="0.3">
      <c r="B153" s="124">
        <v>46621</v>
      </c>
      <c r="C153" s="125">
        <f t="shared" si="6"/>
        <v>1202541.9329353846</v>
      </c>
      <c r="D153" s="125">
        <f t="shared" si="7"/>
        <v>8016.9462195692313</v>
      </c>
      <c r="E153" s="126">
        <f t="shared" si="8"/>
        <v>1210558.8791549539</v>
      </c>
    </row>
    <row r="154" spans="2:5" ht="15.75" thickBot="1" x14ac:dyDescent="0.3">
      <c r="B154" s="124">
        <v>46652</v>
      </c>
      <c r="C154" s="125">
        <f t="shared" si="6"/>
        <v>1215558.8791549539</v>
      </c>
      <c r="D154" s="125">
        <f t="shared" si="7"/>
        <v>8103.7258610330255</v>
      </c>
      <c r="E154" s="126">
        <f t="shared" si="8"/>
        <v>1223662.6050159868</v>
      </c>
    </row>
    <row r="155" spans="2:5" ht="15.75" thickBot="1" x14ac:dyDescent="0.3">
      <c r="B155" s="124">
        <v>46682</v>
      </c>
      <c r="C155" s="125">
        <f t="shared" si="6"/>
        <v>1228662.6050159868</v>
      </c>
      <c r="D155" s="125">
        <f t="shared" si="7"/>
        <v>8191.0840334399118</v>
      </c>
      <c r="E155" s="126">
        <f t="shared" si="8"/>
        <v>1236853.6890494267</v>
      </c>
    </row>
    <row r="156" spans="2:5" ht="15.75" thickBot="1" x14ac:dyDescent="0.3">
      <c r="B156" s="124">
        <v>46713</v>
      </c>
      <c r="C156" s="125">
        <f t="shared" si="6"/>
        <v>1241853.6890494267</v>
      </c>
      <c r="D156" s="125">
        <f t="shared" si="7"/>
        <v>8279.0245936628453</v>
      </c>
      <c r="E156" s="126">
        <f t="shared" si="8"/>
        <v>1250132.7136430896</v>
      </c>
    </row>
    <row r="157" spans="2:5" ht="15.75" thickBot="1" x14ac:dyDescent="0.3">
      <c r="B157" s="124">
        <v>46743</v>
      </c>
      <c r="C157" s="125">
        <f t="shared" si="6"/>
        <v>1255132.7136430896</v>
      </c>
      <c r="D157" s="125">
        <f t="shared" si="7"/>
        <v>8367.551424287265</v>
      </c>
      <c r="E157" s="126">
        <f t="shared" si="8"/>
        <v>1263500.2650673769</v>
      </c>
    </row>
    <row r="158" spans="2:5" ht="15.75" thickBot="1" x14ac:dyDescent="0.3">
      <c r="B158" s="124">
        <v>46774</v>
      </c>
      <c r="C158" s="125">
        <f t="shared" si="6"/>
        <v>1268500.2650673769</v>
      </c>
      <c r="D158" s="125">
        <f t="shared" si="7"/>
        <v>8456.6684337825118</v>
      </c>
      <c r="E158" s="126">
        <f t="shared" si="8"/>
        <v>1276956.9335011593</v>
      </c>
    </row>
    <row r="159" spans="2:5" ht="15.75" thickBot="1" x14ac:dyDescent="0.3">
      <c r="B159" s="124">
        <v>46805</v>
      </c>
      <c r="C159" s="125">
        <f t="shared" si="6"/>
        <v>1281956.9335011593</v>
      </c>
      <c r="D159" s="125">
        <f t="shared" si="7"/>
        <v>8546.3795566743956</v>
      </c>
      <c r="E159" s="126">
        <f t="shared" si="8"/>
        <v>1290503.3130578338</v>
      </c>
    </row>
    <row r="160" spans="2:5" ht="15.75" thickBot="1" x14ac:dyDescent="0.3">
      <c r="B160" s="124">
        <v>46834</v>
      </c>
      <c r="C160" s="125">
        <f t="shared" si="6"/>
        <v>1295503.3130578338</v>
      </c>
      <c r="D160" s="125">
        <f t="shared" si="7"/>
        <v>8636.6887537188923</v>
      </c>
      <c r="E160" s="126">
        <f t="shared" si="8"/>
        <v>1304140.0018115528</v>
      </c>
    </row>
    <row r="161" spans="2:5" ht="15.75" thickBot="1" x14ac:dyDescent="0.3">
      <c r="B161" s="124">
        <v>46865</v>
      </c>
      <c r="C161" s="125">
        <f t="shared" si="6"/>
        <v>1309140.0018115528</v>
      </c>
      <c r="D161" s="125">
        <f t="shared" si="7"/>
        <v>8727.6000120770186</v>
      </c>
      <c r="E161" s="126">
        <f t="shared" si="8"/>
        <v>1317867.6018236298</v>
      </c>
    </row>
    <row r="162" spans="2:5" ht="15.75" thickBot="1" x14ac:dyDescent="0.3">
      <c r="B162" s="124">
        <v>46895</v>
      </c>
      <c r="C162" s="125">
        <f t="shared" si="6"/>
        <v>1322867.6018236298</v>
      </c>
      <c r="D162" s="125">
        <f t="shared" si="7"/>
        <v>8819.1173454908658</v>
      </c>
      <c r="E162" s="126">
        <f t="shared" si="8"/>
        <v>1331686.7191691208</v>
      </c>
    </row>
    <row r="163" spans="2:5" ht="15.75" thickBot="1" x14ac:dyDescent="0.3">
      <c r="B163" s="124">
        <v>46926</v>
      </c>
      <c r="C163" s="125">
        <f t="shared" si="6"/>
        <v>1336686.7191691208</v>
      </c>
      <c r="D163" s="125">
        <f t="shared" si="7"/>
        <v>8911.2447944608048</v>
      </c>
      <c r="E163" s="126">
        <f t="shared" si="8"/>
        <v>1345597.9639635815</v>
      </c>
    </row>
    <row r="164" spans="2:5" ht="15.75" thickBot="1" x14ac:dyDescent="0.3">
      <c r="B164" s="124">
        <v>46956</v>
      </c>
      <c r="C164" s="125">
        <f t="shared" si="6"/>
        <v>1350597.9639635815</v>
      </c>
      <c r="D164" s="125">
        <f t="shared" si="7"/>
        <v>9003.9864264238768</v>
      </c>
      <c r="E164" s="126">
        <f t="shared" si="8"/>
        <v>1359601.9503900053</v>
      </c>
    </row>
    <row r="165" spans="2:5" ht="15.75" thickBot="1" x14ac:dyDescent="0.3">
      <c r="B165" s="124">
        <v>46987</v>
      </c>
      <c r="C165" s="125">
        <f t="shared" si="6"/>
        <v>1364601.9503900053</v>
      </c>
      <c r="D165" s="125">
        <f t="shared" si="7"/>
        <v>9097.3463359333691</v>
      </c>
      <c r="E165" s="126">
        <f t="shared" si="8"/>
        <v>1373699.2967259386</v>
      </c>
    </row>
    <row r="166" spans="2:5" ht="15.75" thickBot="1" x14ac:dyDescent="0.3">
      <c r="B166" s="124">
        <v>47018</v>
      </c>
      <c r="C166" s="125">
        <f t="shared" si="6"/>
        <v>1378699.2967259386</v>
      </c>
      <c r="D166" s="125">
        <f t="shared" si="7"/>
        <v>9191.3286448395902</v>
      </c>
      <c r="E166" s="126">
        <f t="shared" si="8"/>
        <v>1387890.6253707781</v>
      </c>
    </row>
    <row r="167" spans="2:5" ht="15.75" thickBot="1" x14ac:dyDescent="0.3">
      <c r="B167" s="124">
        <v>47048</v>
      </c>
      <c r="C167" s="125">
        <f t="shared" si="6"/>
        <v>1392890.6253707781</v>
      </c>
      <c r="D167" s="125">
        <f t="shared" si="7"/>
        <v>9285.9375024718556</v>
      </c>
      <c r="E167" s="126">
        <f t="shared" si="8"/>
        <v>1402176.5628732501</v>
      </c>
    </row>
    <row r="168" spans="2:5" ht="15.75" thickBot="1" x14ac:dyDescent="0.3">
      <c r="B168" s="124">
        <v>47079</v>
      </c>
      <c r="C168" s="125">
        <f t="shared" si="6"/>
        <v>1407176.5628732501</v>
      </c>
      <c r="D168" s="125">
        <f t="shared" si="7"/>
        <v>9381.1770858216678</v>
      </c>
      <c r="E168" s="126">
        <f t="shared" si="8"/>
        <v>1416557.7399590719</v>
      </c>
    </row>
    <row r="169" spans="2:5" ht="15.75" thickBot="1" x14ac:dyDescent="0.3">
      <c r="B169" s="124">
        <v>47109</v>
      </c>
      <c r="C169" s="125">
        <f t="shared" si="6"/>
        <v>1421557.7399590719</v>
      </c>
      <c r="D169" s="125">
        <f t="shared" si="7"/>
        <v>9477.051599727145</v>
      </c>
      <c r="E169" s="126">
        <f t="shared" si="8"/>
        <v>1431034.7915587991</v>
      </c>
    </row>
    <row r="170" spans="2:5" ht="15.75" thickBot="1" x14ac:dyDescent="0.3">
      <c r="B170" s="124">
        <v>47140</v>
      </c>
      <c r="C170" s="125">
        <f t="shared" si="6"/>
        <v>1436034.7915587991</v>
      </c>
      <c r="D170" s="125">
        <f t="shared" si="7"/>
        <v>9573.5652770586603</v>
      </c>
      <c r="E170" s="126">
        <f t="shared" si="8"/>
        <v>1445608.3568358577</v>
      </c>
    </row>
    <row r="171" spans="2:5" ht="15.75" thickBot="1" x14ac:dyDescent="0.3">
      <c r="B171" s="124">
        <v>47171</v>
      </c>
      <c r="C171" s="125">
        <f t="shared" si="6"/>
        <v>1450608.3568358577</v>
      </c>
      <c r="D171" s="125">
        <f t="shared" si="7"/>
        <v>9670.7223789057189</v>
      </c>
      <c r="E171" s="126">
        <f t="shared" si="8"/>
        <v>1460279.0792147634</v>
      </c>
    </row>
    <row r="172" spans="2:5" ht="15.75" thickBot="1" x14ac:dyDescent="0.3">
      <c r="B172" s="124">
        <v>47199</v>
      </c>
      <c r="C172" s="125">
        <f t="shared" si="6"/>
        <v>1465279.0792147634</v>
      </c>
      <c r="D172" s="125">
        <f t="shared" si="7"/>
        <v>9768.527194765089</v>
      </c>
      <c r="E172" s="126">
        <f t="shared" si="8"/>
        <v>1475047.6064095285</v>
      </c>
    </row>
    <row r="173" spans="2:5" ht="15.75" thickBot="1" x14ac:dyDescent="0.3">
      <c r="B173" s="124">
        <v>47230</v>
      </c>
      <c r="C173" s="125">
        <f t="shared" si="6"/>
        <v>1480047.6064095285</v>
      </c>
      <c r="D173" s="125">
        <f t="shared" si="7"/>
        <v>9866.9840427301915</v>
      </c>
      <c r="E173" s="126">
        <f t="shared" si="8"/>
        <v>1489914.5904522587</v>
      </c>
    </row>
    <row r="174" spans="2:5" ht="15.75" thickBot="1" x14ac:dyDescent="0.3">
      <c r="B174" s="124">
        <v>47260</v>
      </c>
      <c r="C174" s="125">
        <f t="shared" si="6"/>
        <v>1494914.5904522587</v>
      </c>
      <c r="D174" s="125">
        <f t="shared" si="7"/>
        <v>9966.0972696817244</v>
      </c>
      <c r="E174" s="126">
        <f t="shared" si="8"/>
        <v>1504880.6877219405</v>
      </c>
    </row>
    <row r="175" spans="2:5" ht="15.75" thickBot="1" x14ac:dyDescent="0.3">
      <c r="B175" s="124">
        <v>47291</v>
      </c>
      <c r="C175" s="125">
        <f t="shared" si="6"/>
        <v>1509880.6877219405</v>
      </c>
      <c r="D175" s="125">
        <f t="shared" si="7"/>
        <v>10065.871251479604</v>
      </c>
      <c r="E175" s="126">
        <f t="shared" si="8"/>
        <v>1519946.5589734199</v>
      </c>
    </row>
    <row r="176" spans="2:5" ht="15.75" thickBot="1" x14ac:dyDescent="0.3">
      <c r="B176" s="124">
        <v>47321</v>
      </c>
      <c r="C176" s="125">
        <f t="shared" si="6"/>
        <v>1524946.5589734199</v>
      </c>
      <c r="D176" s="125">
        <f t="shared" si="7"/>
        <v>10166.310393156133</v>
      </c>
      <c r="E176" s="126">
        <f t="shared" si="8"/>
        <v>1535112.869366576</v>
      </c>
    </row>
    <row r="177" spans="2:5" ht="15.75" thickBot="1" x14ac:dyDescent="0.3">
      <c r="B177" s="124">
        <v>47352</v>
      </c>
      <c r="C177" s="125">
        <f t="shared" si="6"/>
        <v>1540112.869366576</v>
      </c>
      <c r="D177" s="125">
        <f t="shared" si="7"/>
        <v>10267.419129110507</v>
      </c>
      <c r="E177" s="126">
        <f t="shared" si="8"/>
        <v>1550380.2884956864</v>
      </c>
    </row>
    <row r="178" spans="2:5" ht="15.75" thickBot="1" x14ac:dyDescent="0.3">
      <c r="B178" s="124">
        <v>47383</v>
      </c>
      <c r="C178" s="125">
        <f t="shared" si="6"/>
        <v>1555380.2884956864</v>
      </c>
      <c r="D178" s="125">
        <f t="shared" si="7"/>
        <v>10369.201923304576</v>
      </c>
      <c r="E178" s="126">
        <f t="shared" si="8"/>
        <v>1565749.4904189908</v>
      </c>
    </row>
    <row r="179" spans="2:5" ht="15.75" thickBot="1" x14ac:dyDescent="0.3">
      <c r="B179" s="124">
        <v>47413</v>
      </c>
      <c r="C179" s="125">
        <f t="shared" si="6"/>
        <v>1570749.4904189908</v>
      </c>
      <c r="D179" s="125">
        <f t="shared" si="7"/>
        <v>10471.663269459939</v>
      </c>
      <c r="E179" s="126">
        <f t="shared" si="8"/>
        <v>1581221.1536884508</v>
      </c>
    </row>
    <row r="180" spans="2:5" ht="15.75" thickBot="1" x14ac:dyDescent="0.3">
      <c r="B180" s="124">
        <v>47444</v>
      </c>
      <c r="C180" s="125">
        <f t="shared" si="6"/>
        <v>1586221.1536884508</v>
      </c>
      <c r="D180" s="125">
        <f t="shared" si="7"/>
        <v>10574.807691256339</v>
      </c>
      <c r="E180" s="126">
        <f t="shared" si="8"/>
        <v>1596795.9613797071</v>
      </c>
    </row>
    <row r="181" spans="2:5" ht="15.75" thickBot="1" x14ac:dyDescent="0.3">
      <c r="B181" s="124">
        <v>47474</v>
      </c>
      <c r="C181" s="125">
        <f t="shared" si="6"/>
        <v>1601795.9613797071</v>
      </c>
      <c r="D181" s="125">
        <f t="shared" si="7"/>
        <v>10678.639742531381</v>
      </c>
      <c r="E181" s="126">
        <f t="shared" si="8"/>
        <v>1612474.6011222384</v>
      </c>
    </row>
    <row r="182" spans="2:5" ht="15.75" thickBot="1" x14ac:dyDescent="0.3">
      <c r="B182" s="124">
        <v>47505</v>
      </c>
      <c r="C182" s="125">
        <f t="shared" si="6"/>
        <v>1617474.6011222384</v>
      </c>
      <c r="D182" s="125">
        <f t="shared" si="7"/>
        <v>10783.16400748159</v>
      </c>
      <c r="E182" s="126">
        <f t="shared" si="8"/>
        <v>1628257.7651297201</v>
      </c>
    </row>
    <row r="183" spans="2:5" ht="15.75" thickBot="1" x14ac:dyDescent="0.3">
      <c r="B183" s="124">
        <v>47536</v>
      </c>
      <c r="C183" s="125">
        <f t="shared" si="6"/>
        <v>1633257.7651297201</v>
      </c>
      <c r="D183" s="125">
        <f t="shared" si="7"/>
        <v>10888.3851008648</v>
      </c>
      <c r="E183" s="126">
        <f t="shared" si="8"/>
        <v>1644146.1502305849</v>
      </c>
    </row>
    <row r="184" spans="2:5" ht="15.75" thickBot="1" x14ac:dyDescent="0.3">
      <c r="B184" s="124">
        <v>47564</v>
      </c>
      <c r="C184" s="125">
        <f t="shared" si="6"/>
        <v>1649146.1502305849</v>
      </c>
      <c r="D184" s="125">
        <f t="shared" si="7"/>
        <v>10994.307668203901</v>
      </c>
      <c r="E184" s="126">
        <f t="shared" si="8"/>
        <v>1660140.4578987889</v>
      </c>
    </row>
    <row r="185" spans="2:5" ht="15.75" thickBot="1" x14ac:dyDescent="0.3">
      <c r="B185" s="124">
        <v>47595</v>
      </c>
      <c r="C185" s="125">
        <f t="shared" si="6"/>
        <v>1665140.4578987889</v>
      </c>
      <c r="D185" s="125">
        <f t="shared" si="7"/>
        <v>11100.936385991925</v>
      </c>
      <c r="E185" s="126">
        <f t="shared" si="8"/>
        <v>1676241.3942847808</v>
      </c>
    </row>
    <row r="186" spans="2:5" ht="15.75" thickBot="1" x14ac:dyDescent="0.3">
      <c r="B186" s="124">
        <v>47625</v>
      </c>
      <c r="C186" s="125">
        <f t="shared" si="6"/>
        <v>1681241.3942847808</v>
      </c>
      <c r="D186" s="125">
        <f t="shared" si="7"/>
        <v>11208.275961898538</v>
      </c>
      <c r="E186" s="126">
        <f t="shared" si="8"/>
        <v>1692449.6702466793</v>
      </c>
    </row>
    <row r="187" spans="2:5" ht="15.75" thickBot="1" x14ac:dyDescent="0.3">
      <c r="B187" s="124">
        <v>47656</v>
      </c>
      <c r="C187" s="125">
        <f t="shared" si="6"/>
        <v>1697449.6702466793</v>
      </c>
      <c r="D187" s="125">
        <f t="shared" si="7"/>
        <v>11316.331134977861</v>
      </c>
      <c r="E187" s="126">
        <f t="shared" si="8"/>
        <v>1708766.0013816571</v>
      </c>
    </row>
    <row r="188" spans="2:5" ht="15.75" thickBot="1" x14ac:dyDescent="0.3">
      <c r="B188" s="124">
        <v>47686</v>
      </c>
      <c r="C188" s="125">
        <f t="shared" si="6"/>
        <v>1713766.0013816571</v>
      </c>
      <c r="D188" s="125">
        <f t="shared" si="7"/>
        <v>11425.106675877714</v>
      </c>
      <c r="E188" s="126">
        <f t="shared" si="8"/>
        <v>1725191.1080575348</v>
      </c>
    </row>
    <row r="189" spans="2:5" x14ac:dyDescent="0.25">
      <c r="B189" s="124">
        <v>47717</v>
      </c>
      <c r="C189" s="125">
        <f t="shared" si="6"/>
        <v>1730191.1080575348</v>
      </c>
      <c r="D189" s="125">
        <f t="shared" si="7"/>
        <v>11534.607387050231</v>
      </c>
      <c r="E189" s="126">
        <f t="shared" si="8"/>
        <v>1741725.7154445851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1"/>
  </sheetPr>
  <dimension ref="B2:I52"/>
  <sheetViews>
    <sheetView topLeftCell="A13" workbookViewId="0">
      <selection activeCell="H48" sqref="H48"/>
    </sheetView>
  </sheetViews>
  <sheetFormatPr defaultRowHeight="15" x14ac:dyDescent="0.25"/>
  <cols>
    <col min="2" max="2" width="18.85546875" bestFit="1" customWidth="1"/>
    <col min="3" max="3" width="14" bestFit="1" customWidth="1"/>
    <col min="4" max="4" width="15.7109375" bestFit="1" customWidth="1"/>
    <col min="5" max="5" width="18.42578125" customWidth="1"/>
    <col min="6" max="6" width="15" bestFit="1" customWidth="1"/>
    <col min="7" max="7" width="15.5703125" bestFit="1" customWidth="1"/>
    <col min="8" max="8" width="13.7109375" customWidth="1"/>
    <col min="9" max="9" width="12.42578125" bestFit="1" customWidth="1"/>
    <col min="10" max="10" width="11.5703125" bestFit="1" customWidth="1"/>
    <col min="11" max="11" width="12" bestFit="1" customWidth="1"/>
  </cols>
  <sheetData>
    <row r="2" spans="2:8" x14ac:dyDescent="0.25">
      <c r="B2" s="1"/>
      <c r="C2" s="1"/>
      <c r="D2" s="1"/>
      <c r="E2" s="1"/>
      <c r="F2" s="1"/>
      <c r="G2" s="1"/>
      <c r="H2" s="1"/>
    </row>
    <row r="3" spans="2:8" x14ac:dyDescent="0.25">
      <c r="B3" s="1"/>
    </row>
    <row r="4" spans="2:8" ht="18.75" x14ac:dyDescent="0.25">
      <c r="B4" s="266" t="s">
        <v>17</v>
      </c>
      <c r="C4" s="266"/>
      <c r="D4" s="266"/>
      <c r="E4" s="266"/>
      <c r="F4" s="266"/>
      <c r="G4" s="266"/>
    </row>
    <row r="5" spans="2:8" x14ac:dyDescent="0.25">
      <c r="B5" s="58" t="s">
        <v>18</v>
      </c>
      <c r="C5" s="59">
        <v>43146</v>
      </c>
      <c r="D5" s="7"/>
      <c r="E5" s="7"/>
      <c r="F5" s="58" t="s">
        <v>24</v>
      </c>
      <c r="G5" s="60">
        <v>1.6666666666666667</v>
      </c>
    </row>
    <row r="6" spans="2:8" x14ac:dyDescent="0.25">
      <c r="B6" s="7"/>
      <c r="C6" s="7"/>
      <c r="D6" s="7"/>
      <c r="E6" s="7"/>
      <c r="F6" s="7"/>
      <c r="G6" s="8"/>
    </row>
    <row r="7" spans="2:8" x14ac:dyDescent="0.25">
      <c r="B7" s="58" t="s">
        <v>19</v>
      </c>
      <c r="C7" s="58" t="s">
        <v>20</v>
      </c>
      <c r="D7" s="58" t="s">
        <v>21</v>
      </c>
      <c r="E7" s="58" t="s">
        <v>22</v>
      </c>
      <c r="F7" s="58" t="s">
        <v>23</v>
      </c>
      <c r="G7" s="58" t="s">
        <v>0</v>
      </c>
    </row>
    <row r="8" spans="2:8" x14ac:dyDescent="0.25">
      <c r="B8" s="61">
        <f>C5</f>
        <v>43146</v>
      </c>
      <c r="C8" s="62">
        <v>0.33333333333333331</v>
      </c>
      <c r="D8" s="62">
        <v>0.54166666666666663</v>
      </c>
      <c r="E8" s="62">
        <v>0.58333333333333337</v>
      </c>
      <c r="F8" s="62">
        <v>0.73263888888888884</v>
      </c>
      <c r="G8" s="62">
        <f>(D8-C8)+(F8+E8)</f>
        <v>1.5243055555555556</v>
      </c>
    </row>
    <row r="9" spans="2:8" x14ac:dyDescent="0.25">
      <c r="B9" s="61">
        <f>B8+1</f>
        <v>43147</v>
      </c>
      <c r="C9" s="62">
        <v>0.35416666666666669</v>
      </c>
      <c r="D9" s="62">
        <v>0.52083333333333337</v>
      </c>
      <c r="E9" s="62">
        <v>0.5625</v>
      </c>
      <c r="F9" s="62">
        <v>0.77430555555555503</v>
      </c>
      <c r="G9" s="62">
        <f t="shared" ref="G9:G12" si="0">(D9-C9)+(F9+E9)</f>
        <v>1.5034722222222217</v>
      </c>
    </row>
    <row r="10" spans="2:8" x14ac:dyDescent="0.25">
      <c r="B10" s="61">
        <f>B9+1</f>
        <v>43148</v>
      </c>
      <c r="C10" s="62">
        <v>0.375</v>
      </c>
      <c r="D10" s="62">
        <v>0.54166666666666663</v>
      </c>
      <c r="E10" s="62">
        <v>0.56597222222222221</v>
      </c>
      <c r="F10" s="62">
        <v>0.81597222222222199</v>
      </c>
      <c r="G10" s="62">
        <f t="shared" si="0"/>
        <v>1.5486111111111107</v>
      </c>
    </row>
    <row r="11" spans="2:8" x14ac:dyDescent="0.25">
      <c r="B11" s="61">
        <f>B10+1</f>
        <v>43149</v>
      </c>
      <c r="C11" s="62">
        <v>0.33333333333333331</v>
      </c>
      <c r="D11" s="62">
        <v>0.54166666666666663</v>
      </c>
      <c r="E11" s="62">
        <v>0.58333333333333337</v>
      </c>
      <c r="F11" s="62">
        <v>0.85763888888888895</v>
      </c>
      <c r="G11" s="62">
        <f t="shared" si="0"/>
        <v>1.6493055555555556</v>
      </c>
    </row>
    <row r="12" spans="2:8" x14ac:dyDescent="0.25">
      <c r="B12" s="61">
        <f>B11+1</f>
        <v>43150</v>
      </c>
      <c r="C12" s="62">
        <v>0.34722222222222227</v>
      </c>
      <c r="D12" s="62">
        <v>0.5</v>
      </c>
      <c r="E12" s="62">
        <v>0.54166666666666663</v>
      </c>
      <c r="F12" s="62">
        <v>0.89930555555555503</v>
      </c>
      <c r="G12" s="62">
        <f t="shared" si="0"/>
        <v>1.5937499999999993</v>
      </c>
    </row>
    <row r="13" spans="2:8" x14ac:dyDescent="0.25">
      <c r="B13" s="9"/>
      <c r="C13" s="9"/>
      <c r="D13" s="9"/>
      <c r="E13" s="9"/>
      <c r="F13" s="58" t="s">
        <v>25</v>
      </c>
      <c r="G13" s="62"/>
      <c r="H13" s="9"/>
    </row>
    <row r="14" spans="2:8" x14ac:dyDescent="0.25">
      <c r="B14" s="1"/>
      <c r="C14" s="1"/>
      <c r="D14" s="1"/>
      <c r="E14" s="1"/>
      <c r="F14" s="1"/>
      <c r="G14" s="1"/>
      <c r="H14" s="1"/>
    </row>
    <row r="15" spans="2:8" x14ac:dyDescent="0.25">
      <c r="B15" s="57" t="s">
        <v>26</v>
      </c>
      <c r="C15" s="57" t="s">
        <v>27</v>
      </c>
      <c r="D15" s="57" t="s">
        <v>28</v>
      </c>
      <c r="E15" s="57" t="s">
        <v>30</v>
      </c>
      <c r="F15" s="57" t="s">
        <v>29</v>
      </c>
      <c r="G15" s="57" t="s">
        <v>31</v>
      </c>
    </row>
    <row r="16" spans="2:8" x14ac:dyDescent="0.25">
      <c r="B16" s="63" t="s">
        <v>32</v>
      </c>
      <c r="C16" s="64">
        <v>43042</v>
      </c>
      <c r="D16" s="65">
        <v>0.34722222222222227</v>
      </c>
      <c r="E16" s="64">
        <v>43042</v>
      </c>
      <c r="F16" s="65">
        <v>0.98958333333333337</v>
      </c>
      <c r="G16" s="165">
        <f>(F16-D16)+(E16-C16)</f>
        <v>0.64236111111111116</v>
      </c>
    </row>
    <row r="17" spans="2:8" x14ac:dyDescent="0.25">
      <c r="B17" s="63" t="s">
        <v>35</v>
      </c>
      <c r="C17" s="64">
        <v>43042</v>
      </c>
      <c r="D17" s="65">
        <v>0.39583333333333331</v>
      </c>
      <c r="E17" s="64">
        <v>43045</v>
      </c>
      <c r="F17" s="65">
        <v>0.43055555555555558</v>
      </c>
      <c r="G17" s="66">
        <f t="shared" ref="G17:G21" si="1">(F17-D17)+(E17-C17)</f>
        <v>3.0347222222222223</v>
      </c>
    </row>
    <row r="18" spans="2:8" x14ac:dyDescent="0.25">
      <c r="B18" s="63" t="s">
        <v>34</v>
      </c>
      <c r="C18" s="64">
        <v>43044</v>
      </c>
      <c r="D18" s="65">
        <v>0.97222222222222221</v>
      </c>
      <c r="E18" s="64">
        <v>43046</v>
      </c>
      <c r="F18" s="65">
        <v>0.67708333333333337</v>
      </c>
      <c r="G18" s="66">
        <f t="shared" si="1"/>
        <v>1.7048611111111112</v>
      </c>
    </row>
    <row r="19" spans="2:8" x14ac:dyDescent="0.25">
      <c r="B19" s="63" t="s">
        <v>33</v>
      </c>
      <c r="C19" s="64">
        <v>43045</v>
      </c>
      <c r="D19" s="65">
        <v>0.65625</v>
      </c>
      <c r="E19" s="64">
        <v>43047</v>
      </c>
      <c r="F19" s="65">
        <v>0.1388888888888889</v>
      </c>
      <c r="G19" s="66">
        <f t="shared" si="1"/>
        <v>1.4826388888888888</v>
      </c>
    </row>
    <row r="20" spans="2:8" x14ac:dyDescent="0.25">
      <c r="B20" s="63" t="s">
        <v>36</v>
      </c>
      <c r="C20" s="64">
        <v>43046</v>
      </c>
      <c r="D20" s="65">
        <v>0.85763888888888884</v>
      </c>
      <c r="E20" s="64">
        <v>43048</v>
      </c>
      <c r="F20" s="65">
        <v>0.78819444444444453</v>
      </c>
      <c r="G20" s="66">
        <f t="shared" si="1"/>
        <v>1.9305555555555558</v>
      </c>
    </row>
    <row r="21" spans="2:8" x14ac:dyDescent="0.25">
      <c r="B21" s="63" t="s">
        <v>37</v>
      </c>
      <c r="C21" s="64">
        <v>43048</v>
      </c>
      <c r="D21" s="65">
        <v>0.30277777777777776</v>
      </c>
      <c r="E21" s="64">
        <v>43051</v>
      </c>
      <c r="F21" s="65">
        <v>0.46597222222222223</v>
      </c>
      <c r="G21" s="66">
        <f t="shared" si="1"/>
        <v>3.1631944444444446</v>
      </c>
    </row>
    <row r="22" spans="2:8" x14ac:dyDescent="0.25">
      <c r="B22" s="1"/>
      <c r="C22" s="1"/>
      <c r="D22" s="1"/>
      <c r="E22" s="1"/>
      <c r="F22" s="1"/>
      <c r="G22" s="1"/>
      <c r="H22" s="1"/>
    </row>
    <row r="24" spans="2:8" x14ac:dyDescent="0.25">
      <c r="B24" s="157" t="s">
        <v>630</v>
      </c>
      <c r="C24" s="158" t="s">
        <v>1139</v>
      </c>
      <c r="D24" s="158" t="s">
        <v>204</v>
      </c>
      <c r="E24" s="158" t="s">
        <v>1140</v>
      </c>
      <c r="F24" s="158" t="s">
        <v>1141</v>
      </c>
    </row>
    <row r="25" spans="2:8" x14ac:dyDescent="0.25">
      <c r="B25" s="40" t="s">
        <v>102</v>
      </c>
      <c r="C25" s="159">
        <v>42962</v>
      </c>
      <c r="D25" s="159">
        <v>43271</v>
      </c>
      <c r="E25" s="40">
        <f>DATEDIF(C25,D25,"m")</f>
        <v>10</v>
      </c>
      <c r="F25" s="40">
        <f ca="1">DATEDIF(C25,TODAY(),"m")</f>
        <v>83</v>
      </c>
    </row>
    <row r="26" spans="2:8" x14ac:dyDescent="0.25">
      <c r="B26" s="40" t="s">
        <v>104</v>
      </c>
      <c r="C26" s="159">
        <v>42808</v>
      </c>
      <c r="D26" s="159">
        <v>43370</v>
      </c>
      <c r="E26" s="40">
        <f t="shared" ref="E26:E30" si="2">DATEDIF(C26,D26,"m")</f>
        <v>18</v>
      </c>
      <c r="F26" s="40">
        <f t="shared" ref="F26:F30" ca="1" si="3">DATEDIF(C26,TODAY(),"m")</f>
        <v>88</v>
      </c>
    </row>
    <row r="27" spans="2:8" x14ac:dyDescent="0.25">
      <c r="B27" s="40" t="s">
        <v>105</v>
      </c>
      <c r="C27" s="159">
        <v>42670</v>
      </c>
      <c r="D27" s="159">
        <v>43020</v>
      </c>
      <c r="E27" s="40">
        <f t="shared" si="2"/>
        <v>11</v>
      </c>
      <c r="F27" s="40">
        <f t="shared" ca="1" si="3"/>
        <v>93</v>
      </c>
    </row>
    <row r="28" spans="2:8" x14ac:dyDescent="0.25">
      <c r="B28" s="40" t="s">
        <v>107</v>
      </c>
      <c r="C28" s="159">
        <v>42840</v>
      </c>
      <c r="D28" s="159">
        <v>43085</v>
      </c>
      <c r="E28" s="40">
        <f t="shared" si="2"/>
        <v>8</v>
      </c>
      <c r="F28" s="40">
        <f t="shared" ca="1" si="3"/>
        <v>87</v>
      </c>
    </row>
    <row r="29" spans="2:8" x14ac:dyDescent="0.25">
      <c r="B29" s="40" t="s">
        <v>109</v>
      </c>
      <c r="C29" s="159">
        <v>42619</v>
      </c>
      <c r="D29" s="159">
        <v>43219</v>
      </c>
      <c r="E29" s="40">
        <f t="shared" si="2"/>
        <v>19</v>
      </c>
      <c r="F29" s="40">
        <f t="shared" ca="1" si="3"/>
        <v>95</v>
      </c>
    </row>
    <row r="30" spans="2:8" x14ac:dyDescent="0.25">
      <c r="B30" s="40" t="s">
        <v>110</v>
      </c>
      <c r="C30" s="159">
        <v>43181</v>
      </c>
      <c r="D30" s="159">
        <v>43331</v>
      </c>
      <c r="E30" s="40">
        <f t="shared" si="2"/>
        <v>4</v>
      </c>
      <c r="F30" s="40">
        <f t="shared" ca="1" si="3"/>
        <v>76</v>
      </c>
    </row>
    <row r="33" spans="2:7" x14ac:dyDescent="0.25">
      <c r="B33" s="14" t="s">
        <v>203</v>
      </c>
      <c r="C33" s="16">
        <f ca="1">TODAY()</f>
        <v>45513</v>
      </c>
    </row>
    <row r="34" spans="2:7" x14ac:dyDescent="0.25">
      <c r="B34" s="14" t="s">
        <v>202</v>
      </c>
      <c r="C34" s="12">
        <v>45</v>
      </c>
    </row>
    <row r="35" spans="2:7" x14ac:dyDescent="0.25">
      <c r="B35" s="263" t="s">
        <v>205</v>
      </c>
      <c r="C35" s="16"/>
    </row>
    <row r="36" spans="2:7" x14ac:dyDescent="0.25">
      <c r="B36" s="264"/>
      <c r="C36" s="16"/>
    </row>
    <row r="37" spans="2:7" x14ac:dyDescent="0.25">
      <c r="B37" s="265"/>
      <c r="C37" s="16"/>
    </row>
    <row r="38" spans="2:7" x14ac:dyDescent="0.25">
      <c r="B38" s="14" t="s">
        <v>204</v>
      </c>
      <c r="C38" s="19"/>
    </row>
    <row r="41" spans="2:7" x14ac:dyDescent="0.25">
      <c r="B41" s="14" t="s">
        <v>203</v>
      </c>
      <c r="C41" s="16">
        <f ca="1">TODAY()</f>
        <v>45513</v>
      </c>
    </row>
    <row r="42" spans="2:7" x14ac:dyDescent="0.25">
      <c r="B42" s="14" t="s">
        <v>204</v>
      </c>
      <c r="C42" s="16">
        <v>43235</v>
      </c>
    </row>
    <row r="43" spans="2:7" x14ac:dyDescent="0.25">
      <c r="B43" s="264" t="s">
        <v>205</v>
      </c>
      <c r="C43" s="12"/>
    </row>
    <row r="44" spans="2:7" x14ac:dyDescent="0.25">
      <c r="B44" s="265"/>
      <c r="C44" s="12"/>
    </row>
    <row r="45" spans="2:7" x14ac:dyDescent="0.25">
      <c r="B45" s="14" t="s">
        <v>202</v>
      </c>
      <c r="C45" s="12"/>
    </row>
    <row r="48" spans="2:7" x14ac:dyDescent="0.25">
      <c r="B48" s="162" t="s">
        <v>1256</v>
      </c>
      <c r="C48" s="162" t="s">
        <v>1257</v>
      </c>
      <c r="D48" s="162" t="s">
        <v>1258</v>
      </c>
      <c r="E48" s="162" t="s">
        <v>1259</v>
      </c>
      <c r="F48" s="12" t="s">
        <v>1260</v>
      </c>
      <c r="G48" s="12" t="s">
        <v>1261</v>
      </c>
    </row>
    <row r="49" spans="2:9" x14ac:dyDescent="0.25">
      <c r="B49" s="12" t="s">
        <v>206</v>
      </c>
      <c r="C49" s="163">
        <v>526</v>
      </c>
      <c r="D49" s="163">
        <v>12</v>
      </c>
      <c r="E49" s="214">
        <f>QUOTIENT(C49,D49)</f>
        <v>43</v>
      </c>
      <c r="F49" s="164">
        <f>FLOOR(C49,D49)</f>
        <v>516</v>
      </c>
      <c r="G49" s="164">
        <f>CEILING(C49,D49)</f>
        <v>528</v>
      </c>
      <c r="H49">
        <f>C49-F49</f>
        <v>10</v>
      </c>
      <c r="I49">
        <f>G49-C49</f>
        <v>2</v>
      </c>
    </row>
    <row r="50" spans="2:9" x14ac:dyDescent="0.25">
      <c r="B50" s="12" t="s">
        <v>207</v>
      </c>
      <c r="C50" s="163">
        <v>200</v>
      </c>
      <c r="D50" s="163">
        <v>8</v>
      </c>
      <c r="E50" s="214">
        <f t="shared" ref="E50:E52" si="4">QUOTIENT(C50,D50)</f>
        <v>25</v>
      </c>
      <c r="F50" s="164">
        <f t="shared" ref="F50:F52" si="5">FLOOR(C50,D50)</f>
        <v>200</v>
      </c>
      <c r="G50" s="164">
        <f t="shared" ref="G50:G52" si="6">CEILING(C50,D50)</f>
        <v>200</v>
      </c>
      <c r="H50">
        <f t="shared" ref="H50:H52" si="7">C50-F50</f>
        <v>0</v>
      </c>
      <c r="I50">
        <f t="shared" ref="I50:I52" si="8">G50-C50</f>
        <v>0</v>
      </c>
    </row>
    <row r="51" spans="2:9" x14ac:dyDescent="0.25">
      <c r="B51" s="12" t="s">
        <v>207</v>
      </c>
      <c r="C51" s="163">
        <v>15</v>
      </c>
      <c r="D51" s="163">
        <v>6</v>
      </c>
      <c r="E51" s="214">
        <f t="shared" si="4"/>
        <v>2</v>
      </c>
      <c r="F51" s="164">
        <f t="shared" si="5"/>
        <v>12</v>
      </c>
      <c r="G51" s="164">
        <f t="shared" si="6"/>
        <v>18</v>
      </c>
      <c r="H51">
        <f t="shared" si="7"/>
        <v>3</v>
      </c>
      <c r="I51">
        <f t="shared" si="8"/>
        <v>3</v>
      </c>
    </row>
    <row r="52" spans="2:9" x14ac:dyDescent="0.25">
      <c r="B52" s="12" t="s">
        <v>1262</v>
      </c>
      <c r="C52" s="163">
        <v>250</v>
      </c>
      <c r="D52" s="163">
        <v>20</v>
      </c>
      <c r="E52" s="214">
        <f t="shared" si="4"/>
        <v>12</v>
      </c>
      <c r="F52" s="164">
        <f t="shared" si="5"/>
        <v>240</v>
      </c>
      <c r="G52" s="164">
        <f t="shared" si="6"/>
        <v>260</v>
      </c>
      <c r="H52">
        <f t="shared" si="7"/>
        <v>10</v>
      </c>
      <c r="I52">
        <f t="shared" si="8"/>
        <v>10</v>
      </c>
    </row>
  </sheetData>
  <mergeCells count="3">
    <mergeCell ref="B35:B37"/>
    <mergeCell ref="B43:B44"/>
    <mergeCell ref="B4:G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0070C0"/>
  </sheetPr>
  <dimension ref="B2:K215"/>
  <sheetViews>
    <sheetView topLeftCell="A2" workbookViewId="0">
      <selection activeCell="B2" sqref="B2:K215"/>
    </sheetView>
  </sheetViews>
  <sheetFormatPr defaultRowHeight="15" x14ac:dyDescent="0.25"/>
  <cols>
    <col min="1" max="1" width="4.5703125" customWidth="1"/>
    <col min="2" max="2" width="8.42578125" customWidth="1"/>
    <col min="3" max="3" width="15.7109375" customWidth="1"/>
    <col min="4" max="4" width="14" customWidth="1"/>
    <col min="5" max="5" width="14.5703125" customWidth="1"/>
    <col min="6" max="6" width="13.7109375" customWidth="1"/>
    <col min="7" max="7" width="15.42578125" bestFit="1" customWidth="1"/>
    <col min="8" max="8" width="46.28515625" customWidth="1"/>
    <col min="9" max="9" width="16.7109375" customWidth="1"/>
    <col min="10" max="10" width="10.85546875" customWidth="1"/>
    <col min="11" max="11" width="11" customWidth="1"/>
  </cols>
  <sheetData>
    <row r="2" spans="2:11" x14ac:dyDescent="0.25">
      <c r="B2" s="250" t="s">
        <v>233</v>
      </c>
      <c r="C2" s="251" t="s">
        <v>234</v>
      </c>
      <c r="D2" s="251" t="s">
        <v>235</v>
      </c>
      <c r="E2" s="251" t="s">
        <v>236</v>
      </c>
      <c r="F2" s="251" t="s">
        <v>237</v>
      </c>
      <c r="G2" s="251" t="s">
        <v>238</v>
      </c>
      <c r="H2" s="251" t="s">
        <v>239</v>
      </c>
      <c r="I2" s="251" t="s">
        <v>240</v>
      </c>
      <c r="J2" s="251" t="s">
        <v>232</v>
      </c>
      <c r="K2" s="252" t="s">
        <v>241</v>
      </c>
    </row>
    <row r="3" spans="2:11" x14ac:dyDescent="0.25">
      <c r="B3" s="248">
        <v>19</v>
      </c>
      <c r="C3" s="20" t="s">
        <v>242</v>
      </c>
      <c r="D3" s="21">
        <v>29</v>
      </c>
      <c r="E3" s="22" t="s">
        <v>243</v>
      </c>
      <c r="F3" s="22">
        <v>300</v>
      </c>
      <c r="G3" s="23" t="s">
        <v>244</v>
      </c>
      <c r="H3" s="24" t="s">
        <v>1360</v>
      </c>
      <c r="I3" s="25">
        <v>8087187102</v>
      </c>
      <c r="J3" s="26">
        <v>41165</v>
      </c>
      <c r="K3" s="249">
        <v>0.47222222222222199</v>
      </c>
    </row>
    <row r="4" spans="2:11" ht="45" x14ac:dyDescent="0.25">
      <c r="B4" s="248">
        <v>173</v>
      </c>
      <c r="C4" s="20" t="s">
        <v>245</v>
      </c>
      <c r="D4" s="21">
        <v>22</v>
      </c>
      <c r="E4" s="22" t="s">
        <v>246</v>
      </c>
      <c r="F4" s="22">
        <v>300</v>
      </c>
      <c r="G4" s="23" t="s">
        <v>247</v>
      </c>
      <c r="H4" s="189" t="s">
        <v>1361</v>
      </c>
      <c r="I4" s="25">
        <v>8108282955</v>
      </c>
      <c r="J4" s="26">
        <v>41178</v>
      </c>
      <c r="K4" s="249">
        <v>0.6875</v>
      </c>
    </row>
    <row r="5" spans="2:11" x14ac:dyDescent="0.25">
      <c r="B5" s="248">
        <v>28</v>
      </c>
      <c r="C5" s="20" t="s">
        <v>248</v>
      </c>
      <c r="D5" s="21">
        <v>30</v>
      </c>
      <c r="E5" s="22" t="s">
        <v>249</v>
      </c>
      <c r="F5" s="22">
        <v>300</v>
      </c>
      <c r="G5" s="23" t="s">
        <v>250</v>
      </c>
      <c r="H5" s="24" t="s">
        <v>251</v>
      </c>
      <c r="I5" s="25">
        <v>8605906052</v>
      </c>
      <c r="J5" s="26">
        <v>41165</v>
      </c>
      <c r="K5" s="249">
        <v>0.6875</v>
      </c>
    </row>
    <row r="6" spans="2:11" x14ac:dyDescent="0.25">
      <c r="B6" s="248">
        <v>8</v>
      </c>
      <c r="C6" s="20" t="s">
        <v>252</v>
      </c>
      <c r="D6" s="21">
        <v>20</v>
      </c>
      <c r="E6" s="22" t="s">
        <v>246</v>
      </c>
      <c r="F6" s="22">
        <v>300</v>
      </c>
      <c r="G6" s="27" t="s">
        <v>108</v>
      </c>
      <c r="H6" s="24" t="s">
        <v>253</v>
      </c>
      <c r="I6" s="25">
        <v>8975294640</v>
      </c>
      <c r="J6" s="26">
        <v>41164</v>
      </c>
      <c r="K6" s="249">
        <v>0.54861111111111105</v>
      </c>
    </row>
    <row r="7" spans="2:11" x14ac:dyDescent="0.25">
      <c r="B7" s="248">
        <v>181</v>
      </c>
      <c r="C7" s="20" t="s">
        <v>254</v>
      </c>
      <c r="D7" s="21">
        <v>21</v>
      </c>
      <c r="E7" s="22" t="s">
        <v>255</v>
      </c>
      <c r="F7" s="22">
        <v>300</v>
      </c>
      <c r="G7" s="28" t="s">
        <v>247</v>
      </c>
      <c r="H7" s="23" t="s">
        <v>1320</v>
      </c>
      <c r="I7" s="25">
        <v>9004090090</v>
      </c>
      <c r="J7" s="26">
        <v>41179</v>
      </c>
      <c r="K7" s="249">
        <v>0.51388888888888895</v>
      </c>
    </row>
    <row r="8" spans="2:11" x14ac:dyDescent="0.25">
      <c r="B8" s="248">
        <v>171</v>
      </c>
      <c r="C8" s="20" t="s">
        <v>256</v>
      </c>
      <c r="D8" s="21">
        <v>32</v>
      </c>
      <c r="E8" s="22" t="s">
        <v>255</v>
      </c>
      <c r="F8" s="22">
        <v>300</v>
      </c>
      <c r="G8" s="23" t="s">
        <v>247</v>
      </c>
      <c r="H8" s="27" t="s">
        <v>1323</v>
      </c>
      <c r="I8" s="25">
        <v>9004090099</v>
      </c>
      <c r="J8" s="26">
        <v>41178</v>
      </c>
      <c r="K8" s="249">
        <v>0.64583333333333304</v>
      </c>
    </row>
    <row r="9" spans="2:11" x14ac:dyDescent="0.25">
      <c r="B9" s="248">
        <v>30</v>
      </c>
      <c r="C9" s="20" t="s">
        <v>257</v>
      </c>
      <c r="D9" s="21">
        <v>29</v>
      </c>
      <c r="E9" s="22" t="s">
        <v>258</v>
      </c>
      <c r="F9" s="22">
        <v>300</v>
      </c>
      <c r="G9" s="23" t="s">
        <v>259</v>
      </c>
      <c r="H9" s="29" t="s">
        <v>260</v>
      </c>
      <c r="I9" s="25">
        <v>9028042434</v>
      </c>
      <c r="J9" s="26">
        <v>41166</v>
      </c>
      <c r="K9" s="249">
        <v>0.43055555555555558</v>
      </c>
    </row>
    <row r="10" spans="2:11" x14ac:dyDescent="0.25">
      <c r="B10" s="248">
        <v>200</v>
      </c>
      <c r="C10" s="20" t="s">
        <v>261</v>
      </c>
      <c r="D10" s="21">
        <v>19</v>
      </c>
      <c r="E10" s="21" t="s">
        <v>255</v>
      </c>
      <c r="F10" s="22">
        <v>300</v>
      </c>
      <c r="G10" s="23" t="s">
        <v>262</v>
      </c>
      <c r="H10" s="23" t="s">
        <v>1362</v>
      </c>
      <c r="I10" s="25">
        <v>9028604373</v>
      </c>
      <c r="J10" s="26">
        <v>41181</v>
      </c>
      <c r="K10" s="249">
        <v>0.4236111111111111</v>
      </c>
    </row>
    <row r="11" spans="2:11" x14ac:dyDescent="0.25">
      <c r="B11" s="248">
        <v>2</v>
      </c>
      <c r="C11" s="20" t="s">
        <v>263</v>
      </c>
      <c r="D11" s="21">
        <v>19</v>
      </c>
      <c r="E11" s="22" t="s">
        <v>258</v>
      </c>
      <c r="F11" s="22">
        <v>300</v>
      </c>
      <c r="G11" s="23" t="s">
        <v>264</v>
      </c>
      <c r="H11" s="24" t="s">
        <v>265</v>
      </c>
      <c r="I11" s="25">
        <v>9049324241</v>
      </c>
      <c r="J11" s="26">
        <v>41164</v>
      </c>
      <c r="K11" s="249">
        <v>0.43055555555555558</v>
      </c>
    </row>
    <row r="12" spans="2:11" x14ac:dyDescent="0.25">
      <c r="B12" s="248">
        <v>60</v>
      </c>
      <c r="C12" s="20" t="s">
        <v>266</v>
      </c>
      <c r="D12" s="21">
        <v>28</v>
      </c>
      <c r="E12" s="22" t="s">
        <v>267</v>
      </c>
      <c r="F12" s="22">
        <v>300</v>
      </c>
      <c r="G12" s="23" t="s">
        <v>268</v>
      </c>
      <c r="H12" s="23" t="s">
        <v>269</v>
      </c>
      <c r="I12" s="25">
        <v>9145505510</v>
      </c>
      <c r="J12" s="26">
        <v>41169</v>
      </c>
      <c r="K12" s="249">
        <v>0.51388888888888895</v>
      </c>
    </row>
    <row r="13" spans="2:11" x14ac:dyDescent="0.25">
      <c r="B13" s="248">
        <v>163</v>
      </c>
      <c r="C13" s="20" t="s">
        <v>270</v>
      </c>
      <c r="D13" s="21">
        <v>29</v>
      </c>
      <c r="E13" s="22" t="s">
        <v>249</v>
      </c>
      <c r="F13" s="22">
        <v>300</v>
      </c>
      <c r="G13" s="23" t="s">
        <v>271</v>
      </c>
      <c r="H13" s="23" t="s">
        <v>1363</v>
      </c>
      <c r="I13" s="25">
        <v>9220709666</v>
      </c>
      <c r="J13" s="26">
        <v>41178</v>
      </c>
      <c r="K13" s="249">
        <v>0.47222222222222199</v>
      </c>
    </row>
    <row r="14" spans="2:11" ht="75" x14ac:dyDescent="0.25">
      <c r="B14" s="248">
        <v>198</v>
      </c>
      <c r="C14" s="20" t="s">
        <v>272</v>
      </c>
      <c r="D14" s="21">
        <v>29</v>
      </c>
      <c r="E14" s="22" t="s">
        <v>255</v>
      </c>
      <c r="F14" s="22">
        <v>300</v>
      </c>
      <c r="G14" s="23" t="s">
        <v>262</v>
      </c>
      <c r="H14" s="189" t="s">
        <v>1364</v>
      </c>
      <c r="I14" s="25">
        <v>9222063530</v>
      </c>
      <c r="J14" s="26">
        <v>41180</v>
      </c>
      <c r="K14" s="249">
        <v>0.60416666666666663</v>
      </c>
    </row>
    <row r="15" spans="2:11" ht="60" x14ac:dyDescent="0.25">
      <c r="B15" s="248">
        <v>191</v>
      </c>
      <c r="C15" s="20" t="s">
        <v>273</v>
      </c>
      <c r="D15" s="21">
        <v>32</v>
      </c>
      <c r="E15" s="22" t="s">
        <v>246</v>
      </c>
      <c r="F15" s="22">
        <v>300</v>
      </c>
      <c r="G15" s="23" t="s">
        <v>247</v>
      </c>
      <c r="H15" s="189" t="s">
        <v>1365</v>
      </c>
      <c r="I15" s="25">
        <v>9224120003</v>
      </c>
      <c r="J15" s="26">
        <v>41180</v>
      </c>
      <c r="K15" s="249">
        <v>0.47222222222222199</v>
      </c>
    </row>
    <row r="16" spans="2:11" x14ac:dyDescent="0.25">
      <c r="B16" s="248">
        <v>197</v>
      </c>
      <c r="C16" s="20" t="s">
        <v>274</v>
      </c>
      <c r="D16" s="21">
        <v>22</v>
      </c>
      <c r="E16" s="22" t="s">
        <v>246</v>
      </c>
      <c r="F16" s="22">
        <v>300</v>
      </c>
      <c r="G16" s="23" t="s">
        <v>247</v>
      </c>
      <c r="H16" s="23" t="s">
        <v>275</v>
      </c>
      <c r="I16" s="25">
        <v>9226736347</v>
      </c>
      <c r="J16" s="26">
        <v>41180</v>
      </c>
      <c r="K16" s="249">
        <v>0.59027777777777801</v>
      </c>
    </row>
    <row r="17" spans="2:11" x14ac:dyDescent="0.25">
      <c r="B17" s="248">
        <v>212</v>
      </c>
      <c r="C17" s="20" t="s">
        <v>276</v>
      </c>
      <c r="D17" s="21">
        <v>28</v>
      </c>
      <c r="E17" s="22" t="s">
        <v>258</v>
      </c>
      <c r="F17" s="22">
        <v>300</v>
      </c>
      <c r="G17" s="23" t="s">
        <v>262</v>
      </c>
      <c r="H17" s="23" t="s">
        <v>1324</v>
      </c>
      <c r="I17" s="25">
        <v>9272797123</v>
      </c>
      <c r="J17" s="26">
        <v>41181</v>
      </c>
      <c r="K17" s="249">
        <v>0.6875</v>
      </c>
    </row>
    <row r="18" spans="2:11" ht="45" x14ac:dyDescent="0.25">
      <c r="B18" s="248">
        <v>203</v>
      </c>
      <c r="C18" s="20" t="s">
        <v>277</v>
      </c>
      <c r="D18" s="21">
        <v>19</v>
      </c>
      <c r="E18" s="22" t="s">
        <v>249</v>
      </c>
      <c r="F18" s="22">
        <v>300</v>
      </c>
      <c r="G18" s="23" t="s">
        <v>262</v>
      </c>
      <c r="H18" s="189" t="s">
        <v>1325</v>
      </c>
      <c r="I18" s="25">
        <v>9321191054</v>
      </c>
      <c r="J18" s="26">
        <v>41181</v>
      </c>
      <c r="K18" s="249">
        <v>0.47222222222222199</v>
      </c>
    </row>
    <row r="19" spans="2:11" x14ac:dyDescent="0.25">
      <c r="B19" s="248">
        <v>208</v>
      </c>
      <c r="C19" s="20" t="s">
        <v>278</v>
      </c>
      <c r="D19" s="21">
        <v>19</v>
      </c>
      <c r="E19" s="22" t="s">
        <v>246</v>
      </c>
      <c r="F19" s="22">
        <v>300</v>
      </c>
      <c r="G19" s="23" t="s">
        <v>262</v>
      </c>
      <c r="H19" s="23" t="s">
        <v>1366</v>
      </c>
      <c r="I19" s="25">
        <v>9321201906</v>
      </c>
      <c r="J19" s="26">
        <v>41181</v>
      </c>
      <c r="K19" s="249">
        <v>0.54861111111111105</v>
      </c>
    </row>
    <row r="20" spans="2:11" x14ac:dyDescent="0.25">
      <c r="B20" s="248">
        <v>172</v>
      </c>
      <c r="C20" s="20" t="s">
        <v>279</v>
      </c>
      <c r="D20" s="21">
        <v>30</v>
      </c>
      <c r="E20" s="22" t="s">
        <v>258</v>
      </c>
      <c r="F20" s="22">
        <v>300</v>
      </c>
      <c r="G20" s="23" t="s">
        <v>247</v>
      </c>
      <c r="H20" s="23" t="s">
        <v>1367</v>
      </c>
      <c r="I20" s="25">
        <v>9322042651</v>
      </c>
      <c r="J20" s="26">
        <v>41178</v>
      </c>
      <c r="K20" s="249">
        <v>0.6875</v>
      </c>
    </row>
    <row r="21" spans="2:11" x14ac:dyDescent="0.25">
      <c r="B21" s="248">
        <v>147</v>
      </c>
      <c r="C21" s="20" t="s">
        <v>280</v>
      </c>
      <c r="D21" s="21">
        <v>32</v>
      </c>
      <c r="E21" s="22" t="s">
        <v>246</v>
      </c>
      <c r="F21" s="22">
        <v>300</v>
      </c>
      <c r="G21" s="23" t="s">
        <v>281</v>
      </c>
      <c r="H21" s="23" t="s">
        <v>282</v>
      </c>
      <c r="I21" s="25">
        <v>9322219070</v>
      </c>
      <c r="J21" s="26">
        <v>41176</v>
      </c>
      <c r="K21" s="249">
        <v>0.6875</v>
      </c>
    </row>
    <row r="22" spans="2:11" x14ac:dyDescent="0.25">
      <c r="B22" s="248">
        <v>158</v>
      </c>
      <c r="C22" s="20" t="s">
        <v>283</v>
      </c>
      <c r="D22" s="21">
        <v>20</v>
      </c>
      <c r="E22" s="22" t="s">
        <v>255</v>
      </c>
      <c r="F22" s="22">
        <v>300</v>
      </c>
      <c r="G22" s="23" t="s">
        <v>271</v>
      </c>
      <c r="H22" s="23" t="s">
        <v>1368</v>
      </c>
      <c r="I22" s="25">
        <v>9322219070</v>
      </c>
      <c r="J22" s="26">
        <v>41177</v>
      </c>
      <c r="K22" s="249">
        <v>0.60416666666666663</v>
      </c>
    </row>
    <row r="23" spans="2:11" x14ac:dyDescent="0.25">
      <c r="B23" s="248">
        <v>160</v>
      </c>
      <c r="C23" s="20" t="s">
        <v>284</v>
      </c>
      <c r="D23" s="21">
        <v>19</v>
      </c>
      <c r="E23" s="21" t="s">
        <v>255</v>
      </c>
      <c r="F23" s="22">
        <v>300</v>
      </c>
      <c r="G23" s="23" t="s">
        <v>271</v>
      </c>
      <c r="H23" s="23" t="s">
        <v>1369</v>
      </c>
      <c r="I23" s="25">
        <v>9322219070</v>
      </c>
      <c r="J23" s="26">
        <v>41178</v>
      </c>
      <c r="K23" s="249">
        <v>0.4236111111111111</v>
      </c>
    </row>
    <row r="24" spans="2:11" x14ac:dyDescent="0.25">
      <c r="B24" s="248">
        <v>195</v>
      </c>
      <c r="C24" s="20" t="s">
        <v>285</v>
      </c>
      <c r="D24" s="21">
        <v>32</v>
      </c>
      <c r="E24" s="22" t="s">
        <v>255</v>
      </c>
      <c r="F24" s="22">
        <v>300</v>
      </c>
      <c r="G24" s="23" t="s">
        <v>247</v>
      </c>
      <c r="H24" s="23" t="s">
        <v>1370</v>
      </c>
      <c r="I24" s="25">
        <v>9322219070</v>
      </c>
      <c r="J24" s="26">
        <v>41180</v>
      </c>
      <c r="K24" s="249">
        <v>0.52777777777777779</v>
      </c>
    </row>
    <row r="25" spans="2:11" x14ac:dyDescent="0.25">
      <c r="B25" s="248">
        <v>192</v>
      </c>
      <c r="C25" s="20" t="s">
        <v>286</v>
      </c>
      <c r="D25" s="21">
        <v>25</v>
      </c>
      <c r="E25" s="22" t="s">
        <v>255</v>
      </c>
      <c r="F25" s="22">
        <v>300</v>
      </c>
      <c r="G25" s="23" t="s">
        <v>271</v>
      </c>
      <c r="H25" s="23" t="s">
        <v>1371</v>
      </c>
      <c r="I25" s="25">
        <v>9322422883</v>
      </c>
      <c r="J25" s="26">
        <v>41180</v>
      </c>
      <c r="K25" s="249">
        <v>0.47222222222222199</v>
      </c>
    </row>
    <row r="26" spans="2:11" x14ac:dyDescent="0.25">
      <c r="B26" s="248">
        <v>194</v>
      </c>
      <c r="C26" s="20" t="s">
        <v>287</v>
      </c>
      <c r="D26" s="21">
        <v>18</v>
      </c>
      <c r="E26" s="22" t="s">
        <v>255</v>
      </c>
      <c r="F26" s="22">
        <v>300</v>
      </c>
      <c r="G26" s="23" t="s">
        <v>247</v>
      </c>
      <c r="H26" s="23" t="s">
        <v>1372</v>
      </c>
      <c r="I26" s="25">
        <v>9324099979</v>
      </c>
      <c r="J26" s="26">
        <v>41180</v>
      </c>
      <c r="K26" s="249">
        <v>0.51388888888888895</v>
      </c>
    </row>
    <row r="27" spans="2:11" x14ac:dyDescent="0.25">
      <c r="B27" s="248">
        <v>204</v>
      </c>
      <c r="C27" s="20" t="s">
        <v>288</v>
      </c>
      <c r="D27" s="21">
        <v>27</v>
      </c>
      <c r="E27" s="22" t="s">
        <v>246</v>
      </c>
      <c r="F27" s="22">
        <v>300</v>
      </c>
      <c r="G27" s="23" t="s">
        <v>262</v>
      </c>
      <c r="H27" s="23" t="s">
        <v>1373</v>
      </c>
      <c r="I27" s="25">
        <v>9324358568</v>
      </c>
      <c r="J27" s="26">
        <v>41181</v>
      </c>
      <c r="K27" s="249">
        <v>0.47222222222222199</v>
      </c>
    </row>
    <row r="28" spans="2:11" x14ac:dyDescent="0.25">
      <c r="B28" s="248">
        <v>13</v>
      </c>
      <c r="C28" s="20" t="s">
        <v>289</v>
      </c>
      <c r="D28" s="21">
        <v>25</v>
      </c>
      <c r="E28" s="22" t="s">
        <v>246</v>
      </c>
      <c r="F28" s="22">
        <v>300</v>
      </c>
      <c r="G28" s="23" t="s">
        <v>290</v>
      </c>
      <c r="H28" s="24" t="s">
        <v>1374</v>
      </c>
      <c r="I28" s="25">
        <v>9325081652</v>
      </c>
      <c r="J28" s="26">
        <v>41164</v>
      </c>
      <c r="K28" s="249">
        <v>0.6875</v>
      </c>
    </row>
    <row r="29" spans="2:11" x14ac:dyDescent="0.25">
      <c r="B29" s="248">
        <v>123</v>
      </c>
      <c r="C29" s="20" t="s">
        <v>291</v>
      </c>
      <c r="D29" s="21">
        <v>22</v>
      </c>
      <c r="E29" s="22" t="s">
        <v>249</v>
      </c>
      <c r="F29" s="22">
        <v>300</v>
      </c>
      <c r="G29" s="23" t="s">
        <v>259</v>
      </c>
      <c r="H29" s="23" t="s">
        <v>1326</v>
      </c>
      <c r="I29" s="25">
        <v>9326643275</v>
      </c>
      <c r="J29" s="26">
        <v>41175</v>
      </c>
      <c r="K29" s="249">
        <v>0.47222222222222199</v>
      </c>
    </row>
    <row r="30" spans="2:11" x14ac:dyDescent="0.25">
      <c r="B30" s="248">
        <v>40</v>
      </c>
      <c r="C30" s="20" t="s">
        <v>292</v>
      </c>
      <c r="D30" s="21">
        <v>19</v>
      </c>
      <c r="E30" s="21" t="s">
        <v>255</v>
      </c>
      <c r="F30" s="22">
        <v>300</v>
      </c>
      <c r="G30" s="23" t="s">
        <v>293</v>
      </c>
      <c r="H30" s="23" t="s">
        <v>1327</v>
      </c>
      <c r="I30" s="25">
        <v>9326929069</v>
      </c>
      <c r="J30" s="26">
        <v>41167</v>
      </c>
      <c r="K30" s="249">
        <v>0.4236111111111111</v>
      </c>
    </row>
    <row r="31" spans="2:11" x14ac:dyDescent="0.25">
      <c r="B31" s="248">
        <v>202</v>
      </c>
      <c r="C31" s="20" t="s">
        <v>294</v>
      </c>
      <c r="D31" s="21">
        <v>32</v>
      </c>
      <c r="E31" s="22" t="s">
        <v>258</v>
      </c>
      <c r="F31" s="22">
        <v>300</v>
      </c>
      <c r="G31" s="23" t="s">
        <v>262</v>
      </c>
      <c r="H31" s="23" t="s">
        <v>1328</v>
      </c>
      <c r="I31" s="25">
        <v>9371151866</v>
      </c>
      <c r="J31" s="26">
        <v>41181</v>
      </c>
      <c r="K31" s="249">
        <v>0.43055555555555558</v>
      </c>
    </row>
    <row r="32" spans="2:11" x14ac:dyDescent="0.25">
      <c r="B32" s="248">
        <v>9</v>
      </c>
      <c r="C32" s="20" t="s">
        <v>295</v>
      </c>
      <c r="D32" s="21">
        <v>19</v>
      </c>
      <c r="E32" s="22" t="s">
        <v>255</v>
      </c>
      <c r="F32" s="22">
        <v>300</v>
      </c>
      <c r="G32" s="23" t="s">
        <v>296</v>
      </c>
      <c r="H32" s="24" t="s">
        <v>1329</v>
      </c>
      <c r="I32" s="25">
        <v>9373013830</v>
      </c>
      <c r="J32" s="26">
        <v>41164</v>
      </c>
      <c r="K32" s="249">
        <v>0.59027777777777801</v>
      </c>
    </row>
    <row r="33" spans="2:11" x14ac:dyDescent="0.25">
      <c r="B33" s="248">
        <v>37</v>
      </c>
      <c r="C33" s="20" t="s">
        <v>297</v>
      </c>
      <c r="D33" s="21">
        <v>21</v>
      </c>
      <c r="E33" s="22" t="s">
        <v>246</v>
      </c>
      <c r="F33" s="22">
        <v>300</v>
      </c>
      <c r="G33" s="23" t="s">
        <v>298</v>
      </c>
      <c r="H33" s="24" t="s">
        <v>299</v>
      </c>
      <c r="I33" s="25">
        <v>9373204998</v>
      </c>
      <c r="J33" s="26">
        <v>41166</v>
      </c>
      <c r="K33" s="249">
        <v>0.59027777777777801</v>
      </c>
    </row>
    <row r="34" spans="2:11" x14ac:dyDescent="0.25">
      <c r="B34" s="248">
        <v>1</v>
      </c>
      <c r="C34" s="20" t="s">
        <v>300</v>
      </c>
      <c r="D34" s="21">
        <v>25</v>
      </c>
      <c r="E34" s="22" t="s">
        <v>243</v>
      </c>
      <c r="F34" s="22">
        <v>300</v>
      </c>
      <c r="G34" s="23" t="s">
        <v>301</v>
      </c>
      <c r="H34" s="24" t="s">
        <v>1330</v>
      </c>
      <c r="I34" s="25">
        <v>9373668881</v>
      </c>
      <c r="J34" s="26">
        <v>41164</v>
      </c>
      <c r="K34" s="249">
        <v>0.43055555555555558</v>
      </c>
    </row>
    <row r="35" spans="2:11" x14ac:dyDescent="0.25">
      <c r="B35" s="248">
        <v>130</v>
      </c>
      <c r="C35" s="20" t="s">
        <v>302</v>
      </c>
      <c r="D35" s="21">
        <v>24</v>
      </c>
      <c r="E35" s="22" t="s">
        <v>243</v>
      </c>
      <c r="F35" s="22">
        <v>300</v>
      </c>
      <c r="G35" s="23" t="s">
        <v>303</v>
      </c>
      <c r="H35" s="23" t="s">
        <v>1375</v>
      </c>
      <c r="I35" s="25">
        <v>9404444888</v>
      </c>
      <c r="J35" s="26">
        <v>41175</v>
      </c>
      <c r="K35" s="249">
        <v>0.60416666666666663</v>
      </c>
    </row>
    <row r="36" spans="2:11" x14ac:dyDescent="0.25">
      <c r="B36" s="248">
        <v>129</v>
      </c>
      <c r="C36" s="20" t="s">
        <v>304</v>
      </c>
      <c r="D36" s="21">
        <v>19</v>
      </c>
      <c r="E36" s="22" t="s">
        <v>255</v>
      </c>
      <c r="F36" s="22">
        <v>300</v>
      </c>
      <c r="G36" s="23" t="s">
        <v>303</v>
      </c>
      <c r="H36" s="23" t="s">
        <v>1331</v>
      </c>
      <c r="I36" s="25">
        <v>9404513711</v>
      </c>
      <c r="J36" s="26">
        <v>41175</v>
      </c>
      <c r="K36" s="249">
        <v>0.59027777777777801</v>
      </c>
    </row>
    <row r="37" spans="2:11" x14ac:dyDescent="0.25">
      <c r="B37" s="248">
        <v>120</v>
      </c>
      <c r="C37" s="20" t="s">
        <v>305</v>
      </c>
      <c r="D37" s="21">
        <v>19</v>
      </c>
      <c r="E37" s="21" t="s">
        <v>255</v>
      </c>
      <c r="F37" s="22">
        <v>300</v>
      </c>
      <c r="G37" s="23" t="s">
        <v>259</v>
      </c>
      <c r="H37" s="23" t="s">
        <v>306</v>
      </c>
      <c r="I37" s="25">
        <v>9404697910</v>
      </c>
      <c r="J37" s="26">
        <v>41175</v>
      </c>
      <c r="K37" s="249">
        <v>0.4236111111111111</v>
      </c>
    </row>
    <row r="38" spans="2:11" x14ac:dyDescent="0.25">
      <c r="B38" s="248">
        <v>133</v>
      </c>
      <c r="C38" s="20" t="s">
        <v>307</v>
      </c>
      <c r="D38" s="21">
        <v>25</v>
      </c>
      <c r="E38" s="22" t="s">
        <v>246</v>
      </c>
      <c r="F38" s="22">
        <v>300</v>
      </c>
      <c r="G38" s="23" t="s">
        <v>303</v>
      </c>
      <c r="H38" s="23" t="s">
        <v>1376</v>
      </c>
      <c r="I38" s="25">
        <v>9420018412</v>
      </c>
      <c r="J38" s="26">
        <v>41175</v>
      </c>
      <c r="K38" s="249">
        <v>0.6875</v>
      </c>
    </row>
    <row r="39" spans="2:11" x14ac:dyDescent="0.25">
      <c r="B39" s="248">
        <v>20</v>
      </c>
      <c r="C39" s="20" t="s">
        <v>308</v>
      </c>
      <c r="D39" s="21">
        <v>28</v>
      </c>
      <c r="E39" s="22" t="s">
        <v>267</v>
      </c>
      <c r="F39" s="22">
        <v>300</v>
      </c>
      <c r="G39" s="23" t="s">
        <v>309</v>
      </c>
      <c r="H39" s="190" t="s">
        <v>1332</v>
      </c>
      <c r="I39" s="25">
        <v>9420034749</v>
      </c>
      <c r="J39" s="26">
        <v>41165</v>
      </c>
      <c r="K39" s="249">
        <v>0.51388888888888895</v>
      </c>
    </row>
    <row r="40" spans="2:11" x14ac:dyDescent="0.25">
      <c r="B40" s="248">
        <v>127</v>
      </c>
      <c r="C40" s="20" t="s">
        <v>310</v>
      </c>
      <c r="D40" s="21">
        <v>18</v>
      </c>
      <c r="E40" s="22" t="s">
        <v>255</v>
      </c>
      <c r="F40" s="22">
        <v>300</v>
      </c>
      <c r="G40" s="23" t="s">
        <v>303</v>
      </c>
      <c r="H40" s="23" t="s">
        <v>1377</v>
      </c>
      <c r="I40" s="25">
        <v>9420220701</v>
      </c>
      <c r="J40" s="26">
        <v>41175</v>
      </c>
      <c r="K40" s="249">
        <v>0.52777777777777779</v>
      </c>
    </row>
    <row r="41" spans="2:11" x14ac:dyDescent="0.25">
      <c r="B41" s="248">
        <v>139</v>
      </c>
      <c r="C41" s="20" t="s">
        <v>311</v>
      </c>
      <c r="D41" s="21">
        <v>29</v>
      </c>
      <c r="E41" s="22" t="s">
        <v>243</v>
      </c>
      <c r="F41" s="22">
        <v>300</v>
      </c>
      <c r="G41" s="23" t="s">
        <v>303</v>
      </c>
      <c r="H41" s="23" t="s">
        <v>1378</v>
      </c>
      <c r="I41" s="25">
        <v>9420220701</v>
      </c>
      <c r="J41" s="26">
        <v>41176</v>
      </c>
      <c r="K41" s="249">
        <v>0.47222222222222199</v>
      </c>
    </row>
    <row r="42" spans="2:11" x14ac:dyDescent="0.25">
      <c r="B42" s="248">
        <v>22</v>
      </c>
      <c r="C42" s="20" t="s">
        <v>312</v>
      </c>
      <c r="D42" s="21">
        <v>35</v>
      </c>
      <c r="E42" s="22" t="s">
        <v>246</v>
      </c>
      <c r="F42" s="22">
        <v>300</v>
      </c>
      <c r="G42" s="23" t="s">
        <v>313</v>
      </c>
      <c r="H42" s="24" t="s">
        <v>1379</v>
      </c>
      <c r="I42" s="25">
        <v>9420815577</v>
      </c>
      <c r="J42" s="26">
        <v>41165</v>
      </c>
      <c r="K42" s="249">
        <v>0.52777777777777779</v>
      </c>
    </row>
    <row r="43" spans="2:11" x14ac:dyDescent="0.25">
      <c r="B43" s="248">
        <v>140</v>
      </c>
      <c r="C43" s="20" t="s">
        <v>314</v>
      </c>
      <c r="D43" s="21">
        <v>28</v>
      </c>
      <c r="E43" s="22" t="s">
        <v>267</v>
      </c>
      <c r="F43" s="22">
        <v>300</v>
      </c>
      <c r="G43" s="23" t="s">
        <v>303</v>
      </c>
      <c r="H43" s="23" t="s">
        <v>1380</v>
      </c>
      <c r="I43" s="25">
        <v>9421420333</v>
      </c>
      <c r="J43" s="26">
        <v>41176</v>
      </c>
      <c r="K43" s="249">
        <v>0.51388888888888895</v>
      </c>
    </row>
    <row r="44" spans="2:11" x14ac:dyDescent="0.25">
      <c r="B44" s="248">
        <v>141</v>
      </c>
      <c r="C44" s="20" t="s">
        <v>315</v>
      </c>
      <c r="D44" s="21">
        <v>35</v>
      </c>
      <c r="E44" s="22" t="s">
        <v>255</v>
      </c>
      <c r="F44" s="22">
        <v>300</v>
      </c>
      <c r="G44" s="23" t="s">
        <v>303</v>
      </c>
      <c r="H44" s="23" t="s">
        <v>1381</v>
      </c>
      <c r="I44" s="25">
        <v>9421421080</v>
      </c>
      <c r="J44" s="26">
        <v>41176</v>
      </c>
      <c r="K44" s="249">
        <v>0.51388888888888895</v>
      </c>
    </row>
    <row r="45" spans="2:11" ht="105" x14ac:dyDescent="0.25">
      <c r="B45" s="248">
        <v>122</v>
      </c>
      <c r="C45" s="20" t="s">
        <v>316</v>
      </c>
      <c r="D45" s="21">
        <v>19</v>
      </c>
      <c r="E45" s="22" t="s">
        <v>258</v>
      </c>
      <c r="F45" s="22">
        <v>300</v>
      </c>
      <c r="G45" s="23" t="s">
        <v>259</v>
      </c>
      <c r="H45" s="189" t="s">
        <v>1333</v>
      </c>
      <c r="I45" s="25">
        <v>9422058010</v>
      </c>
      <c r="J45" s="26">
        <v>41175</v>
      </c>
      <c r="K45" s="249">
        <v>0.43055555555555558</v>
      </c>
    </row>
    <row r="46" spans="2:11" x14ac:dyDescent="0.25">
      <c r="B46" s="248">
        <v>39</v>
      </c>
      <c r="C46" s="20" t="s">
        <v>317</v>
      </c>
      <c r="D46" s="21">
        <v>34</v>
      </c>
      <c r="E46" s="22" t="s">
        <v>249</v>
      </c>
      <c r="F46" s="22">
        <v>300</v>
      </c>
      <c r="G46" s="23" t="s">
        <v>318</v>
      </c>
      <c r="H46" s="24" t="s">
        <v>319</v>
      </c>
      <c r="I46" s="25">
        <v>9422205486</v>
      </c>
      <c r="J46" s="26">
        <v>41166</v>
      </c>
      <c r="K46" s="249">
        <v>0.64583333333333304</v>
      </c>
    </row>
    <row r="47" spans="2:11" x14ac:dyDescent="0.25">
      <c r="B47" s="248">
        <v>125</v>
      </c>
      <c r="C47" s="20" t="s">
        <v>320</v>
      </c>
      <c r="D47" s="21">
        <v>26</v>
      </c>
      <c r="E47" s="22" t="s">
        <v>243</v>
      </c>
      <c r="F47" s="22">
        <v>300</v>
      </c>
      <c r="G47" s="23" t="s">
        <v>303</v>
      </c>
      <c r="H47" s="23" t="s">
        <v>321</v>
      </c>
      <c r="I47" s="25">
        <v>9422218573</v>
      </c>
      <c r="J47" s="26">
        <v>41175</v>
      </c>
      <c r="K47" s="249">
        <v>0.51388888888888895</v>
      </c>
    </row>
    <row r="48" spans="2:11" x14ac:dyDescent="0.25">
      <c r="B48" s="248">
        <v>118</v>
      </c>
      <c r="C48" s="20" t="s">
        <v>322</v>
      </c>
      <c r="D48" s="21">
        <v>20</v>
      </c>
      <c r="E48" s="22" t="s">
        <v>255</v>
      </c>
      <c r="F48" s="22">
        <v>300</v>
      </c>
      <c r="G48" s="23" t="s">
        <v>259</v>
      </c>
      <c r="H48" s="23" t="s">
        <v>1382</v>
      </c>
      <c r="I48" s="25">
        <v>9422241737</v>
      </c>
      <c r="J48" s="26">
        <v>41174</v>
      </c>
      <c r="K48" s="249">
        <v>0.60416666666666663</v>
      </c>
    </row>
    <row r="49" spans="2:11" x14ac:dyDescent="0.25">
      <c r="B49" s="248">
        <v>33</v>
      </c>
      <c r="C49" s="20" t="s">
        <v>323</v>
      </c>
      <c r="D49" s="21">
        <v>23</v>
      </c>
      <c r="E49" s="22" t="s">
        <v>249</v>
      </c>
      <c r="F49" s="22">
        <v>300</v>
      </c>
      <c r="G49" s="23" t="s">
        <v>324</v>
      </c>
      <c r="H49" s="24" t="s">
        <v>1383</v>
      </c>
      <c r="I49" s="25">
        <v>9422541749</v>
      </c>
      <c r="J49" s="26">
        <v>41166</v>
      </c>
      <c r="K49" s="249">
        <v>0.51388888888888895</v>
      </c>
    </row>
    <row r="50" spans="2:11" x14ac:dyDescent="0.25">
      <c r="B50" s="248">
        <v>134</v>
      </c>
      <c r="C50" s="20" t="s">
        <v>325</v>
      </c>
      <c r="D50" s="21">
        <v>22</v>
      </c>
      <c r="E50" s="22" t="s">
        <v>249</v>
      </c>
      <c r="F50" s="22">
        <v>300</v>
      </c>
      <c r="G50" s="23" t="s">
        <v>303</v>
      </c>
      <c r="H50" s="23" t="s">
        <v>1384</v>
      </c>
      <c r="I50" s="25">
        <v>9422565895</v>
      </c>
      <c r="J50" s="26">
        <v>41175</v>
      </c>
      <c r="K50" s="249">
        <v>0.6875</v>
      </c>
    </row>
    <row r="51" spans="2:11" x14ac:dyDescent="0.25">
      <c r="B51" s="248">
        <v>5</v>
      </c>
      <c r="C51" s="20" t="s">
        <v>326</v>
      </c>
      <c r="D51" s="21">
        <v>26</v>
      </c>
      <c r="E51" s="22" t="s">
        <v>243</v>
      </c>
      <c r="F51" s="22">
        <v>300</v>
      </c>
      <c r="G51" s="23" t="s">
        <v>327</v>
      </c>
      <c r="H51" s="24" t="s">
        <v>1334</v>
      </c>
      <c r="I51" s="25">
        <v>9422818625</v>
      </c>
      <c r="J51" s="26">
        <v>41164</v>
      </c>
      <c r="K51" s="249">
        <v>0.51388888888888895</v>
      </c>
    </row>
    <row r="52" spans="2:11" x14ac:dyDescent="0.25">
      <c r="B52" s="248">
        <v>23</v>
      </c>
      <c r="C52" s="20" t="s">
        <v>328</v>
      </c>
      <c r="D52" s="21">
        <v>32</v>
      </c>
      <c r="E52" s="22" t="s">
        <v>249</v>
      </c>
      <c r="F52" s="22">
        <v>300</v>
      </c>
      <c r="G52" s="23" t="s">
        <v>281</v>
      </c>
      <c r="H52" s="24" t="s">
        <v>1335</v>
      </c>
      <c r="I52" s="25">
        <v>9422945000</v>
      </c>
      <c r="J52" s="26">
        <v>41165</v>
      </c>
      <c r="K52" s="249">
        <v>0.54861111111111105</v>
      </c>
    </row>
    <row r="53" spans="2:11" x14ac:dyDescent="0.25">
      <c r="B53" s="248">
        <v>128</v>
      </c>
      <c r="C53" s="20" t="s">
        <v>329</v>
      </c>
      <c r="D53" s="21">
        <v>20</v>
      </c>
      <c r="E53" s="22" t="s">
        <v>246</v>
      </c>
      <c r="F53" s="22">
        <v>300</v>
      </c>
      <c r="G53" s="23" t="s">
        <v>303</v>
      </c>
      <c r="H53" s="23" t="s">
        <v>1385</v>
      </c>
      <c r="I53" s="25">
        <v>9423157955</v>
      </c>
      <c r="J53" s="26">
        <v>41175</v>
      </c>
      <c r="K53" s="249">
        <v>0.54861111111111105</v>
      </c>
    </row>
    <row r="54" spans="2:11" x14ac:dyDescent="0.25">
      <c r="B54" s="248">
        <v>138</v>
      </c>
      <c r="C54" s="20" t="s">
        <v>330</v>
      </c>
      <c r="D54" s="21">
        <v>18</v>
      </c>
      <c r="E54" s="22" t="s">
        <v>246</v>
      </c>
      <c r="F54" s="22">
        <v>300</v>
      </c>
      <c r="G54" s="23" t="s">
        <v>303</v>
      </c>
      <c r="H54" s="23" t="s">
        <v>1386</v>
      </c>
      <c r="I54" s="25">
        <v>9423157955</v>
      </c>
      <c r="J54" s="26">
        <v>41176</v>
      </c>
      <c r="K54" s="249">
        <v>0.47222222222222199</v>
      </c>
    </row>
    <row r="55" spans="2:11" x14ac:dyDescent="0.25">
      <c r="B55" s="248">
        <v>121</v>
      </c>
      <c r="C55" s="20" t="s">
        <v>331</v>
      </c>
      <c r="D55" s="21">
        <v>25</v>
      </c>
      <c r="E55" s="22" t="s">
        <v>243</v>
      </c>
      <c r="F55" s="22">
        <v>300</v>
      </c>
      <c r="G55" s="23" t="s">
        <v>259</v>
      </c>
      <c r="H55" s="23" t="s">
        <v>1387</v>
      </c>
      <c r="I55" s="25">
        <v>9423343444</v>
      </c>
      <c r="J55" s="26">
        <v>41175</v>
      </c>
      <c r="K55" s="249">
        <v>0.43055555555555558</v>
      </c>
    </row>
    <row r="56" spans="2:11" x14ac:dyDescent="0.25">
      <c r="B56" s="248">
        <v>131</v>
      </c>
      <c r="C56" s="20" t="s">
        <v>332</v>
      </c>
      <c r="D56" s="21">
        <v>27</v>
      </c>
      <c r="E56" s="22" t="s">
        <v>255</v>
      </c>
      <c r="F56" s="22">
        <v>300</v>
      </c>
      <c r="G56" s="23" t="s">
        <v>303</v>
      </c>
      <c r="H56" s="23" t="s">
        <v>1336</v>
      </c>
      <c r="I56" s="25">
        <v>9423458088</v>
      </c>
      <c r="J56" s="26">
        <v>41175</v>
      </c>
      <c r="K56" s="249">
        <v>0.64583333333333304</v>
      </c>
    </row>
    <row r="57" spans="2:11" x14ac:dyDescent="0.25">
      <c r="B57" s="248">
        <v>132</v>
      </c>
      <c r="C57" s="20" t="s">
        <v>333</v>
      </c>
      <c r="D57" s="21">
        <v>26</v>
      </c>
      <c r="E57" s="22" t="s">
        <v>258</v>
      </c>
      <c r="F57" s="22">
        <v>300</v>
      </c>
      <c r="G57" s="23" t="s">
        <v>303</v>
      </c>
      <c r="H57" s="23" t="s">
        <v>1388</v>
      </c>
      <c r="I57" s="25">
        <v>9423459800</v>
      </c>
      <c r="J57" s="26">
        <v>41175</v>
      </c>
      <c r="K57" s="249">
        <v>0.6875</v>
      </c>
    </row>
    <row r="58" spans="2:11" x14ac:dyDescent="0.25">
      <c r="B58" s="248">
        <v>126</v>
      </c>
      <c r="C58" s="20" t="s">
        <v>334</v>
      </c>
      <c r="D58" s="21">
        <v>34</v>
      </c>
      <c r="E58" s="22" t="s">
        <v>267</v>
      </c>
      <c r="F58" s="22">
        <v>300</v>
      </c>
      <c r="G58" s="23" t="s">
        <v>303</v>
      </c>
      <c r="H58" s="23" t="s">
        <v>1389</v>
      </c>
      <c r="I58" s="25">
        <v>9423460426</v>
      </c>
      <c r="J58" s="26">
        <v>41175</v>
      </c>
      <c r="K58" s="249">
        <v>0.51388888888888895</v>
      </c>
    </row>
    <row r="59" spans="2:11" x14ac:dyDescent="0.25">
      <c r="B59" s="248">
        <v>3</v>
      </c>
      <c r="C59" s="20" t="s">
        <v>335</v>
      </c>
      <c r="D59" s="21">
        <v>22</v>
      </c>
      <c r="E59" s="22" t="s">
        <v>249</v>
      </c>
      <c r="F59" s="22">
        <v>300</v>
      </c>
      <c r="G59" s="23" t="s">
        <v>336</v>
      </c>
      <c r="H59" s="24" t="s">
        <v>1337</v>
      </c>
      <c r="I59" s="25">
        <v>9423631398</v>
      </c>
      <c r="J59" s="26">
        <v>41164</v>
      </c>
      <c r="K59" s="249">
        <v>0.47222222222222199</v>
      </c>
    </row>
    <row r="60" spans="2:11" x14ac:dyDescent="0.25">
      <c r="B60" s="248">
        <v>15</v>
      </c>
      <c r="C60" s="20" t="s">
        <v>337</v>
      </c>
      <c r="D60" s="21">
        <v>24</v>
      </c>
      <c r="E60" s="22" t="s">
        <v>243</v>
      </c>
      <c r="F60" s="22">
        <v>300</v>
      </c>
      <c r="G60" s="23" t="s">
        <v>303</v>
      </c>
      <c r="H60" s="24" t="s">
        <v>1390</v>
      </c>
      <c r="I60" s="25">
        <v>9423631398</v>
      </c>
      <c r="J60" s="26">
        <v>41164</v>
      </c>
      <c r="K60" s="249">
        <v>0.72916666666666696</v>
      </c>
    </row>
    <row r="61" spans="2:11" x14ac:dyDescent="0.25">
      <c r="B61" s="248">
        <v>137</v>
      </c>
      <c r="C61" s="20" t="s">
        <v>338</v>
      </c>
      <c r="D61" s="21">
        <v>20</v>
      </c>
      <c r="E61" s="22" t="s">
        <v>249</v>
      </c>
      <c r="F61" s="22">
        <v>300</v>
      </c>
      <c r="G61" s="23" t="s">
        <v>303</v>
      </c>
      <c r="H61" s="23" t="s">
        <v>1391</v>
      </c>
      <c r="I61" s="25">
        <v>9423658232</v>
      </c>
      <c r="J61" s="26">
        <v>41176</v>
      </c>
      <c r="K61" s="249">
        <v>0.43055555555555558</v>
      </c>
    </row>
    <row r="62" spans="2:11" x14ac:dyDescent="0.25">
      <c r="B62" s="248">
        <v>11</v>
      </c>
      <c r="C62" s="20" t="s">
        <v>339</v>
      </c>
      <c r="D62" s="21">
        <v>27</v>
      </c>
      <c r="E62" s="22" t="s">
        <v>255</v>
      </c>
      <c r="F62" s="22">
        <v>300</v>
      </c>
      <c r="G62" s="23" t="s">
        <v>340</v>
      </c>
      <c r="H62" s="24" t="s">
        <v>341</v>
      </c>
      <c r="I62" s="25">
        <v>9527758639</v>
      </c>
      <c r="J62" s="26">
        <v>41164</v>
      </c>
      <c r="K62" s="249">
        <v>0.64583333333333304</v>
      </c>
    </row>
    <row r="63" spans="2:11" x14ac:dyDescent="0.25">
      <c r="B63" s="248">
        <v>177</v>
      </c>
      <c r="C63" s="20" t="s">
        <v>342</v>
      </c>
      <c r="D63" s="21">
        <v>23</v>
      </c>
      <c r="E63" s="22" t="s">
        <v>249</v>
      </c>
      <c r="F63" s="22">
        <v>300</v>
      </c>
      <c r="G63" s="23" t="s">
        <v>247</v>
      </c>
      <c r="H63" s="23" t="s">
        <v>1338</v>
      </c>
      <c r="I63" s="25">
        <v>9699067475</v>
      </c>
      <c r="J63" s="26">
        <v>41179</v>
      </c>
      <c r="K63" s="249">
        <v>0.43055555555555558</v>
      </c>
    </row>
    <row r="64" spans="2:11" x14ac:dyDescent="0.25">
      <c r="B64" s="248">
        <v>161</v>
      </c>
      <c r="C64" s="20" t="s">
        <v>343</v>
      </c>
      <c r="D64" s="21">
        <v>20</v>
      </c>
      <c r="E64" s="22" t="s">
        <v>243</v>
      </c>
      <c r="F64" s="22">
        <v>300</v>
      </c>
      <c r="G64" s="23" t="s">
        <v>271</v>
      </c>
      <c r="H64" s="23" t="s">
        <v>1392</v>
      </c>
      <c r="I64" s="25">
        <v>9702676637</v>
      </c>
      <c r="J64" s="26">
        <v>41178</v>
      </c>
      <c r="K64" s="249">
        <v>0.43055555555555558</v>
      </c>
    </row>
    <row r="65" spans="2:11" x14ac:dyDescent="0.25">
      <c r="B65" s="248">
        <v>190</v>
      </c>
      <c r="C65" s="20" t="s">
        <v>344</v>
      </c>
      <c r="D65" s="21">
        <v>35</v>
      </c>
      <c r="E65" s="22" t="s">
        <v>258</v>
      </c>
      <c r="F65" s="22">
        <v>300</v>
      </c>
      <c r="G65" s="23" t="s">
        <v>247</v>
      </c>
      <c r="H65" s="23" t="s">
        <v>1393</v>
      </c>
      <c r="I65" s="25">
        <v>9702868333</v>
      </c>
      <c r="J65" s="26">
        <v>41180</v>
      </c>
      <c r="K65" s="249">
        <v>0.43055555555555558</v>
      </c>
    </row>
    <row r="66" spans="2:11" x14ac:dyDescent="0.25">
      <c r="B66" s="248">
        <v>12</v>
      </c>
      <c r="C66" s="20" t="s">
        <v>345</v>
      </c>
      <c r="D66" s="21">
        <v>26</v>
      </c>
      <c r="E66" s="22" t="s">
        <v>258</v>
      </c>
      <c r="F66" s="22">
        <v>300</v>
      </c>
      <c r="G66" s="23" t="s">
        <v>346</v>
      </c>
      <c r="H66" s="24" t="s">
        <v>1394</v>
      </c>
      <c r="I66" s="25">
        <v>9730645003</v>
      </c>
      <c r="J66" s="26">
        <v>41164</v>
      </c>
      <c r="K66" s="249">
        <v>0.6875</v>
      </c>
    </row>
    <row r="67" spans="2:11" x14ac:dyDescent="0.25">
      <c r="B67" s="248">
        <v>17</v>
      </c>
      <c r="C67" s="20" t="s">
        <v>347</v>
      </c>
      <c r="D67" s="21">
        <v>20</v>
      </c>
      <c r="E67" s="22" t="s">
        <v>249</v>
      </c>
      <c r="F67" s="22">
        <v>300</v>
      </c>
      <c r="G67" s="23" t="s">
        <v>348</v>
      </c>
      <c r="H67" s="24" t="s">
        <v>349</v>
      </c>
      <c r="I67" s="25">
        <v>9764042559</v>
      </c>
      <c r="J67" s="26">
        <v>41165</v>
      </c>
      <c r="K67" s="249">
        <v>0.43055555555555558</v>
      </c>
    </row>
    <row r="68" spans="2:11" x14ac:dyDescent="0.25">
      <c r="B68" s="248">
        <v>14</v>
      </c>
      <c r="C68" s="20" t="s">
        <v>350</v>
      </c>
      <c r="D68" s="21">
        <v>22</v>
      </c>
      <c r="E68" s="22" t="s">
        <v>249</v>
      </c>
      <c r="F68" s="22">
        <v>300</v>
      </c>
      <c r="G68" s="23" t="s">
        <v>351</v>
      </c>
      <c r="H68" s="24" t="s">
        <v>1395</v>
      </c>
      <c r="I68" s="25">
        <v>9765776618</v>
      </c>
      <c r="J68" s="26">
        <v>41164</v>
      </c>
      <c r="K68" s="249">
        <v>0.6875</v>
      </c>
    </row>
    <row r="69" spans="2:11" x14ac:dyDescent="0.25">
      <c r="B69" s="248">
        <v>16</v>
      </c>
      <c r="C69" s="20" t="s">
        <v>352</v>
      </c>
      <c r="D69" s="21">
        <v>23</v>
      </c>
      <c r="E69" s="22" t="s">
        <v>258</v>
      </c>
      <c r="F69" s="22">
        <v>300</v>
      </c>
      <c r="G69" s="23" t="s">
        <v>73</v>
      </c>
      <c r="H69" s="24" t="s">
        <v>1396</v>
      </c>
      <c r="I69" s="25">
        <v>9766007086</v>
      </c>
      <c r="J69" s="26">
        <v>41165</v>
      </c>
      <c r="K69" s="249">
        <v>0.43055555555555558</v>
      </c>
    </row>
    <row r="70" spans="2:11" x14ac:dyDescent="0.25">
      <c r="B70" s="248">
        <v>18</v>
      </c>
      <c r="C70" s="20" t="s">
        <v>353</v>
      </c>
      <c r="D70" s="21">
        <v>18</v>
      </c>
      <c r="E70" s="22" t="s">
        <v>246</v>
      </c>
      <c r="F70" s="22">
        <v>300</v>
      </c>
      <c r="G70" s="23" t="s">
        <v>354</v>
      </c>
      <c r="H70" s="24" t="s">
        <v>355</v>
      </c>
      <c r="I70" s="25">
        <v>9766754687</v>
      </c>
      <c r="J70" s="26">
        <v>41165</v>
      </c>
      <c r="K70" s="249">
        <v>0.47222222222222199</v>
      </c>
    </row>
    <row r="71" spans="2:11" x14ac:dyDescent="0.25">
      <c r="B71" s="248">
        <v>174</v>
      </c>
      <c r="C71" s="20" t="s">
        <v>356</v>
      </c>
      <c r="D71" s="21">
        <v>29</v>
      </c>
      <c r="E71" s="22" t="s">
        <v>249</v>
      </c>
      <c r="F71" s="22">
        <v>300</v>
      </c>
      <c r="G71" s="23" t="s">
        <v>247</v>
      </c>
      <c r="H71" s="23" t="s">
        <v>1397</v>
      </c>
      <c r="I71" s="25">
        <v>9819204678</v>
      </c>
      <c r="J71" s="26">
        <v>41178</v>
      </c>
      <c r="K71" s="249">
        <v>0.6875</v>
      </c>
    </row>
    <row r="72" spans="2:11" x14ac:dyDescent="0.25">
      <c r="B72" s="248">
        <v>166</v>
      </c>
      <c r="C72" s="20" t="s">
        <v>357</v>
      </c>
      <c r="D72" s="21">
        <v>35</v>
      </c>
      <c r="E72" s="22" t="s">
        <v>267</v>
      </c>
      <c r="F72" s="22">
        <v>300</v>
      </c>
      <c r="G72" s="23" t="s">
        <v>247</v>
      </c>
      <c r="H72" s="23" t="s">
        <v>1398</v>
      </c>
      <c r="I72" s="25">
        <v>9820264026</v>
      </c>
      <c r="J72" s="26">
        <v>41178</v>
      </c>
      <c r="K72" s="249">
        <v>0.51388888888888895</v>
      </c>
    </row>
    <row r="73" spans="2:11" ht="90" x14ac:dyDescent="0.25">
      <c r="B73" s="248">
        <v>211</v>
      </c>
      <c r="C73" s="20" t="s">
        <v>358</v>
      </c>
      <c r="D73" s="21">
        <v>29</v>
      </c>
      <c r="E73" s="22" t="s">
        <v>255</v>
      </c>
      <c r="F73" s="22">
        <v>300</v>
      </c>
      <c r="G73" s="23" t="s">
        <v>262</v>
      </c>
      <c r="H73" s="189" t="s">
        <v>1399</v>
      </c>
      <c r="I73" s="25">
        <v>9820430212</v>
      </c>
      <c r="J73" s="26">
        <v>41181</v>
      </c>
      <c r="K73" s="249">
        <v>0.64583333333333304</v>
      </c>
    </row>
    <row r="74" spans="2:11" x14ac:dyDescent="0.25">
      <c r="B74" s="248">
        <v>199</v>
      </c>
      <c r="C74" s="20" t="s">
        <v>359</v>
      </c>
      <c r="D74" s="21">
        <v>24</v>
      </c>
      <c r="E74" s="22" t="s">
        <v>249</v>
      </c>
      <c r="F74" s="22">
        <v>300</v>
      </c>
      <c r="G74" s="23" t="s">
        <v>262</v>
      </c>
      <c r="H74" s="23" t="s">
        <v>1400</v>
      </c>
      <c r="I74" s="25">
        <v>9820452122</v>
      </c>
      <c r="J74" s="26">
        <v>41180</v>
      </c>
      <c r="K74" s="249">
        <v>0.64583333333333304</v>
      </c>
    </row>
    <row r="75" spans="2:11" x14ac:dyDescent="0.25">
      <c r="B75" s="248">
        <v>188</v>
      </c>
      <c r="C75" s="20" t="s">
        <v>360</v>
      </c>
      <c r="D75" s="21">
        <v>28</v>
      </c>
      <c r="E75" s="22" t="s">
        <v>249</v>
      </c>
      <c r="F75" s="22">
        <v>300</v>
      </c>
      <c r="G75" s="23" t="s">
        <v>247</v>
      </c>
      <c r="H75" s="23" t="s">
        <v>1401</v>
      </c>
      <c r="I75" s="25">
        <v>9820737731</v>
      </c>
      <c r="J75" s="26">
        <v>41179</v>
      </c>
      <c r="K75" s="249">
        <v>0.6875</v>
      </c>
    </row>
    <row r="76" spans="2:11" x14ac:dyDescent="0.25">
      <c r="B76" s="248">
        <v>213</v>
      </c>
      <c r="C76" s="20" t="s">
        <v>361</v>
      </c>
      <c r="D76" s="21">
        <v>35</v>
      </c>
      <c r="E76" s="22" t="s">
        <v>246</v>
      </c>
      <c r="F76" s="22">
        <v>300</v>
      </c>
      <c r="G76" s="23" t="s">
        <v>262</v>
      </c>
      <c r="H76" s="23" t="s">
        <v>1402</v>
      </c>
      <c r="I76" s="25">
        <v>9820943526</v>
      </c>
      <c r="J76" s="26">
        <v>41181</v>
      </c>
      <c r="K76" s="249">
        <v>0.6875</v>
      </c>
    </row>
    <row r="77" spans="2:11" x14ac:dyDescent="0.25">
      <c r="B77" s="248">
        <v>186</v>
      </c>
      <c r="C77" s="20" t="s">
        <v>362</v>
      </c>
      <c r="D77" s="21">
        <v>18</v>
      </c>
      <c r="E77" s="22" t="s">
        <v>258</v>
      </c>
      <c r="F77" s="22">
        <v>300</v>
      </c>
      <c r="G77" s="23" t="s">
        <v>247</v>
      </c>
      <c r="H77" s="23" t="s">
        <v>1339</v>
      </c>
      <c r="I77" s="25">
        <v>9820977608</v>
      </c>
      <c r="J77" s="26">
        <v>41179</v>
      </c>
      <c r="K77" s="249">
        <v>0.64583333333333304</v>
      </c>
    </row>
    <row r="78" spans="2:11" x14ac:dyDescent="0.25">
      <c r="B78" s="248">
        <v>162</v>
      </c>
      <c r="C78" s="20" t="s">
        <v>363</v>
      </c>
      <c r="D78" s="21">
        <v>18</v>
      </c>
      <c r="E78" s="22" t="s">
        <v>258</v>
      </c>
      <c r="F78" s="22">
        <v>300</v>
      </c>
      <c r="G78" s="23" t="s">
        <v>271</v>
      </c>
      <c r="H78" s="23" t="s">
        <v>1403</v>
      </c>
      <c r="I78" s="25">
        <v>9820994920</v>
      </c>
      <c r="J78" s="26">
        <v>41178</v>
      </c>
      <c r="K78" s="249">
        <v>0.43055555555555558</v>
      </c>
    </row>
    <row r="79" spans="2:11" x14ac:dyDescent="0.25">
      <c r="B79" s="248">
        <v>34</v>
      </c>
      <c r="C79" s="20" t="s">
        <v>364</v>
      </c>
      <c r="D79" s="21">
        <v>32</v>
      </c>
      <c r="E79" s="22" t="s">
        <v>255</v>
      </c>
      <c r="F79" s="22">
        <v>300</v>
      </c>
      <c r="G79" s="23" t="s">
        <v>365</v>
      </c>
      <c r="H79" s="24" t="s">
        <v>366</v>
      </c>
      <c r="I79" s="25">
        <v>9822093201</v>
      </c>
      <c r="J79" s="26">
        <v>41166</v>
      </c>
      <c r="K79" s="249">
        <v>0.51388888888888895</v>
      </c>
    </row>
    <row r="80" spans="2:11" x14ac:dyDescent="0.25">
      <c r="B80" s="248">
        <v>135</v>
      </c>
      <c r="C80" s="20" t="s">
        <v>367</v>
      </c>
      <c r="D80" s="21">
        <v>24</v>
      </c>
      <c r="E80" s="22" t="s">
        <v>243</v>
      </c>
      <c r="F80" s="22">
        <v>300</v>
      </c>
      <c r="G80" s="23" t="s">
        <v>303</v>
      </c>
      <c r="H80" s="23" t="s">
        <v>368</v>
      </c>
      <c r="I80" s="25">
        <v>9823324652</v>
      </c>
      <c r="J80" s="26">
        <v>41175</v>
      </c>
      <c r="K80" s="249">
        <v>0.72916666666666696</v>
      </c>
    </row>
    <row r="81" spans="2:11" x14ac:dyDescent="0.25">
      <c r="B81" s="248">
        <v>35</v>
      </c>
      <c r="C81" s="20" t="s">
        <v>369</v>
      </c>
      <c r="D81" s="21">
        <v>19</v>
      </c>
      <c r="E81" s="22" t="s">
        <v>255</v>
      </c>
      <c r="F81" s="22">
        <v>300</v>
      </c>
      <c r="G81" s="23" t="s">
        <v>262</v>
      </c>
      <c r="H81" s="24" t="s">
        <v>1340</v>
      </c>
      <c r="I81" s="25">
        <v>9823578786</v>
      </c>
      <c r="J81" s="26">
        <v>41166</v>
      </c>
      <c r="K81" s="249">
        <v>0.52777777777777779</v>
      </c>
    </row>
    <row r="82" spans="2:11" x14ac:dyDescent="0.25">
      <c r="B82" s="248">
        <v>165</v>
      </c>
      <c r="C82" s="20" t="s">
        <v>370</v>
      </c>
      <c r="D82" s="21">
        <v>35</v>
      </c>
      <c r="E82" s="22" t="s">
        <v>243</v>
      </c>
      <c r="F82" s="22">
        <v>300</v>
      </c>
      <c r="G82" s="23" t="s">
        <v>247</v>
      </c>
      <c r="H82" s="23" t="s">
        <v>1341</v>
      </c>
      <c r="I82" s="25">
        <v>9833712250</v>
      </c>
      <c r="J82" s="26">
        <v>41178</v>
      </c>
      <c r="K82" s="249">
        <v>0.51388888888888895</v>
      </c>
    </row>
    <row r="83" spans="2:11" x14ac:dyDescent="0.25">
      <c r="B83" s="248">
        <v>124</v>
      </c>
      <c r="C83" s="20" t="s">
        <v>371</v>
      </c>
      <c r="D83" s="21">
        <v>32</v>
      </c>
      <c r="E83" s="22" t="s">
        <v>246</v>
      </c>
      <c r="F83" s="22">
        <v>300</v>
      </c>
      <c r="G83" s="23" t="s">
        <v>303</v>
      </c>
      <c r="H83" s="23" t="s">
        <v>372</v>
      </c>
      <c r="I83" s="25">
        <v>9860774336</v>
      </c>
      <c r="J83" s="26">
        <v>41175</v>
      </c>
      <c r="K83" s="249">
        <v>0.47222222222222199</v>
      </c>
    </row>
    <row r="84" spans="2:11" x14ac:dyDescent="0.25">
      <c r="B84" s="248">
        <v>119</v>
      </c>
      <c r="C84" s="20" t="s">
        <v>373</v>
      </c>
      <c r="D84" s="21">
        <v>34</v>
      </c>
      <c r="E84" s="22" t="s">
        <v>249</v>
      </c>
      <c r="F84" s="22">
        <v>300</v>
      </c>
      <c r="G84" s="23" t="s">
        <v>259</v>
      </c>
      <c r="H84" s="23" t="s">
        <v>1342</v>
      </c>
      <c r="I84" s="25">
        <v>9860806279</v>
      </c>
      <c r="J84" s="26">
        <v>41174</v>
      </c>
      <c r="K84" s="249">
        <v>0.64583333333333304</v>
      </c>
    </row>
    <row r="85" spans="2:11" x14ac:dyDescent="0.25">
      <c r="B85" s="248">
        <v>21</v>
      </c>
      <c r="C85" s="20" t="s">
        <v>374</v>
      </c>
      <c r="D85" s="21">
        <v>35</v>
      </c>
      <c r="E85" s="22" t="s">
        <v>255</v>
      </c>
      <c r="F85" s="22">
        <v>300</v>
      </c>
      <c r="G85" s="23" t="s">
        <v>375</v>
      </c>
      <c r="H85" s="24" t="s">
        <v>376</v>
      </c>
      <c r="I85" s="25">
        <v>9860806480</v>
      </c>
      <c r="J85" s="26">
        <v>41165</v>
      </c>
      <c r="K85" s="249">
        <v>0.51388888888888895</v>
      </c>
    </row>
    <row r="86" spans="2:11" x14ac:dyDescent="0.25">
      <c r="B86" s="248">
        <v>24</v>
      </c>
      <c r="C86" s="20" t="s">
        <v>377</v>
      </c>
      <c r="D86" s="21">
        <v>25</v>
      </c>
      <c r="E86" s="22" t="s">
        <v>243</v>
      </c>
      <c r="F86" s="22">
        <v>300</v>
      </c>
      <c r="G86" s="23" t="s">
        <v>378</v>
      </c>
      <c r="H86" s="24" t="s">
        <v>1404</v>
      </c>
      <c r="I86" s="25">
        <v>9860806480</v>
      </c>
      <c r="J86" s="26">
        <v>41165</v>
      </c>
      <c r="K86" s="249">
        <v>0.59027777777777801</v>
      </c>
    </row>
    <row r="87" spans="2:11" x14ac:dyDescent="0.25">
      <c r="B87" s="248">
        <v>143</v>
      </c>
      <c r="C87" s="20" t="s">
        <v>379</v>
      </c>
      <c r="D87" s="21">
        <v>32</v>
      </c>
      <c r="E87" s="22" t="s">
        <v>249</v>
      </c>
      <c r="F87" s="22">
        <v>300</v>
      </c>
      <c r="G87" s="23" t="s">
        <v>281</v>
      </c>
      <c r="H87" s="23" t="s">
        <v>380</v>
      </c>
      <c r="I87" s="25">
        <v>9860831111</v>
      </c>
      <c r="J87" s="26">
        <v>41176</v>
      </c>
      <c r="K87" s="249">
        <v>0.54861111111111105</v>
      </c>
    </row>
    <row r="88" spans="2:11" x14ac:dyDescent="0.25">
      <c r="B88" s="248">
        <v>117</v>
      </c>
      <c r="C88" s="20" t="s">
        <v>381</v>
      </c>
      <c r="D88" s="21">
        <v>21</v>
      </c>
      <c r="E88" s="22" t="s">
        <v>246</v>
      </c>
      <c r="F88" s="22">
        <v>300</v>
      </c>
      <c r="G88" s="23" t="s">
        <v>259</v>
      </c>
      <c r="H88" s="23" t="s">
        <v>1405</v>
      </c>
      <c r="I88" s="25">
        <v>9860887313</v>
      </c>
      <c r="J88" s="26">
        <v>41174</v>
      </c>
      <c r="K88" s="249">
        <v>0.59027777777777801</v>
      </c>
    </row>
    <row r="89" spans="2:11" x14ac:dyDescent="0.25">
      <c r="B89" s="248">
        <v>167</v>
      </c>
      <c r="C89" s="20" t="s">
        <v>382</v>
      </c>
      <c r="D89" s="21">
        <v>32</v>
      </c>
      <c r="E89" s="22" t="s">
        <v>255</v>
      </c>
      <c r="F89" s="22">
        <v>300</v>
      </c>
      <c r="G89" s="23" t="s">
        <v>247</v>
      </c>
      <c r="H89" s="23" t="s">
        <v>1406</v>
      </c>
      <c r="I89" s="25">
        <v>9869207341</v>
      </c>
      <c r="J89" s="26">
        <v>41178</v>
      </c>
      <c r="K89" s="249">
        <v>0.52777777777777779</v>
      </c>
    </row>
    <row r="90" spans="2:11" x14ac:dyDescent="0.25">
      <c r="B90" s="248">
        <v>157</v>
      </c>
      <c r="C90" s="20" t="s">
        <v>383</v>
      </c>
      <c r="D90" s="21">
        <v>21</v>
      </c>
      <c r="E90" s="22" t="s">
        <v>246</v>
      </c>
      <c r="F90" s="22">
        <v>300</v>
      </c>
      <c r="G90" s="23" t="s">
        <v>271</v>
      </c>
      <c r="H90" s="23" t="s">
        <v>384</v>
      </c>
      <c r="I90" s="25">
        <v>9869214286</v>
      </c>
      <c r="J90" s="26">
        <v>41177</v>
      </c>
      <c r="K90" s="249">
        <v>0.59027777777777801</v>
      </c>
    </row>
    <row r="91" spans="2:11" x14ac:dyDescent="0.25">
      <c r="B91" s="248">
        <v>164</v>
      </c>
      <c r="C91" s="20" t="s">
        <v>385</v>
      </c>
      <c r="D91" s="21">
        <v>28</v>
      </c>
      <c r="E91" s="22" t="s">
        <v>246</v>
      </c>
      <c r="F91" s="22">
        <v>300</v>
      </c>
      <c r="G91" s="23" t="s">
        <v>247</v>
      </c>
      <c r="H91" s="23" t="s">
        <v>1407</v>
      </c>
      <c r="I91" s="25">
        <v>9869214286</v>
      </c>
      <c r="J91" s="26">
        <v>41178</v>
      </c>
      <c r="K91" s="249">
        <v>0.47222222222222199</v>
      </c>
    </row>
    <row r="92" spans="2:11" x14ac:dyDescent="0.25">
      <c r="B92" s="248">
        <v>170</v>
      </c>
      <c r="C92" s="20" t="s">
        <v>386</v>
      </c>
      <c r="D92" s="21">
        <v>18</v>
      </c>
      <c r="E92" s="22" t="s">
        <v>243</v>
      </c>
      <c r="F92" s="22">
        <v>300</v>
      </c>
      <c r="G92" s="23" t="s">
        <v>247</v>
      </c>
      <c r="H92" s="23" t="s">
        <v>1408</v>
      </c>
      <c r="I92" s="25">
        <v>9869214286</v>
      </c>
      <c r="J92" s="26">
        <v>41178</v>
      </c>
      <c r="K92" s="249">
        <v>0.60416666666666663</v>
      </c>
    </row>
    <row r="93" spans="2:11" x14ac:dyDescent="0.25">
      <c r="B93" s="248">
        <v>175</v>
      </c>
      <c r="C93" s="20" t="s">
        <v>387</v>
      </c>
      <c r="D93" s="21">
        <v>24</v>
      </c>
      <c r="E93" s="22" t="s">
        <v>243</v>
      </c>
      <c r="F93" s="22">
        <v>300</v>
      </c>
      <c r="G93" s="23" t="s">
        <v>247</v>
      </c>
      <c r="H93" s="23" t="s">
        <v>1409</v>
      </c>
      <c r="I93" s="25">
        <v>9869214286</v>
      </c>
      <c r="J93" s="26">
        <v>41178</v>
      </c>
      <c r="K93" s="249">
        <v>0.72916666666666696</v>
      </c>
    </row>
    <row r="94" spans="2:11" x14ac:dyDescent="0.25">
      <c r="B94" s="248">
        <v>178</v>
      </c>
      <c r="C94" s="20" t="s">
        <v>388</v>
      </c>
      <c r="D94" s="21">
        <v>32</v>
      </c>
      <c r="E94" s="22" t="s">
        <v>246</v>
      </c>
      <c r="F94" s="22">
        <v>300</v>
      </c>
      <c r="G94" s="23" t="s">
        <v>247</v>
      </c>
      <c r="H94" s="23" t="s">
        <v>1410</v>
      </c>
      <c r="I94" s="25">
        <v>9869214286</v>
      </c>
      <c r="J94" s="26">
        <v>41179</v>
      </c>
      <c r="K94" s="249">
        <v>0.47222222222222199</v>
      </c>
    </row>
    <row r="95" spans="2:11" x14ac:dyDescent="0.25">
      <c r="B95" s="248">
        <v>179</v>
      </c>
      <c r="C95" s="20" t="s">
        <v>389</v>
      </c>
      <c r="D95" s="21">
        <v>19</v>
      </c>
      <c r="E95" s="22" t="s">
        <v>243</v>
      </c>
      <c r="F95" s="22">
        <v>300</v>
      </c>
      <c r="G95" s="23" t="s">
        <v>247</v>
      </c>
      <c r="H95" s="23" t="s">
        <v>1411</v>
      </c>
      <c r="I95" s="25">
        <v>9869214286</v>
      </c>
      <c r="J95" s="26">
        <v>41179</v>
      </c>
      <c r="K95" s="249">
        <v>0.47222222222222199</v>
      </c>
    </row>
    <row r="96" spans="2:11" x14ac:dyDescent="0.25">
      <c r="B96" s="248">
        <v>180</v>
      </c>
      <c r="C96" s="20" t="s">
        <v>390</v>
      </c>
      <c r="D96" s="21">
        <v>27</v>
      </c>
      <c r="E96" s="22" t="s">
        <v>267</v>
      </c>
      <c r="F96" s="22">
        <v>300</v>
      </c>
      <c r="G96" s="23" t="s">
        <v>247</v>
      </c>
      <c r="H96" s="23" t="s">
        <v>1412</v>
      </c>
      <c r="I96" s="25">
        <v>9869214286</v>
      </c>
      <c r="J96" s="26">
        <v>41179</v>
      </c>
      <c r="K96" s="249">
        <v>0.51388888888888895</v>
      </c>
    </row>
    <row r="97" spans="2:11" x14ac:dyDescent="0.25">
      <c r="B97" s="248">
        <v>182</v>
      </c>
      <c r="C97" s="20" t="s">
        <v>391</v>
      </c>
      <c r="D97" s="21">
        <v>20</v>
      </c>
      <c r="E97" s="22" t="s">
        <v>246</v>
      </c>
      <c r="F97" s="22">
        <v>300</v>
      </c>
      <c r="G97" s="23" t="s">
        <v>247</v>
      </c>
      <c r="H97" s="23" t="s">
        <v>392</v>
      </c>
      <c r="I97" s="25">
        <v>9869214286</v>
      </c>
      <c r="J97" s="26">
        <v>41179</v>
      </c>
      <c r="K97" s="249">
        <v>0.52777777777777779</v>
      </c>
    </row>
    <row r="98" spans="2:11" x14ac:dyDescent="0.25">
      <c r="B98" s="248">
        <v>184</v>
      </c>
      <c r="C98" s="20" t="s">
        <v>393</v>
      </c>
      <c r="D98" s="21">
        <v>19</v>
      </c>
      <c r="E98" s="22" t="s">
        <v>243</v>
      </c>
      <c r="F98" s="22">
        <v>300</v>
      </c>
      <c r="G98" s="23" t="s">
        <v>247</v>
      </c>
      <c r="H98" s="23" t="s">
        <v>1413</v>
      </c>
      <c r="I98" s="25">
        <v>9869214286</v>
      </c>
      <c r="J98" s="26">
        <v>41179</v>
      </c>
      <c r="K98" s="249">
        <v>0.59027777777777801</v>
      </c>
    </row>
    <row r="99" spans="2:11" ht="75" x14ac:dyDescent="0.25">
      <c r="B99" s="248">
        <v>185</v>
      </c>
      <c r="C99" s="20" t="s">
        <v>394</v>
      </c>
      <c r="D99" s="21">
        <v>20</v>
      </c>
      <c r="E99" s="22" t="s">
        <v>255</v>
      </c>
      <c r="F99" s="22">
        <v>300</v>
      </c>
      <c r="G99" s="23" t="s">
        <v>247</v>
      </c>
      <c r="H99" s="189" t="s">
        <v>1414</v>
      </c>
      <c r="I99" s="25">
        <v>9869214286</v>
      </c>
      <c r="J99" s="26">
        <v>41179</v>
      </c>
      <c r="K99" s="249">
        <v>0.60416666666666663</v>
      </c>
    </row>
    <row r="100" spans="2:11" ht="45" x14ac:dyDescent="0.25">
      <c r="B100" s="248">
        <v>187</v>
      </c>
      <c r="C100" s="20" t="s">
        <v>395</v>
      </c>
      <c r="D100" s="21">
        <v>29</v>
      </c>
      <c r="E100" s="22" t="s">
        <v>246</v>
      </c>
      <c r="F100" s="22">
        <v>300</v>
      </c>
      <c r="G100" s="23" t="s">
        <v>247</v>
      </c>
      <c r="H100" s="189" t="s">
        <v>1343</v>
      </c>
      <c r="I100" s="25">
        <v>9869214286</v>
      </c>
      <c r="J100" s="26">
        <v>41179</v>
      </c>
      <c r="K100" s="249">
        <v>0.6875</v>
      </c>
    </row>
    <row r="101" spans="2:11" x14ac:dyDescent="0.25">
      <c r="B101" s="248">
        <v>189</v>
      </c>
      <c r="C101" s="20" t="s">
        <v>396</v>
      </c>
      <c r="D101" s="21">
        <v>35</v>
      </c>
      <c r="E101" s="22" t="s">
        <v>243</v>
      </c>
      <c r="F101" s="22">
        <v>300</v>
      </c>
      <c r="G101" s="23" t="s">
        <v>247</v>
      </c>
      <c r="H101" s="23" t="s">
        <v>397</v>
      </c>
      <c r="I101" s="25">
        <v>9869214286</v>
      </c>
      <c r="J101" s="26">
        <v>41180</v>
      </c>
      <c r="K101" s="249">
        <v>0.43055555555555558</v>
      </c>
    </row>
    <row r="102" spans="2:11" x14ac:dyDescent="0.25">
      <c r="B102" s="248">
        <v>207</v>
      </c>
      <c r="C102" s="20" t="s">
        <v>398</v>
      </c>
      <c r="D102" s="21">
        <v>34</v>
      </c>
      <c r="E102" s="22" t="s">
        <v>255</v>
      </c>
      <c r="F102" s="22">
        <v>300</v>
      </c>
      <c r="G102" s="23" t="s">
        <v>262</v>
      </c>
      <c r="H102" s="23" t="s">
        <v>1415</v>
      </c>
      <c r="I102" s="25">
        <v>9869214286</v>
      </c>
      <c r="J102" s="26">
        <v>41181</v>
      </c>
      <c r="K102" s="249">
        <v>0.52777777777777779</v>
      </c>
    </row>
    <row r="103" spans="2:11" x14ac:dyDescent="0.25">
      <c r="B103" s="248">
        <v>209</v>
      </c>
      <c r="C103" s="20" t="s">
        <v>399</v>
      </c>
      <c r="D103" s="21">
        <v>20</v>
      </c>
      <c r="E103" s="22" t="s">
        <v>255</v>
      </c>
      <c r="F103" s="22">
        <v>300</v>
      </c>
      <c r="G103" s="23" t="s">
        <v>262</v>
      </c>
      <c r="H103" s="23" t="s">
        <v>1344</v>
      </c>
      <c r="I103" s="25">
        <v>9869214286</v>
      </c>
      <c r="J103" s="26">
        <v>41181</v>
      </c>
      <c r="K103" s="249">
        <v>0.59027777777777801</v>
      </c>
    </row>
    <row r="104" spans="2:11" x14ac:dyDescent="0.25">
      <c r="B104" s="248">
        <v>168</v>
      </c>
      <c r="C104" s="20" t="s">
        <v>400</v>
      </c>
      <c r="D104" s="21">
        <v>25</v>
      </c>
      <c r="E104" s="22" t="s">
        <v>246</v>
      </c>
      <c r="F104" s="22">
        <v>300</v>
      </c>
      <c r="G104" s="23" t="s">
        <v>247</v>
      </c>
      <c r="H104" s="23" t="s">
        <v>1416</v>
      </c>
      <c r="I104" s="25">
        <v>9869424621</v>
      </c>
      <c r="J104" s="26">
        <v>41178</v>
      </c>
      <c r="K104" s="249">
        <v>0.54861111111111105</v>
      </c>
    </row>
    <row r="105" spans="2:11" ht="60" x14ac:dyDescent="0.25">
      <c r="B105" s="248">
        <v>176</v>
      </c>
      <c r="C105" s="20" t="s">
        <v>401</v>
      </c>
      <c r="D105" s="21">
        <v>19</v>
      </c>
      <c r="E105" s="22" t="s">
        <v>258</v>
      </c>
      <c r="F105" s="22">
        <v>300</v>
      </c>
      <c r="G105" s="23" t="s">
        <v>247</v>
      </c>
      <c r="H105" s="189" t="s">
        <v>1417</v>
      </c>
      <c r="I105" s="25">
        <v>9869660484</v>
      </c>
      <c r="J105" s="26">
        <v>41179</v>
      </c>
      <c r="K105" s="249">
        <v>0.43055555555555558</v>
      </c>
    </row>
    <row r="106" spans="2:11" x14ac:dyDescent="0.25">
      <c r="B106" s="248">
        <v>193</v>
      </c>
      <c r="C106" s="20" t="s">
        <v>402</v>
      </c>
      <c r="D106" s="21">
        <v>20</v>
      </c>
      <c r="E106" s="22" t="s">
        <v>249</v>
      </c>
      <c r="F106" s="22">
        <v>300</v>
      </c>
      <c r="G106" s="23" t="s">
        <v>247</v>
      </c>
      <c r="H106" s="23" t="s">
        <v>1345</v>
      </c>
      <c r="I106" s="25">
        <v>9869855785</v>
      </c>
      <c r="J106" s="26">
        <v>41180</v>
      </c>
      <c r="K106" s="249">
        <v>0.51388888888888895</v>
      </c>
    </row>
    <row r="107" spans="2:11" x14ac:dyDescent="0.25">
      <c r="B107" s="248">
        <v>146</v>
      </c>
      <c r="C107" s="20" t="s">
        <v>403</v>
      </c>
      <c r="D107" s="21">
        <v>18</v>
      </c>
      <c r="E107" s="22" t="s">
        <v>258</v>
      </c>
      <c r="F107" s="22">
        <v>300</v>
      </c>
      <c r="G107" s="23" t="s">
        <v>281</v>
      </c>
      <c r="H107" s="23" t="s">
        <v>1418</v>
      </c>
      <c r="I107" s="25">
        <v>9881666343</v>
      </c>
      <c r="J107" s="26">
        <v>41176</v>
      </c>
      <c r="K107" s="249">
        <v>0.64583333333333304</v>
      </c>
    </row>
    <row r="108" spans="2:11" x14ac:dyDescent="0.25">
      <c r="B108" s="248">
        <v>29</v>
      </c>
      <c r="C108" s="20" t="s">
        <v>404</v>
      </c>
      <c r="D108" s="21">
        <v>22</v>
      </c>
      <c r="E108" s="22" t="s">
        <v>243</v>
      </c>
      <c r="F108" s="22">
        <v>300</v>
      </c>
      <c r="G108" s="23" t="s">
        <v>268</v>
      </c>
      <c r="H108" s="24" t="s">
        <v>405</v>
      </c>
      <c r="I108" s="25">
        <v>9881927158</v>
      </c>
      <c r="J108" s="26">
        <v>41166</v>
      </c>
      <c r="K108" s="249">
        <v>0.43055555555555558</v>
      </c>
    </row>
    <row r="109" spans="2:11" x14ac:dyDescent="0.25">
      <c r="B109" s="248">
        <v>32</v>
      </c>
      <c r="C109" s="20" t="s">
        <v>406</v>
      </c>
      <c r="D109" s="21">
        <v>19</v>
      </c>
      <c r="E109" s="22" t="s">
        <v>255</v>
      </c>
      <c r="F109" s="22">
        <v>300</v>
      </c>
      <c r="G109" s="23" t="s">
        <v>407</v>
      </c>
      <c r="H109" s="24" t="s">
        <v>1346</v>
      </c>
      <c r="I109" s="25">
        <v>9890076567</v>
      </c>
      <c r="J109" s="26">
        <v>41166</v>
      </c>
      <c r="K109" s="249">
        <v>0.47222222222222199</v>
      </c>
    </row>
    <row r="110" spans="2:11" x14ac:dyDescent="0.25">
      <c r="B110" s="248">
        <v>6</v>
      </c>
      <c r="C110" s="20" t="s">
        <v>408</v>
      </c>
      <c r="D110" s="21">
        <v>34</v>
      </c>
      <c r="E110" s="22" t="s">
        <v>267</v>
      </c>
      <c r="F110" s="22">
        <v>300</v>
      </c>
      <c r="G110" s="23" t="s">
        <v>409</v>
      </c>
      <c r="H110" s="24" t="s">
        <v>1347</v>
      </c>
      <c r="I110" s="25">
        <v>9890582266</v>
      </c>
      <c r="J110" s="26">
        <v>41164</v>
      </c>
      <c r="K110" s="249">
        <v>0.51388888888888895</v>
      </c>
    </row>
    <row r="111" spans="2:11" x14ac:dyDescent="0.25">
      <c r="B111" s="248">
        <v>206</v>
      </c>
      <c r="C111" s="20" t="s">
        <v>410</v>
      </c>
      <c r="D111" s="21">
        <v>20</v>
      </c>
      <c r="E111" s="22" t="s">
        <v>267</v>
      </c>
      <c r="F111" s="22">
        <v>300</v>
      </c>
      <c r="G111" s="23" t="s">
        <v>262</v>
      </c>
      <c r="H111" s="23" t="s">
        <v>1419</v>
      </c>
      <c r="I111" s="25">
        <v>9890596938</v>
      </c>
      <c r="J111" s="26">
        <v>41181</v>
      </c>
      <c r="K111" s="249">
        <v>0.51388888888888895</v>
      </c>
    </row>
    <row r="112" spans="2:11" x14ac:dyDescent="0.25">
      <c r="B112" s="248">
        <v>210</v>
      </c>
      <c r="C112" s="20" t="s">
        <v>411</v>
      </c>
      <c r="D112" s="21">
        <v>18</v>
      </c>
      <c r="E112" s="22" t="s">
        <v>243</v>
      </c>
      <c r="F112" s="22">
        <v>300</v>
      </c>
      <c r="G112" s="23" t="s">
        <v>262</v>
      </c>
      <c r="H112" s="23" t="s">
        <v>1420</v>
      </c>
      <c r="I112" s="25">
        <v>9890596938</v>
      </c>
      <c r="J112" s="26">
        <v>41181</v>
      </c>
      <c r="K112" s="249">
        <v>0.60416666666666663</v>
      </c>
    </row>
    <row r="113" spans="2:11" x14ac:dyDescent="0.25">
      <c r="B113" s="248">
        <v>31</v>
      </c>
      <c r="C113" s="20" t="s">
        <v>412</v>
      </c>
      <c r="D113" s="21">
        <v>24</v>
      </c>
      <c r="E113" s="22" t="s">
        <v>246</v>
      </c>
      <c r="F113" s="22">
        <v>300</v>
      </c>
      <c r="G113" s="23" t="s">
        <v>413</v>
      </c>
      <c r="H113" s="24" t="s">
        <v>1348</v>
      </c>
      <c r="I113" s="25">
        <v>9890939072</v>
      </c>
      <c r="J113" s="26">
        <v>41166</v>
      </c>
      <c r="K113" s="249">
        <v>0.47222222222222199</v>
      </c>
    </row>
    <row r="114" spans="2:11" x14ac:dyDescent="0.25">
      <c r="B114" s="248">
        <v>25</v>
      </c>
      <c r="C114" s="20" t="s">
        <v>414</v>
      </c>
      <c r="D114" s="21">
        <v>20</v>
      </c>
      <c r="E114" s="22" t="s">
        <v>255</v>
      </c>
      <c r="F114" s="22">
        <v>300</v>
      </c>
      <c r="G114" s="23" t="s">
        <v>415</v>
      </c>
      <c r="H114" s="24" t="s">
        <v>416</v>
      </c>
      <c r="I114" s="25">
        <v>9890984899</v>
      </c>
      <c r="J114" s="26">
        <v>41165</v>
      </c>
      <c r="K114" s="249">
        <v>0.60416666666666663</v>
      </c>
    </row>
    <row r="115" spans="2:11" x14ac:dyDescent="0.25">
      <c r="B115" s="248">
        <v>36</v>
      </c>
      <c r="C115" s="20" t="s">
        <v>417</v>
      </c>
      <c r="D115" s="21">
        <v>27</v>
      </c>
      <c r="E115" s="22" t="s">
        <v>243</v>
      </c>
      <c r="F115" s="22">
        <v>300</v>
      </c>
      <c r="G115" s="23" t="s">
        <v>418</v>
      </c>
      <c r="H115" s="24" t="s">
        <v>1421</v>
      </c>
      <c r="I115" s="25">
        <v>9921835853</v>
      </c>
      <c r="J115" s="26">
        <v>41166</v>
      </c>
      <c r="K115" s="249">
        <v>0.54861111111111105</v>
      </c>
    </row>
    <row r="116" spans="2:11" x14ac:dyDescent="0.25">
      <c r="B116" s="248">
        <v>26</v>
      </c>
      <c r="C116" s="20" t="s">
        <v>419</v>
      </c>
      <c r="D116" s="21">
        <v>18</v>
      </c>
      <c r="E116" s="22" t="s">
        <v>258</v>
      </c>
      <c r="F116" s="22">
        <v>300</v>
      </c>
      <c r="G116" s="23" t="s">
        <v>420</v>
      </c>
      <c r="H116" s="24" t="s">
        <v>1422</v>
      </c>
      <c r="I116" s="25">
        <v>9921952488</v>
      </c>
      <c r="J116" s="26">
        <v>41165</v>
      </c>
      <c r="K116" s="249">
        <v>0.64583333333333304</v>
      </c>
    </row>
    <row r="117" spans="2:11" x14ac:dyDescent="0.25">
      <c r="B117" s="248">
        <v>38</v>
      </c>
      <c r="C117" s="20" t="s">
        <v>421</v>
      </c>
      <c r="D117" s="21">
        <v>20</v>
      </c>
      <c r="E117" s="22" t="s">
        <v>255</v>
      </c>
      <c r="F117" s="22">
        <v>300</v>
      </c>
      <c r="G117" s="23" t="s">
        <v>422</v>
      </c>
      <c r="H117" s="24" t="s">
        <v>1423</v>
      </c>
      <c r="I117" s="25">
        <v>9923274435</v>
      </c>
      <c r="J117" s="26">
        <v>41166</v>
      </c>
      <c r="K117" s="249">
        <v>0.60416666666666663</v>
      </c>
    </row>
    <row r="118" spans="2:11" x14ac:dyDescent="0.25">
      <c r="B118" s="248">
        <v>183</v>
      </c>
      <c r="C118" s="20" t="s">
        <v>423</v>
      </c>
      <c r="D118" s="21">
        <v>34</v>
      </c>
      <c r="E118" s="22" t="s">
        <v>249</v>
      </c>
      <c r="F118" s="22">
        <v>300</v>
      </c>
      <c r="G118" s="23" t="s">
        <v>247</v>
      </c>
      <c r="H118" s="191" t="s">
        <v>1424</v>
      </c>
      <c r="I118" s="25">
        <v>9923326704</v>
      </c>
      <c r="J118" s="26">
        <v>41179</v>
      </c>
      <c r="K118" s="249">
        <v>0.54861111111111105</v>
      </c>
    </row>
    <row r="119" spans="2:11" x14ac:dyDescent="0.25">
      <c r="B119" s="248">
        <v>10</v>
      </c>
      <c r="C119" s="20" t="s">
        <v>424</v>
      </c>
      <c r="D119" s="21">
        <v>24</v>
      </c>
      <c r="E119" s="22" t="s">
        <v>243</v>
      </c>
      <c r="F119" s="22">
        <v>300</v>
      </c>
      <c r="G119" s="23" t="s">
        <v>425</v>
      </c>
      <c r="H119" s="24" t="s">
        <v>1425</v>
      </c>
      <c r="I119" s="25">
        <v>9923458847</v>
      </c>
      <c r="J119" s="26">
        <v>41164</v>
      </c>
      <c r="K119" s="249">
        <v>0.60416666666666663</v>
      </c>
    </row>
    <row r="120" spans="2:11" x14ac:dyDescent="0.25">
      <c r="B120" s="248">
        <v>7</v>
      </c>
      <c r="C120" s="20" t="s">
        <v>426</v>
      </c>
      <c r="D120" s="21">
        <v>18</v>
      </c>
      <c r="E120" s="22" t="s">
        <v>255</v>
      </c>
      <c r="F120" s="22">
        <v>300</v>
      </c>
      <c r="G120" s="23" t="s">
        <v>427</v>
      </c>
      <c r="H120" s="24" t="s">
        <v>1349</v>
      </c>
      <c r="I120" s="25">
        <v>9923858743</v>
      </c>
      <c r="J120" s="26">
        <v>41164</v>
      </c>
      <c r="K120" s="249">
        <v>0.52777777777777779</v>
      </c>
    </row>
    <row r="121" spans="2:11" x14ac:dyDescent="0.25">
      <c r="B121" s="248">
        <v>142</v>
      </c>
      <c r="C121" s="20" t="s">
        <v>428</v>
      </c>
      <c r="D121" s="21">
        <v>35</v>
      </c>
      <c r="E121" s="22" t="s">
        <v>246</v>
      </c>
      <c r="F121" s="22">
        <v>300</v>
      </c>
      <c r="G121" s="23" t="s">
        <v>303</v>
      </c>
      <c r="H121" s="23" t="s">
        <v>1426</v>
      </c>
      <c r="I121" s="25">
        <v>9960636798</v>
      </c>
      <c r="J121" s="26">
        <v>41176</v>
      </c>
      <c r="K121" s="249">
        <v>0.52777777777777779</v>
      </c>
    </row>
    <row r="122" spans="2:11" x14ac:dyDescent="0.25">
      <c r="B122" s="248">
        <v>144</v>
      </c>
      <c r="C122" s="20" t="s">
        <v>429</v>
      </c>
      <c r="D122" s="21">
        <v>25</v>
      </c>
      <c r="E122" s="22" t="s">
        <v>243</v>
      </c>
      <c r="F122" s="22">
        <v>300</v>
      </c>
      <c r="G122" s="23" t="s">
        <v>281</v>
      </c>
      <c r="H122" s="23" t="s">
        <v>1427</v>
      </c>
      <c r="I122" s="25">
        <v>9960646540</v>
      </c>
      <c r="J122" s="26">
        <v>41176</v>
      </c>
      <c r="K122" s="249">
        <v>0.59027777777777801</v>
      </c>
    </row>
    <row r="123" spans="2:11" x14ac:dyDescent="0.25">
      <c r="B123" s="248">
        <v>169</v>
      </c>
      <c r="C123" s="20" t="s">
        <v>430</v>
      </c>
      <c r="D123" s="21">
        <v>20</v>
      </c>
      <c r="E123" s="22" t="s">
        <v>255</v>
      </c>
      <c r="F123" s="22">
        <v>300</v>
      </c>
      <c r="G123" s="23" t="s">
        <v>247</v>
      </c>
      <c r="H123" s="23" t="s">
        <v>1428</v>
      </c>
      <c r="I123" s="25">
        <v>9969033341</v>
      </c>
      <c r="J123" s="26">
        <v>41178</v>
      </c>
      <c r="K123" s="249">
        <v>0.59027777777777801</v>
      </c>
    </row>
    <row r="124" spans="2:11" x14ac:dyDescent="0.25">
      <c r="B124" s="248">
        <v>4</v>
      </c>
      <c r="C124" s="20" t="s">
        <v>431</v>
      </c>
      <c r="D124" s="21">
        <v>32</v>
      </c>
      <c r="E124" s="22" t="s">
        <v>246</v>
      </c>
      <c r="F124" s="22">
        <v>300</v>
      </c>
      <c r="G124" s="23" t="s">
        <v>141</v>
      </c>
      <c r="H124" s="24" t="s">
        <v>1429</v>
      </c>
      <c r="I124" s="25">
        <v>9970541164</v>
      </c>
      <c r="J124" s="26">
        <v>41164</v>
      </c>
      <c r="K124" s="249">
        <v>0.47222222222222199</v>
      </c>
    </row>
    <row r="125" spans="2:11" x14ac:dyDescent="0.25">
      <c r="B125" s="248">
        <v>27</v>
      </c>
      <c r="C125" s="20" t="s">
        <v>432</v>
      </c>
      <c r="D125" s="21">
        <v>32</v>
      </c>
      <c r="E125" s="22" t="s">
        <v>246</v>
      </c>
      <c r="F125" s="22">
        <v>300</v>
      </c>
      <c r="G125" s="23" t="s">
        <v>433</v>
      </c>
      <c r="H125" s="24" t="s">
        <v>434</v>
      </c>
      <c r="I125" s="25">
        <v>9970874230</v>
      </c>
      <c r="J125" s="26">
        <v>41165</v>
      </c>
      <c r="K125" s="249">
        <v>0.6875</v>
      </c>
    </row>
    <row r="126" spans="2:11" x14ac:dyDescent="0.25">
      <c r="B126" s="248">
        <v>145</v>
      </c>
      <c r="C126" s="20" t="s">
        <v>435</v>
      </c>
      <c r="D126" s="21">
        <v>20</v>
      </c>
      <c r="E126" s="22" t="s">
        <v>255</v>
      </c>
      <c r="F126" s="22">
        <v>300</v>
      </c>
      <c r="G126" s="23" t="s">
        <v>281</v>
      </c>
      <c r="H126" s="23" t="s">
        <v>436</v>
      </c>
      <c r="I126" s="25">
        <v>9975807947</v>
      </c>
      <c r="J126" s="26">
        <v>41176</v>
      </c>
      <c r="K126" s="249">
        <v>0.60416666666666663</v>
      </c>
    </row>
    <row r="127" spans="2:11" x14ac:dyDescent="0.25">
      <c r="B127" s="248">
        <v>136</v>
      </c>
      <c r="C127" s="20" t="s">
        <v>437</v>
      </c>
      <c r="D127" s="21">
        <v>23</v>
      </c>
      <c r="E127" s="22" t="s">
        <v>258</v>
      </c>
      <c r="F127" s="22">
        <v>300</v>
      </c>
      <c r="G127" s="23" t="s">
        <v>303</v>
      </c>
      <c r="H127" s="23" t="s">
        <v>1430</v>
      </c>
      <c r="I127" s="25">
        <v>9975890033</v>
      </c>
      <c r="J127" s="26">
        <v>41176</v>
      </c>
      <c r="K127" s="249">
        <v>0.43055555555555558</v>
      </c>
    </row>
    <row r="128" spans="2:11" x14ac:dyDescent="0.25">
      <c r="B128" s="248">
        <v>159</v>
      </c>
      <c r="C128" s="20" t="s">
        <v>438</v>
      </c>
      <c r="D128" s="21">
        <v>34</v>
      </c>
      <c r="E128" s="22" t="s">
        <v>249</v>
      </c>
      <c r="F128" s="22">
        <v>300</v>
      </c>
      <c r="G128" s="23" t="s">
        <v>271</v>
      </c>
      <c r="H128" s="23" t="s">
        <v>439</v>
      </c>
      <c r="I128" s="25">
        <v>9987334056</v>
      </c>
      <c r="J128" s="26">
        <v>41177</v>
      </c>
      <c r="K128" s="249">
        <v>0.64583333333333304</v>
      </c>
    </row>
    <row r="129" spans="2:11" x14ac:dyDescent="0.25">
      <c r="B129" s="248">
        <v>99</v>
      </c>
      <c r="C129" s="20" t="s">
        <v>440</v>
      </c>
      <c r="D129" s="21">
        <v>29</v>
      </c>
      <c r="E129" s="22" t="s">
        <v>243</v>
      </c>
      <c r="F129" s="22">
        <v>300</v>
      </c>
      <c r="G129" s="23" t="s">
        <v>409</v>
      </c>
      <c r="H129" s="23" t="s">
        <v>441</v>
      </c>
      <c r="I129" s="25" t="s">
        <v>442</v>
      </c>
      <c r="J129" s="26">
        <v>41173</v>
      </c>
      <c r="K129" s="249">
        <v>0.47222222222222199</v>
      </c>
    </row>
    <row r="130" spans="2:11" x14ac:dyDescent="0.25">
      <c r="B130" s="248">
        <v>45</v>
      </c>
      <c r="C130" s="20" t="s">
        <v>443</v>
      </c>
      <c r="D130" s="21">
        <v>26</v>
      </c>
      <c r="E130" s="22" t="s">
        <v>243</v>
      </c>
      <c r="F130" s="22">
        <v>300</v>
      </c>
      <c r="G130" s="23" t="s">
        <v>296</v>
      </c>
      <c r="H130" s="23" t="s">
        <v>444</v>
      </c>
      <c r="I130" s="25" t="s">
        <v>445</v>
      </c>
      <c r="J130" s="26">
        <v>41168</v>
      </c>
      <c r="K130" s="249">
        <v>0.51388888888888895</v>
      </c>
    </row>
    <row r="131" spans="2:11" x14ac:dyDescent="0.25">
      <c r="B131" s="248">
        <v>59</v>
      </c>
      <c r="C131" s="20" t="s">
        <v>446</v>
      </c>
      <c r="D131" s="21">
        <v>29</v>
      </c>
      <c r="E131" s="22" t="s">
        <v>243</v>
      </c>
      <c r="F131" s="22">
        <v>300</v>
      </c>
      <c r="G131" s="23" t="s">
        <v>268</v>
      </c>
      <c r="H131" s="23" t="s">
        <v>1431</v>
      </c>
      <c r="I131" s="25" t="s">
        <v>447</v>
      </c>
      <c r="J131" s="26">
        <v>41169</v>
      </c>
      <c r="K131" s="249">
        <v>0.47222222222222199</v>
      </c>
    </row>
    <row r="132" spans="2:11" x14ac:dyDescent="0.25">
      <c r="B132" s="248">
        <v>43</v>
      </c>
      <c r="C132" s="20" t="s">
        <v>448</v>
      </c>
      <c r="D132" s="21">
        <v>22</v>
      </c>
      <c r="E132" s="22" t="s">
        <v>249</v>
      </c>
      <c r="F132" s="22">
        <v>300</v>
      </c>
      <c r="G132" s="23" t="s">
        <v>296</v>
      </c>
      <c r="H132" s="23" t="s">
        <v>1432</v>
      </c>
      <c r="I132" s="25" t="s">
        <v>449</v>
      </c>
      <c r="J132" s="26">
        <v>41168</v>
      </c>
      <c r="K132" s="249">
        <v>0.47222222222222199</v>
      </c>
    </row>
    <row r="133" spans="2:11" x14ac:dyDescent="0.25">
      <c r="B133" s="248">
        <v>96</v>
      </c>
      <c r="C133" s="20" t="s">
        <v>450</v>
      </c>
      <c r="D133" s="21">
        <v>23</v>
      </c>
      <c r="E133" s="22" t="s">
        <v>258</v>
      </c>
      <c r="F133" s="22">
        <v>300</v>
      </c>
      <c r="G133" s="23" t="s">
        <v>409</v>
      </c>
      <c r="H133" s="23" t="s">
        <v>451</v>
      </c>
      <c r="I133" s="25" t="s">
        <v>452</v>
      </c>
      <c r="J133" s="26">
        <v>41173</v>
      </c>
      <c r="K133" s="249">
        <v>0.43055555555555558</v>
      </c>
    </row>
    <row r="134" spans="2:11" ht="60" x14ac:dyDescent="0.25">
      <c r="B134" s="248">
        <v>94</v>
      </c>
      <c r="C134" s="20" t="s">
        <v>453</v>
      </c>
      <c r="D134" s="21">
        <v>22</v>
      </c>
      <c r="E134" s="22" t="s">
        <v>249</v>
      </c>
      <c r="F134" s="22">
        <v>300</v>
      </c>
      <c r="G134" s="23" t="s">
        <v>409</v>
      </c>
      <c r="H134" s="189" t="s">
        <v>1433</v>
      </c>
      <c r="I134" s="25" t="s">
        <v>454</v>
      </c>
      <c r="J134" s="26">
        <v>41172</v>
      </c>
      <c r="K134" s="249">
        <v>0.6875</v>
      </c>
    </row>
    <row r="135" spans="2:11" x14ac:dyDescent="0.25">
      <c r="B135" s="248">
        <v>105</v>
      </c>
      <c r="C135" s="20" t="s">
        <v>455</v>
      </c>
      <c r="D135" s="21">
        <v>20</v>
      </c>
      <c r="E135" s="22" t="s">
        <v>255</v>
      </c>
      <c r="F135" s="22">
        <v>300</v>
      </c>
      <c r="G135" s="23" t="s">
        <v>409</v>
      </c>
      <c r="H135" s="23" t="s">
        <v>1434</v>
      </c>
      <c r="I135" s="25" t="s">
        <v>456</v>
      </c>
      <c r="J135" s="26">
        <v>41173</v>
      </c>
      <c r="K135" s="249">
        <v>0.60416666666666663</v>
      </c>
    </row>
    <row r="136" spans="2:11" ht="45" x14ac:dyDescent="0.25">
      <c r="B136" s="248">
        <v>114</v>
      </c>
      <c r="C136" s="20" t="s">
        <v>457</v>
      </c>
      <c r="D136" s="21">
        <v>32</v>
      </c>
      <c r="E136" s="22" t="s">
        <v>255</v>
      </c>
      <c r="F136" s="22">
        <v>300</v>
      </c>
      <c r="G136" s="23" t="s">
        <v>259</v>
      </c>
      <c r="H136" s="189" t="s">
        <v>1350</v>
      </c>
      <c r="I136" s="25" t="s">
        <v>458</v>
      </c>
      <c r="J136" s="26">
        <v>41174</v>
      </c>
      <c r="K136" s="249">
        <v>0.51388888888888895</v>
      </c>
    </row>
    <row r="137" spans="2:11" x14ac:dyDescent="0.25">
      <c r="B137" s="248">
        <v>56</v>
      </c>
      <c r="C137" s="20" t="s">
        <v>459</v>
      </c>
      <c r="D137" s="21">
        <v>23</v>
      </c>
      <c r="E137" s="22" t="s">
        <v>258</v>
      </c>
      <c r="F137" s="22">
        <v>300</v>
      </c>
      <c r="G137" s="23" t="s">
        <v>268</v>
      </c>
      <c r="H137" s="23" t="s">
        <v>460</v>
      </c>
      <c r="I137" s="25" t="s">
        <v>461</v>
      </c>
      <c r="J137" s="26">
        <v>41169</v>
      </c>
      <c r="K137" s="249">
        <v>0.43055555555555558</v>
      </c>
    </row>
    <row r="138" spans="2:11" x14ac:dyDescent="0.25">
      <c r="B138" s="248">
        <v>201</v>
      </c>
      <c r="C138" s="20" t="s">
        <v>462</v>
      </c>
      <c r="D138" s="21">
        <v>23</v>
      </c>
      <c r="E138" s="22" t="s">
        <v>243</v>
      </c>
      <c r="F138" s="22">
        <v>300</v>
      </c>
      <c r="G138" s="23" t="s">
        <v>262</v>
      </c>
      <c r="H138" s="23" t="s">
        <v>1435</v>
      </c>
      <c r="I138" s="25" t="s">
        <v>463</v>
      </c>
      <c r="J138" s="26">
        <v>41181</v>
      </c>
      <c r="K138" s="249">
        <v>0.43055555555555558</v>
      </c>
    </row>
    <row r="139" spans="2:11" x14ac:dyDescent="0.25">
      <c r="B139" s="248">
        <v>196</v>
      </c>
      <c r="C139" s="20" t="s">
        <v>464</v>
      </c>
      <c r="D139" s="21">
        <v>30</v>
      </c>
      <c r="E139" s="22" t="s">
        <v>243</v>
      </c>
      <c r="F139" s="22">
        <v>300</v>
      </c>
      <c r="G139" s="23" t="s">
        <v>247</v>
      </c>
      <c r="H139" s="23" t="s">
        <v>1436</v>
      </c>
      <c r="I139" s="25" t="s">
        <v>465</v>
      </c>
      <c r="J139" s="26">
        <v>41180</v>
      </c>
      <c r="K139" s="249">
        <v>0.54861111111111105</v>
      </c>
    </row>
    <row r="140" spans="2:11" x14ac:dyDescent="0.25">
      <c r="B140" s="248">
        <v>87</v>
      </c>
      <c r="C140" s="20" t="s">
        <v>466</v>
      </c>
      <c r="D140" s="21">
        <v>18</v>
      </c>
      <c r="E140" s="22" t="s">
        <v>255</v>
      </c>
      <c r="F140" s="22">
        <v>300</v>
      </c>
      <c r="G140" s="23" t="s">
        <v>409</v>
      </c>
      <c r="H140" s="23" t="s">
        <v>1437</v>
      </c>
      <c r="I140" s="25" t="s">
        <v>467</v>
      </c>
      <c r="J140" s="26">
        <v>41172</v>
      </c>
      <c r="K140" s="249">
        <v>0.52777777777777779</v>
      </c>
    </row>
    <row r="141" spans="2:11" x14ac:dyDescent="0.25">
      <c r="B141" s="248">
        <v>112</v>
      </c>
      <c r="C141" s="20" t="s">
        <v>468</v>
      </c>
      <c r="D141" s="21">
        <v>19</v>
      </c>
      <c r="E141" s="22" t="s">
        <v>255</v>
      </c>
      <c r="F141" s="22">
        <v>300</v>
      </c>
      <c r="G141" s="23" t="s">
        <v>409</v>
      </c>
      <c r="H141" s="23" t="s">
        <v>1438</v>
      </c>
      <c r="I141" s="25" t="s">
        <v>469</v>
      </c>
      <c r="J141" s="26">
        <v>41174</v>
      </c>
      <c r="K141" s="249">
        <v>0.47222222222222199</v>
      </c>
    </row>
    <row r="142" spans="2:11" ht="30" x14ac:dyDescent="0.25">
      <c r="B142" s="248">
        <v>111</v>
      </c>
      <c r="C142" s="20" t="s">
        <v>470</v>
      </c>
      <c r="D142" s="21">
        <v>24</v>
      </c>
      <c r="E142" s="22" t="s">
        <v>246</v>
      </c>
      <c r="F142" s="22">
        <v>300</v>
      </c>
      <c r="G142" s="23" t="s">
        <v>409</v>
      </c>
      <c r="H142" s="189" t="s">
        <v>1439</v>
      </c>
      <c r="I142" s="25" t="s">
        <v>471</v>
      </c>
      <c r="J142" s="26">
        <v>41174</v>
      </c>
      <c r="K142" s="249">
        <v>0.47222222222222199</v>
      </c>
    </row>
    <row r="143" spans="2:11" x14ac:dyDescent="0.25">
      <c r="B143" s="248">
        <v>84</v>
      </c>
      <c r="C143" s="20" t="s">
        <v>472</v>
      </c>
      <c r="D143" s="21">
        <v>32</v>
      </c>
      <c r="E143" s="22" t="s">
        <v>246</v>
      </c>
      <c r="F143" s="22">
        <v>300</v>
      </c>
      <c r="G143" s="23" t="s">
        <v>409</v>
      </c>
      <c r="H143" s="23" t="s">
        <v>473</v>
      </c>
      <c r="I143" s="25" t="s">
        <v>474</v>
      </c>
      <c r="J143" s="26">
        <v>41172</v>
      </c>
      <c r="K143" s="249">
        <v>0.47222222222222199</v>
      </c>
    </row>
    <row r="144" spans="2:11" x14ac:dyDescent="0.25">
      <c r="B144" s="248">
        <v>50</v>
      </c>
      <c r="C144" s="20" t="s">
        <v>475</v>
      </c>
      <c r="D144" s="21">
        <v>24</v>
      </c>
      <c r="E144" s="22" t="s">
        <v>243</v>
      </c>
      <c r="F144" s="22">
        <v>300</v>
      </c>
      <c r="G144" s="23" t="s">
        <v>476</v>
      </c>
      <c r="H144" s="23" t="s">
        <v>1440</v>
      </c>
      <c r="I144" s="25" t="s">
        <v>477</v>
      </c>
      <c r="J144" s="26">
        <v>41168</v>
      </c>
      <c r="K144" s="249">
        <v>0.60416666666666663</v>
      </c>
    </row>
    <row r="145" spans="2:11" x14ac:dyDescent="0.25">
      <c r="B145" s="248">
        <v>89</v>
      </c>
      <c r="C145" s="20" t="s">
        <v>478</v>
      </c>
      <c r="D145" s="21">
        <v>19</v>
      </c>
      <c r="E145" s="22" t="s">
        <v>255</v>
      </c>
      <c r="F145" s="22">
        <v>300</v>
      </c>
      <c r="G145" s="23" t="s">
        <v>409</v>
      </c>
      <c r="H145" s="23" t="s">
        <v>1441</v>
      </c>
      <c r="I145" s="25" t="s">
        <v>479</v>
      </c>
      <c r="J145" s="26">
        <v>41172</v>
      </c>
      <c r="K145" s="249">
        <v>0.59027777777777801</v>
      </c>
    </row>
    <row r="146" spans="2:11" x14ac:dyDescent="0.25">
      <c r="B146" s="248">
        <v>68</v>
      </c>
      <c r="C146" s="20" t="s">
        <v>480</v>
      </c>
      <c r="D146" s="21">
        <v>30</v>
      </c>
      <c r="E146" s="22" t="s">
        <v>249</v>
      </c>
      <c r="F146" s="22">
        <v>300</v>
      </c>
      <c r="G146" s="23" t="s">
        <v>313</v>
      </c>
      <c r="H146" s="23" t="s">
        <v>1442</v>
      </c>
      <c r="I146" s="25" t="s">
        <v>481</v>
      </c>
      <c r="J146" s="26">
        <v>41169</v>
      </c>
      <c r="K146" s="249">
        <v>0.6875</v>
      </c>
    </row>
    <row r="147" spans="2:11" x14ac:dyDescent="0.25">
      <c r="B147" s="248">
        <v>70</v>
      </c>
      <c r="C147" s="20" t="s">
        <v>482</v>
      </c>
      <c r="D147" s="21">
        <v>29</v>
      </c>
      <c r="E147" s="22" t="s">
        <v>258</v>
      </c>
      <c r="F147" s="22">
        <v>300</v>
      </c>
      <c r="G147" s="23" t="s">
        <v>313</v>
      </c>
      <c r="H147" s="23" t="s">
        <v>1443</v>
      </c>
      <c r="I147" s="25" t="s">
        <v>483</v>
      </c>
      <c r="J147" s="26">
        <v>41170</v>
      </c>
      <c r="K147" s="249">
        <v>0.43055555555555558</v>
      </c>
    </row>
    <row r="148" spans="2:11" x14ac:dyDescent="0.25">
      <c r="B148" s="248">
        <v>102</v>
      </c>
      <c r="C148" s="20" t="s">
        <v>484</v>
      </c>
      <c r="D148" s="21">
        <v>35</v>
      </c>
      <c r="E148" s="22" t="s">
        <v>246</v>
      </c>
      <c r="F148" s="22">
        <v>300</v>
      </c>
      <c r="G148" s="23" t="s">
        <v>409</v>
      </c>
      <c r="H148" s="23" t="s">
        <v>1444</v>
      </c>
      <c r="I148" s="25" t="s">
        <v>485</v>
      </c>
      <c r="J148" s="26">
        <v>41173</v>
      </c>
      <c r="K148" s="249">
        <v>0.52777777777777779</v>
      </c>
    </row>
    <row r="149" spans="2:11" x14ac:dyDescent="0.25">
      <c r="B149" s="248">
        <v>72</v>
      </c>
      <c r="C149" s="20" t="s">
        <v>486</v>
      </c>
      <c r="D149" s="21">
        <v>19</v>
      </c>
      <c r="E149" s="22" t="s">
        <v>255</v>
      </c>
      <c r="F149" s="22">
        <v>300</v>
      </c>
      <c r="G149" s="23" t="s">
        <v>327</v>
      </c>
      <c r="H149" s="23" t="s">
        <v>1445</v>
      </c>
      <c r="I149" s="25" t="s">
        <v>487</v>
      </c>
      <c r="J149" s="26">
        <v>41170</v>
      </c>
      <c r="K149" s="249">
        <v>0.47222222222222199</v>
      </c>
    </row>
    <row r="150" spans="2:11" x14ac:dyDescent="0.25">
      <c r="B150" s="248">
        <v>48</v>
      </c>
      <c r="C150" s="20" t="s">
        <v>488</v>
      </c>
      <c r="D150" s="21">
        <v>20</v>
      </c>
      <c r="E150" s="22" t="s">
        <v>246</v>
      </c>
      <c r="F150" s="22">
        <v>300</v>
      </c>
      <c r="G150" s="23" t="s">
        <v>348</v>
      </c>
      <c r="H150" s="23" t="s">
        <v>1446</v>
      </c>
      <c r="I150" s="25" t="s">
        <v>489</v>
      </c>
      <c r="J150" s="26">
        <v>41168</v>
      </c>
      <c r="K150" s="249">
        <v>0.54861111111111105</v>
      </c>
    </row>
    <row r="151" spans="2:11" x14ac:dyDescent="0.25">
      <c r="B151" s="248">
        <v>41</v>
      </c>
      <c r="C151" s="20" t="s">
        <v>490</v>
      </c>
      <c r="D151" s="21">
        <v>25</v>
      </c>
      <c r="E151" s="22" t="s">
        <v>243</v>
      </c>
      <c r="F151" s="22">
        <v>300</v>
      </c>
      <c r="G151" s="23" t="s">
        <v>296</v>
      </c>
      <c r="H151" s="23" t="s">
        <v>1447</v>
      </c>
      <c r="I151" s="25" t="s">
        <v>491</v>
      </c>
      <c r="J151" s="26">
        <v>41168</v>
      </c>
      <c r="K151" s="249">
        <v>0.43055555555555558</v>
      </c>
    </row>
    <row r="152" spans="2:11" x14ac:dyDescent="0.25">
      <c r="B152" s="248">
        <v>42</v>
      </c>
      <c r="C152" s="20" t="s">
        <v>492</v>
      </c>
      <c r="D152" s="21">
        <v>19</v>
      </c>
      <c r="E152" s="22" t="s">
        <v>258</v>
      </c>
      <c r="F152" s="22">
        <v>300</v>
      </c>
      <c r="G152" s="23" t="s">
        <v>296</v>
      </c>
      <c r="H152" s="23" t="s">
        <v>1448</v>
      </c>
      <c r="I152" s="25" t="s">
        <v>493</v>
      </c>
      <c r="J152" s="26">
        <v>41168</v>
      </c>
      <c r="K152" s="249">
        <v>0.43055555555555558</v>
      </c>
    </row>
    <row r="153" spans="2:11" x14ac:dyDescent="0.25">
      <c r="B153" s="248">
        <v>106</v>
      </c>
      <c r="C153" s="20" t="s">
        <v>494</v>
      </c>
      <c r="D153" s="21">
        <v>18</v>
      </c>
      <c r="E153" s="22" t="s">
        <v>258</v>
      </c>
      <c r="F153" s="22">
        <v>300</v>
      </c>
      <c r="G153" s="23" t="s">
        <v>409</v>
      </c>
      <c r="H153" s="23" t="s">
        <v>1351</v>
      </c>
      <c r="I153" s="25" t="s">
        <v>495</v>
      </c>
      <c r="J153" s="26">
        <v>41173</v>
      </c>
      <c r="K153" s="249">
        <v>0.64583333333333304</v>
      </c>
    </row>
    <row r="154" spans="2:11" x14ac:dyDescent="0.25">
      <c r="B154" s="248">
        <v>90</v>
      </c>
      <c r="C154" s="20" t="s">
        <v>496</v>
      </c>
      <c r="D154" s="21">
        <v>24</v>
      </c>
      <c r="E154" s="22" t="s">
        <v>243</v>
      </c>
      <c r="F154" s="22">
        <v>300</v>
      </c>
      <c r="G154" s="23" t="s">
        <v>409</v>
      </c>
      <c r="H154" s="23" t="s">
        <v>1449</v>
      </c>
      <c r="I154" s="25" t="s">
        <v>497</v>
      </c>
      <c r="J154" s="26">
        <v>41172</v>
      </c>
      <c r="K154" s="249">
        <v>0.60416666666666663</v>
      </c>
    </row>
    <row r="155" spans="2:11" x14ac:dyDescent="0.25">
      <c r="B155" s="248">
        <v>49</v>
      </c>
      <c r="C155" s="20" t="s">
        <v>498</v>
      </c>
      <c r="D155" s="21">
        <v>19</v>
      </c>
      <c r="E155" s="22" t="s">
        <v>255</v>
      </c>
      <c r="F155" s="22">
        <v>300</v>
      </c>
      <c r="G155" s="23" t="s">
        <v>476</v>
      </c>
      <c r="H155" s="23" t="s">
        <v>1450</v>
      </c>
      <c r="I155" s="25" t="s">
        <v>499</v>
      </c>
      <c r="J155" s="26">
        <v>41168</v>
      </c>
      <c r="K155" s="249">
        <v>0.59027777777777801</v>
      </c>
    </row>
    <row r="156" spans="2:11" x14ac:dyDescent="0.25">
      <c r="B156" s="248">
        <v>63</v>
      </c>
      <c r="C156" s="20" t="s">
        <v>500</v>
      </c>
      <c r="D156" s="21">
        <v>32</v>
      </c>
      <c r="E156" s="22" t="s">
        <v>249</v>
      </c>
      <c r="F156" s="22">
        <v>300</v>
      </c>
      <c r="G156" s="23" t="s">
        <v>313</v>
      </c>
      <c r="H156" s="23" t="s">
        <v>1352</v>
      </c>
      <c r="I156" s="25" t="s">
        <v>501</v>
      </c>
      <c r="J156" s="26">
        <v>41169</v>
      </c>
      <c r="K156" s="249">
        <v>0.54861111111111105</v>
      </c>
    </row>
    <row r="157" spans="2:11" x14ac:dyDescent="0.25">
      <c r="B157" s="248">
        <v>110</v>
      </c>
      <c r="C157" s="20" t="s">
        <v>502</v>
      </c>
      <c r="D157" s="21">
        <v>29</v>
      </c>
      <c r="E157" s="22" t="s">
        <v>258</v>
      </c>
      <c r="F157" s="22">
        <v>300</v>
      </c>
      <c r="G157" s="23" t="s">
        <v>409</v>
      </c>
      <c r="H157" s="23" t="s">
        <v>1451</v>
      </c>
      <c r="I157" s="25" t="s">
        <v>503</v>
      </c>
      <c r="J157" s="26">
        <v>41174</v>
      </c>
      <c r="K157" s="249">
        <v>0.43055555555555558</v>
      </c>
    </row>
    <row r="158" spans="2:11" x14ac:dyDescent="0.25">
      <c r="B158" s="248">
        <v>86</v>
      </c>
      <c r="C158" s="20" t="s">
        <v>504</v>
      </c>
      <c r="D158" s="21">
        <v>34</v>
      </c>
      <c r="E158" s="22" t="s">
        <v>267</v>
      </c>
      <c r="F158" s="22">
        <v>300</v>
      </c>
      <c r="G158" s="23" t="s">
        <v>409</v>
      </c>
      <c r="H158" s="23" t="s">
        <v>505</v>
      </c>
      <c r="I158" s="25" t="s">
        <v>506</v>
      </c>
      <c r="J158" s="26">
        <v>41172</v>
      </c>
      <c r="K158" s="249">
        <v>0.51388888888888895</v>
      </c>
    </row>
    <row r="159" spans="2:11" x14ac:dyDescent="0.25">
      <c r="B159" s="248">
        <v>116</v>
      </c>
      <c r="C159" s="20" t="s">
        <v>507</v>
      </c>
      <c r="D159" s="21">
        <v>27</v>
      </c>
      <c r="E159" s="22" t="s">
        <v>243</v>
      </c>
      <c r="F159" s="22">
        <v>300</v>
      </c>
      <c r="G159" s="23" t="s">
        <v>259</v>
      </c>
      <c r="H159" s="23" t="s">
        <v>1452</v>
      </c>
      <c r="I159" s="25" t="s">
        <v>508</v>
      </c>
      <c r="J159" s="26">
        <v>41174</v>
      </c>
      <c r="K159" s="249">
        <v>0.54861111111111105</v>
      </c>
    </row>
    <row r="160" spans="2:11" x14ac:dyDescent="0.25">
      <c r="B160" s="248">
        <v>113</v>
      </c>
      <c r="C160" s="20" t="s">
        <v>509</v>
      </c>
      <c r="D160" s="21">
        <v>23</v>
      </c>
      <c r="E160" s="22" t="s">
        <v>249</v>
      </c>
      <c r="F160" s="22">
        <v>300</v>
      </c>
      <c r="G160" s="23" t="s">
        <v>259</v>
      </c>
      <c r="H160" s="23" t="s">
        <v>1453</v>
      </c>
      <c r="I160" s="25" t="s">
        <v>510</v>
      </c>
      <c r="J160" s="26">
        <v>41174</v>
      </c>
      <c r="K160" s="249">
        <v>0.51388888888888895</v>
      </c>
    </row>
    <row r="161" spans="2:11" x14ac:dyDescent="0.25">
      <c r="B161" s="248">
        <v>65</v>
      </c>
      <c r="C161" s="20" t="s">
        <v>511</v>
      </c>
      <c r="D161" s="21">
        <v>20</v>
      </c>
      <c r="E161" s="22" t="s">
        <v>255</v>
      </c>
      <c r="F161" s="22">
        <v>300</v>
      </c>
      <c r="G161" s="23" t="s">
        <v>313</v>
      </c>
      <c r="H161" s="23" t="s">
        <v>1454</v>
      </c>
      <c r="I161" s="25" t="s">
        <v>512</v>
      </c>
      <c r="J161" s="26">
        <v>41169</v>
      </c>
      <c r="K161" s="249">
        <v>0.60416666666666663</v>
      </c>
    </row>
    <row r="162" spans="2:11" x14ac:dyDescent="0.25">
      <c r="B162" s="248">
        <v>80</v>
      </c>
      <c r="C162" s="20" t="s">
        <v>513</v>
      </c>
      <c r="D162" s="21">
        <v>19</v>
      </c>
      <c r="E162" s="21" t="s">
        <v>255</v>
      </c>
      <c r="F162" s="22">
        <v>300</v>
      </c>
      <c r="G162" s="23" t="s">
        <v>409</v>
      </c>
      <c r="H162" s="23" t="s">
        <v>1455</v>
      </c>
      <c r="I162" s="25" t="s">
        <v>514</v>
      </c>
      <c r="J162" s="26">
        <v>41171</v>
      </c>
      <c r="K162" s="249">
        <v>0.4236111111111111</v>
      </c>
    </row>
    <row r="163" spans="2:11" x14ac:dyDescent="0.25">
      <c r="B163" s="248">
        <v>47</v>
      </c>
      <c r="C163" s="20" t="s">
        <v>515</v>
      </c>
      <c r="D163" s="21">
        <v>18</v>
      </c>
      <c r="E163" s="22" t="s">
        <v>255</v>
      </c>
      <c r="F163" s="22">
        <v>300</v>
      </c>
      <c r="G163" s="23" t="s">
        <v>296</v>
      </c>
      <c r="H163" s="23" t="s">
        <v>516</v>
      </c>
      <c r="I163" s="25" t="s">
        <v>517</v>
      </c>
      <c r="J163" s="26">
        <v>41168</v>
      </c>
      <c r="K163" s="249">
        <v>0.52777777777777779</v>
      </c>
    </row>
    <row r="164" spans="2:11" x14ac:dyDescent="0.25">
      <c r="B164" s="248">
        <v>91</v>
      </c>
      <c r="C164" s="20" t="s">
        <v>518</v>
      </c>
      <c r="D164" s="21">
        <v>27</v>
      </c>
      <c r="E164" s="22" t="s">
        <v>255</v>
      </c>
      <c r="F164" s="22">
        <v>300</v>
      </c>
      <c r="G164" s="23" t="s">
        <v>409</v>
      </c>
      <c r="H164" s="23" t="s">
        <v>1456</v>
      </c>
      <c r="I164" s="25" t="s">
        <v>519</v>
      </c>
      <c r="J164" s="26">
        <v>41172</v>
      </c>
      <c r="K164" s="249">
        <v>0.64583333333333304</v>
      </c>
    </row>
    <row r="165" spans="2:11" x14ac:dyDescent="0.25">
      <c r="B165" s="248">
        <v>92</v>
      </c>
      <c r="C165" s="20" t="s">
        <v>520</v>
      </c>
      <c r="D165" s="21">
        <v>26</v>
      </c>
      <c r="E165" s="22" t="s">
        <v>258</v>
      </c>
      <c r="F165" s="22">
        <v>300</v>
      </c>
      <c r="G165" s="23" t="s">
        <v>409</v>
      </c>
      <c r="H165" s="23" t="s">
        <v>521</v>
      </c>
      <c r="I165" s="25" t="s">
        <v>522</v>
      </c>
      <c r="J165" s="26">
        <v>41172</v>
      </c>
      <c r="K165" s="249">
        <v>0.6875</v>
      </c>
    </row>
    <row r="166" spans="2:11" x14ac:dyDescent="0.25">
      <c r="B166" s="248">
        <v>73</v>
      </c>
      <c r="C166" s="20" t="s">
        <v>523</v>
      </c>
      <c r="D166" s="21">
        <v>23</v>
      </c>
      <c r="E166" s="22" t="s">
        <v>249</v>
      </c>
      <c r="F166" s="22">
        <v>300</v>
      </c>
      <c r="G166" s="23" t="s">
        <v>327</v>
      </c>
      <c r="H166" s="23" t="s">
        <v>524</v>
      </c>
      <c r="I166" s="25" t="s">
        <v>525</v>
      </c>
      <c r="J166" s="26">
        <v>41170</v>
      </c>
      <c r="K166" s="249">
        <v>0.51388888888888895</v>
      </c>
    </row>
    <row r="167" spans="2:11" x14ac:dyDescent="0.25">
      <c r="B167" s="248">
        <v>52</v>
      </c>
      <c r="C167" s="20" t="s">
        <v>526</v>
      </c>
      <c r="D167" s="21">
        <v>26</v>
      </c>
      <c r="E167" s="22" t="s">
        <v>258</v>
      </c>
      <c r="F167" s="22">
        <v>300</v>
      </c>
      <c r="G167" s="23" t="s">
        <v>351</v>
      </c>
      <c r="H167" s="23" t="s">
        <v>1353</v>
      </c>
      <c r="I167" s="25" t="s">
        <v>527</v>
      </c>
      <c r="J167" s="26">
        <v>41168</v>
      </c>
      <c r="K167" s="249">
        <v>0.6875</v>
      </c>
    </row>
    <row r="168" spans="2:11" x14ac:dyDescent="0.25">
      <c r="B168" s="248">
        <v>62</v>
      </c>
      <c r="C168" s="20" t="s">
        <v>528</v>
      </c>
      <c r="D168" s="21">
        <v>35</v>
      </c>
      <c r="E168" s="22" t="s">
        <v>246</v>
      </c>
      <c r="F168" s="22">
        <v>300</v>
      </c>
      <c r="G168" s="23" t="s">
        <v>313</v>
      </c>
      <c r="H168" s="23" t="s">
        <v>529</v>
      </c>
      <c r="I168" s="25" t="s">
        <v>530</v>
      </c>
      <c r="J168" s="26">
        <v>41169</v>
      </c>
      <c r="K168" s="249">
        <v>0.52777777777777779</v>
      </c>
    </row>
    <row r="169" spans="2:11" x14ac:dyDescent="0.25">
      <c r="B169" s="248">
        <v>66</v>
      </c>
      <c r="C169" s="20" t="s">
        <v>531</v>
      </c>
      <c r="D169" s="21">
        <v>18</v>
      </c>
      <c r="E169" s="22" t="s">
        <v>258</v>
      </c>
      <c r="F169" s="22">
        <v>300</v>
      </c>
      <c r="G169" s="23" t="s">
        <v>313</v>
      </c>
      <c r="H169" s="23" t="s">
        <v>1321</v>
      </c>
      <c r="I169" s="25" t="s">
        <v>532</v>
      </c>
      <c r="J169" s="26">
        <v>41169</v>
      </c>
      <c r="K169" s="249">
        <v>0.64583333333333304</v>
      </c>
    </row>
    <row r="170" spans="2:11" x14ac:dyDescent="0.25">
      <c r="B170" s="248">
        <v>54</v>
      </c>
      <c r="C170" s="20" t="s">
        <v>533</v>
      </c>
      <c r="D170" s="21">
        <v>22</v>
      </c>
      <c r="E170" s="22" t="s">
        <v>249</v>
      </c>
      <c r="F170" s="22">
        <v>300</v>
      </c>
      <c r="G170" s="23" t="s">
        <v>268</v>
      </c>
      <c r="H170" s="23" t="s">
        <v>1457</v>
      </c>
      <c r="I170" s="25" t="s">
        <v>534</v>
      </c>
      <c r="J170" s="26">
        <v>41168</v>
      </c>
      <c r="K170" s="249">
        <v>0.6875</v>
      </c>
    </row>
    <row r="171" spans="2:11" ht="45" x14ac:dyDescent="0.25">
      <c r="B171" s="248">
        <v>104</v>
      </c>
      <c r="C171" s="20" t="s">
        <v>535</v>
      </c>
      <c r="D171" s="21">
        <v>25</v>
      </c>
      <c r="E171" s="22" t="s">
        <v>243</v>
      </c>
      <c r="F171" s="22">
        <v>300</v>
      </c>
      <c r="G171" s="23" t="s">
        <v>409</v>
      </c>
      <c r="H171" s="189" t="s">
        <v>1322</v>
      </c>
      <c r="I171" s="25" t="s">
        <v>536</v>
      </c>
      <c r="J171" s="26">
        <v>41173</v>
      </c>
      <c r="K171" s="249">
        <v>0.59027777777777801</v>
      </c>
    </row>
    <row r="172" spans="2:11" x14ac:dyDescent="0.25">
      <c r="B172" s="248">
        <v>69</v>
      </c>
      <c r="C172" s="20" t="s">
        <v>537</v>
      </c>
      <c r="D172" s="21">
        <v>22</v>
      </c>
      <c r="E172" s="22" t="s">
        <v>243</v>
      </c>
      <c r="F172" s="22">
        <v>300</v>
      </c>
      <c r="G172" s="23" t="s">
        <v>313</v>
      </c>
      <c r="H172" s="23" t="s">
        <v>1458</v>
      </c>
      <c r="I172" s="25" t="s">
        <v>538</v>
      </c>
      <c r="J172" s="26">
        <v>41170</v>
      </c>
      <c r="K172" s="249">
        <v>0.43055555555555558</v>
      </c>
    </row>
    <row r="173" spans="2:11" x14ac:dyDescent="0.25">
      <c r="B173" s="248">
        <v>46</v>
      </c>
      <c r="C173" s="20" t="s">
        <v>539</v>
      </c>
      <c r="D173" s="21">
        <v>34</v>
      </c>
      <c r="E173" s="22" t="s">
        <v>267</v>
      </c>
      <c r="F173" s="22">
        <v>300</v>
      </c>
      <c r="G173" s="23" t="s">
        <v>296</v>
      </c>
      <c r="H173" s="23" t="s">
        <v>1354</v>
      </c>
      <c r="I173" s="25" t="s">
        <v>540</v>
      </c>
      <c r="J173" s="26">
        <v>41168</v>
      </c>
      <c r="K173" s="249">
        <v>0.51388888888888895</v>
      </c>
    </row>
    <row r="174" spans="2:11" x14ac:dyDescent="0.25">
      <c r="B174" s="248">
        <v>88</v>
      </c>
      <c r="C174" s="20" t="s">
        <v>541</v>
      </c>
      <c r="D174" s="21">
        <v>20</v>
      </c>
      <c r="E174" s="22" t="s">
        <v>246</v>
      </c>
      <c r="F174" s="22">
        <v>300</v>
      </c>
      <c r="G174" s="23" t="s">
        <v>409</v>
      </c>
      <c r="H174" s="23" t="s">
        <v>1459</v>
      </c>
      <c r="I174" s="25" t="s">
        <v>542</v>
      </c>
      <c r="J174" s="26">
        <v>41172</v>
      </c>
      <c r="K174" s="249">
        <v>0.54861111111111105</v>
      </c>
    </row>
    <row r="175" spans="2:11" x14ac:dyDescent="0.25">
      <c r="B175" s="248">
        <v>58</v>
      </c>
      <c r="C175" s="20" t="s">
        <v>543</v>
      </c>
      <c r="D175" s="21">
        <v>18</v>
      </c>
      <c r="E175" s="22" t="s">
        <v>246</v>
      </c>
      <c r="F175" s="22">
        <v>300</v>
      </c>
      <c r="G175" s="23" t="s">
        <v>268</v>
      </c>
      <c r="H175" s="23" t="s">
        <v>1460</v>
      </c>
      <c r="I175" s="25" t="s">
        <v>544</v>
      </c>
      <c r="J175" s="26">
        <v>41169</v>
      </c>
      <c r="K175" s="249">
        <v>0.47222222222222199</v>
      </c>
    </row>
    <row r="176" spans="2:11" x14ac:dyDescent="0.25">
      <c r="B176" s="248">
        <v>93</v>
      </c>
      <c r="C176" s="20" t="s">
        <v>545</v>
      </c>
      <c r="D176" s="21">
        <v>25</v>
      </c>
      <c r="E176" s="22" t="s">
        <v>246</v>
      </c>
      <c r="F176" s="22">
        <v>300</v>
      </c>
      <c r="G176" s="23" t="s">
        <v>409</v>
      </c>
      <c r="H176" s="23" t="s">
        <v>546</v>
      </c>
      <c r="I176" s="25" t="s">
        <v>547</v>
      </c>
      <c r="J176" s="26">
        <v>41172</v>
      </c>
      <c r="K176" s="249">
        <v>0.6875</v>
      </c>
    </row>
    <row r="177" spans="2:11" x14ac:dyDescent="0.25">
      <c r="B177" s="248">
        <v>108</v>
      </c>
      <c r="C177" s="20" t="s">
        <v>548</v>
      </c>
      <c r="D177" s="21">
        <v>30</v>
      </c>
      <c r="E177" s="22" t="s">
        <v>249</v>
      </c>
      <c r="F177" s="22">
        <v>300</v>
      </c>
      <c r="G177" s="23" t="s">
        <v>409</v>
      </c>
      <c r="H177" s="23" t="s">
        <v>1461</v>
      </c>
      <c r="I177" s="25" t="s">
        <v>549</v>
      </c>
      <c r="J177" s="26">
        <v>41173</v>
      </c>
      <c r="K177" s="249">
        <v>0.6875</v>
      </c>
    </row>
    <row r="178" spans="2:11" x14ac:dyDescent="0.25">
      <c r="B178" s="248">
        <v>64</v>
      </c>
      <c r="C178" s="20" t="s">
        <v>550</v>
      </c>
      <c r="D178" s="21">
        <v>25</v>
      </c>
      <c r="E178" s="22" t="s">
        <v>243</v>
      </c>
      <c r="F178" s="22">
        <v>300</v>
      </c>
      <c r="G178" s="23" t="s">
        <v>313</v>
      </c>
      <c r="H178" s="23" t="s">
        <v>1462</v>
      </c>
      <c r="I178" s="25" t="s">
        <v>551</v>
      </c>
      <c r="J178" s="26">
        <v>41169</v>
      </c>
      <c r="K178" s="249">
        <v>0.59027777777777801</v>
      </c>
    </row>
    <row r="179" spans="2:11" x14ac:dyDescent="0.25">
      <c r="B179" s="248">
        <v>44</v>
      </c>
      <c r="C179" s="20" t="s">
        <v>552</v>
      </c>
      <c r="D179" s="21">
        <v>32</v>
      </c>
      <c r="E179" s="22" t="s">
        <v>246</v>
      </c>
      <c r="F179" s="22">
        <v>300</v>
      </c>
      <c r="G179" s="23" t="s">
        <v>296</v>
      </c>
      <c r="H179" s="23" t="s">
        <v>1463</v>
      </c>
      <c r="I179" s="25" t="s">
        <v>553</v>
      </c>
      <c r="J179" s="26">
        <v>41168</v>
      </c>
      <c r="K179" s="249">
        <v>0.47222222222222199</v>
      </c>
    </row>
    <row r="180" spans="2:11" ht="30" x14ac:dyDescent="0.25">
      <c r="B180" s="248">
        <v>155</v>
      </c>
      <c r="C180" s="20" t="s">
        <v>554</v>
      </c>
      <c r="D180" s="21">
        <v>19</v>
      </c>
      <c r="E180" s="22" t="s">
        <v>255</v>
      </c>
      <c r="F180" s="22">
        <v>300</v>
      </c>
      <c r="G180" s="23" t="s">
        <v>271</v>
      </c>
      <c r="H180" s="189" t="s">
        <v>1464</v>
      </c>
      <c r="I180" s="25" t="s">
        <v>555</v>
      </c>
      <c r="J180" s="26">
        <v>41177</v>
      </c>
      <c r="K180" s="249">
        <v>0.52777777777777779</v>
      </c>
    </row>
    <row r="181" spans="2:11" x14ac:dyDescent="0.25">
      <c r="B181" s="248">
        <v>149</v>
      </c>
      <c r="C181" s="20" t="s">
        <v>556</v>
      </c>
      <c r="D181" s="21">
        <v>22</v>
      </c>
      <c r="E181" s="22" t="s">
        <v>243</v>
      </c>
      <c r="F181" s="22">
        <v>300</v>
      </c>
      <c r="G181" s="23" t="s">
        <v>271</v>
      </c>
      <c r="H181" s="23" t="s">
        <v>1465</v>
      </c>
      <c r="I181" s="25" t="s">
        <v>557</v>
      </c>
      <c r="J181" s="26">
        <v>41177</v>
      </c>
      <c r="K181" s="249">
        <v>0.43055555555555558</v>
      </c>
    </row>
    <row r="182" spans="2:11" x14ac:dyDescent="0.25">
      <c r="B182" s="248">
        <v>81</v>
      </c>
      <c r="C182" s="20" t="s">
        <v>558</v>
      </c>
      <c r="D182" s="21">
        <v>25</v>
      </c>
      <c r="E182" s="22" t="s">
        <v>243</v>
      </c>
      <c r="F182" s="22">
        <v>300</v>
      </c>
      <c r="G182" s="23" t="s">
        <v>409</v>
      </c>
      <c r="H182" s="23" t="s">
        <v>1466</v>
      </c>
      <c r="I182" s="25" t="s">
        <v>559</v>
      </c>
      <c r="J182" s="26">
        <v>41172</v>
      </c>
      <c r="K182" s="249">
        <v>0.43055555555555558</v>
      </c>
    </row>
    <row r="183" spans="2:11" x14ac:dyDescent="0.25">
      <c r="B183" s="248">
        <v>115</v>
      </c>
      <c r="C183" s="20" t="s">
        <v>560</v>
      </c>
      <c r="D183" s="21">
        <v>19</v>
      </c>
      <c r="E183" s="22" t="s">
        <v>255</v>
      </c>
      <c r="F183" s="22">
        <v>300</v>
      </c>
      <c r="G183" s="23" t="s">
        <v>259</v>
      </c>
      <c r="H183" s="23" t="s">
        <v>561</v>
      </c>
      <c r="I183" s="25" t="s">
        <v>562</v>
      </c>
      <c r="J183" s="26">
        <v>41174</v>
      </c>
      <c r="K183" s="249">
        <v>0.52777777777777779</v>
      </c>
    </row>
    <row r="184" spans="2:11" x14ac:dyDescent="0.25">
      <c r="B184" s="248">
        <v>82</v>
      </c>
      <c r="C184" s="20" t="s">
        <v>563</v>
      </c>
      <c r="D184" s="21">
        <v>19</v>
      </c>
      <c r="E184" s="22" t="s">
        <v>258</v>
      </c>
      <c r="F184" s="22">
        <v>300</v>
      </c>
      <c r="G184" s="23" t="s">
        <v>409</v>
      </c>
      <c r="H184" s="23" t="s">
        <v>1355</v>
      </c>
      <c r="I184" s="25" t="s">
        <v>564</v>
      </c>
      <c r="J184" s="26">
        <v>41172</v>
      </c>
      <c r="K184" s="249">
        <v>0.43055555555555558</v>
      </c>
    </row>
    <row r="185" spans="2:11" x14ac:dyDescent="0.25">
      <c r="B185" s="248">
        <v>51</v>
      </c>
      <c r="C185" s="20" t="s">
        <v>565</v>
      </c>
      <c r="D185" s="21">
        <v>27</v>
      </c>
      <c r="E185" s="22" t="s">
        <v>255</v>
      </c>
      <c r="F185" s="22">
        <v>300</v>
      </c>
      <c r="G185" s="23" t="s">
        <v>476</v>
      </c>
      <c r="H185" s="23" t="s">
        <v>1467</v>
      </c>
      <c r="I185" s="25" t="s">
        <v>566</v>
      </c>
      <c r="J185" s="26">
        <v>41168</v>
      </c>
      <c r="K185" s="249">
        <v>0.64583333333333304</v>
      </c>
    </row>
    <row r="186" spans="2:11" x14ac:dyDescent="0.25">
      <c r="B186" s="248">
        <v>95</v>
      </c>
      <c r="C186" s="20" t="s">
        <v>567</v>
      </c>
      <c r="D186" s="21">
        <v>24</v>
      </c>
      <c r="E186" s="22" t="s">
        <v>243</v>
      </c>
      <c r="F186" s="22">
        <v>300</v>
      </c>
      <c r="G186" s="23" t="s">
        <v>409</v>
      </c>
      <c r="H186" s="23" t="s">
        <v>1468</v>
      </c>
      <c r="I186" s="25" t="s">
        <v>568</v>
      </c>
      <c r="J186" s="26">
        <v>41172</v>
      </c>
      <c r="K186" s="249">
        <v>0.72916666666666696</v>
      </c>
    </row>
    <row r="187" spans="2:11" x14ac:dyDescent="0.25">
      <c r="B187" s="248">
        <v>103</v>
      </c>
      <c r="C187" s="20" t="s">
        <v>569</v>
      </c>
      <c r="D187" s="21">
        <v>32</v>
      </c>
      <c r="E187" s="22" t="s">
        <v>249</v>
      </c>
      <c r="F187" s="22">
        <v>300</v>
      </c>
      <c r="G187" s="23" t="s">
        <v>409</v>
      </c>
      <c r="H187" s="23" t="s">
        <v>1469</v>
      </c>
      <c r="I187" s="25" t="s">
        <v>570</v>
      </c>
      <c r="J187" s="26">
        <v>41173</v>
      </c>
      <c r="K187" s="249">
        <v>0.54861111111111105</v>
      </c>
    </row>
    <row r="188" spans="2:11" x14ac:dyDescent="0.25">
      <c r="B188" s="248">
        <v>53</v>
      </c>
      <c r="C188" s="20" t="s">
        <v>571</v>
      </c>
      <c r="D188" s="21">
        <v>25</v>
      </c>
      <c r="E188" s="22" t="s">
        <v>246</v>
      </c>
      <c r="F188" s="22">
        <v>300</v>
      </c>
      <c r="G188" s="23" t="s">
        <v>351</v>
      </c>
      <c r="H188" s="23" t="s">
        <v>1470</v>
      </c>
      <c r="I188" s="25" t="s">
        <v>572</v>
      </c>
      <c r="J188" s="26">
        <v>41168</v>
      </c>
      <c r="K188" s="249">
        <v>0.6875</v>
      </c>
    </row>
    <row r="189" spans="2:11" x14ac:dyDescent="0.25">
      <c r="B189" s="248">
        <v>71</v>
      </c>
      <c r="C189" s="20" t="s">
        <v>573</v>
      </c>
      <c r="D189" s="21">
        <v>24</v>
      </c>
      <c r="E189" s="22" t="s">
        <v>246</v>
      </c>
      <c r="F189" s="22">
        <v>300</v>
      </c>
      <c r="G189" s="23" t="s">
        <v>327</v>
      </c>
      <c r="H189" s="23" t="s">
        <v>1471</v>
      </c>
      <c r="I189" s="25" t="s">
        <v>574</v>
      </c>
      <c r="J189" s="26">
        <v>41170</v>
      </c>
      <c r="K189" s="249">
        <v>0.47222222222222199</v>
      </c>
    </row>
    <row r="190" spans="2:11" x14ac:dyDescent="0.25">
      <c r="B190" s="248">
        <v>74</v>
      </c>
      <c r="C190" s="20" t="s">
        <v>575</v>
      </c>
      <c r="D190" s="21">
        <v>32</v>
      </c>
      <c r="E190" s="22" t="s">
        <v>255</v>
      </c>
      <c r="F190" s="22">
        <v>300</v>
      </c>
      <c r="G190" s="23" t="s">
        <v>327</v>
      </c>
      <c r="H190" s="23" t="s">
        <v>1472</v>
      </c>
      <c r="I190" s="25" t="s">
        <v>574</v>
      </c>
      <c r="J190" s="26">
        <v>41170</v>
      </c>
      <c r="K190" s="249">
        <v>0.51388888888888895</v>
      </c>
    </row>
    <row r="191" spans="2:11" x14ac:dyDescent="0.25">
      <c r="B191" s="248">
        <v>205</v>
      </c>
      <c r="C191" s="20" t="s">
        <v>576</v>
      </c>
      <c r="D191" s="21">
        <v>21</v>
      </c>
      <c r="E191" s="22" t="s">
        <v>243</v>
      </c>
      <c r="F191" s="22">
        <v>300</v>
      </c>
      <c r="G191" s="23" t="s">
        <v>262</v>
      </c>
      <c r="H191" s="23" t="s">
        <v>1473</v>
      </c>
      <c r="I191" s="25" t="s">
        <v>577</v>
      </c>
      <c r="J191" s="26">
        <v>41181</v>
      </c>
      <c r="K191" s="249">
        <v>0.51388888888888895</v>
      </c>
    </row>
    <row r="192" spans="2:11" x14ac:dyDescent="0.25">
      <c r="B192" s="248">
        <v>151</v>
      </c>
      <c r="C192" s="20" t="s">
        <v>578</v>
      </c>
      <c r="D192" s="21">
        <v>24</v>
      </c>
      <c r="E192" s="22" t="s">
        <v>246</v>
      </c>
      <c r="F192" s="22">
        <v>300</v>
      </c>
      <c r="G192" s="23" t="s">
        <v>271</v>
      </c>
      <c r="H192" s="23" t="s">
        <v>579</v>
      </c>
      <c r="I192" s="25" t="s">
        <v>580</v>
      </c>
      <c r="J192" s="26">
        <v>41177</v>
      </c>
      <c r="K192" s="249">
        <v>0.47222222222222199</v>
      </c>
    </row>
    <row r="193" spans="2:11" x14ac:dyDescent="0.25">
      <c r="B193" s="248">
        <v>156</v>
      </c>
      <c r="C193" s="20" t="s">
        <v>581</v>
      </c>
      <c r="D193" s="21">
        <v>27</v>
      </c>
      <c r="E193" s="22" t="s">
        <v>243</v>
      </c>
      <c r="F193" s="22">
        <v>300</v>
      </c>
      <c r="G193" s="23" t="s">
        <v>271</v>
      </c>
      <c r="H193" s="23" t="s">
        <v>1474</v>
      </c>
      <c r="I193" s="25" t="s">
        <v>582</v>
      </c>
      <c r="J193" s="26">
        <v>41177</v>
      </c>
      <c r="K193" s="249">
        <v>0.54861111111111105</v>
      </c>
    </row>
    <row r="194" spans="2:11" x14ac:dyDescent="0.25">
      <c r="B194" s="248">
        <v>153</v>
      </c>
      <c r="C194" s="20" t="s">
        <v>583</v>
      </c>
      <c r="D194" s="21">
        <v>23</v>
      </c>
      <c r="E194" s="22" t="s">
        <v>249</v>
      </c>
      <c r="F194" s="22">
        <v>300</v>
      </c>
      <c r="G194" s="23" t="s">
        <v>271</v>
      </c>
      <c r="H194" s="23" t="s">
        <v>1356</v>
      </c>
      <c r="I194" s="25" t="s">
        <v>584</v>
      </c>
      <c r="J194" s="26">
        <v>41177</v>
      </c>
      <c r="K194" s="249">
        <v>0.51388888888888895</v>
      </c>
    </row>
    <row r="195" spans="2:11" x14ac:dyDescent="0.25">
      <c r="B195" s="248">
        <v>152</v>
      </c>
      <c r="C195" s="20" t="s">
        <v>585</v>
      </c>
      <c r="D195" s="21">
        <v>19</v>
      </c>
      <c r="E195" s="22" t="s">
        <v>255</v>
      </c>
      <c r="F195" s="22">
        <v>300</v>
      </c>
      <c r="G195" s="23" t="s">
        <v>271</v>
      </c>
      <c r="H195" s="23" t="s">
        <v>586</v>
      </c>
      <c r="I195" s="25" t="s">
        <v>587</v>
      </c>
      <c r="J195" s="26">
        <v>41177</v>
      </c>
      <c r="K195" s="249">
        <v>0.47222222222222199</v>
      </c>
    </row>
    <row r="196" spans="2:11" x14ac:dyDescent="0.25">
      <c r="B196" s="248">
        <v>154</v>
      </c>
      <c r="C196" s="20" t="s">
        <v>588</v>
      </c>
      <c r="D196" s="21">
        <v>32</v>
      </c>
      <c r="E196" s="22" t="s">
        <v>255</v>
      </c>
      <c r="F196" s="22">
        <v>300</v>
      </c>
      <c r="G196" s="23" t="s">
        <v>271</v>
      </c>
      <c r="H196" s="23" t="s">
        <v>1357</v>
      </c>
      <c r="I196" s="25" t="s">
        <v>587</v>
      </c>
      <c r="J196" s="26">
        <v>41177</v>
      </c>
      <c r="K196" s="249">
        <v>0.51388888888888895</v>
      </c>
    </row>
    <row r="197" spans="2:11" x14ac:dyDescent="0.25">
      <c r="B197" s="248">
        <v>148</v>
      </c>
      <c r="C197" s="20" t="s">
        <v>589</v>
      </c>
      <c r="D197" s="21">
        <v>30</v>
      </c>
      <c r="E197" s="22" t="s">
        <v>249</v>
      </c>
      <c r="F197" s="22">
        <v>300</v>
      </c>
      <c r="G197" s="23" t="s">
        <v>271</v>
      </c>
      <c r="H197" s="23" t="s">
        <v>1475</v>
      </c>
      <c r="I197" s="25" t="s">
        <v>590</v>
      </c>
      <c r="J197" s="26">
        <v>41176</v>
      </c>
      <c r="K197" s="249">
        <v>0.6875</v>
      </c>
    </row>
    <row r="198" spans="2:11" x14ac:dyDescent="0.25">
      <c r="B198" s="248">
        <v>79</v>
      </c>
      <c r="C198" s="20" t="s">
        <v>591</v>
      </c>
      <c r="D198" s="21">
        <v>34</v>
      </c>
      <c r="E198" s="22" t="s">
        <v>249</v>
      </c>
      <c r="F198" s="22">
        <v>300</v>
      </c>
      <c r="G198" s="23" t="s">
        <v>409</v>
      </c>
      <c r="H198" s="23" t="s">
        <v>1476</v>
      </c>
      <c r="I198" s="25" t="s">
        <v>592</v>
      </c>
      <c r="J198" s="26">
        <v>41170</v>
      </c>
      <c r="K198" s="249">
        <v>0.64583333333333304</v>
      </c>
    </row>
    <row r="199" spans="2:11" x14ac:dyDescent="0.25">
      <c r="B199" s="248">
        <v>55</v>
      </c>
      <c r="C199" s="20" t="s">
        <v>593</v>
      </c>
      <c r="D199" s="21">
        <v>24</v>
      </c>
      <c r="E199" s="22" t="s">
        <v>243</v>
      </c>
      <c r="F199" s="22">
        <v>300</v>
      </c>
      <c r="G199" s="23" t="s">
        <v>268</v>
      </c>
      <c r="H199" s="23" t="s">
        <v>1477</v>
      </c>
      <c r="I199" s="25" t="s">
        <v>594</v>
      </c>
      <c r="J199" s="26">
        <v>41168</v>
      </c>
      <c r="K199" s="249">
        <v>0.72916666666666696</v>
      </c>
    </row>
    <row r="200" spans="2:11" x14ac:dyDescent="0.25">
      <c r="B200" s="248">
        <v>78</v>
      </c>
      <c r="C200" s="20" t="s">
        <v>595</v>
      </c>
      <c r="D200" s="21">
        <v>20</v>
      </c>
      <c r="E200" s="22" t="s">
        <v>255</v>
      </c>
      <c r="F200" s="22">
        <v>300</v>
      </c>
      <c r="G200" s="23" t="s">
        <v>409</v>
      </c>
      <c r="H200" s="23" t="s">
        <v>1478</v>
      </c>
      <c r="I200" s="25" t="s">
        <v>596</v>
      </c>
      <c r="J200" s="26">
        <v>41170</v>
      </c>
      <c r="K200" s="249">
        <v>0.60416666666666663</v>
      </c>
    </row>
    <row r="201" spans="2:11" x14ac:dyDescent="0.25">
      <c r="B201" s="248">
        <v>75</v>
      </c>
      <c r="C201" s="20" t="s">
        <v>597</v>
      </c>
      <c r="D201" s="21">
        <v>19</v>
      </c>
      <c r="E201" s="22" t="s">
        <v>255</v>
      </c>
      <c r="F201" s="22">
        <v>300</v>
      </c>
      <c r="G201" s="23" t="s">
        <v>327</v>
      </c>
      <c r="H201" s="23" t="s">
        <v>1479</v>
      </c>
      <c r="I201" s="25" t="s">
        <v>598</v>
      </c>
      <c r="J201" s="26">
        <v>41170</v>
      </c>
      <c r="K201" s="249">
        <v>0.52777777777777779</v>
      </c>
    </row>
    <row r="202" spans="2:11" ht="45" x14ac:dyDescent="0.25">
      <c r="B202" s="248">
        <v>109</v>
      </c>
      <c r="C202" s="20" t="s">
        <v>599</v>
      </c>
      <c r="D202" s="21">
        <v>22</v>
      </c>
      <c r="E202" s="22" t="s">
        <v>243</v>
      </c>
      <c r="F202" s="22">
        <v>300</v>
      </c>
      <c r="G202" s="23" t="s">
        <v>409</v>
      </c>
      <c r="H202" s="189" t="s">
        <v>1480</v>
      </c>
      <c r="I202" s="25" t="s">
        <v>600</v>
      </c>
      <c r="J202" s="26">
        <v>41174</v>
      </c>
      <c r="K202" s="249">
        <v>0.43055555555555558</v>
      </c>
    </row>
    <row r="203" spans="2:11" x14ac:dyDescent="0.25">
      <c r="B203" s="248">
        <v>83</v>
      </c>
      <c r="C203" s="20" t="s">
        <v>601</v>
      </c>
      <c r="D203" s="21">
        <v>22</v>
      </c>
      <c r="E203" s="22" t="s">
        <v>249</v>
      </c>
      <c r="F203" s="22">
        <v>300</v>
      </c>
      <c r="G203" s="23" t="s">
        <v>409</v>
      </c>
      <c r="H203" s="23" t="s">
        <v>1358</v>
      </c>
      <c r="I203" s="25" t="s">
        <v>602</v>
      </c>
      <c r="J203" s="26">
        <v>41172</v>
      </c>
      <c r="K203" s="249">
        <v>0.47222222222222199</v>
      </c>
    </row>
    <row r="204" spans="2:11" x14ac:dyDescent="0.25">
      <c r="B204" s="248">
        <v>100</v>
      </c>
      <c r="C204" s="20" t="s">
        <v>603</v>
      </c>
      <c r="D204" s="21">
        <v>28</v>
      </c>
      <c r="E204" s="22" t="s">
        <v>267</v>
      </c>
      <c r="F204" s="22">
        <v>300</v>
      </c>
      <c r="G204" s="23" t="s">
        <v>409</v>
      </c>
      <c r="H204" s="23" t="s">
        <v>1481</v>
      </c>
      <c r="I204" s="25" t="s">
        <v>602</v>
      </c>
      <c r="J204" s="26">
        <v>41173</v>
      </c>
      <c r="K204" s="249">
        <v>0.51388888888888895</v>
      </c>
    </row>
    <row r="205" spans="2:11" x14ac:dyDescent="0.25">
      <c r="B205" s="248">
        <v>76</v>
      </c>
      <c r="C205" s="20" t="s">
        <v>604</v>
      </c>
      <c r="D205" s="21">
        <v>27</v>
      </c>
      <c r="E205" s="22" t="s">
        <v>243</v>
      </c>
      <c r="F205" s="22">
        <v>300</v>
      </c>
      <c r="G205" s="23" t="s">
        <v>327</v>
      </c>
      <c r="H205" s="23" t="s">
        <v>605</v>
      </c>
      <c r="I205" s="25" t="s">
        <v>606</v>
      </c>
      <c r="J205" s="26">
        <v>41170</v>
      </c>
      <c r="K205" s="249">
        <v>0.54861111111111105</v>
      </c>
    </row>
    <row r="206" spans="2:11" x14ac:dyDescent="0.25">
      <c r="B206" s="248">
        <v>98</v>
      </c>
      <c r="C206" s="20" t="s">
        <v>607</v>
      </c>
      <c r="D206" s="21">
        <v>18</v>
      </c>
      <c r="E206" s="22" t="s">
        <v>246</v>
      </c>
      <c r="F206" s="22">
        <v>300</v>
      </c>
      <c r="G206" s="23" t="s">
        <v>409</v>
      </c>
      <c r="H206" s="23" t="s">
        <v>1482</v>
      </c>
      <c r="I206" s="25" t="s">
        <v>608</v>
      </c>
      <c r="J206" s="26">
        <v>41173</v>
      </c>
      <c r="K206" s="249">
        <v>0.47222222222222199</v>
      </c>
    </row>
    <row r="207" spans="2:11" x14ac:dyDescent="0.25">
      <c r="B207" s="248">
        <v>107</v>
      </c>
      <c r="C207" s="20" t="s">
        <v>609</v>
      </c>
      <c r="D207" s="21">
        <v>32</v>
      </c>
      <c r="E207" s="22" t="s">
        <v>246</v>
      </c>
      <c r="F207" s="22">
        <v>300</v>
      </c>
      <c r="G207" s="23" t="s">
        <v>409</v>
      </c>
      <c r="H207" s="23" t="s">
        <v>1483</v>
      </c>
      <c r="I207" s="25" t="s">
        <v>608</v>
      </c>
      <c r="J207" s="26">
        <v>41173</v>
      </c>
      <c r="K207" s="249">
        <v>0.6875</v>
      </c>
    </row>
    <row r="208" spans="2:11" x14ac:dyDescent="0.25">
      <c r="B208" s="248">
        <v>85</v>
      </c>
      <c r="C208" s="20" t="s">
        <v>610</v>
      </c>
      <c r="D208" s="21">
        <v>26</v>
      </c>
      <c r="E208" s="22" t="s">
        <v>243</v>
      </c>
      <c r="F208" s="22">
        <v>300</v>
      </c>
      <c r="G208" s="23" t="s">
        <v>409</v>
      </c>
      <c r="H208" s="23" t="s">
        <v>1484</v>
      </c>
      <c r="I208" s="25" t="s">
        <v>611</v>
      </c>
      <c r="J208" s="26">
        <v>41172</v>
      </c>
      <c r="K208" s="249">
        <v>0.51388888888888895</v>
      </c>
    </row>
    <row r="209" spans="2:11" ht="30" x14ac:dyDescent="0.25">
      <c r="B209" s="248">
        <v>101</v>
      </c>
      <c r="C209" s="20" t="s">
        <v>612</v>
      </c>
      <c r="D209" s="21">
        <v>35</v>
      </c>
      <c r="E209" s="22" t="s">
        <v>255</v>
      </c>
      <c r="F209" s="22">
        <v>300</v>
      </c>
      <c r="G209" s="23" t="s">
        <v>409</v>
      </c>
      <c r="H209" s="189" t="s">
        <v>1485</v>
      </c>
      <c r="I209" s="25" t="s">
        <v>613</v>
      </c>
      <c r="J209" s="26">
        <v>41173</v>
      </c>
      <c r="K209" s="249">
        <v>0.51388888888888895</v>
      </c>
    </row>
    <row r="210" spans="2:11" x14ac:dyDescent="0.25">
      <c r="B210" s="248">
        <v>97</v>
      </c>
      <c r="C210" s="20" t="s">
        <v>614</v>
      </c>
      <c r="D210" s="21">
        <v>20</v>
      </c>
      <c r="E210" s="22" t="s">
        <v>249</v>
      </c>
      <c r="F210" s="22">
        <v>300</v>
      </c>
      <c r="G210" s="23" t="s">
        <v>409</v>
      </c>
      <c r="H210" s="23" t="s">
        <v>1486</v>
      </c>
      <c r="I210" s="25" t="s">
        <v>615</v>
      </c>
      <c r="J210" s="26">
        <v>41173</v>
      </c>
      <c r="K210" s="249">
        <v>0.43055555555555558</v>
      </c>
    </row>
    <row r="211" spans="2:11" x14ac:dyDescent="0.25">
      <c r="B211" s="248">
        <v>61</v>
      </c>
      <c r="C211" s="20" t="s">
        <v>616</v>
      </c>
      <c r="D211" s="21">
        <v>35</v>
      </c>
      <c r="E211" s="22" t="s">
        <v>255</v>
      </c>
      <c r="F211" s="22">
        <v>300</v>
      </c>
      <c r="G211" s="23" t="s">
        <v>268</v>
      </c>
      <c r="H211" s="23" t="s">
        <v>617</v>
      </c>
      <c r="I211" s="25" t="s">
        <v>618</v>
      </c>
      <c r="J211" s="26">
        <v>41169</v>
      </c>
      <c r="K211" s="249">
        <v>0.51388888888888895</v>
      </c>
    </row>
    <row r="212" spans="2:11" x14ac:dyDescent="0.25">
      <c r="B212" s="248">
        <v>77</v>
      </c>
      <c r="C212" s="20" t="s">
        <v>619</v>
      </c>
      <c r="D212" s="21">
        <v>21</v>
      </c>
      <c r="E212" s="22" t="s">
        <v>246</v>
      </c>
      <c r="F212" s="22">
        <v>300</v>
      </c>
      <c r="G212" s="23" t="s">
        <v>327</v>
      </c>
      <c r="H212" s="23" t="s">
        <v>1359</v>
      </c>
      <c r="I212" s="25" t="s">
        <v>620</v>
      </c>
      <c r="J212" s="26">
        <v>41170</v>
      </c>
      <c r="K212" s="249">
        <v>0.59027777777777801</v>
      </c>
    </row>
    <row r="213" spans="2:11" x14ac:dyDescent="0.25">
      <c r="B213" s="248">
        <v>57</v>
      </c>
      <c r="C213" s="20" t="s">
        <v>621</v>
      </c>
      <c r="D213" s="21">
        <v>20</v>
      </c>
      <c r="E213" s="22" t="s">
        <v>249</v>
      </c>
      <c r="F213" s="22">
        <v>300</v>
      </c>
      <c r="G213" s="23" t="s">
        <v>268</v>
      </c>
      <c r="H213" s="23" t="s">
        <v>1487</v>
      </c>
      <c r="I213" s="25" t="s">
        <v>622</v>
      </c>
      <c r="J213" s="26">
        <v>41169</v>
      </c>
      <c r="K213" s="249">
        <v>0.43055555555555558</v>
      </c>
    </row>
    <row r="214" spans="2:11" x14ac:dyDescent="0.25">
      <c r="B214" s="248">
        <v>67</v>
      </c>
      <c r="C214" s="20" t="s">
        <v>623</v>
      </c>
      <c r="D214" s="21">
        <v>32</v>
      </c>
      <c r="E214" s="22" t="s">
        <v>246</v>
      </c>
      <c r="F214" s="22">
        <v>300</v>
      </c>
      <c r="G214" s="23" t="s">
        <v>313</v>
      </c>
      <c r="H214" s="23" t="s">
        <v>1488</v>
      </c>
      <c r="I214" s="25" t="s">
        <v>624</v>
      </c>
      <c r="J214" s="26">
        <v>41169</v>
      </c>
      <c r="K214" s="249">
        <v>0.6875</v>
      </c>
    </row>
    <row r="215" spans="2:11" x14ac:dyDescent="0.25">
      <c r="B215" s="253">
        <v>150</v>
      </c>
      <c r="C215" s="254" t="s">
        <v>625</v>
      </c>
      <c r="D215" s="255">
        <v>29</v>
      </c>
      <c r="E215" s="256" t="s">
        <v>258</v>
      </c>
      <c r="F215" s="256">
        <v>300</v>
      </c>
      <c r="G215" s="27" t="s">
        <v>271</v>
      </c>
      <c r="H215" s="27" t="s">
        <v>1489</v>
      </c>
      <c r="I215" s="257" t="s">
        <v>626</v>
      </c>
      <c r="J215" s="258">
        <v>41177</v>
      </c>
      <c r="K215" s="259">
        <v>0.43055555555555558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theme="8" tint="-0.499984740745262"/>
  </sheetPr>
  <dimension ref="B2:AR104"/>
  <sheetViews>
    <sheetView topLeftCell="C3" zoomScaleNormal="100" workbookViewId="0">
      <selection activeCell="C2" sqref="C2:N102"/>
    </sheetView>
  </sheetViews>
  <sheetFormatPr defaultRowHeight="15" x14ac:dyDescent="0.25"/>
  <cols>
    <col min="2" max="2" width="11.7109375" customWidth="1"/>
    <col min="3" max="3" width="19.140625" bestFit="1" customWidth="1"/>
    <col min="4" max="4" width="10" bestFit="1" customWidth="1"/>
    <col min="5" max="5" width="9.28515625" customWidth="1"/>
    <col min="6" max="6" width="12.140625" bestFit="1" customWidth="1"/>
    <col min="7" max="7" width="16.140625" customWidth="1"/>
    <col min="8" max="8" width="9.42578125" customWidth="1"/>
    <col min="9" max="9" width="17.28515625" customWidth="1"/>
    <col min="10" max="10" width="6.5703125" customWidth="1"/>
    <col min="11" max="11" width="7" customWidth="1"/>
    <col min="12" max="12" width="12.85546875" bestFit="1" customWidth="1"/>
    <col min="13" max="14" width="11" customWidth="1"/>
    <col min="15" max="15" width="14.140625" customWidth="1"/>
    <col min="16" max="16" width="10" bestFit="1" customWidth="1"/>
    <col min="17" max="17" width="11.5703125" bestFit="1" customWidth="1"/>
    <col min="18" max="18" width="13.28515625" bestFit="1" customWidth="1"/>
    <col min="19" max="19" width="12.85546875" customWidth="1"/>
    <col min="20" max="20" width="11.5703125" bestFit="1" customWidth="1"/>
    <col min="22" max="22" width="8.42578125" bestFit="1" customWidth="1"/>
  </cols>
  <sheetData>
    <row r="2" spans="2:44" x14ac:dyDescent="0.25">
      <c r="B2" t="s">
        <v>44</v>
      </c>
      <c r="C2" s="235" t="s">
        <v>45</v>
      </c>
      <c r="D2" s="235" t="s">
        <v>46</v>
      </c>
      <c r="E2" s="235" t="s">
        <v>47</v>
      </c>
      <c r="F2" s="235" t="s">
        <v>48</v>
      </c>
      <c r="G2" s="235" t="s">
        <v>778</v>
      </c>
      <c r="H2" s="235" t="s">
        <v>49</v>
      </c>
      <c r="I2" s="235" t="s">
        <v>50</v>
      </c>
      <c r="J2" s="235" t="s">
        <v>779</v>
      </c>
      <c r="K2" s="235" t="s">
        <v>1276</v>
      </c>
      <c r="L2" s="235" t="s">
        <v>1298</v>
      </c>
      <c r="M2" s="235" t="s">
        <v>1299</v>
      </c>
      <c r="N2" s="235" t="s">
        <v>1306</v>
      </c>
      <c r="P2" t="s">
        <v>1495</v>
      </c>
      <c r="AJ2" t="s">
        <v>1266</v>
      </c>
      <c r="AL2" s="10" t="s">
        <v>52</v>
      </c>
      <c r="AM2" s="179"/>
      <c r="AN2" t="s">
        <v>46</v>
      </c>
      <c r="AO2" t="s">
        <v>47</v>
      </c>
      <c r="AR2">
        <f>COUNTIF('Sort &amp; Filter'!$D$3:$D$103,AL2)</f>
        <v>18</v>
      </c>
    </row>
    <row r="3" spans="2:44" x14ac:dyDescent="0.25">
      <c r="B3">
        <v>75</v>
      </c>
      <c r="C3" s="215" t="s">
        <v>168</v>
      </c>
      <c r="D3" s="215" t="s">
        <v>59</v>
      </c>
      <c r="E3" s="215" t="s">
        <v>56</v>
      </c>
      <c r="F3" s="215" t="s">
        <v>85</v>
      </c>
      <c r="G3" s="216">
        <v>32441</v>
      </c>
      <c r="H3" s="215">
        <v>17500</v>
      </c>
      <c r="I3" s="217" t="s">
        <v>465</v>
      </c>
      <c r="J3" s="215">
        <v>18</v>
      </c>
      <c r="K3" s="215">
        <f>RANK('Sort &amp; Filter'!$H77,$H$3:$H$103,0)</f>
        <v>9</v>
      </c>
      <c r="L3" s="215" t="str">
        <f>IFERROR(VLOOKUP('Sort &amp; Filter'!$B3,'Name Manager'!B97:C107,2,0)," ")</f>
        <v xml:space="preserve"> </v>
      </c>
      <c r="M3" s="215"/>
      <c r="N3" s="215"/>
      <c r="P3" s="12"/>
      <c r="Q3" s="12" t="s">
        <v>53</v>
      </c>
      <c r="R3" s="12" t="s">
        <v>56</v>
      </c>
      <c r="S3" s="12" t="s">
        <v>60</v>
      </c>
      <c r="T3" s="12" t="s">
        <v>72</v>
      </c>
      <c r="AG3" t="e">
        <f>VLOOKUP(N3,B2:M102,2,0)</f>
        <v>#N/A</v>
      </c>
      <c r="AJ3" t="s">
        <v>1267</v>
      </c>
      <c r="AL3" s="10" t="s">
        <v>59</v>
      </c>
      <c r="AM3" s="179"/>
      <c r="AN3" t="s">
        <v>66</v>
      </c>
      <c r="AO3" t="s">
        <v>53</v>
      </c>
      <c r="AQ3" t="s">
        <v>60</v>
      </c>
    </row>
    <row r="4" spans="2:44" x14ac:dyDescent="0.25">
      <c r="B4">
        <v>17</v>
      </c>
      <c r="C4" s="218" t="s">
        <v>92</v>
      </c>
      <c r="D4" s="218" t="s">
        <v>59</v>
      </c>
      <c r="E4" s="218" t="s">
        <v>56</v>
      </c>
      <c r="F4" s="218" t="s">
        <v>57</v>
      </c>
      <c r="G4" s="219">
        <v>30376</v>
      </c>
      <c r="H4" s="218">
        <v>15750</v>
      </c>
      <c r="I4" s="220">
        <v>9823578786</v>
      </c>
      <c r="J4" s="218">
        <v>30</v>
      </c>
      <c r="K4" s="218">
        <f>RANK('Sort &amp; Filter'!$H19,$H$3:$H$103,0)</f>
        <v>18</v>
      </c>
      <c r="L4" s="218" t="str">
        <f>IFERROR(VLOOKUP('Sort &amp; Filter'!$B4,'Name Manager'!B13:C23,2,0)," ")</f>
        <v xml:space="preserve"> </v>
      </c>
      <c r="M4" s="218"/>
      <c r="N4" s="218"/>
      <c r="P4" s="12" t="s">
        <v>52</v>
      </c>
      <c r="Q4" s="12">
        <f>COUNTIFS($D$3:$D$102,$P4,$E$3:$E$102,Q$3)</f>
        <v>7</v>
      </c>
      <c r="R4" s="12">
        <f t="shared" ref="R4:T4" si="0">COUNTIFS($D$3:$D$102,$P4,$E$3:$E$102,R$3)</f>
        <v>4</v>
      </c>
      <c r="S4" s="12">
        <f t="shared" si="0"/>
        <v>4</v>
      </c>
      <c r="T4" s="12">
        <f t="shared" si="0"/>
        <v>3</v>
      </c>
      <c r="AG4" t="e">
        <f>VLOOKUP(N3,B2:N102,9,0)</f>
        <v>#N/A</v>
      </c>
      <c r="AJ4" t="s">
        <v>1268</v>
      </c>
      <c r="AL4" s="10" t="s">
        <v>63</v>
      </c>
      <c r="AM4" s="179"/>
      <c r="AN4" t="s">
        <v>66</v>
      </c>
      <c r="AO4" t="s">
        <v>56</v>
      </c>
    </row>
    <row r="5" spans="2:44" x14ac:dyDescent="0.25">
      <c r="B5">
        <v>41</v>
      </c>
      <c r="C5" s="215" t="s">
        <v>127</v>
      </c>
      <c r="D5" s="215" t="s">
        <v>59</v>
      </c>
      <c r="E5" s="215" t="s">
        <v>56</v>
      </c>
      <c r="F5" s="215" t="s">
        <v>79</v>
      </c>
      <c r="G5" s="216">
        <v>35595</v>
      </c>
      <c r="H5" s="215">
        <v>7875</v>
      </c>
      <c r="I5" s="217">
        <v>9869660484</v>
      </c>
      <c r="J5" s="215">
        <v>35</v>
      </c>
      <c r="K5" s="215">
        <f>RANK('Sort &amp; Filter'!$H43,$H$3:$H$103,0)</f>
        <v>18</v>
      </c>
      <c r="L5" s="215" t="str">
        <f>IFERROR(VLOOKUP('Sort &amp; Filter'!$B5,'Name Manager'!B46:C56,2,0)," ")</f>
        <v xml:space="preserve"> </v>
      </c>
      <c r="M5" s="215"/>
      <c r="N5" s="215"/>
      <c r="P5" s="12" t="s">
        <v>59</v>
      </c>
      <c r="Q5" s="12">
        <f t="shared" ref="Q5:T11" si="1">COUNTIFS($D$3:$D$102,$P5,$E$3:$E$102,Q$3)</f>
        <v>4</v>
      </c>
      <c r="R5" s="12">
        <f t="shared" si="1"/>
        <v>3</v>
      </c>
      <c r="S5" s="12">
        <f t="shared" si="1"/>
        <v>2</v>
      </c>
      <c r="T5" s="12">
        <f t="shared" si="1"/>
        <v>1</v>
      </c>
      <c r="AJ5" t="s">
        <v>1269</v>
      </c>
      <c r="AL5" s="10" t="s">
        <v>66</v>
      </c>
      <c r="AM5" s="179"/>
      <c r="AN5" t="s">
        <v>66</v>
      </c>
      <c r="AO5" t="s">
        <v>72</v>
      </c>
    </row>
    <row r="6" spans="2:44" x14ac:dyDescent="0.25">
      <c r="B6">
        <v>61</v>
      </c>
      <c r="C6" s="218" t="s">
        <v>153</v>
      </c>
      <c r="D6" s="218" t="s">
        <v>59</v>
      </c>
      <c r="E6" s="218" t="s">
        <v>53</v>
      </c>
      <c r="F6" s="218" t="s">
        <v>75</v>
      </c>
      <c r="G6" s="219">
        <v>32106</v>
      </c>
      <c r="H6" s="218">
        <v>19250</v>
      </c>
      <c r="I6" s="220">
        <v>9970874230</v>
      </c>
      <c r="J6" s="218">
        <v>20</v>
      </c>
      <c r="K6" s="218">
        <f>RANK('Sort &amp; Filter'!$H63,$H$3:$H$103,0)</f>
        <v>44</v>
      </c>
      <c r="L6" s="218" t="str">
        <f>IFERROR(VLOOKUP('Sort &amp; Filter'!$B6,'Name Manager'!B16:C26,2,0)," ")</f>
        <v xml:space="preserve"> </v>
      </c>
      <c r="M6" s="218"/>
      <c r="N6" s="218"/>
      <c r="P6" s="12" t="s">
        <v>63</v>
      </c>
      <c r="Q6" s="12">
        <f t="shared" si="1"/>
        <v>6</v>
      </c>
      <c r="R6" s="12">
        <f t="shared" si="1"/>
        <v>4</v>
      </c>
      <c r="S6" s="12">
        <f t="shared" si="1"/>
        <v>4</v>
      </c>
      <c r="T6" s="12">
        <f t="shared" si="1"/>
        <v>4</v>
      </c>
      <c r="AJ6" t="s">
        <v>1270</v>
      </c>
      <c r="AL6" s="10" t="s">
        <v>71</v>
      </c>
      <c r="AM6" s="179"/>
      <c r="AN6" t="s">
        <v>59</v>
      </c>
      <c r="AO6" t="s">
        <v>53</v>
      </c>
    </row>
    <row r="7" spans="2:44" x14ac:dyDescent="0.25">
      <c r="B7">
        <v>29</v>
      </c>
      <c r="C7" s="215" t="s">
        <v>109</v>
      </c>
      <c r="D7" s="215" t="s">
        <v>59</v>
      </c>
      <c r="E7" s="215" t="s">
        <v>53</v>
      </c>
      <c r="F7" s="215" t="s">
        <v>91</v>
      </c>
      <c r="G7" s="216">
        <v>35189</v>
      </c>
      <c r="H7" s="215">
        <v>9625</v>
      </c>
      <c r="I7" s="217">
        <v>9869214286</v>
      </c>
      <c r="J7" s="215">
        <v>19</v>
      </c>
      <c r="K7" s="215">
        <f>RANK('Sort &amp; Filter'!$H31,$H$3:$H$103,0)</f>
        <v>2</v>
      </c>
      <c r="L7" s="215" t="str">
        <f>IFERROR(VLOOKUP('Sort &amp; Filter'!$B7,'Name Manager'!B32:C42,2,0)," ")</f>
        <v xml:space="preserve"> </v>
      </c>
      <c r="M7" s="215"/>
      <c r="N7" s="215"/>
      <c r="P7" s="12" t="s">
        <v>66</v>
      </c>
      <c r="Q7" s="12">
        <f t="shared" si="1"/>
        <v>9</v>
      </c>
      <c r="R7" s="12">
        <f t="shared" si="1"/>
        <v>3</v>
      </c>
      <c r="S7" s="12">
        <f t="shared" si="1"/>
        <v>3</v>
      </c>
      <c r="T7" s="12">
        <f t="shared" si="1"/>
        <v>3</v>
      </c>
      <c r="AJ7" t="s">
        <v>1271</v>
      </c>
      <c r="AL7" s="10" t="s">
        <v>81</v>
      </c>
      <c r="AM7" s="179"/>
      <c r="AN7" t="s">
        <v>63</v>
      </c>
      <c r="AO7" t="s">
        <v>60</v>
      </c>
    </row>
    <row r="8" spans="2:44" x14ac:dyDescent="0.25">
      <c r="B8">
        <v>12</v>
      </c>
      <c r="C8" s="218" t="s">
        <v>82</v>
      </c>
      <c r="D8" s="218" t="s">
        <v>59</v>
      </c>
      <c r="E8" s="218" t="s">
        <v>53</v>
      </c>
      <c r="F8" s="218" t="s">
        <v>83</v>
      </c>
      <c r="G8" s="219">
        <v>30376</v>
      </c>
      <c r="H8" s="218">
        <v>21000</v>
      </c>
      <c r="I8" s="220">
        <v>9820943526</v>
      </c>
      <c r="J8" s="218">
        <v>32</v>
      </c>
      <c r="K8" s="218">
        <f>RANK('Sort &amp; Filter'!$H14,$H$3:$H$103,0)</f>
        <v>44</v>
      </c>
      <c r="L8" s="218" t="str">
        <f>IFERROR(VLOOKUP('Sort &amp; Filter'!$B8,'Name Manager'!B91:C101,2,0)," ")</f>
        <v xml:space="preserve"> </v>
      </c>
      <c r="M8" s="218"/>
      <c r="N8" s="218"/>
      <c r="P8" s="12" t="s">
        <v>71</v>
      </c>
      <c r="Q8" s="12">
        <f t="shared" si="1"/>
        <v>5</v>
      </c>
      <c r="R8" s="12">
        <f t="shared" si="1"/>
        <v>2</v>
      </c>
      <c r="S8" s="12">
        <f t="shared" si="1"/>
        <v>1</v>
      </c>
      <c r="T8" s="12">
        <f t="shared" si="1"/>
        <v>4</v>
      </c>
      <c r="AJ8" t="s">
        <v>1272</v>
      </c>
      <c r="AL8" s="10" t="s">
        <v>87</v>
      </c>
      <c r="AM8" s="179"/>
      <c r="AN8" s="179"/>
    </row>
    <row r="9" spans="2:44" x14ac:dyDescent="0.25">
      <c r="B9">
        <v>47</v>
      </c>
      <c r="C9" s="215" t="s">
        <v>133</v>
      </c>
      <c r="D9" s="215" t="s">
        <v>59</v>
      </c>
      <c r="E9" s="215" t="s">
        <v>53</v>
      </c>
      <c r="F9" s="215" t="s">
        <v>67</v>
      </c>
      <c r="G9" s="216">
        <v>32180</v>
      </c>
      <c r="H9" s="215">
        <v>15750</v>
      </c>
      <c r="I9" s="217">
        <v>9890596938</v>
      </c>
      <c r="J9" s="215">
        <v>22</v>
      </c>
      <c r="K9" s="215">
        <f>RANK('Sort &amp; Filter'!$H49,$H$3:$H$103,0)</f>
        <v>86</v>
      </c>
      <c r="L9" s="215" t="str">
        <f>IFERROR(VLOOKUP('Sort &amp; Filter'!$B9,'Name Manager'!B105:C115,2,0)," ")</f>
        <v xml:space="preserve"> </v>
      </c>
      <c r="M9" s="215"/>
      <c r="N9" s="215"/>
      <c r="P9" s="12" t="s">
        <v>81</v>
      </c>
      <c r="Q9" s="12">
        <f t="shared" si="1"/>
        <v>2</v>
      </c>
      <c r="R9" s="12">
        <f t="shared" si="1"/>
        <v>1</v>
      </c>
      <c r="S9" s="12">
        <f t="shared" si="1"/>
        <v>2</v>
      </c>
      <c r="T9" s="12">
        <f t="shared" si="1"/>
        <v>2</v>
      </c>
      <c r="AJ9" t="s">
        <v>1273</v>
      </c>
      <c r="AL9" s="10" t="s">
        <v>113</v>
      </c>
      <c r="AM9" s="179"/>
      <c r="AN9" s="179"/>
    </row>
    <row r="10" spans="2:44" x14ac:dyDescent="0.25">
      <c r="B10">
        <v>59</v>
      </c>
      <c r="C10" s="218" t="s">
        <v>150</v>
      </c>
      <c r="D10" s="218" t="s">
        <v>59</v>
      </c>
      <c r="E10" s="218" t="s">
        <v>60</v>
      </c>
      <c r="F10" s="218" t="s">
        <v>106</v>
      </c>
      <c r="G10" s="219">
        <v>31791</v>
      </c>
      <c r="H10" s="218">
        <v>19250</v>
      </c>
      <c r="I10" s="220">
        <v>9969033341</v>
      </c>
      <c r="J10" s="218">
        <v>27</v>
      </c>
      <c r="K10" s="218">
        <f>RANK('Sort &amp; Filter'!$H61,$H$3:$H$103,0)</f>
        <v>11</v>
      </c>
      <c r="L10" s="218" t="str">
        <f>IFERROR(VLOOKUP('Sort &amp; Filter'!$B10,'Name Manager'!B27:C37,2,0)," ")</f>
        <v xml:space="preserve"> </v>
      </c>
      <c r="M10" s="218"/>
      <c r="N10" s="218"/>
      <c r="P10" s="12" t="s">
        <v>87</v>
      </c>
      <c r="Q10" s="12">
        <f t="shared" si="1"/>
        <v>0</v>
      </c>
      <c r="R10" s="12">
        <f t="shared" si="1"/>
        <v>0</v>
      </c>
      <c r="S10" s="12">
        <f t="shared" si="1"/>
        <v>1</v>
      </c>
      <c r="T10" s="12">
        <f t="shared" si="1"/>
        <v>0</v>
      </c>
      <c r="AJ10" t="s">
        <v>1274</v>
      </c>
    </row>
    <row r="11" spans="2:44" x14ac:dyDescent="0.25">
      <c r="B11">
        <v>3</v>
      </c>
      <c r="C11" s="215" t="s">
        <v>58</v>
      </c>
      <c r="D11" s="215" t="s">
        <v>59</v>
      </c>
      <c r="E11" s="215" t="s">
        <v>60</v>
      </c>
      <c r="F11" s="215" t="s">
        <v>61</v>
      </c>
      <c r="G11" s="216">
        <v>36220</v>
      </c>
      <c r="H11" s="215">
        <v>7000</v>
      </c>
      <c r="I11" s="217">
        <v>9764042559</v>
      </c>
      <c r="J11" s="215">
        <v>15</v>
      </c>
      <c r="K11" s="215">
        <f>RANK('Sort &amp; Filter'!$H5,$H$3:$H$103,0)</f>
        <v>88</v>
      </c>
      <c r="L11" s="215" t="str">
        <f>IFERROR(VLOOKUP('Sort &amp; Filter'!$B11,'Name Manager'!B47:C57,2,0)," ")</f>
        <v xml:space="preserve"> </v>
      </c>
      <c r="M11" s="215"/>
      <c r="N11" s="215"/>
      <c r="P11" s="12" t="s">
        <v>113</v>
      </c>
      <c r="Q11" s="12">
        <f t="shared" si="1"/>
        <v>7</v>
      </c>
      <c r="R11" s="12">
        <f t="shared" si="1"/>
        <v>3</v>
      </c>
      <c r="S11" s="12">
        <f t="shared" si="1"/>
        <v>3</v>
      </c>
      <c r="T11" s="12">
        <f t="shared" si="1"/>
        <v>3</v>
      </c>
      <c r="AJ11" t="s">
        <v>1275</v>
      </c>
    </row>
    <row r="12" spans="2:44" x14ac:dyDescent="0.25">
      <c r="B12">
        <v>18</v>
      </c>
      <c r="C12" s="218" t="s">
        <v>93</v>
      </c>
      <c r="D12" s="218" t="s">
        <v>59</v>
      </c>
      <c r="E12" s="218" t="s">
        <v>72</v>
      </c>
      <c r="F12" s="218" t="s">
        <v>94</v>
      </c>
      <c r="G12" s="219">
        <v>30376</v>
      </c>
      <c r="H12" s="218">
        <v>15750</v>
      </c>
      <c r="I12" s="220">
        <v>9833712250</v>
      </c>
      <c r="J12" s="218">
        <v>32</v>
      </c>
      <c r="K12" s="218">
        <f>RANK('Sort &amp; Filter'!$H20,$H$3:$H$103,0)</f>
        <v>18</v>
      </c>
      <c r="L12" s="218" t="str">
        <f>IFERROR(VLOOKUP('Sort &amp; Filter'!$B12,'Name Manager'!B11:C21,2,0)," ")</f>
        <v>Asst Manager</v>
      </c>
      <c r="M12" s="218">
        <v>6</v>
      </c>
      <c r="N12" s="218"/>
      <c r="AJ12" t="s">
        <v>1277</v>
      </c>
      <c r="AK12">
        <f>FREQUENCY(H3:H102,AL12)</f>
        <v>0</v>
      </c>
      <c r="AM12">
        <v>29000</v>
      </c>
    </row>
    <row r="13" spans="2:44" x14ac:dyDescent="0.25">
      <c r="B13">
        <v>65</v>
      </c>
      <c r="C13" s="215" t="s">
        <v>157</v>
      </c>
      <c r="D13" s="215" t="s">
        <v>113</v>
      </c>
      <c r="E13" s="215" t="s">
        <v>56</v>
      </c>
      <c r="F13" s="215" t="s">
        <v>85</v>
      </c>
      <c r="G13" s="216">
        <v>32442</v>
      </c>
      <c r="H13" s="215">
        <v>17500</v>
      </c>
      <c r="I13" s="217">
        <v>7709412045</v>
      </c>
      <c r="J13" s="215">
        <v>22</v>
      </c>
      <c r="K13" s="215">
        <f>RANK('Sort &amp; Filter'!$H67,$H$3:$H$103,0)</f>
        <v>73</v>
      </c>
      <c r="L13" s="215" t="str">
        <f>IFERROR(VLOOKUP('Sort &amp; Filter'!$B13,'Name Manager'!B102:C112,2,0)," ")</f>
        <v xml:space="preserve"> </v>
      </c>
      <c r="M13" s="215"/>
      <c r="N13" s="215"/>
      <c r="P13" t="s">
        <v>1496</v>
      </c>
      <c r="AJ13" t="s">
        <v>1278</v>
      </c>
    </row>
    <row r="14" spans="2:44" x14ac:dyDescent="0.25">
      <c r="B14">
        <v>54</v>
      </c>
      <c r="C14" s="218" t="s">
        <v>142</v>
      </c>
      <c r="D14" s="218" t="s">
        <v>113</v>
      </c>
      <c r="E14" s="218" t="s">
        <v>56</v>
      </c>
      <c r="F14" s="218" t="s">
        <v>143</v>
      </c>
      <c r="G14" s="219">
        <v>34761</v>
      </c>
      <c r="H14" s="218">
        <v>15750</v>
      </c>
      <c r="I14" s="220">
        <v>9923326704</v>
      </c>
      <c r="J14" s="218">
        <v>26</v>
      </c>
      <c r="K14" s="218">
        <f>RANK('Sort &amp; Filter'!$H56,$H$3:$H$103,0)</f>
        <v>66</v>
      </c>
      <c r="L14" s="218" t="str">
        <f>IFERROR(VLOOKUP('Sort &amp; Filter'!$B14,'Name Manager'!B107:C117,2,0)," ")</f>
        <v xml:space="preserve"> </v>
      </c>
      <c r="M14" s="218"/>
      <c r="N14" s="218"/>
      <c r="P14" s="12"/>
      <c r="Q14" s="12" t="s">
        <v>53</v>
      </c>
      <c r="R14" s="12" t="s">
        <v>56</v>
      </c>
      <c r="S14" s="12" t="s">
        <v>60</v>
      </c>
      <c r="T14" s="12" t="s">
        <v>72</v>
      </c>
      <c r="AJ14" t="s">
        <v>1279</v>
      </c>
    </row>
    <row r="15" spans="2:44" x14ac:dyDescent="0.25">
      <c r="B15">
        <v>55</v>
      </c>
      <c r="C15" s="215" t="s">
        <v>144</v>
      </c>
      <c r="D15" s="215" t="s">
        <v>113</v>
      </c>
      <c r="E15" s="215" t="s">
        <v>56</v>
      </c>
      <c r="F15" s="215" t="s">
        <v>145</v>
      </c>
      <c r="G15" s="216">
        <v>31717</v>
      </c>
      <c r="H15" s="215">
        <v>15750</v>
      </c>
      <c r="I15" s="217">
        <v>9923458847</v>
      </c>
      <c r="J15" s="215">
        <v>34</v>
      </c>
      <c r="K15" s="215">
        <f>RANK('Sort &amp; Filter'!$H57,$H$3:$H$103,0)</f>
        <v>18</v>
      </c>
      <c r="L15" s="215" t="str">
        <f>IFERROR(VLOOKUP('Sort &amp; Filter'!$B15,'Name Manager'!B49:C59,2,0)," ")</f>
        <v xml:space="preserve"> </v>
      </c>
      <c r="M15" s="215"/>
      <c r="N15" s="215"/>
      <c r="P15" s="12" t="s">
        <v>52</v>
      </c>
      <c r="Q15" s="15">
        <f>AVERAGEIFS($J$3:$J$102,$D$3:$D$102,$P15,$E$3:$E$102,Q$14)</f>
        <v>24.142857142857142</v>
      </c>
      <c r="R15" s="15">
        <f t="shared" ref="R15:T15" si="2">AVERAGEIFS($J$3:$J$102,$D$3:$D$102,$P15,$E$3:$E$102,R$14)</f>
        <v>25.5</v>
      </c>
      <c r="S15" s="15">
        <f t="shared" si="2"/>
        <v>24.5</v>
      </c>
      <c r="T15" s="15">
        <f t="shared" si="2"/>
        <v>22.666666666666668</v>
      </c>
      <c r="AJ15" t="s">
        <v>1280</v>
      </c>
      <c r="AN15">
        <v>25</v>
      </c>
      <c r="AO15">
        <v>25</v>
      </c>
      <c r="AQ15">
        <f>AO15*10%</f>
        <v>2.5</v>
      </c>
    </row>
    <row r="16" spans="2:44" x14ac:dyDescent="0.25">
      <c r="B16">
        <v>83</v>
      </c>
      <c r="C16" s="218" t="s">
        <v>176</v>
      </c>
      <c r="D16" s="218" t="s">
        <v>113</v>
      </c>
      <c r="E16" s="218" t="s">
        <v>53</v>
      </c>
      <c r="F16" s="218" t="s">
        <v>123</v>
      </c>
      <c r="G16" s="219">
        <v>36221</v>
      </c>
      <c r="H16" s="218">
        <v>7000</v>
      </c>
      <c r="I16" s="220" t="s">
        <v>483</v>
      </c>
      <c r="J16" s="218">
        <v>25</v>
      </c>
      <c r="K16" s="218">
        <f>RANK('Sort &amp; Filter'!$H85,$H$3:$H$103,0)</f>
        <v>5</v>
      </c>
      <c r="L16" s="218" t="str">
        <f>IFERROR(VLOOKUP('Sort &amp; Filter'!$B16,'Name Manager'!B48:C58,2,0)," ")</f>
        <v xml:space="preserve"> </v>
      </c>
      <c r="M16" s="218"/>
      <c r="N16" s="218"/>
      <c r="P16" s="12" t="s">
        <v>59</v>
      </c>
      <c r="Q16" s="15">
        <f>AVERAGEIFS($J$3:$J$102,$D$3:$D$102,$P16,$E$3:$E$102,Q$14)</f>
        <v>23.25</v>
      </c>
      <c r="R16" s="15">
        <f t="shared" ref="Q16:T22" si="3">AVERAGEIFS($J$3:$J$102,$D$3:$D$102,$P16,$E$3:$E$102,R$14)</f>
        <v>27.666666666666668</v>
      </c>
      <c r="S16" s="15">
        <f t="shared" si="3"/>
        <v>21</v>
      </c>
      <c r="T16" s="15">
        <f t="shared" si="3"/>
        <v>32</v>
      </c>
      <c r="AJ16" t="s">
        <v>1281</v>
      </c>
      <c r="AN16">
        <v>78</v>
      </c>
      <c r="AO16">
        <v>85</v>
      </c>
      <c r="AQ16">
        <f t="shared" ref="AQ16:AQ19" si="4">AO16*10%</f>
        <v>8.5</v>
      </c>
    </row>
    <row r="17" spans="2:43" x14ac:dyDescent="0.25">
      <c r="B17">
        <v>33</v>
      </c>
      <c r="C17" s="215" t="s">
        <v>114</v>
      </c>
      <c r="D17" s="215" t="s">
        <v>113</v>
      </c>
      <c r="E17" s="215" t="s">
        <v>53</v>
      </c>
      <c r="F17" s="215" t="s">
        <v>77</v>
      </c>
      <c r="G17" s="216">
        <v>35618</v>
      </c>
      <c r="H17" s="215">
        <v>7000</v>
      </c>
      <c r="I17" s="217">
        <v>9869214286</v>
      </c>
      <c r="J17" s="215">
        <v>35</v>
      </c>
      <c r="K17" s="215">
        <f>RANK('Sort &amp; Filter'!$H35,$H$3:$H$103,0)</f>
        <v>81</v>
      </c>
      <c r="L17" s="215" t="str">
        <f>IFERROR(VLOOKUP('Sort &amp; Filter'!$B17,'Name Manager'!B99:C109,2,0)," ")</f>
        <v xml:space="preserve"> </v>
      </c>
      <c r="M17" s="215"/>
      <c r="N17" s="215"/>
      <c r="P17" s="12" t="s">
        <v>63</v>
      </c>
      <c r="Q17" s="15">
        <f t="shared" si="3"/>
        <v>24.5</v>
      </c>
      <c r="R17" s="15">
        <f t="shared" si="3"/>
        <v>28.75</v>
      </c>
      <c r="S17" s="15">
        <f t="shared" si="3"/>
        <v>22</v>
      </c>
      <c r="T17" s="15">
        <f t="shared" si="3"/>
        <v>22.75</v>
      </c>
      <c r="AJ17" t="s">
        <v>737</v>
      </c>
      <c r="AN17">
        <v>36</v>
      </c>
      <c r="AO17">
        <v>254</v>
      </c>
      <c r="AQ17">
        <f t="shared" si="4"/>
        <v>25.400000000000002</v>
      </c>
    </row>
    <row r="18" spans="2:43" x14ac:dyDescent="0.25">
      <c r="B18">
        <v>98</v>
      </c>
      <c r="C18" s="218" t="s">
        <v>191</v>
      </c>
      <c r="D18" s="218" t="s">
        <v>113</v>
      </c>
      <c r="E18" s="218" t="s">
        <v>53</v>
      </c>
      <c r="F18" s="218" t="s">
        <v>64</v>
      </c>
      <c r="G18" s="219">
        <v>32609</v>
      </c>
      <c r="H18" s="218">
        <v>17325</v>
      </c>
      <c r="I18" s="220" t="s">
        <v>514</v>
      </c>
      <c r="J18" s="218">
        <v>35</v>
      </c>
      <c r="K18" s="218">
        <f>RANK('Sort &amp; Filter'!$H100,$H$3:$H$103,0)</f>
        <v>18</v>
      </c>
      <c r="L18" s="218" t="str">
        <f>IFERROR(VLOOKUP('Sort &amp; Filter'!$B18,'Name Manager'!B22:C32,2,0)," ")</f>
        <v xml:space="preserve"> </v>
      </c>
      <c r="M18" s="218"/>
      <c r="N18" s="218"/>
      <c r="P18" s="12" t="s">
        <v>66</v>
      </c>
      <c r="Q18" s="15">
        <f t="shared" si="3"/>
        <v>24.444444444444443</v>
      </c>
      <c r="R18" s="15">
        <f t="shared" si="3"/>
        <v>28.666666666666668</v>
      </c>
      <c r="S18" s="15">
        <f t="shared" si="3"/>
        <v>37.666666666666664</v>
      </c>
      <c r="T18" s="15">
        <f t="shared" si="3"/>
        <v>29</v>
      </c>
      <c r="AJ18" t="s">
        <v>1282</v>
      </c>
      <c r="AN18">
        <v>100</v>
      </c>
      <c r="AO18">
        <v>47</v>
      </c>
      <c r="AQ18">
        <f t="shared" si="4"/>
        <v>4.7</v>
      </c>
    </row>
    <row r="19" spans="2:43" x14ac:dyDescent="0.25">
      <c r="B19">
        <v>73</v>
      </c>
      <c r="C19" s="215" t="s">
        <v>166</v>
      </c>
      <c r="D19" s="215" t="s">
        <v>113</v>
      </c>
      <c r="E19" s="215" t="s">
        <v>53</v>
      </c>
      <c r="F19" s="215" t="s">
        <v>91</v>
      </c>
      <c r="G19" s="216">
        <v>32439</v>
      </c>
      <c r="H19" s="215">
        <v>17500</v>
      </c>
      <c r="I19" s="217" t="s">
        <v>461</v>
      </c>
      <c r="J19" s="215">
        <v>35</v>
      </c>
      <c r="K19" s="215">
        <f>RANK('Sort &amp; Filter'!$H75,$H$3:$H$103,0)</f>
        <v>5</v>
      </c>
      <c r="L19" s="215" t="str">
        <f>IFERROR(VLOOKUP('Sort &amp; Filter'!$B19,'Name Manager'!B50:C60,2,0)," ")</f>
        <v xml:space="preserve"> </v>
      </c>
      <c r="M19" s="215"/>
      <c r="N19" s="215"/>
      <c r="P19" s="12" t="s">
        <v>71</v>
      </c>
      <c r="Q19" s="15">
        <f t="shared" si="3"/>
        <v>27.2</v>
      </c>
      <c r="R19" s="15">
        <f t="shared" si="3"/>
        <v>23.5</v>
      </c>
      <c r="S19" s="15">
        <f t="shared" si="3"/>
        <v>20</v>
      </c>
      <c r="T19" s="15">
        <f t="shared" si="3"/>
        <v>32</v>
      </c>
      <c r="AJ19" t="s">
        <v>1283</v>
      </c>
      <c r="AN19">
        <v>36</v>
      </c>
      <c r="AO19">
        <v>47</v>
      </c>
      <c r="AQ19">
        <f t="shared" si="4"/>
        <v>4.7</v>
      </c>
    </row>
    <row r="20" spans="2:43" x14ac:dyDescent="0.25">
      <c r="B20">
        <v>86</v>
      </c>
      <c r="C20" s="218" t="s">
        <v>179</v>
      </c>
      <c r="D20" s="218" t="s">
        <v>113</v>
      </c>
      <c r="E20" s="218" t="s">
        <v>53</v>
      </c>
      <c r="F20" s="218" t="s">
        <v>83</v>
      </c>
      <c r="G20" s="219">
        <v>35810</v>
      </c>
      <c r="H20" s="218">
        <v>17500</v>
      </c>
      <c r="I20" s="220" t="s">
        <v>489</v>
      </c>
      <c r="J20" s="218">
        <v>32</v>
      </c>
      <c r="K20" s="218">
        <f>RANK('Sort &amp; Filter'!$H88,$H$3:$H$103,0)</f>
        <v>18</v>
      </c>
      <c r="L20" s="218" t="str">
        <f>IFERROR(VLOOKUP('Sort &amp; Filter'!$B20,'Name Manager'!B93:C103,2,0)," ")</f>
        <v xml:space="preserve"> </v>
      </c>
      <c r="M20" s="218"/>
      <c r="N20" s="218"/>
      <c r="P20" s="12" t="s">
        <v>81</v>
      </c>
      <c r="Q20" s="15">
        <f t="shared" si="3"/>
        <v>32</v>
      </c>
      <c r="R20" s="15">
        <f t="shared" si="3"/>
        <v>22</v>
      </c>
      <c r="S20" s="15">
        <f t="shared" si="3"/>
        <v>19</v>
      </c>
      <c r="T20" s="15">
        <f t="shared" si="3"/>
        <v>31.5</v>
      </c>
      <c r="AJ20" t="s">
        <v>1284</v>
      </c>
    </row>
    <row r="21" spans="2:43" x14ac:dyDescent="0.25">
      <c r="B21">
        <v>52</v>
      </c>
      <c r="C21" s="215" t="s">
        <v>139</v>
      </c>
      <c r="D21" s="215" t="s">
        <v>113</v>
      </c>
      <c r="E21" s="215" t="s">
        <v>53</v>
      </c>
      <c r="F21" s="215" t="s">
        <v>116</v>
      </c>
      <c r="G21" s="216">
        <v>32437</v>
      </c>
      <c r="H21" s="215">
        <v>19250</v>
      </c>
      <c r="I21" s="217">
        <v>9921952488</v>
      </c>
      <c r="J21" s="215">
        <v>25</v>
      </c>
      <c r="K21" s="215">
        <f>RANK('Sort &amp; Filter'!$H54,$H$3:$H$103,0)</f>
        <v>37</v>
      </c>
      <c r="L21" s="215" t="str">
        <f>IFERROR(VLOOKUP('Sort &amp; Filter'!$B21,'Name Manager'!B34:C44,2,0)," ")</f>
        <v xml:space="preserve"> </v>
      </c>
      <c r="M21" s="215"/>
      <c r="N21" s="215"/>
      <c r="P21" s="12" t="s">
        <v>87</v>
      </c>
      <c r="Q21" s="15" t="e">
        <f>AVERAGEIFS($J$3:$J$102,$D$3:$D$102,$P21,$E$3:$E$102,Q$14)</f>
        <v>#DIV/0!</v>
      </c>
      <c r="R21" s="15" t="e">
        <f t="shared" si="3"/>
        <v>#DIV/0!</v>
      </c>
      <c r="S21" s="15">
        <f t="shared" si="3"/>
        <v>85</v>
      </c>
      <c r="T21" s="15" t="e">
        <f t="shared" si="3"/>
        <v>#DIV/0!</v>
      </c>
      <c r="AJ21" t="s">
        <v>1285</v>
      </c>
    </row>
    <row r="22" spans="2:43" x14ac:dyDescent="0.25">
      <c r="B22">
        <v>34</v>
      </c>
      <c r="C22" s="218" t="s">
        <v>115</v>
      </c>
      <c r="D22" s="218" t="s">
        <v>113</v>
      </c>
      <c r="E22" s="218" t="s">
        <v>53</v>
      </c>
      <c r="F22" s="218" t="s">
        <v>116</v>
      </c>
      <c r="G22" s="219">
        <v>33510</v>
      </c>
      <c r="H22" s="218">
        <v>8750</v>
      </c>
      <c r="I22" s="220">
        <v>9869214286</v>
      </c>
      <c r="J22" s="218">
        <v>19</v>
      </c>
      <c r="K22" s="218">
        <f>RANK('Sort &amp; Filter'!$H36,$H$3:$H$103,0)</f>
        <v>59</v>
      </c>
      <c r="L22" s="218" t="str">
        <f>IFERROR(VLOOKUP('Sort &amp; Filter'!$B22,'Name Manager'!B110:C120,2,0)," ")</f>
        <v xml:space="preserve"> </v>
      </c>
      <c r="M22" s="218"/>
      <c r="N22" s="218"/>
      <c r="P22" s="12" t="s">
        <v>113</v>
      </c>
      <c r="Q22" s="15">
        <f t="shared" si="3"/>
        <v>29.428571428571427</v>
      </c>
      <c r="R22" s="15">
        <f t="shared" si="3"/>
        <v>27.333333333333332</v>
      </c>
      <c r="S22" s="15">
        <f t="shared" si="3"/>
        <v>30</v>
      </c>
      <c r="T22" s="15">
        <f t="shared" si="3"/>
        <v>28.333333333333332</v>
      </c>
      <c r="AJ22" t="s">
        <v>1286</v>
      </c>
    </row>
    <row r="23" spans="2:43" x14ac:dyDescent="0.25">
      <c r="B23">
        <v>81</v>
      </c>
      <c r="C23" s="215" t="s">
        <v>174</v>
      </c>
      <c r="D23" s="215" t="s">
        <v>113</v>
      </c>
      <c r="E23" s="215" t="s">
        <v>60</v>
      </c>
      <c r="F23" s="215" t="s">
        <v>148</v>
      </c>
      <c r="G23" s="216">
        <v>32447</v>
      </c>
      <c r="H23" s="215">
        <v>17500</v>
      </c>
      <c r="I23" s="217" t="s">
        <v>479</v>
      </c>
      <c r="J23" s="215">
        <v>34</v>
      </c>
      <c r="K23" s="215">
        <f>RANK('Sort &amp; Filter'!$H83,$H$3:$H$103,0)</f>
        <v>37</v>
      </c>
      <c r="L23" s="215" t="str">
        <f>IFERROR(VLOOKUP('Sort &amp; Filter'!$B23,'Name Manager'!B100:C110,2,0)," ")</f>
        <v xml:space="preserve"> </v>
      </c>
      <c r="M23" s="215"/>
      <c r="N23" s="215"/>
      <c r="AJ23" t="s">
        <v>1287</v>
      </c>
    </row>
    <row r="24" spans="2:43" x14ac:dyDescent="0.25">
      <c r="B24">
        <v>49</v>
      </c>
      <c r="C24" s="218" t="s">
        <v>136</v>
      </c>
      <c r="D24" s="218" t="s">
        <v>113</v>
      </c>
      <c r="E24" s="218" t="s">
        <v>60</v>
      </c>
      <c r="F24" s="218" t="s">
        <v>88</v>
      </c>
      <c r="G24" s="219">
        <v>32435</v>
      </c>
      <c r="H24" s="218">
        <v>15750</v>
      </c>
      <c r="I24" s="220">
        <v>9890939072</v>
      </c>
      <c r="J24" s="218">
        <v>32</v>
      </c>
      <c r="K24" s="218">
        <f>RANK('Sort &amp; Filter'!$H51,$H$3:$H$103,0)</f>
        <v>88</v>
      </c>
      <c r="L24" s="218" t="str">
        <f>IFERROR(VLOOKUP('Sort &amp; Filter'!$B24,'Name Manager'!B77:C87,2,0)," ")</f>
        <v xml:space="preserve"> </v>
      </c>
      <c r="M24" s="218"/>
      <c r="N24" s="218"/>
      <c r="P24" t="s">
        <v>1497</v>
      </c>
    </row>
    <row r="25" spans="2:43" x14ac:dyDescent="0.25">
      <c r="B25">
        <v>32</v>
      </c>
      <c r="C25" s="215" t="s">
        <v>112</v>
      </c>
      <c r="D25" s="215" t="s">
        <v>113</v>
      </c>
      <c r="E25" s="215" t="s">
        <v>60</v>
      </c>
      <c r="F25" s="215" t="s">
        <v>103</v>
      </c>
      <c r="G25" s="216">
        <v>30225</v>
      </c>
      <c r="H25" s="215">
        <v>15750</v>
      </c>
      <c r="I25" s="217">
        <v>9869214286</v>
      </c>
      <c r="J25" s="215">
        <v>24</v>
      </c>
      <c r="K25" s="215">
        <f>RANK('Sort &amp; Filter'!$H34,$H$3:$H$103,0)</f>
        <v>2</v>
      </c>
      <c r="L25" s="215" t="str">
        <f>IFERROR(VLOOKUP('Sort &amp; Filter'!$B25,'Name Manager'!B15:C25,2,0)," ")</f>
        <v xml:space="preserve"> </v>
      </c>
      <c r="M25" s="215"/>
      <c r="N25" s="215"/>
      <c r="P25" s="12"/>
      <c r="Q25" s="12" t="s">
        <v>53</v>
      </c>
      <c r="R25" s="12" t="s">
        <v>56</v>
      </c>
      <c r="S25" s="12" t="s">
        <v>60</v>
      </c>
      <c r="T25" s="12" t="s">
        <v>72</v>
      </c>
    </row>
    <row r="26" spans="2:43" x14ac:dyDescent="0.25">
      <c r="B26">
        <v>48</v>
      </c>
      <c r="C26" s="218" t="s">
        <v>134</v>
      </c>
      <c r="D26" s="218" t="s">
        <v>113</v>
      </c>
      <c r="E26" s="218" t="s">
        <v>72</v>
      </c>
      <c r="F26" s="218" t="s">
        <v>135</v>
      </c>
      <c r="G26" s="219">
        <v>32435</v>
      </c>
      <c r="H26" s="218">
        <v>15750</v>
      </c>
      <c r="I26" s="220">
        <v>9890596938</v>
      </c>
      <c r="J26" s="218">
        <v>26</v>
      </c>
      <c r="K26" s="218">
        <f>RANK('Sort &amp; Filter'!$H50,$H$3:$H$103,0)</f>
        <v>12</v>
      </c>
      <c r="L26" s="218" t="str">
        <f>IFERROR(VLOOKUP('Sort &amp; Filter'!$B26,'Name Manager'!B59:C69,2,0)," ")</f>
        <v xml:space="preserve"> </v>
      </c>
      <c r="M26" s="218"/>
      <c r="N26" s="218"/>
      <c r="P26" s="12" t="s">
        <v>52</v>
      </c>
      <c r="Q26" s="12">
        <f>SUMIFS($H$3:$H$102,$D$3:$D$102,$P26,$E$3:$E$102,Q$25)</f>
        <v>124250</v>
      </c>
      <c r="R26" s="12">
        <f t="shared" ref="R26:T26" si="5">SUMIFS($H$3:$H$102,$D$3:$D$102,$P26,$E$3:$E$102,R$25)</f>
        <v>77000</v>
      </c>
      <c r="S26" s="12">
        <f t="shared" si="5"/>
        <v>55825</v>
      </c>
      <c r="T26" s="12">
        <f t="shared" si="5"/>
        <v>47250</v>
      </c>
    </row>
    <row r="27" spans="2:43" x14ac:dyDescent="0.25">
      <c r="B27">
        <v>53</v>
      </c>
      <c r="C27" s="215" t="s">
        <v>140</v>
      </c>
      <c r="D27" s="215" t="s">
        <v>113</v>
      </c>
      <c r="E27" s="215" t="s">
        <v>72</v>
      </c>
      <c r="F27" s="215" t="s">
        <v>141</v>
      </c>
      <c r="G27" s="216">
        <v>35034</v>
      </c>
      <c r="H27" s="215">
        <v>15750</v>
      </c>
      <c r="I27" s="217">
        <v>9923274435</v>
      </c>
      <c r="J27" s="215">
        <v>27</v>
      </c>
      <c r="K27" s="215">
        <f>RANK('Sort &amp; Filter'!$H55,$H$3:$H$103,0)</f>
        <v>71</v>
      </c>
      <c r="L27" s="215" t="str">
        <f>IFERROR(VLOOKUP('Sort &amp; Filter'!$B27,'Name Manager'!B56:C66,2,0)," ")</f>
        <v xml:space="preserve"> </v>
      </c>
      <c r="M27" s="215"/>
      <c r="N27" s="215"/>
      <c r="P27" s="12" t="s">
        <v>59</v>
      </c>
      <c r="Q27" s="12">
        <f t="shared" ref="Q27:T33" si="6">SUMIFS($H$3:$H$102,$D$3:$D$102,$P27,$E$3:$E$102,Q$25)</f>
        <v>65625</v>
      </c>
      <c r="R27" s="12">
        <f t="shared" si="6"/>
        <v>41125</v>
      </c>
      <c r="S27" s="12">
        <f t="shared" si="6"/>
        <v>26250</v>
      </c>
      <c r="T27" s="12">
        <f t="shared" si="6"/>
        <v>15750</v>
      </c>
    </row>
    <row r="28" spans="2:43" x14ac:dyDescent="0.25">
      <c r="B28">
        <v>76</v>
      </c>
      <c r="C28" s="218" t="s">
        <v>169</v>
      </c>
      <c r="D28" s="218" t="s">
        <v>113</v>
      </c>
      <c r="E28" s="218" t="s">
        <v>72</v>
      </c>
      <c r="F28" s="218" t="s">
        <v>164</v>
      </c>
      <c r="G28" s="219">
        <v>32442</v>
      </c>
      <c r="H28" s="218">
        <v>17500</v>
      </c>
      <c r="I28" s="220" t="s">
        <v>467</v>
      </c>
      <c r="J28" s="218">
        <v>32</v>
      </c>
      <c r="K28" s="218">
        <f>RANK('Sort &amp; Filter'!$H78,$H$3:$H$103,0)</f>
        <v>75</v>
      </c>
      <c r="L28" s="218" t="str">
        <f>IFERROR(VLOOKUP('Sort &amp; Filter'!$B28,'Name Manager'!B57:C67,2,0)," ")</f>
        <v xml:space="preserve"> </v>
      </c>
      <c r="M28" s="218"/>
      <c r="N28" s="218"/>
      <c r="P28" s="12" t="s">
        <v>63</v>
      </c>
      <c r="Q28" s="12">
        <f t="shared" si="6"/>
        <v>81200</v>
      </c>
      <c r="R28" s="12">
        <f t="shared" si="6"/>
        <v>54950</v>
      </c>
      <c r="S28" s="12">
        <f t="shared" si="6"/>
        <v>63350</v>
      </c>
      <c r="T28" s="12">
        <f t="shared" si="6"/>
        <v>40950</v>
      </c>
    </row>
    <row r="29" spans="2:43" x14ac:dyDescent="0.25">
      <c r="B29">
        <v>14</v>
      </c>
      <c r="C29" s="215" t="s">
        <v>86</v>
      </c>
      <c r="D29" s="215" t="s">
        <v>87</v>
      </c>
      <c r="E29" s="215" t="s">
        <v>60</v>
      </c>
      <c r="F29" s="215" t="s">
        <v>88</v>
      </c>
      <c r="G29" s="216">
        <v>31028</v>
      </c>
      <c r="H29" s="215">
        <v>49000</v>
      </c>
      <c r="I29" s="217">
        <v>9820994920</v>
      </c>
      <c r="J29" s="215">
        <v>85</v>
      </c>
      <c r="K29" s="215">
        <f>RANK('Sort &amp; Filter'!$H16,$H$3:$H$103,0)</f>
        <v>95</v>
      </c>
      <c r="L29" s="215" t="str">
        <f>IFERROR(VLOOKUP('Sort &amp; Filter'!$B29,'Name Manager'!B89:C99,2,0)," ")</f>
        <v xml:space="preserve"> </v>
      </c>
      <c r="M29" s="215"/>
      <c r="N29" s="215"/>
      <c r="P29" s="12" t="s">
        <v>66</v>
      </c>
      <c r="Q29" s="12">
        <f t="shared" si="6"/>
        <v>137725</v>
      </c>
      <c r="R29" s="12">
        <f t="shared" si="6"/>
        <v>37800</v>
      </c>
      <c r="S29" s="12">
        <f t="shared" si="6"/>
        <v>42700</v>
      </c>
      <c r="T29" s="12">
        <f t="shared" si="6"/>
        <v>41825</v>
      </c>
    </row>
    <row r="30" spans="2:43" x14ac:dyDescent="0.25">
      <c r="B30">
        <v>13</v>
      </c>
      <c r="C30" s="218" t="s">
        <v>84</v>
      </c>
      <c r="D30" s="218" t="s">
        <v>81</v>
      </c>
      <c r="E30" s="218" t="s">
        <v>56</v>
      </c>
      <c r="F30" s="218" t="s">
        <v>85</v>
      </c>
      <c r="G30" s="219">
        <v>31027</v>
      </c>
      <c r="H30" s="218">
        <v>12000</v>
      </c>
      <c r="I30" s="220">
        <v>9820977608</v>
      </c>
      <c r="J30" s="218">
        <v>22</v>
      </c>
      <c r="K30" s="218">
        <f>RANK('Sort &amp; Filter'!$H15,$H$3:$H$103,0)</f>
        <v>44</v>
      </c>
      <c r="L30" s="218" t="str">
        <f>IFERROR(VLOOKUP('Sort &amp; Filter'!$B30,'Name Manager'!B55:C65,2,0)," ")</f>
        <v xml:space="preserve"> </v>
      </c>
      <c r="M30" s="218"/>
      <c r="N30" s="218"/>
      <c r="P30" s="12" t="s">
        <v>71</v>
      </c>
      <c r="Q30" s="12">
        <f t="shared" si="6"/>
        <v>81375</v>
      </c>
      <c r="R30" s="12">
        <f t="shared" si="6"/>
        <v>28000</v>
      </c>
      <c r="S30" s="12">
        <f t="shared" si="6"/>
        <v>17500</v>
      </c>
      <c r="T30" s="12">
        <f t="shared" si="6"/>
        <v>57050</v>
      </c>
    </row>
    <row r="31" spans="2:43" x14ac:dyDescent="0.25">
      <c r="B31">
        <v>38</v>
      </c>
      <c r="C31" s="215" t="s">
        <v>122</v>
      </c>
      <c r="D31" s="215" t="s">
        <v>81</v>
      </c>
      <c r="E31" s="215" t="s">
        <v>53</v>
      </c>
      <c r="F31" s="215" t="s">
        <v>123</v>
      </c>
      <c r="G31" s="216">
        <v>30225</v>
      </c>
      <c r="H31" s="215">
        <v>24500</v>
      </c>
      <c r="I31" s="217">
        <v>9869214286</v>
      </c>
      <c r="J31" s="215">
        <v>29</v>
      </c>
      <c r="K31" s="215">
        <f>RANK('Sort &amp; Filter'!$H40,$H$3:$H$103,0)</f>
        <v>88</v>
      </c>
      <c r="L31" s="215" t="str">
        <f>IFERROR(VLOOKUP('Sort &amp; Filter'!$B31,'Name Manager'!B23:C33,2,0)," ")</f>
        <v xml:space="preserve"> </v>
      </c>
      <c r="M31" s="215"/>
      <c r="N31" s="215"/>
      <c r="P31" s="12" t="s">
        <v>81</v>
      </c>
      <c r="Q31" s="12">
        <f t="shared" si="6"/>
        <v>49000</v>
      </c>
      <c r="R31" s="12">
        <f t="shared" si="6"/>
        <v>12000</v>
      </c>
      <c r="S31" s="12">
        <f t="shared" si="6"/>
        <v>32375</v>
      </c>
      <c r="T31" s="12">
        <f t="shared" si="6"/>
        <v>25375</v>
      </c>
    </row>
    <row r="32" spans="2:43" x14ac:dyDescent="0.25">
      <c r="B32">
        <v>39</v>
      </c>
      <c r="C32" s="218" t="s">
        <v>124</v>
      </c>
      <c r="D32" s="218" t="s">
        <v>81</v>
      </c>
      <c r="E32" s="218" t="s">
        <v>53</v>
      </c>
      <c r="F32" s="218" t="s">
        <v>125</v>
      </c>
      <c r="G32" s="219">
        <v>30225</v>
      </c>
      <c r="H32" s="218">
        <v>24500</v>
      </c>
      <c r="I32" s="220">
        <v>9869214286</v>
      </c>
      <c r="J32" s="218">
        <v>35</v>
      </c>
      <c r="K32" s="218">
        <f>RANK('Sort &amp; Filter'!$H41,$H$3:$H$103,0)</f>
        <v>18</v>
      </c>
      <c r="L32" s="218" t="str">
        <f>IFERROR(VLOOKUP('Sort &amp; Filter'!$B32,'Name Manager'!B90:C100,2,0)," ")</f>
        <v xml:space="preserve"> </v>
      </c>
      <c r="M32" s="218"/>
      <c r="N32" s="218"/>
      <c r="P32" s="12" t="s">
        <v>87</v>
      </c>
      <c r="Q32" s="12">
        <f t="shared" si="6"/>
        <v>0</v>
      </c>
      <c r="R32" s="12">
        <f t="shared" si="6"/>
        <v>0</v>
      </c>
      <c r="S32" s="12">
        <f t="shared" si="6"/>
        <v>49000</v>
      </c>
      <c r="T32" s="12">
        <f t="shared" si="6"/>
        <v>0</v>
      </c>
    </row>
    <row r="33" spans="2:20" x14ac:dyDescent="0.25">
      <c r="B33">
        <v>100</v>
      </c>
      <c r="C33" s="215" t="s">
        <v>193</v>
      </c>
      <c r="D33" s="215" t="s">
        <v>81</v>
      </c>
      <c r="E33" s="215" t="s">
        <v>60</v>
      </c>
      <c r="F33" s="215" t="s">
        <v>61</v>
      </c>
      <c r="G33" s="216">
        <v>36193</v>
      </c>
      <c r="H33" s="215">
        <v>7875</v>
      </c>
      <c r="I33" s="217" t="s">
        <v>519</v>
      </c>
      <c r="J33" s="215">
        <v>20</v>
      </c>
      <c r="K33" s="215">
        <f>RANK('Sort &amp; Filter'!$H102,$H$3:$H$103,0)</f>
        <v>59</v>
      </c>
      <c r="L33" s="215" t="str">
        <f>IFERROR(VLOOKUP('Sort &amp; Filter'!$B33,'Name Manager'!B83:C93,2,0)," ")</f>
        <v xml:space="preserve"> </v>
      </c>
      <c r="M33" s="215">
        <v>2</v>
      </c>
      <c r="N33" s="215"/>
      <c r="P33" s="12" t="s">
        <v>113</v>
      </c>
      <c r="Q33" s="12">
        <f t="shared" si="6"/>
        <v>94325</v>
      </c>
      <c r="R33" s="12">
        <f t="shared" si="6"/>
        <v>49000</v>
      </c>
      <c r="S33" s="12">
        <f t="shared" si="6"/>
        <v>49000</v>
      </c>
      <c r="T33" s="12">
        <f t="shared" si="6"/>
        <v>49000</v>
      </c>
    </row>
    <row r="34" spans="2:20" x14ac:dyDescent="0.25">
      <c r="B34">
        <v>37</v>
      </c>
      <c r="C34" s="218" t="s">
        <v>120</v>
      </c>
      <c r="D34" s="218" t="s">
        <v>81</v>
      </c>
      <c r="E34" s="218" t="s">
        <v>60</v>
      </c>
      <c r="F34" s="218" t="s">
        <v>121</v>
      </c>
      <c r="G34" s="219">
        <v>30225</v>
      </c>
      <c r="H34" s="218">
        <v>24500</v>
      </c>
      <c r="I34" s="220">
        <v>9869214286</v>
      </c>
      <c r="J34" s="218">
        <v>18</v>
      </c>
      <c r="K34" s="218">
        <f>RANK('Sort &amp; Filter'!$H39,$H$3:$H$103,0)</f>
        <v>37</v>
      </c>
      <c r="L34" s="218" t="str">
        <f>IFERROR(VLOOKUP('Sort &amp; Filter'!$B34,'Name Manager'!B92:C102,2,0)," ")</f>
        <v xml:space="preserve"> </v>
      </c>
      <c r="M34" s="218"/>
      <c r="N34" s="218"/>
    </row>
    <row r="35" spans="2:20" x14ac:dyDescent="0.25">
      <c r="B35">
        <v>99</v>
      </c>
      <c r="C35" s="215" t="s">
        <v>192</v>
      </c>
      <c r="D35" s="215" t="s">
        <v>81</v>
      </c>
      <c r="E35" s="215" t="s">
        <v>72</v>
      </c>
      <c r="F35" s="215" t="s">
        <v>108</v>
      </c>
      <c r="G35" s="216">
        <v>35794</v>
      </c>
      <c r="H35" s="215">
        <v>10500</v>
      </c>
      <c r="I35" s="217" t="s">
        <v>517</v>
      </c>
      <c r="J35" s="215">
        <v>34</v>
      </c>
      <c r="K35" s="215">
        <f>RANK('Sort &amp; Filter'!$H101,$H$3:$H$103,0)</f>
        <v>59</v>
      </c>
      <c r="L35" s="215" t="str">
        <f>IFERROR(VLOOKUP('Sort &amp; Filter'!$B35,'Name Manager'!B35:C45,2,0)," ")</f>
        <v xml:space="preserve"> </v>
      </c>
      <c r="M35" s="215"/>
      <c r="N35" s="215"/>
    </row>
    <row r="36" spans="2:20" x14ac:dyDescent="0.25">
      <c r="B36">
        <v>11</v>
      </c>
      <c r="C36" s="218" t="s">
        <v>80</v>
      </c>
      <c r="D36" s="218" t="s">
        <v>81</v>
      </c>
      <c r="E36" s="218" t="s">
        <v>72</v>
      </c>
      <c r="F36" s="218" t="s">
        <v>73</v>
      </c>
      <c r="G36" s="219">
        <v>31402</v>
      </c>
      <c r="H36" s="218">
        <v>14875</v>
      </c>
      <c r="I36" s="220">
        <v>9820737731</v>
      </c>
      <c r="J36" s="218">
        <v>29</v>
      </c>
      <c r="K36" s="218">
        <f>RANK('Sort &amp; Filter'!$H13,$H$3:$H$103,0)</f>
        <v>18</v>
      </c>
      <c r="L36" s="218" t="str">
        <f>IFERROR(VLOOKUP('Sort &amp; Filter'!$B36,'Name Manager'!B95:C105,2,0)," ")</f>
        <v xml:space="preserve"> </v>
      </c>
      <c r="M36" s="218"/>
      <c r="N36" s="218"/>
    </row>
    <row r="37" spans="2:20" x14ac:dyDescent="0.25">
      <c r="B37">
        <v>70</v>
      </c>
      <c r="C37" s="215" t="s">
        <v>162</v>
      </c>
      <c r="D37" s="215" t="s">
        <v>63</v>
      </c>
      <c r="E37" s="215" t="s">
        <v>56</v>
      </c>
      <c r="F37" s="215" t="s">
        <v>85</v>
      </c>
      <c r="G37" s="216">
        <v>34762</v>
      </c>
      <c r="H37" s="215">
        <v>14000</v>
      </c>
      <c r="I37" s="217" t="s">
        <v>454</v>
      </c>
      <c r="J37" s="215">
        <v>29</v>
      </c>
      <c r="K37" s="215">
        <f>RANK('Sort &amp; Filter'!$H72,$H$3:$H$103,0)</f>
        <v>95</v>
      </c>
      <c r="L37" s="215" t="str">
        <f>IFERROR(VLOOKUP('Sort &amp; Filter'!$B37,'Name Manager'!B78:C88,2,0)," ")</f>
        <v xml:space="preserve"> </v>
      </c>
      <c r="M37" s="215"/>
      <c r="N37" s="215"/>
    </row>
    <row r="38" spans="2:20" x14ac:dyDescent="0.25">
      <c r="B38">
        <v>10</v>
      </c>
      <c r="C38" s="218" t="s">
        <v>78</v>
      </c>
      <c r="D38" s="218" t="s">
        <v>63</v>
      </c>
      <c r="E38" s="218" t="s">
        <v>56</v>
      </c>
      <c r="F38" s="218" t="s">
        <v>79</v>
      </c>
      <c r="G38" s="219">
        <v>28326</v>
      </c>
      <c r="H38" s="218">
        <v>15750</v>
      </c>
      <c r="I38" s="220">
        <v>9820452122</v>
      </c>
      <c r="J38" s="218">
        <v>29</v>
      </c>
      <c r="K38" s="218">
        <f>RANK('Sort &amp; Filter'!$H12,$H$3:$H$103,0)</f>
        <v>44</v>
      </c>
      <c r="L38" s="218" t="str">
        <f>IFERROR(VLOOKUP('Sort &amp; Filter'!$B38,'Name Manager'!B14:C24,2,0)," ")</f>
        <v xml:space="preserve"> </v>
      </c>
      <c r="M38" s="218"/>
      <c r="N38" s="218"/>
    </row>
    <row r="39" spans="2:20" x14ac:dyDescent="0.25">
      <c r="B39">
        <v>92</v>
      </c>
      <c r="C39" s="215" t="s">
        <v>185</v>
      </c>
      <c r="D39" s="215" t="s">
        <v>63</v>
      </c>
      <c r="E39" s="215" t="s">
        <v>56</v>
      </c>
      <c r="F39" s="215" t="s">
        <v>143</v>
      </c>
      <c r="G39" s="216">
        <v>32603</v>
      </c>
      <c r="H39" s="215">
        <v>17325</v>
      </c>
      <c r="I39" s="217" t="s">
        <v>501</v>
      </c>
      <c r="J39" s="215">
        <v>19</v>
      </c>
      <c r="K39" s="215">
        <f>RANK('Sort &amp; Filter'!$H94,$H$3:$H$103,0)</f>
        <v>12</v>
      </c>
      <c r="L39" s="215" t="str">
        <f>IFERROR(VLOOKUP('Sort &amp; Filter'!$B39,'Name Manager'!B65:C75,2,0)," ")</f>
        <v xml:space="preserve"> </v>
      </c>
      <c r="M39" s="215"/>
      <c r="N39" s="215"/>
    </row>
    <row r="40" spans="2:20" x14ac:dyDescent="0.25">
      <c r="B40">
        <v>21</v>
      </c>
      <c r="C40" s="218" t="s">
        <v>97</v>
      </c>
      <c r="D40" s="218" t="s">
        <v>63</v>
      </c>
      <c r="E40" s="218" t="s">
        <v>56</v>
      </c>
      <c r="F40" s="218" t="s">
        <v>98</v>
      </c>
      <c r="G40" s="219">
        <v>36317</v>
      </c>
      <c r="H40" s="218">
        <v>7875</v>
      </c>
      <c r="I40" s="220">
        <v>9860806480</v>
      </c>
      <c r="J40" s="218">
        <v>38</v>
      </c>
      <c r="K40" s="218">
        <f>RANK('Sort &amp; Filter'!$H23,$H$3:$H$103,0)</f>
        <v>18</v>
      </c>
      <c r="L40" s="218" t="str">
        <f>IFERROR(VLOOKUP('Sort &amp; Filter'!$B40,'Name Manager'!B85:C95,2,0)," ")</f>
        <v xml:space="preserve"> </v>
      </c>
      <c r="M40" s="218"/>
      <c r="N40" s="218"/>
    </row>
    <row r="41" spans="2:20" x14ac:dyDescent="0.25">
      <c r="B41">
        <v>58</v>
      </c>
      <c r="C41" s="215" t="s">
        <v>149</v>
      </c>
      <c r="D41" s="215" t="s">
        <v>63</v>
      </c>
      <c r="E41" s="215" t="s">
        <v>53</v>
      </c>
      <c r="F41" s="215" t="s">
        <v>75</v>
      </c>
      <c r="G41" s="216">
        <v>33182</v>
      </c>
      <c r="H41" s="215">
        <v>17500</v>
      </c>
      <c r="I41" s="217">
        <v>9960646540</v>
      </c>
      <c r="J41" s="215">
        <v>20</v>
      </c>
      <c r="K41" s="215">
        <f>RANK('Sort &amp; Filter'!$H60,$H$3:$H$103,0)</f>
        <v>59</v>
      </c>
      <c r="L41" s="215" t="str">
        <f>IFERROR(VLOOKUP('Sort &amp; Filter'!$B41,'Name Manager'!B54:C64,2,0)," ")</f>
        <v xml:space="preserve"> </v>
      </c>
      <c r="M41" s="215"/>
      <c r="N41" s="215"/>
    </row>
    <row r="42" spans="2:20" x14ac:dyDescent="0.25">
      <c r="B42">
        <v>4</v>
      </c>
      <c r="C42" s="218" t="s">
        <v>62</v>
      </c>
      <c r="D42" s="218" t="s">
        <v>63</v>
      </c>
      <c r="E42" s="218" t="s">
        <v>53</v>
      </c>
      <c r="F42" s="218" t="s">
        <v>64</v>
      </c>
      <c r="G42" s="219">
        <v>29183</v>
      </c>
      <c r="H42" s="218">
        <v>12250</v>
      </c>
      <c r="I42" s="220">
        <v>9765776618</v>
      </c>
      <c r="J42" s="218">
        <v>21</v>
      </c>
      <c r="K42" s="218">
        <f>RANK('Sort &amp; Filter'!$H6,$H$3:$H$103,0)</f>
        <v>12</v>
      </c>
      <c r="L42" s="218" t="str">
        <f>IFERROR(VLOOKUP('Sort &amp; Filter'!$B42,'Name Manager'!B19:C29,2,0)," ")</f>
        <v xml:space="preserve"> </v>
      </c>
      <c r="M42" s="218"/>
      <c r="N42" s="218"/>
    </row>
    <row r="43" spans="2:20" x14ac:dyDescent="0.25">
      <c r="B43">
        <v>79</v>
      </c>
      <c r="C43" s="215" t="s">
        <v>172</v>
      </c>
      <c r="D43" s="215" t="s">
        <v>63</v>
      </c>
      <c r="E43" s="215" t="s">
        <v>53</v>
      </c>
      <c r="F43" s="215" t="s">
        <v>64</v>
      </c>
      <c r="G43" s="216">
        <v>32445</v>
      </c>
      <c r="H43" s="215">
        <v>17500</v>
      </c>
      <c r="I43" s="217" t="s">
        <v>474</v>
      </c>
      <c r="J43" s="215">
        <v>35</v>
      </c>
      <c r="K43" s="215">
        <f>RANK('Sort &amp; Filter'!$H81,$H$3:$H$103,0)</f>
        <v>37</v>
      </c>
      <c r="L43" s="215" t="str">
        <f>IFERROR(VLOOKUP('Sort &amp; Filter'!$B43,'Name Manager'!B84:C94,2,0)," ")</f>
        <v xml:space="preserve"> </v>
      </c>
      <c r="M43" s="215"/>
      <c r="N43" s="215"/>
    </row>
    <row r="44" spans="2:20" x14ac:dyDescent="0.25">
      <c r="B44">
        <v>80</v>
      </c>
      <c r="C44" s="218" t="s">
        <v>173</v>
      </c>
      <c r="D44" s="218" t="s">
        <v>63</v>
      </c>
      <c r="E44" s="218" t="s">
        <v>53</v>
      </c>
      <c r="F44" s="218" t="s">
        <v>54</v>
      </c>
      <c r="G44" s="219">
        <v>32446</v>
      </c>
      <c r="H44" s="218">
        <v>17500</v>
      </c>
      <c r="I44" s="220" t="s">
        <v>477</v>
      </c>
      <c r="J44" s="218">
        <v>32</v>
      </c>
      <c r="K44" s="218">
        <f>RANK('Sort &amp; Filter'!$H82,$H$3:$H$103,0)</f>
        <v>81</v>
      </c>
      <c r="L44" s="218" t="str">
        <f>IFERROR(VLOOKUP('Sort &amp; Filter'!$B44,'Name Manager'!B24:C34,2,0)," ")</f>
        <v xml:space="preserve"> </v>
      </c>
      <c r="M44" s="218"/>
      <c r="N44" s="218"/>
    </row>
    <row r="45" spans="2:20" x14ac:dyDescent="0.25">
      <c r="B45">
        <v>20</v>
      </c>
      <c r="C45" s="215" t="s">
        <v>96</v>
      </c>
      <c r="D45" s="215" t="s">
        <v>63</v>
      </c>
      <c r="E45" s="215" t="s">
        <v>53</v>
      </c>
      <c r="F45" s="215" t="s">
        <v>91</v>
      </c>
      <c r="G45" s="216">
        <v>36316</v>
      </c>
      <c r="H45" s="215">
        <v>5950</v>
      </c>
      <c r="I45" s="217">
        <v>9860806279</v>
      </c>
      <c r="J45" s="215">
        <v>19</v>
      </c>
      <c r="K45" s="215">
        <f>RANK('Sort &amp; Filter'!$H22,$H$3:$H$103,0)</f>
        <v>87</v>
      </c>
      <c r="L45" s="215" t="str">
        <f>IFERROR(VLOOKUP('Sort &amp; Filter'!$B45,'Name Manager'!B29:C39,2,0)," ")</f>
        <v xml:space="preserve"> </v>
      </c>
      <c r="M45" s="215"/>
      <c r="N45" s="215"/>
    </row>
    <row r="46" spans="2:20" x14ac:dyDescent="0.25">
      <c r="B46">
        <v>19</v>
      </c>
      <c r="C46" s="218" t="s">
        <v>95</v>
      </c>
      <c r="D46" s="218" t="s">
        <v>63</v>
      </c>
      <c r="E46" s="218" t="s">
        <v>53</v>
      </c>
      <c r="F46" s="218" t="s">
        <v>69</v>
      </c>
      <c r="G46" s="219">
        <v>31637</v>
      </c>
      <c r="H46" s="218">
        <v>10500</v>
      </c>
      <c r="I46" s="220">
        <v>9860774336</v>
      </c>
      <c r="J46" s="218">
        <v>20</v>
      </c>
      <c r="K46" s="218">
        <f>RANK('Sort &amp; Filter'!$H21,$H$3:$H$103,0)</f>
        <v>12</v>
      </c>
      <c r="L46" s="218" t="str">
        <f>IFERROR(VLOOKUP('Sort &amp; Filter'!$B46,'Name Manager'!B64:C74,2,0)," ")</f>
        <v xml:space="preserve"> </v>
      </c>
      <c r="M46" s="218"/>
      <c r="N46" s="218"/>
    </row>
    <row r="47" spans="2:20" x14ac:dyDescent="0.25">
      <c r="B47">
        <v>95</v>
      </c>
      <c r="C47" s="215" t="s">
        <v>188</v>
      </c>
      <c r="D47" s="215" t="s">
        <v>63</v>
      </c>
      <c r="E47" s="215" t="s">
        <v>60</v>
      </c>
      <c r="F47" s="215" t="s">
        <v>106</v>
      </c>
      <c r="G47" s="216">
        <v>32606</v>
      </c>
      <c r="H47" s="215">
        <v>17325</v>
      </c>
      <c r="I47" s="217" t="s">
        <v>508</v>
      </c>
      <c r="J47" s="215">
        <v>19</v>
      </c>
      <c r="K47" s="215">
        <f>RANK('Sort &amp; Filter'!$H97,$H$3:$H$103,0)</f>
        <v>74</v>
      </c>
      <c r="L47" s="215" t="str">
        <f>IFERROR(VLOOKUP('Sort &amp; Filter'!$B47,'Name Manager'!B41:C51,2,0)," ")</f>
        <v xml:space="preserve"> </v>
      </c>
      <c r="M47" s="215"/>
      <c r="N47" s="215"/>
    </row>
    <row r="48" spans="2:20" x14ac:dyDescent="0.25">
      <c r="B48">
        <v>87</v>
      </c>
      <c r="C48" s="218" t="s">
        <v>180</v>
      </c>
      <c r="D48" s="218" t="s">
        <v>63</v>
      </c>
      <c r="E48" s="218" t="s">
        <v>60</v>
      </c>
      <c r="F48" s="218" t="s">
        <v>61</v>
      </c>
      <c r="G48" s="219">
        <v>35811</v>
      </c>
      <c r="H48" s="218">
        <v>17500</v>
      </c>
      <c r="I48" s="220" t="s">
        <v>491</v>
      </c>
      <c r="J48" s="218">
        <v>21</v>
      </c>
      <c r="K48" s="218">
        <f>RANK('Sort &amp; Filter'!$H89,$H$3:$H$103,0)</f>
        <v>5</v>
      </c>
      <c r="L48" s="218" t="str">
        <f>IFERROR(VLOOKUP('Sort &amp; Filter'!$B48,'Name Manager'!B38:C48,2,0)," ")</f>
        <v xml:space="preserve"> </v>
      </c>
      <c r="M48" s="218"/>
      <c r="N48" s="218"/>
    </row>
    <row r="49" spans="2:14" x14ac:dyDescent="0.25">
      <c r="B49">
        <v>35</v>
      </c>
      <c r="C49" s="215" t="s">
        <v>117</v>
      </c>
      <c r="D49" s="215" t="s">
        <v>63</v>
      </c>
      <c r="E49" s="215" t="s">
        <v>60</v>
      </c>
      <c r="F49" s="215" t="s">
        <v>103</v>
      </c>
      <c r="G49" s="216">
        <v>33729</v>
      </c>
      <c r="H49" s="215">
        <v>9275</v>
      </c>
      <c r="I49" s="217">
        <v>9869214286</v>
      </c>
      <c r="J49" s="215">
        <v>25</v>
      </c>
      <c r="K49" s="215">
        <f>RANK('Sort &amp; Filter'!$H37,$H$3:$H$103,0)</f>
        <v>67</v>
      </c>
      <c r="L49" s="215" t="str">
        <f>IFERROR(VLOOKUP('Sort &amp; Filter'!$B49,'Name Manager'!B17:C27,2,0)," ")</f>
        <v>Sr. Executive</v>
      </c>
      <c r="M49" s="215"/>
      <c r="N49" s="215"/>
    </row>
    <row r="50" spans="2:14" x14ac:dyDescent="0.25">
      <c r="B50">
        <v>60</v>
      </c>
      <c r="C50" s="218" t="s">
        <v>151</v>
      </c>
      <c r="D50" s="218" t="s">
        <v>63</v>
      </c>
      <c r="E50" s="218" t="s">
        <v>60</v>
      </c>
      <c r="F50" s="218" t="s">
        <v>152</v>
      </c>
      <c r="G50" s="219">
        <v>32105</v>
      </c>
      <c r="H50" s="218">
        <v>19250</v>
      </c>
      <c r="I50" s="220">
        <v>9970541164</v>
      </c>
      <c r="J50" s="218">
        <v>23</v>
      </c>
      <c r="K50" s="218">
        <f>RANK('Sort &amp; Filter'!$H62,$H$3:$H$103,0)</f>
        <v>18</v>
      </c>
      <c r="L50" s="218" t="str">
        <f>IFERROR(VLOOKUP('Sort &amp; Filter'!$B50,'Name Manager'!B30:C40,2,0)," ")</f>
        <v xml:space="preserve"> </v>
      </c>
      <c r="M50" s="218"/>
      <c r="N50" s="218"/>
    </row>
    <row r="51" spans="2:14" x14ac:dyDescent="0.25">
      <c r="B51">
        <v>22</v>
      </c>
      <c r="C51" s="215" t="s">
        <v>99</v>
      </c>
      <c r="D51" s="215" t="s">
        <v>63</v>
      </c>
      <c r="E51" s="215" t="s">
        <v>72</v>
      </c>
      <c r="F51" s="215" t="s">
        <v>94</v>
      </c>
      <c r="G51" s="216">
        <v>36318</v>
      </c>
      <c r="H51" s="215">
        <v>7875</v>
      </c>
      <c r="I51" s="217">
        <v>9860806480</v>
      </c>
      <c r="J51" s="215">
        <v>25</v>
      </c>
      <c r="K51" s="215">
        <f>RANK('Sort &amp; Filter'!$H24,$H$3:$H$103,0)</f>
        <v>44</v>
      </c>
      <c r="L51" s="215" t="str">
        <f>IFERROR(VLOOKUP('Sort &amp; Filter'!$B51,'Name Manager'!B94:C104,2,0)," ")</f>
        <v xml:space="preserve"> </v>
      </c>
      <c r="M51" s="215"/>
      <c r="N51" s="215"/>
    </row>
    <row r="52" spans="2:14" x14ac:dyDescent="0.25">
      <c r="B52">
        <v>88</v>
      </c>
      <c r="C52" s="218" t="s">
        <v>181</v>
      </c>
      <c r="D52" s="218" t="s">
        <v>63</v>
      </c>
      <c r="E52" s="218" t="s">
        <v>72</v>
      </c>
      <c r="F52" s="218" t="s">
        <v>73</v>
      </c>
      <c r="G52" s="219">
        <v>35794</v>
      </c>
      <c r="H52" s="218">
        <v>7875</v>
      </c>
      <c r="I52" s="220" t="s">
        <v>493</v>
      </c>
      <c r="J52" s="218">
        <v>28</v>
      </c>
      <c r="K52" s="218">
        <f>RANK('Sort &amp; Filter'!$H90,$H$3:$H$103,0)</f>
        <v>59</v>
      </c>
      <c r="L52" s="218" t="str">
        <f>IFERROR(VLOOKUP('Sort &amp; Filter'!$B52,'Name Manager'!B106:C116,2,0)," ")</f>
        <v xml:space="preserve"> </v>
      </c>
      <c r="M52" s="218"/>
      <c r="N52" s="218"/>
    </row>
    <row r="53" spans="2:14" x14ac:dyDescent="0.25">
      <c r="B53">
        <v>23</v>
      </c>
      <c r="C53" s="215" t="s">
        <v>100</v>
      </c>
      <c r="D53" s="215" t="s">
        <v>63</v>
      </c>
      <c r="E53" s="215" t="s">
        <v>72</v>
      </c>
      <c r="F53" s="215" t="s">
        <v>73</v>
      </c>
      <c r="G53" s="216">
        <v>36319</v>
      </c>
      <c r="H53" s="215">
        <v>7875</v>
      </c>
      <c r="I53" s="217">
        <v>9860831111</v>
      </c>
      <c r="J53" s="215">
        <v>18</v>
      </c>
      <c r="K53" s="215">
        <f>RANK('Sort &amp; Filter'!$H25,$H$3:$H$103,0)</f>
        <v>44</v>
      </c>
      <c r="L53" s="215" t="str">
        <f>IFERROR(VLOOKUP('Sort &amp; Filter'!$B53,'Name Manager'!B88:C98,2,0)," ")</f>
        <v xml:space="preserve"> </v>
      </c>
      <c r="M53" s="215"/>
      <c r="N53" s="215"/>
    </row>
    <row r="54" spans="2:14" x14ac:dyDescent="0.25">
      <c r="B54">
        <v>94</v>
      </c>
      <c r="C54" s="218" t="s">
        <v>187</v>
      </c>
      <c r="D54" s="218" t="s">
        <v>63</v>
      </c>
      <c r="E54" s="218" t="s">
        <v>72</v>
      </c>
      <c r="F54" s="218" t="s">
        <v>119</v>
      </c>
      <c r="G54" s="219">
        <v>32605</v>
      </c>
      <c r="H54" s="218">
        <v>17325</v>
      </c>
      <c r="I54" s="220" t="s">
        <v>506</v>
      </c>
      <c r="J54" s="218">
        <v>20</v>
      </c>
      <c r="K54" s="218">
        <f>RANK('Sort &amp; Filter'!$H96,$H$3:$H$103,0)</f>
        <v>37</v>
      </c>
      <c r="L54" s="218" t="str">
        <f>IFERROR(VLOOKUP('Sort &amp; Filter'!$B54,'Name Manager'!B75:C85,2,0)," ")</f>
        <v xml:space="preserve"> </v>
      </c>
      <c r="M54" s="218"/>
      <c r="N54" s="218"/>
    </row>
    <row r="55" spans="2:14" x14ac:dyDescent="0.25">
      <c r="B55">
        <v>44</v>
      </c>
      <c r="C55" s="215" t="s">
        <v>130</v>
      </c>
      <c r="D55" s="215" t="s">
        <v>71</v>
      </c>
      <c r="E55" s="215" t="s">
        <v>56</v>
      </c>
      <c r="F55" s="215" t="s">
        <v>57</v>
      </c>
      <c r="G55" s="216">
        <v>33194</v>
      </c>
      <c r="H55" s="215">
        <v>13825</v>
      </c>
      <c r="I55" s="217">
        <v>9881927158</v>
      </c>
      <c r="J55" s="215">
        <v>26</v>
      </c>
      <c r="K55" s="215">
        <f>RANK('Sort &amp; Filter'!$H46,$H$3:$H$103,0)</f>
        <v>81</v>
      </c>
      <c r="L55" s="215" t="str">
        <f>IFERROR(VLOOKUP('Sort &amp; Filter'!$B55,'Name Manager'!B87:C97,2,0)," ")</f>
        <v xml:space="preserve"> </v>
      </c>
      <c r="M55" s="215"/>
      <c r="N55" s="215"/>
    </row>
    <row r="56" spans="2:14" x14ac:dyDescent="0.25">
      <c r="B56">
        <v>30</v>
      </c>
      <c r="C56" s="218" t="s">
        <v>110</v>
      </c>
      <c r="D56" s="218" t="s">
        <v>71</v>
      </c>
      <c r="E56" s="218" t="s">
        <v>56</v>
      </c>
      <c r="F56" s="218" t="s">
        <v>98</v>
      </c>
      <c r="G56" s="219">
        <v>32435</v>
      </c>
      <c r="H56" s="218">
        <v>14175</v>
      </c>
      <c r="I56" s="220">
        <v>9869214286</v>
      </c>
      <c r="J56" s="218">
        <v>21</v>
      </c>
      <c r="K56" s="218">
        <f>RANK('Sort &amp; Filter'!$H32,$H$3:$H$103,0)</f>
        <v>2</v>
      </c>
      <c r="L56" s="218" t="str">
        <f>IFERROR(VLOOKUP('Sort &amp; Filter'!$B56,'Name Manager'!B12:C22,2,0)," ")</f>
        <v xml:space="preserve"> </v>
      </c>
      <c r="M56" s="218"/>
      <c r="N56" s="218"/>
    </row>
    <row r="57" spans="2:14" x14ac:dyDescent="0.25">
      <c r="B57">
        <v>66</v>
      </c>
      <c r="C57" s="215" t="s">
        <v>158</v>
      </c>
      <c r="D57" s="215" t="s">
        <v>71</v>
      </c>
      <c r="E57" s="215" t="s">
        <v>53</v>
      </c>
      <c r="F57" s="215" t="s">
        <v>75</v>
      </c>
      <c r="G57" s="216">
        <v>32443</v>
      </c>
      <c r="H57" s="215">
        <v>17500</v>
      </c>
      <c r="I57" s="217" t="s">
        <v>445</v>
      </c>
      <c r="J57" s="215">
        <v>45</v>
      </c>
      <c r="K57" s="215">
        <f>RANK('Sort &amp; Filter'!$H68,$H$3:$H$103,0)</f>
        <v>95</v>
      </c>
      <c r="L57" s="215" t="str">
        <f>IFERROR(VLOOKUP('Sort &amp; Filter'!$B57,'Name Manager'!B63:C73,2,0)," ")</f>
        <v xml:space="preserve"> </v>
      </c>
      <c r="M57" s="215"/>
      <c r="N57" s="215"/>
    </row>
    <row r="58" spans="2:14" x14ac:dyDescent="0.25">
      <c r="B58">
        <v>69</v>
      </c>
      <c r="C58" s="218" t="s">
        <v>161</v>
      </c>
      <c r="D58" s="218" t="s">
        <v>71</v>
      </c>
      <c r="E58" s="218" t="s">
        <v>53</v>
      </c>
      <c r="F58" s="218" t="s">
        <v>125</v>
      </c>
      <c r="G58" s="219">
        <v>34761</v>
      </c>
      <c r="H58" s="218">
        <v>14000</v>
      </c>
      <c r="I58" s="220" t="s">
        <v>452</v>
      </c>
      <c r="J58" s="218">
        <v>35</v>
      </c>
      <c r="K58" s="218">
        <f>RANK('Sort &amp; Filter'!$H71,$H$3:$H$103,0)</f>
        <v>75</v>
      </c>
      <c r="L58" s="218" t="str">
        <f>IFERROR(VLOOKUP('Sort &amp; Filter'!$B58,'Name Manager'!B71:C81,2,0)," ")</f>
        <v xml:space="preserve"> </v>
      </c>
      <c r="M58" s="218"/>
      <c r="N58" s="218"/>
    </row>
    <row r="59" spans="2:14" x14ac:dyDescent="0.25">
      <c r="B59">
        <v>16</v>
      </c>
      <c r="C59" s="215" t="s">
        <v>90</v>
      </c>
      <c r="D59" s="215" t="s">
        <v>71</v>
      </c>
      <c r="E59" s="215" t="s">
        <v>53</v>
      </c>
      <c r="F59" s="215" t="s">
        <v>91</v>
      </c>
      <c r="G59" s="216">
        <v>31030</v>
      </c>
      <c r="H59" s="215">
        <v>14875</v>
      </c>
      <c r="I59" s="217">
        <v>9823324652</v>
      </c>
      <c r="J59" s="215">
        <v>19</v>
      </c>
      <c r="K59" s="215">
        <f>RANK('Sort &amp; Filter'!$H18,$H$3:$H$103,0)</f>
        <v>37</v>
      </c>
      <c r="L59" s="215" t="str">
        <f>IFERROR(VLOOKUP('Sort &amp; Filter'!$B59,'Name Manager'!B72:C82,2,0)," ")</f>
        <v xml:space="preserve"> </v>
      </c>
      <c r="M59" s="215"/>
      <c r="N59" s="215"/>
    </row>
    <row r="60" spans="2:14" x14ac:dyDescent="0.25">
      <c r="B60">
        <v>15</v>
      </c>
      <c r="C60" s="218" t="s">
        <v>89</v>
      </c>
      <c r="D60" s="218" t="s">
        <v>71</v>
      </c>
      <c r="E60" s="218" t="s">
        <v>53</v>
      </c>
      <c r="F60" s="218" t="s">
        <v>83</v>
      </c>
      <c r="G60" s="219">
        <v>31029</v>
      </c>
      <c r="H60" s="218">
        <v>14875</v>
      </c>
      <c r="I60" s="220">
        <v>9822093201</v>
      </c>
      <c r="J60" s="218">
        <v>19</v>
      </c>
      <c r="K60" s="218">
        <f>RANK('Sort &amp; Filter'!$H17,$H$3:$H$103,0)</f>
        <v>95</v>
      </c>
      <c r="L60" s="218" t="str">
        <f>IFERROR(VLOOKUP('Sort &amp; Filter'!$B60,'Name Manager'!B40:C50,2,0)," ")</f>
        <v xml:space="preserve"> </v>
      </c>
      <c r="M60" s="218"/>
      <c r="N60" s="218"/>
    </row>
    <row r="61" spans="2:14" x14ac:dyDescent="0.25">
      <c r="B61">
        <v>67</v>
      </c>
      <c r="C61" s="215" t="s">
        <v>159</v>
      </c>
      <c r="D61" s="215" t="s">
        <v>71</v>
      </c>
      <c r="E61" s="215" t="s">
        <v>53</v>
      </c>
      <c r="F61" s="215" t="s">
        <v>116</v>
      </c>
      <c r="G61" s="216">
        <v>32444</v>
      </c>
      <c r="H61" s="215">
        <v>20125</v>
      </c>
      <c r="I61" s="217" t="s">
        <v>447</v>
      </c>
      <c r="J61" s="215">
        <v>18</v>
      </c>
      <c r="K61" s="215">
        <f>RANK('Sort &amp; Filter'!$H69,$H$3:$H$103,0)</f>
        <v>18</v>
      </c>
      <c r="L61" s="215" t="str">
        <f>IFERROR(VLOOKUP('Sort &amp; Filter'!$B61,'Name Manager'!B103:C113,2,0)," ")</f>
        <v xml:space="preserve"> </v>
      </c>
      <c r="M61" s="215"/>
      <c r="N61" s="215"/>
    </row>
    <row r="62" spans="2:14" x14ac:dyDescent="0.25">
      <c r="B62">
        <v>64</v>
      </c>
      <c r="C62" s="218" t="s">
        <v>156</v>
      </c>
      <c r="D62" s="218" t="s">
        <v>71</v>
      </c>
      <c r="E62" s="218" t="s">
        <v>60</v>
      </c>
      <c r="F62" s="218" t="s">
        <v>61</v>
      </c>
      <c r="G62" s="219">
        <v>32441</v>
      </c>
      <c r="H62" s="218">
        <v>17500</v>
      </c>
      <c r="I62" s="220">
        <v>9987334056</v>
      </c>
      <c r="J62" s="218">
        <v>20</v>
      </c>
      <c r="K62" s="218">
        <f>RANK('Sort &amp; Filter'!$H66,$H$3:$H$103,0)</f>
        <v>79</v>
      </c>
      <c r="L62" s="218" t="str">
        <f>IFERROR(VLOOKUP('Sort &amp; Filter'!$B62,'Name Manager'!B104:C114,2,0)," ")</f>
        <v xml:space="preserve"> </v>
      </c>
      <c r="M62" s="218"/>
      <c r="N62" s="218"/>
    </row>
    <row r="63" spans="2:14" x14ac:dyDescent="0.25">
      <c r="B63">
        <v>50</v>
      </c>
      <c r="C63" s="215" t="s">
        <v>137</v>
      </c>
      <c r="D63" s="215" t="s">
        <v>71</v>
      </c>
      <c r="E63" s="215" t="s">
        <v>72</v>
      </c>
      <c r="F63" s="215" t="s">
        <v>135</v>
      </c>
      <c r="G63" s="216">
        <v>32435</v>
      </c>
      <c r="H63" s="215">
        <v>15750</v>
      </c>
      <c r="I63" s="217">
        <v>9890984899</v>
      </c>
      <c r="J63" s="215">
        <v>20</v>
      </c>
      <c r="K63" s="215">
        <f>RANK('Sort &amp; Filter'!$H52,$H$3:$H$103,0)</f>
        <v>88</v>
      </c>
      <c r="L63" s="215" t="str">
        <f>IFERROR(VLOOKUP('Sort &amp; Filter'!$B63,'Name Manager'!B82:C92,2,0)," ")</f>
        <v xml:space="preserve"> </v>
      </c>
      <c r="M63" s="215"/>
      <c r="N63" s="215"/>
    </row>
    <row r="64" spans="2:14" x14ac:dyDescent="0.25">
      <c r="B64">
        <v>43</v>
      </c>
      <c r="C64" s="218" t="s">
        <v>129</v>
      </c>
      <c r="D64" s="218" t="s">
        <v>71</v>
      </c>
      <c r="E64" s="218" t="s">
        <v>72</v>
      </c>
      <c r="F64" s="218" t="s">
        <v>108</v>
      </c>
      <c r="G64" s="219">
        <v>32435</v>
      </c>
      <c r="H64" s="218">
        <v>15750</v>
      </c>
      <c r="I64" s="220">
        <v>9881666343</v>
      </c>
      <c r="J64" s="218">
        <v>34</v>
      </c>
      <c r="K64" s="218">
        <f>RANK('Sort &amp; Filter'!$H45,$H$3:$H$103,0)</f>
        <v>100</v>
      </c>
      <c r="L64" s="218" t="str">
        <f>IFERROR(VLOOKUP('Sort &amp; Filter'!$B64,'Name Manager'!B67:C77,2,0)," ")</f>
        <v xml:space="preserve"> </v>
      </c>
      <c r="M64" s="218"/>
      <c r="N64" s="218"/>
    </row>
    <row r="65" spans="2:14" x14ac:dyDescent="0.25">
      <c r="B65">
        <v>7</v>
      </c>
      <c r="C65" s="215" t="s">
        <v>70</v>
      </c>
      <c r="D65" s="215" t="s">
        <v>71</v>
      </c>
      <c r="E65" s="215" t="s">
        <v>72</v>
      </c>
      <c r="F65" s="215" t="s">
        <v>73</v>
      </c>
      <c r="G65" s="216">
        <v>33102</v>
      </c>
      <c r="H65" s="215">
        <v>13825</v>
      </c>
      <c r="I65" s="217">
        <v>9819204678</v>
      </c>
      <c r="J65" s="215">
        <v>19</v>
      </c>
      <c r="K65" s="215">
        <f>RANK('Sort &amp; Filter'!$H9,$H$3:$H$103,0)</f>
        <v>44</v>
      </c>
      <c r="L65" s="215" t="str">
        <f>IFERROR(VLOOKUP('Sort &amp; Filter'!$B65,'Name Manager'!B26:C36,2,0)," ")</f>
        <v xml:space="preserve"> </v>
      </c>
      <c r="M65" s="215"/>
      <c r="N65" s="215"/>
    </row>
    <row r="66" spans="2:14" x14ac:dyDescent="0.25">
      <c r="B66">
        <v>36</v>
      </c>
      <c r="C66" s="218" t="s">
        <v>118</v>
      </c>
      <c r="D66" s="218" t="s">
        <v>71</v>
      </c>
      <c r="E66" s="218" t="s">
        <v>72</v>
      </c>
      <c r="F66" s="218" t="s">
        <v>119</v>
      </c>
      <c r="G66" s="219">
        <v>34580</v>
      </c>
      <c r="H66" s="218">
        <v>11725</v>
      </c>
      <c r="I66" s="220">
        <v>9869214286</v>
      </c>
      <c r="J66" s="218">
        <v>55</v>
      </c>
      <c r="K66" s="218">
        <f>RANK('Sort &amp; Filter'!$H38,$H$3:$H$103,0)</f>
        <v>44</v>
      </c>
      <c r="L66" s="218" t="str">
        <f>IFERROR(VLOOKUP('Sort &amp; Filter'!$B66,'Name Manager'!B69:C79,2,0)," ")</f>
        <v xml:space="preserve"> </v>
      </c>
      <c r="M66" s="218"/>
      <c r="N66" s="218"/>
    </row>
    <row r="67" spans="2:14" x14ac:dyDescent="0.25">
      <c r="B67">
        <v>42</v>
      </c>
      <c r="C67" s="215" t="s">
        <v>128</v>
      </c>
      <c r="D67" s="215" t="s">
        <v>66</v>
      </c>
      <c r="E67" s="215" t="s">
        <v>56</v>
      </c>
      <c r="F67" s="215" t="s">
        <v>85</v>
      </c>
      <c r="G67" s="216">
        <v>33510</v>
      </c>
      <c r="H67" s="215">
        <v>13300</v>
      </c>
      <c r="I67" s="217">
        <v>9869855785</v>
      </c>
      <c r="J67" s="215">
        <v>19</v>
      </c>
      <c r="K67" s="215">
        <f>RANK('Sort &amp; Filter'!$H44,$H$3:$H$103,0)</f>
        <v>18</v>
      </c>
      <c r="L67" s="215" t="str">
        <f>IFERROR(VLOOKUP('Sort &amp; Filter'!$B67,'Name Manager'!B68:C78,2,0)," ")</f>
        <v xml:space="preserve"> </v>
      </c>
      <c r="M67" s="215"/>
      <c r="N67" s="215"/>
    </row>
    <row r="68" spans="2:14" x14ac:dyDescent="0.25">
      <c r="B68">
        <v>84</v>
      </c>
      <c r="C68" s="218" t="s">
        <v>177</v>
      </c>
      <c r="D68" s="218" t="s">
        <v>66</v>
      </c>
      <c r="E68" s="218" t="s">
        <v>56</v>
      </c>
      <c r="F68" s="218" t="s">
        <v>85</v>
      </c>
      <c r="G68" s="219">
        <v>36222</v>
      </c>
      <c r="H68" s="218">
        <v>7000</v>
      </c>
      <c r="I68" s="220" t="s">
        <v>485</v>
      </c>
      <c r="J68" s="218">
        <v>32</v>
      </c>
      <c r="K68" s="218">
        <f>RANK('Sort &amp; Filter'!$H86,$H$3:$H$103,0)</f>
        <v>18</v>
      </c>
      <c r="L68" s="218" t="str">
        <f>IFERROR(VLOOKUP('Sort &amp; Filter'!$B68,'Name Manager'!B66:C76,2,0)," ")</f>
        <v xml:space="preserve"> </v>
      </c>
      <c r="M68" s="218"/>
      <c r="N68" s="218"/>
    </row>
    <row r="69" spans="2:14" x14ac:dyDescent="0.25">
      <c r="B69">
        <v>82</v>
      </c>
      <c r="C69" s="215" t="s">
        <v>175</v>
      </c>
      <c r="D69" s="215" t="s">
        <v>66</v>
      </c>
      <c r="E69" s="215" t="s">
        <v>56</v>
      </c>
      <c r="F69" s="215" t="s">
        <v>57</v>
      </c>
      <c r="G69" s="216">
        <v>32448</v>
      </c>
      <c r="H69" s="215">
        <v>17500</v>
      </c>
      <c r="I69" s="217" t="s">
        <v>481</v>
      </c>
      <c r="J69" s="215">
        <v>35</v>
      </c>
      <c r="K69" s="215">
        <f>RANK('Sort &amp; Filter'!$H84,$H$3:$H$103,0)</f>
        <v>67</v>
      </c>
      <c r="L69" s="215" t="str">
        <f>IFERROR(VLOOKUP('Sort &amp; Filter'!$B69,'Name Manager'!B43:C53,2,0)," ")</f>
        <v xml:space="preserve"> </v>
      </c>
      <c r="M69" s="215"/>
      <c r="N69" s="215"/>
    </row>
    <row r="70" spans="2:14" x14ac:dyDescent="0.25">
      <c r="B70">
        <v>31</v>
      </c>
      <c r="C70" s="218" t="s">
        <v>111</v>
      </c>
      <c r="D70" s="218" t="s">
        <v>66</v>
      </c>
      <c r="E70" s="218" t="s">
        <v>53</v>
      </c>
      <c r="F70" s="218" t="s">
        <v>75</v>
      </c>
      <c r="G70" s="219">
        <v>30225</v>
      </c>
      <c r="H70" s="218">
        <v>15750</v>
      </c>
      <c r="I70" s="220">
        <v>9869214286</v>
      </c>
      <c r="J70" s="218">
        <v>25</v>
      </c>
      <c r="K70" s="218">
        <f>RANK('Sort &amp; Filter'!$H33,$H$3:$H$103,0)</f>
        <v>88</v>
      </c>
      <c r="L70" s="218" t="str">
        <f>IFERROR(VLOOKUP('Sort &amp; Filter'!$B70,'Name Manager'!B31:C41,2,0)," ")</f>
        <v xml:space="preserve"> </v>
      </c>
      <c r="M70" s="218"/>
      <c r="N70" s="218"/>
    </row>
    <row r="71" spans="2:14" x14ac:dyDescent="0.25">
      <c r="B71">
        <v>8</v>
      </c>
      <c r="C71" s="215" t="s">
        <v>74</v>
      </c>
      <c r="D71" s="215" t="s">
        <v>66</v>
      </c>
      <c r="E71" s="215" t="s">
        <v>53</v>
      </c>
      <c r="F71" s="215" t="s">
        <v>75</v>
      </c>
      <c r="G71" s="216">
        <v>32755</v>
      </c>
      <c r="H71" s="215">
        <v>12425</v>
      </c>
      <c r="I71" s="217">
        <v>9820264026</v>
      </c>
      <c r="J71" s="215">
        <v>19</v>
      </c>
      <c r="K71" s="215">
        <f>RANK('Sort &amp; Filter'!$H10,$H$3:$H$103,0)</f>
        <v>12</v>
      </c>
      <c r="L71" s="215" t="str">
        <f>IFERROR(VLOOKUP('Sort &amp; Filter'!$B71,'Name Manager'!B58:C68,2,0)," ")</f>
        <v xml:space="preserve"> </v>
      </c>
      <c r="M71" s="215"/>
      <c r="N71" s="215"/>
    </row>
    <row r="72" spans="2:14" x14ac:dyDescent="0.25">
      <c r="B72">
        <v>85</v>
      </c>
      <c r="C72" s="218" t="s">
        <v>178</v>
      </c>
      <c r="D72" s="218" t="s">
        <v>66</v>
      </c>
      <c r="E72" s="218" t="s">
        <v>53</v>
      </c>
      <c r="F72" s="218" t="s">
        <v>75</v>
      </c>
      <c r="G72" s="219">
        <v>35809</v>
      </c>
      <c r="H72" s="218">
        <v>7000</v>
      </c>
      <c r="I72" s="220" t="s">
        <v>487</v>
      </c>
      <c r="J72" s="218">
        <v>21</v>
      </c>
      <c r="K72" s="218">
        <f>RANK('Sort &amp; Filter'!$H87,$H$3:$H$103,0)</f>
        <v>12</v>
      </c>
      <c r="L72" s="218" t="str">
        <f>IFERROR(VLOOKUP('Sort &amp; Filter'!$B72,'Name Manager'!B81:C91,2,0)," ")</f>
        <v xml:space="preserve"> </v>
      </c>
      <c r="M72" s="218"/>
      <c r="N72" s="218"/>
    </row>
    <row r="73" spans="2:14" x14ac:dyDescent="0.25">
      <c r="B73">
        <v>77</v>
      </c>
      <c r="C73" s="215" t="s">
        <v>170</v>
      </c>
      <c r="D73" s="215" t="s">
        <v>66</v>
      </c>
      <c r="E73" s="215" t="s">
        <v>53</v>
      </c>
      <c r="F73" s="215" t="s">
        <v>64</v>
      </c>
      <c r="G73" s="216">
        <v>32443</v>
      </c>
      <c r="H73" s="215">
        <v>17500</v>
      </c>
      <c r="I73" s="217" t="s">
        <v>469</v>
      </c>
      <c r="J73" s="215">
        <v>24</v>
      </c>
      <c r="K73" s="215">
        <f>RANK('Sort &amp; Filter'!$H79,$H$3:$H$103,0)</f>
        <v>88</v>
      </c>
      <c r="L73" s="215" t="str">
        <f>IFERROR(VLOOKUP('Sort &amp; Filter'!$B73,'Name Manager'!B28:C38,2,0)," ")</f>
        <v xml:space="preserve"> </v>
      </c>
      <c r="M73" s="215"/>
      <c r="N73" s="215"/>
    </row>
    <row r="74" spans="2:14" x14ac:dyDescent="0.25">
      <c r="B74">
        <v>45</v>
      </c>
      <c r="C74" s="218" t="s">
        <v>131</v>
      </c>
      <c r="D74" s="218" t="s">
        <v>66</v>
      </c>
      <c r="E74" s="218" t="s">
        <v>53</v>
      </c>
      <c r="F74" s="218" t="s">
        <v>54</v>
      </c>
      <c r="G74" s="219">
        <v>35618</v>
      </c>
      <c r="H74" s="218">
        <v>11375</v>
      </c>
      <c r="I74" s="220">
        <v>9890076567</v>
      </c>
      <c r="J74" s="218">
        <v>20</v>
      </c>
      <c r="K74" s="218">
        <f>RANK('Sort &amp; Filter'!$H47,$H$3:$H$103,0)</f>
        <v>37</v>
      </c>
      <c r="L74" s="218" t="str">
        <f>IFERROR(VLOOKUP('Sort &amp; Filter'!$B74,'Name Manager'!B45:C55,2,0)," ")</f>
        <v xml:space="preserve"> </v>
      </c>
      <c r="M74" s="218"/>
      <c r="N74" s="218"/>
    </row>
    <row r="75" spans="2:14" x14ac:dyDescent="0.25">
      <c r="B75">
        <v>90</v>
      </c>
      <c r="C75" s="215" t="s">
        <v>183</v>
      </c>
      <c r="D75" s="215" t="s">
        <v>66</v>
      </c>
      <c r="E75" s="215" t="s">
        <v>53</v>
      </c>
      <c r="F75" s="215" t="s">
        <v>91</v>
      </c>
      <c r="G75" s="216">
        <v>29226</v>
      </c>
      <c r="H75" s="215">
        <v>22750</v>
      </c>
      <c r="I75" s="217" t="s">
        <v>497</v>
      </c>
      <c r="J75" s="215">
        <v>24</v>
      </c>
      <c r="K75" s="215">
        <f>RANK('Sort &amp; Filter'!$H92,$H$3:$H$103,0)</f>
        <v>8</v>
      </c>
      <c r="L75" s="215" t="str">
        <f>IFERROR(VLOOKUP('Sort &amp; Filter'!$B75,'Name Manager'!B73:C83,2,0)," ")</f>
        <v xml:space="preserve"> </v>
      </c>
      <c r="M75" s="215"/>
      <c r="N75" s="215"/>
    </row>
    <row r="76" spans="2:14" x14ac:dyDescent="0.25">
      <c r="B76">
        <v>63</v>
      </c>
      <c r="C76" s="218" t="s">
        <v>155</v>
      </c>
      <c r="D76" s="218" t="s">
        <v>66</v>
      </c>
      <c r="E76" s="218" t="s">
        <v>53</v>
      </c>
      <c r="F76" s="218" t="s">
        <v>83</v>
      </c>
      <c r="G76" s="219">
        <v>32440</v>
      </c>
      <c r="H76" s="218">
        <v>17500</v>
      </c>
      <c r="I76" s="220">
        <v>9975890033</v>
      </c>
      <c r="J76" s="218">
        <v>26</v>
      </c>
      <c r="K76" s="218">
        <f>RANK('Sort &amp; Filter'!$H65,$H$3:$H$103,0)</f>
        <v>71</v>
      </c>
      <c r="L76" s="218" t="str">
        <f>IFERROR(VLOOKUP('Sort &amp; Filter'!$B76,'Name Manager'!B108:C118,2,0)," ")</f>
        <v xml:space="preserve"> </v>
      </c>
      <c r="M76" s="218"/>
      <c r="N76" s="218"/>
    </row>
    <row r="77" spans="2:14" x14ac:dyDescent="0.25">
      <c r="B77">
        <v>5</v>
      </c>
      <c r="C77" s="215" t="s">
        <v>65</v>
      </c>
      <c r="D77" s="215" t="s">
        <v>66</v>
      </c>
      <c r="E77" s="215" t="s">
        <v>53</v>
      </c>
      <c r="F77" s="215" t="s">
        <v>67</v>
      </c>
      <c r="G77" s="216">
        <v>32755</v>
      </c>
      <c r="H77" s="215">
        <v>21000</v>
      </c>
      <c r="I77" s="217">
        <v>9766007086</v>
      </c>
      <c r="J77" s="215">
        <v>32</v>
      </c>
      <c r="K77" s="215">
        <f>RANK('Sort &amp; Filter'!$H7,$H$3:$H$103,0)</f>
        <v>85</v>
      </c>
      <c r="L77" s="215" t="str">
        <f>IFERROR(VLOOKUP('Sort &amp; Filter'!$B77,'Name Manager'!B86:C96,2,0)," ")</f>
        <v xml:space="preserve"> </v>
      </c>
      <c r="M77" s="215"/>
      <c r="N77" s="215"/>
    </row>
    <row r="78" spans="2:14" x14ac:dyDescent="0.25">
      <c r="B78">
        <v>6</v>
      </c>
      <c r="C78" s="218" t="s">
        <v>68</v>
      </c>
      <c r="D78" s="218" t="s">
        <v>66</v>
      </c>
      <c r="E78" s="218" t="s">
        <v>53</v>
      </c>
      <c r="F78" s="218" t="s">
        <v>69</v>
      </c>
      <c r="G78" s="219">
        <v>32390</v>
      </c>
      <c r="H78" s="218">
        <v>12425</v>
      </c>
      <c r="I78" s="220">
        <v>9766754687</v>
      </c>
      <c r="J78" s="218">
        <v>29</v>
      </c>
      <c r="K78" s="218">
        <f>RANK('Sort &amp; Filter'!$H8,$H$3:$H$103,0)</f>
        <v>9</v>
      </c>
      <c r="L78" s="218" t="str">
        <f>IFERROR(VLOOKUP('Sort &amp; Filter'!$B78,'Name Manager'!B39:C49,2,0)," ")</f>
        <v xml:space="preserve"> </v>
      </c>
      <c r="M78" s="218"/>
      <c r="N78" s="218"/>
    </row>
    <row r="79" spans="2:14" x14ac:dyDescent="0.25">
      <c r="B79">
        <v>25</v>
      </c>
      <c r="C79" s="215" t="s">
        <v>102</v>
      </c>
      <c r="D79" s="215" t="s">
        <v>66</v>
      </c>
      <c r="E79" s="215" t="s">
        <v>60</v>
      </c>
      <c r="F79" s="215" t="s">
        <v>103</v>
      </c>
      <c r="G79" s="216">
        <v>36274</v>
      </c>
      <c r="H79" s="215">
        <v>7875</v>
      </c>
      <c r="I79" s="217">
        <v>9869207341</v>
      </c>
      <c r="J79" s="215">
        <v>25</v>
      </c>
      <c r="K79" s="215">
        <f>RANK('Sort &amp; Filter'!$H27,$H$3:$H$103,0)</f>
        <v>44</v>
      </c>
      <c r="L79" s="215" t="str">
        <f>IFERROR(VLOOKUP('Sort &amp; Filter'!$B79,'Name Manager'!B36:C46,2,0)," ")</f>
        <v xml:space="preserve"> </v>
      </c>
      <c r="M79" s="215"/>
      <c r="N79" s="215"/>
    </row>
    <row r="80" spans="2:14" x14ac:dyDescent="0.25">
      <c r="B80">
        <v>72</v>
      </c>
      <c r="C80" s="218" t="s">
        <v>165</v>
      </c>
      <c r="D80" s="218" t="s">
        <v>66</v>
      </c>
      <c r="E80" s="218" t="s">
        <v>60</v>
      </c>
      <c r="F80" s="218" t="s">
        <v>121</v>
      </c>
      <c r="G80" s="219">
        <v>32438</v>
      </c>
      <c r="H80" s="218">
        <v>17500</v>
      </c>
      <c r="I80" s="220" t="s">
        <v>458</v>
      </c>
      <c r="J80" s="218">
        <v>28</v>
      </c>
      <c r="K80" s="218">
        <f>RANK('Sort &amp; Filter'!$H74,$H$3:$H$103,0)</f>
        <v>80</v>
      </c>
      <c r="L80" s="218" t="str">
        <f>IFERROR(VLOOKUP('Sort &amp; Filter'!$B80,'Name Manager'!B109:C119,2,0)," ")</f>
        <v xml:space="preserve"> </v>
      </c>
      <c r="M80" s="218"/>
      <c r="N80" s="218"/>
    </row>
    <row r="81" spans="2:14" x14ac:dyDescent="0.25">
      <c r="B81">
        <v>97</v>
      </c>
      <c r="C81" s="215" t="s">
        <v>190</v>
      </c>
      <c r="D81" s="215" t="s">
        <v>66</v>
      </c>
      <c r="E81" s="215" t="s">
        <v>60</v>
      </c>
      <c r="F81" s="215" t="s">
        <v>152</v>
      </c>
      <c r="G81" s="216">
        <v>32608</v>
      </c>
      <c r="H81" s="215">
        <v>17325</v>
      </c>
      <c r="I81" s="217" t="s">
        <v>512</v>
      </c>
      <c r="J81" s="215">
        <v>60</v>
      </c>
      <c r="K81" s="215">
        <f>RANK('Sort &amp; Filter'!$H99,$H$3:$H$103,0)</f>
        <v>81</v>
      </c>
      <c r="L81" s="215" t="str">
        <f>IFERROR(VLOOKUP('Sort &amp; Filter'!$B81,'Name Manager'!B74:C84,2,0)," ")</f>
        <v xml:space="preserve"> </v>
      </c>
      <c r="M81" s="215"/>
      <c r="N81" s="215"/>
    </row>
    <row r="82" spans="2:14" x14ac:dyDescent="0.25">
      <c r="B82">
        <v>28</v>
      </c>
      <c r="C82" s="218" t="s">
        <v>107</v>
      </c>
      <c r="D82" s="218" t="s">
        <v>66</v>
      </c>
      <c r="E82" s="218" t="s">
        <v>72</v>
      </c>
      <c r="F82" s="218" t="s">
        <v>108</v>
      </c>
      <c r="G82" s="219">
        <v>34777</v>
      </c>
      <c r="H82" s="218">
        <v>10500</v>
      </c>
      <c r="I82" s="220">
        <v>9869214286</v>
      </c>
      <c r="J82" s="218">
        <v>43</v>
      </c>
      <c r="K82" s="218">
        <f>RANK('Sort &amp; Filter'!$H30,$H$3:$H$103,0)</f>
        <v>78</v>
      </c>
      <c r="L82" s="218" t="str">
        <f>IFERROR(VLOOKUP('Sort &amp; Filter'!$B82,'Name Manager'!B51:C61,2,0)," ")</f>
        <v xml:space="preserve"> </v>
      </c>
      <c r="M82" s="218"/>
      <c r="N82" s="218"/>
    </row>
    <row r="83" spans="2:14" x14ac:dyDescent="0.25">
      <c r="B83">
        <v>96</v>
      </c>
      <c r="C83" s="215" t="s">
        <v>189</v>
      </c>
      <c r="D83" s="215" t="s">
        <v>66</v>
      </c>
      <c r="E83" s="215" t="s">
        <v>72</v>
      </c>
      <c r="F83" s="215" t="s">
        <v>141</v>
      </c>
      <c r="G83" s="216">
        <v>32607</v>
      </c>
      <c r="H83" s="215">
        <v>17325</v>
      </c>
      <c r="I83" s="217" t="s">
        <v>510</v>
      </c>
      <c r="J83" s="215">
        <v>20</v>
      </c>
      <c r="K83" s="215">
        <f>RANK('Sort &amp; Filter'!$H98,$H$3:$H$103,0)</f>
        <v>59</v>
      </c>
      <c r="L83" s="215" t="str">
        <f>IFERROR(VLOOKUP('Sort &amp; Filter'!$B83,'Name Manager'!B20:C30,2,0)," ")</f>
        <v xml:space="preserve"> </v>
      </c>
      <c r="M83" s="215"/>
      <c r="N83" s="215"/>
    </row>
    <row r="84" spans="2:14" x14ac:dyDescent="0.25">
      <c r="B84">
        <v>71</v>
      </c>
      <c r="C84" s="218" t="s">
        <v>163</v>
      </c>
      <c r="D84" s="218" t="s">
        <v>66</v>
      </c>
      <c r="E84" s="218" t="s">
        <v>72</v>
      </c>
      <c r="F84" s="218" t="s">
        <v>164</v>
      </c>
      <c r="G84" s="219">
        <v>34763</v>
      </c>
      <c r="H84" s="218">
        <v>14000</v>
      </c>
      <c r="I84" s="220" t="s">
        <v>456</v>
      </c>
      <c r="J84" s="218">
        <v>24</v>
      </c>
      <c r="K84" s="218">
        <f>RANK('Sort &amp; Filter'!$H73,$H$3:$H$103,0)</f>
        <v>18</v>
      </c>
      <c r="L84" s="218" t="str">
        <f>IFERROR(VLOOKUP('Sort &amp; Filter'!$B84,'Name Manager'!B98:C108,2,0)," ")</f>
        <v xml:space="preserve"> </v>
      </c>
      <c r="M84" s="218"/>
      <c r="N84" s="218"/>
    </row>
    <row r="85" spans="2:14" x14ac:dyDescent="0.25">
      <c r="B85">
        <v>91</v>
      </c>
      <c r="C85" s="215" t="s">
        <v>184</v>
      </c>
      <c r="D85" s="215" t="s">
        <v>52</v>
      </c>
      <c r="E85" s="215" t="s">
        <v>56</v>
      </c>
      <c r="F85" s="215" t="s">
        <v>85</v>
      </c>
      <c r="G85" s="216">
        <v>29172</v>
      </c>
      <c r="H85" s="215">
        <v>22750</v>
      </c>
      <c r="I85" s="217" t="s">
        <v>499</v>
      </c>
      <c r="J85" s="215">
        <v>32</v>
      </c>
      <c r="K85" s="215">
        <f>RANK('Sort &amp; Filter'!$H93,$H$3:$H$103,0)</f>
        <v>44</v>
      </c>
      <c r="L85" s="215" t="str">
        <f>IFERROR(VLOOKUP('Sort &amp; Filter'!$B85,'Name Manager'!B60:C70,2,0)," ")</f>
        <v xml:space="preserve"> </v>
      </c>
      <c r="M85" s="215"/>
      <c r="N85" s="215"/>
    </row>
    <row r="86" spans="2:14" x14ac:dyDescent="0.25">
      <c r="B86">
        <v>2</v>
      </c>
      <c r="C86" s="218" t="s">
        <v>55</v>
      </c>
      <c r="D86" s="218" t="s">
        <v>52</v>
      </c>
      <c r="E86" s="218" t="s">
        <v>56</v>
      </c>
      <c r="F86" s="218" t="s">
        <v>57</v>
      </c>
      <c r="G86" s="219">
        <v>28126</v>
      </c>
      <c r="H86" s="218">
        <v>17500</v>
      </c>
      <c r="I86" s="220">
        <v>9730645003</v>
      </c>
      <c r="J86" s="218">
        <v>30</v>
      </c>
      <c r="K86" s="218">
        <f>RANK('Sort &amp; Filter'!$H4,$H$3:$H$103,0)</f>
        <v>44</v>
      </c>
      <c r="L86" s="218" t="str">
        <f>IFERROR(VLOOKUP('Sort &amp; Filter'!$B86,'Name Manager'!B96:C106,2,0)," ")</f>
        <v xml:space="preserve"> </v>
      </c>
      <c r="M86" s="218"/>
      <c r="N86" s="218"/>
    </row>
    <row r="87" spans="2:14" x14ac:dyDescent="0.25">
      <c r="B87">
        <v>26</v>
      </c>
      <c r="C87" s="215" t="s">
        <v>104</v>
      </c>
      <c r="D87" s="215" t="s">
        <v>52</v>
      </c>
      <c r="E87" s="215" t="s">
        <v>56</v>
      </c>
      <c r="F87" s="215" t="s">
        <v>57</v>
      </c>
      <c r="G87" s="216">
        <v>30225</v>
      </c>
      <c r="H87" s="215">
        <v>19250</v>
      </c>
      <c r="I87" s="217">
        <v>9869214286</v>
      </c>
      <c r="J87" s="215">
        <v>22</v>
      </c>
      <c r="K87" s="215">
        <f>RANK('Sort &amp; Filter'!$H28,$H$3:$H$103,0)</f>
        <v>18</v>
      </c>
      <c r="L87" s="215" t="str">
        <f>IFERROR(VLOOKUP('Sort &amp; Filter'!$B87,'Name Manager'!B21:C31,2,0)," ")</f>
        <v xml:space="preserve"> </v>
      </c>
      <c r="M87" s="215"/>
      <c r="N87" s="215"/>
    </row>
    <row r="88" spans="2:14" x14ac:dyDescent="0.25">
      <c r="B88">
        <v>74</v>
      </c>
      <c r="C88" s="218" t="s">
        <v>167</v>
      </c>
      <c r="D88" s="218" t="s">
        <v>52</v>
      </c>
      <c r="E88" s="218" t="s">
        <v>56</v>
      </c>
      <c r="F88" s="218" t="s">
        <v>79</v>
      </c>
      <c r="G88" s="219">
        <v>32440</v>
      </c>
      <c r="H88" s="218">
        <v>17500</v>
      </c>
      <c r="I88" s="220" t="s">
        <v>463</v>
      </c>
      <c r="J88" s="218">
        <v>18</v>
      </c>
      <c r="K88" s="218">
        <f>RANK('Sort &amp; Filter'!$H76,$H$3:$H$103,0)</f>
        <v>18</v>
      </c>
      <c r="L88" s="218" t="str">
        <f>IFERROR(VLOOKUP('Sort &amp; Filter'!$B88,'Name Manager'!B61:C71,2,0)," ")</f>
        <v xml:space="preserve"> </v>
      </c>
      <c r="M88" s="218"/>
      <c r="N88" s="218"/>
    </row>
    <row r="89" spans="2:14" x14ac:dyDescent="0.25">
      <c r="B89">
        <v>89</v>
      </c>
      <c r="C89" s="215" t="s">
        <v>182</v>
      </c>
      <c r="D89" s="215" t="s">
        <v>52</v>
      </c>
      <c r="E89" s="215" t="s">
        <v>53</v>
      </c>
      <c r="F89" s="215" t="s">
        <v>123</v>
      </c>
      <c r="G89" s="216">
        <v>28907</v>
      </c>
      <c r="H89" s="215">
        <v>22750</v>
      </c>
      <c r="I89" s="217" t="s">
        <v>495</v>
      </c>
      <c r="J89" s="215">
        <v>18</v>
      </c>
      <c r="K89" s="215">
        <f>RANK('Sort &amp; Filter'!$H91,$H$3:$H$103,0)</f>
        <v>67</v>
      </c>
      <c r="L89" s="215" t="str">
        <f>IFERROR(VLOOKUP('Sort &amp; Filter'!$B89,'Name Manager'!B101:C111,2,0)," ")</f>
        <v xml:space="preserve"> </v>
      </c>
      <c r="M89" s="215"/>
      <c r="N89" s="215"/>
    </row>
    <row r="90" spans="2:14" x14ac:dyDescent="0.25">
      <c r="B90">
        <v>9</v>
      </c>
      <c r="C90" s="218" t="s">
        <v>76</v>
      </c>
      <c r="D90" s="218" t="s">
        <v>52</v>
      </c>
      <c r="E90" s="218" t="s">
        <v>53</v>
      </c>
      <c r="F90" s="218" t="s">
        <v>77</v>
      </c>
      <c r="G90" s="219">
        <v>36506</v>
      </c>
      <c r="H90" s="218">
        <v>14875</v>
      </c>
      <c r="I90" s="220">
        <v>9820430212</v>
      </c>
      <c r="J90" s="218">
        <v>28</v>
      </c>
      <c r="K90" s="218">
        <f>RANK('Sort &amp; Filter'!$H11,$H$3:$H$103,0)</f>
        <v>95</v>
      </c>
      <c r="L90" s="218" t="str">
        <f>IFERROR(VLOOKUP('Sort &amp; Filter'!$B90,'Name Manager'!B62:C72,2,0)," ")</f>
        <v xml:space="preserve"> </v>
      </c>
      <c r="M90" s="218"/>
      <c r="N90" s="218"/>
    </row>
    <row r="91" spans="2:14" x14ac:dyDescent="0.25">
      <c r="B91">
        <v>68</v>
      </c>
      <c r="C91" s="215" t="s">
        <v>160</v>
      </c>
      <c r="D91" s="215" t="s">
        <v>52</v>
      </c>
      <c r="E91" s="215" t="s">
        <v>53</v>
      </c>
      <c r="F91" s="215" t="s">
        <v>125</v>
      </c>
      <c r="G91" s="216">
        <v>35034</v>
      </c>
      <c r="H91" s="215">
        <v>14000</v>
      </c>
      <c r="I91" s="217" t="s">
        <v>449</v>
      </c>
      <c r="J91" s="215">
        <v>29</v>
      </c>
      <c r="K91" s="215">
        <f>RANK('Sort &amp; Filter'!$H70,$H$3:$H$103,0)</f>
        <v>44</v>
      </c>
      <c r="L91" s="215" t="str">
        <f>IFERROR(VLOOKUP('Sort &amp; Filter'!$B91,'Name Manager'!B52:C62,2,0)," ")</f>
        <v xml:space="preserve"> </v>
      </c>
      <c r="M91" s="215"/>
      <c r="N91" s="215"/>
    </row>
    <row r="92" spans="2:14" x14ac:dyDescent="0.25">
      <c r="B92">
        <v>1</v>
      </c>
      <c r="C92" s="218" t="s">
        <v>51</v>
      </c>
      <c r="D92" s="218" t="s">
        <v>52</v>
      </c>
      <c r="E92" s="218" t="s">
        <v>53</v>
      </c>
      <c r="F92" s="218" t="s">
        <v>54</v>
      </c>
      <c r="G92" s="219">
        <v>28126</v>
      </c>
      <c r="H92" s="218">
        <v>21875</v>
      </c>
      <c r="I92" s="220">
        <v>9702868333</v>
      </c>
      <c r="J92" s="218">
        <v>18</v>
      </c>
      <c r="K92" s="218">
        <f>RANK('Sort &amp; Filter'!$H3,$H$3:$H$103,0)</f>
        <v>18</v>
      </c>
      <c r="L92" s="218" t="str">
        <f>IFERROR(VLOOKUP('Sort &amp; Filter'!$B92,'Name Manager'!B76:C86,2,0)," ")</f>
        <v xml:space="preserve"> </v>
      </c>
      <c r="M92" s="218"/>
      <c r="N92" s="218">
        <v>12</v>
      </c>
    </row>
    <row r="93" spans="2:14" x14ac:dyDescent="0.25">
      <c r="B93">
        <v>51</v>
      </c>
      <c r="C93" s="215" t="s">
        <v>138</v>
      </c>
      <c r="D93" s="215" t="s">
        <v>52</v>
      </c>
      <c r="E93" s="215" t="s">
        <v>53</v>
      </c>
      <c r="F93" s="215" t="s">
        <v>83</v>
      </c>
      <c r="G93" s="216">
        <v>32436</v>
      </c>
      <c r="H93" s="215">
        <v>15750</v>
      </c>
      <c r="I93" s="217">
        <v>9921835853</v>
      </c>
      <c r="J93" s="215">
        <v>18</v>
      </c>
      <c r="K93" s="215">
        <f>RANK('Sort &amp; Filter'!$H53,$H$3:$H$103,0)</f>
        <v>88</v>
      </c>
      <c r="L93" s="215" t="str">
        <f>IFERROR(VLOOKUP('Sort &amp; Filter'!$B93,'Name Manager'!B53:C63,2,0)," ")</f>
        <v xml:space="preserve"> </v>
      </c>
      <c r="M93" s="215"/>
      <c r="N93" s="215"/>
    </row>
    <row r="94" spans="2:14" x14ac:dyDescent="0.25">
      <c r="B94">
        <v>62</v>
      </c>
      <c r="C94" s="218" t="s">
        <v>154</v>
      </c>
      <c r="D94" s="218" t="s">
        <v>52</v>
      </c>
      <c r="E94" s="218" t="s">
        <v>53</v>
      </c>
      <c r="F94" s="218" t="s">
        <v>67</v>
      </c>
      <c r="G94" s="219">
        <v>32107</v>
      </c>
      <c r="H94" s="218">
        <v>19250</v>
      </c>
      <c r="I94" s="220">
        <v>9975807947</v>
      </c>
      <c r="J94" s="218">
        <v>35</v>
      </c>
      <c r="K94" s="218">
        <f>RANK('Sort &amp; Filter'!$H64,$H$3:$H$103,0)</f>
        <v>44</v>
      </c>
      <c r="L94" s="218" t="str">
        <f>IFERROR(VLOOKUP('Sort &amp; Filter'!$B94,'Name Manager'!B18:C28,2,0)," ")</f>
        <v xml:space="preserve"> </v>
      </c>
      <c r="M94" s="218"/>
      <c r="N94" s="218"/>
    </row>
    <row r="95" spans="2:14" x14ac:dyDescent="0.25">
      <c r="B95">
        <v>46</v>
      </c>
      <c r="C95" s="215" t="s">
        <v>132</v>
      </c>
      <c r="D95" s="215" t="s">
        <v>52</v>
      </c>
      <c r="E95" s="215" t="s">
        <v>53</v>
      </c>
      <c r="F95" s="215" t="s">
        <v>116</v>
      </c>
      <c r="G95" s="216">
        <v>33510</v>
      </c>
      <c r="H95" s="215">
        <v>15750</v>
      </c>
      <c r="I95" s="217">
        <v>9890582266</v>
      </c>
      <c r="J95" s="215">
        <v>23</v>
      </c>
      <c r="K95" s="215">
        <f>RANK('Sort &amp; Filter'!$H48,$H$3:$H$103,0)</f>
        <v>18</v>
      </c>
      <c r="L95" s="215" t="str">
        <f>IFERROR(VLOOKUP('Sort &amp; Filter'!$B95,'Name Manager'!B37:C47,2,0)," ")</f>
        <v xml:space="preserve"> </v>
      </c>
      <c r="M95" s="215"/>
      <c r="N95" s="215"/>
    </row>
    <row r="96" spans="2:14" x14ac:dyDescent="0.25">
      <c r="B96">
        <v>93</v>
      </c>
      <c r="C96" s="218" t="s">
        <v>186</v>
      </c>
      <c r="D96" s="218" t="s">
        <v>52</v>
      </c>
      <c r="E96" s="218" t="s">
        <v>60</v>
      </c>
      <c r="F96" s="218" t="s">
        <v>106</v>
      </c>
      <c r="G96" s="219">
        <v>32604</v>
      </c>
      <c r="H96" s="218">
        <v>17325</v>
      </c>
      <c r="I96" s="220" t="s">
        <v>503</v>
      </c>
      <c r="J96" s="218">
        <v>27</v>
      </c>
      <c r="K96" s="218">
        <f>RANK('Sort &amp; Filter'!$H95,$H$3:$H$103,0)</f>
        <v>44</v>
      </c>
      <c r="L96" s="218" t="str">
        <f>IFERROR(VLOOKUP('Sort &amp; Filter'!$B96,'Name Manager'!B33:C43,2,0)," ")</f>
        <v xml:space="preserve"> </v>
      </c>
      <c r="M96" s="218"/>
      <c r="N96" s="218"/>
    </row>
    <row r="97" spans="2:31" x14ac:dyDescent="0.25">
      <c r="B97">
        <v>27</v>
      </c>
      <c r="C97" s="215" t="s">
        <v>105</v>
      </c>
      <c r="D97" s="215" t="s">
        <v>52</v>
      </c>
      <c r="E97" s="215" t="s">
        <v>60</v>
      </c>
      <c r="F97" s="215" t="s">
        <v>106</v>
      </c>
      <c r="G97" s="216">
        <v>33787</v>
      </c>
      <c r="H97" s="215">
        <v>13125</v>
      </c>
      <c r="I97" s="217">
        <v>9869214286</v>
      </c>
      <c r="J97" s="215">
        <v>19</v>
      </c>
      <c r="K97" s="215">
        <f>RANK('Sort &amp; Filter'!$H29,$H$3:$H$103,0)</f>
        <v>1</v>
      </c>
      <c r="L97" s="215" t="str">
        <f>IFERROR(VLOOKUP('Sort &amp; Filter'!$B97,'Name Manager'!B80:C90,2,0)," ")</f>
        <v xml:space="preserve"> </v>
      </c>
      <c r="M97" s="215"/>
      <c r="N97" s="215"/>
    </row>
    <row r="98" spans="2:31" x14ac:dyDescent="0.25">
      <c r="B98">
        <v>57</v>
      </c>
      <c r="C98" s="218" t="s">
        <v>147</v>
      </c>
      <c r="D98" s="218" t="s">
        <v>52</v>
      </c>
      <c r="E98" s="218" t="s">
        <v>60</v>
      </c>
      <c r="F98" s="218" t="s">
        <v>148</v>
      </c>
      <c r="G98" s="219">
        <v>34098</v>
      </c>
      <c r="H98" s="218">
        <v>14875</v>
      </c>
      <c r="I98" s="220">
        <v>9960636798</v>
      </c>
      <c r="J98" s="218">
        <v>24</v>
      </c>
      <c r="K98" s="218">
        <f>RANK('Sort &amp; Filter'!$H59,$H$3:$H$103,0)</f>
        <v>59</v>
      </c>
      <c r="L98" s="218" t="str">
        <f>IFERROR(VLOOKUP('Sort &amp; Filter'!$B98,'Name Manager'!B44:C54,2,0)," ")</f>
        <v xml:space="preserve"> </v>
      </c>
      <c r="M98" s="218"/>
      <c r="N98" s="218"/>
    </row>
    <row r="99" spans="2:31" x14ac:dyDescent="0.25">
      <c r="B99">
        <v>40</v>
      </c>
      <c r="C99" s="215" t="s">
        <v>126</v>
      </c>
      <c r="D99" s="215" t="s">
        <v>52</v>
      </c>
      <c r="E99" s="215" t="s">
        <v>60</v>
      </c>
      <c r="F99" s="215" t="s">
        <v>103</v>
      </c>
      <c r="G99" s="216">
        <v>33510</v>
      </c>
      <c r="H99" s="215">
        <v>10500</v>
      </c>
      <c r="I99" s="217">
        <v>9869424621</v>
      </c>
      <c r="J99" s="215">
        <v>28</v>
      </c>
      <c r="K99" s="215">
        <f>RANK('Sort &amp; Filter'!$H42,$H$3:$H$103,0)</f>
        <v>77</v>
      </c>
      <c r="L99" s="215" t="str">
        <f>IFERROR(VLOOKUP('Sort &amp; Filter'!$B99,'Name Manager'!B79:C89,2,0)," ")</f>
        <v xml:space="preserve"> </v>
      </c>
      <c r="M99" s="215"/>
      <c r="N99" s="215"/>
    </row>
    <row r="100" spans="2:31" x14ac:dyDescent="0.25">
      <c r="B100">
        <v>78</v>
      </c>
      <c r="C100" s="218" t="s">
        <v>171</v>
      </c>
      <c r="D100" s="218" t="s">
        <v>52</v>
      </c>
      <c r="E100" s="218" t="s">
        <v>72</v>
      </c>
      <c r="F100" s="218" t="s">
        <v>108</v>
      </c>
      <c r="G100" s="219">
        <v>32444</v>
      </c>
      <c r="H100" s="218">
        <v>17500</v>
      </c>
      <c r="I100" s="220" t="s">
        <v>471</v>
      </c>
      <c r="J100" s="218">
        <v>19</v>
      </c>
      <c r="K100" s="218">
        <f>RANK('Sort &amp; Filter'!$H80,$H$3:$H$103,0)</f>
        <v>18</v>
      </c>
      <c r="L100" s="218" t="str">
        <f>IFERROR(VLOOKUP('Sort &amp; Filter'!$B100,'Name Manager'!B25:C35,2,0)," ")</f>
        <v xml:space="preserve"> </v>
      </c>
      <c r="M100" s="218"/>
      <c r="N100" s="218"/>
    </row>
    <row r="101" spans="2:31" x14ac:dyDescent="0.25">
      <c r="B101">
        <v>56</v>
      </c>
      <c r="C101" s="215" t="s">
        <v>146</v>
      </c>
      <c r="D101" s="215" t="s">
        <v>52</v>
      </c>
      <c r="E101" s="215" t="s">
        <v>72</v>
      </c>
      <c r="F101" s="215" t="s">
        <v>141</v>
      </c>
      <c r="G101" s="216">
        <v>33878</v>
      </c>
      <c r="H101" s="215">
        <v>14875</v>
      </c>
      <c r="I101" s="217">
        <v>9923858743</v>
      </c>
      <c r="J101" s="215">
        <v>22</v>
      </c>
      <c r="K101" s="215">
        <f>RANK('Sort &amp; Filter'!$H58,$H$3:$H$103,0)</f>
        <v>67</v>
      </c>
      <c r="L101" s="215" t="str">
        <f>IFERROR(VLOOKUP('Sort &amp; Filter'!$B101,'Name Manager'!B42:C52,2,0)," ")</f>
        <v xml:space="preserve"> </v>
      </c>
      <c r="M101" s="215"/>
      <c r="N101" s="215"/>
    </row>
    <row r="102" spans="2:31" x14ac:dyDescent="0.25">
      <c r="B102">
        <v>24</v>
      </c>
      <c r="C102" s="218" t="s">
        <v>101</v>
      </c>
      <c r="D102" s="218" t="s">
        <v>52</v>
      </c>
      <c r="E102" s="218" t="s">
        <v>72</v>
      </c>
      <c r="F102" s="218" t="s">
        <v>94</v>
      </c>
      <c r="G102" s="219">
        <v>29362</v>
      </c>
      <c r="H102" s="218">
        <v>14875</v>
      </c>
      <c r="I102" s="220">
        <v>9860887313</v>
      </c>
      <c r="J102" s="218">
        <v>27</v>
      </c>
      <c r="K102" s="218">
        <f>RANK('Sort &amp; Filter'!$H26,$H$3:$H$103,0)</f>
        <v>44</v>
      </c>
      <c r="L102" s="218" t="str">
        <f>IFERROR(VLOOKUP('Sort &amp; Filter'!$B102,'Name Manager'!B70:C80,2,0)," ")</f>
        <v xml:space="preserve"> </v>
      </c>
      <c r="M102" s="218"/>
      <c r="N102" s="218"/>
    </row>
    <row r="103" spans="2:31" x14ac:dyDescent="0.25">
      <c r="L103" t="str">
        <f>IFERROR(VLOOKUP('Sort &amp; Filter'!$B103,'Name Manager'!B111:C121,2,0)," ")</f>
        <v xml:space="preserve"> </v>
      </c>
    </row>
    <row r="104" spans="2:31" x14ac:dyDescent="0.25">
      <c r="AE104" s="183"/>
    </row>
  </sheetData>
  <conditionalFormatting sqref="AQ15:AQ19">
    <cfRule type="expression" priority="1">
      <formula>(AO15*10%)*0.5</formula>
    </cfRule>
  </conditionalFormatting>
  <dataValidations count="1">
    <dataValidation type="list" allowBlank="1" showInputMessage="1" showErrorMessage="1" sqref="AQ3" xr:uid="{00000000-0002-0000-0400-000000000000}">
      <formula1>$AP$4:$AP$7</formula1>
    </dataValidation>
  </dataValidation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rgb="FFFFC000"/>
  </sheetPr>
  <dimension ref="B2:H198"/>
  <sheetViews>
    <sheetView workbookViewId="0">
      <selection activeCell="G132" sqref="G132"/>
    </sheetView>
  </sheetViews>
  <sheetFormatPr defaultRowHeight="15" x14ac:dyDescent="0.25"/>
  <cols>
    <col min="2" max="2" width="28.85546875" bestFit="1" customWidth="1"/>
    <col min="3" max="3" width="19.28515625" customWidth="1"/>
    <col min="4" max="4" width="23.28515625" customWidth="1"/>
    <col min="5" max="5" width="16.42578125" bestFit="1" customWidth="1"/>
    <col min="6" max="7" width="28.85546875" bestFit="1" customWidth="1"/>
  </cols>
  <sheetData>
    <row r="2" spans="2:7" ht="15.75" x14ac:dyDescent="0.25">
      <c r="B2" s="160" t="s">
        <v>1142</v>
      </c>
      <c r="D2" s="160" t="s">
        <v>1143</v>
      </c>
    </row>
    <row r="3" spans="2:7" x14ac:dyDescent="0.25">
      <c r="B3" s="161" t="s">
        <v>1144</v>
      </c>
      <c r="D3" s="161" t="s">
        <v>1145</v>
      </c>
      <c r="G3" t="str">
        <f t="shared" ref="G3:G41" si="0">MID(D3,SEARCH("rs",D3),4)</f>
        <v>RS58</v>
      </c>
    </row>
    <row r="4" spans="2:7" x14ac:dyDescent="0.25">
      <c r="B4" s="161" t="s">
        <v>1146</v>
      </c>
      <c r="D4" s="161" t="s">
        <v>1147</v>
      </c>
      <c r="G4" t="str">
        <f t="shared" si="0"/>
        <v>Rs8</v>
      </c>
    </row>
    <row r="5" spans="2:7" x14ac:dyDescent="0.25">
      <c r="B5" s="161" t="s">
        <v>1148</v>
      </c>
      <c r="D5" s="161" t="s">
        <v>1149</v>
      </c>
      <c r="G5" t="str">
        <f t="shared" si="0"/>
        <v>RS90</v>
      </c>
    </row>
    <row r="6" spans="2:7" x14ac:dyDescent="0.25">
      <c r="B6" s="161" t="s">
        <v>1150</v>
      </c>
      <c r="D6" s="161" t="s">
        <v>1151</v>
      </c>
      <c r="G6" t="str">
        <f t="shared" si="0"/>
        <v>RS64</v>
      </c>
    </row>
    <row r="7" spans="2:7" x14ac:dyDescent="0.25">
      <c r="B7" s="161" t="s">
        <v>1152</v>
      </c>
      <c r="D7" s="161" t="s">
        <v>1153</v>
      </c>
      <c r="G7" t="str">
        <f t="shared" si="0"/>
        <v>RS37</v>
      </c>
    </row>
    <row r="8" spans="2:7" x14ac:dyDescent="0.25">
      <c r="B8" s="161" t="s">
        <v>1154</v>
      </c>
      <c r="D8" s="161" t="s">
        <v>1155</v>
      </c>
      <c r="G8" t="str">
        <f t="shared" si="0"/>
        <v>RS90</v>
      </c>
    </row>
    <row r="9" spans="2:7" x14ac:dyDescent="0.25">
      <c r="B9" s="161" t="s">
        <v>1156</v>
      </c>
      <c r="D9" s="161" t="s">
        <v>1145</v>
      </c>
      <c r="G9" t="str">
        <f t="shared" si="0"/>
        <v>RS58</v>
      </c>
    </row>
    <row r="10" spans="2:7" x14ac:dyDescent="0.25">
      <c r="B10" s="161" t="s">
        <v>1157</v>
      </c>
      <c r="D10" s="161" t="s">
        <v>1158</v>
      </c>
      <c r="G10" t="str">
        <f t="shared" si="0"/>
        <v>RS90</v>
      </c>
    </row>
    <row r="11" spans="2:7" x14ac:dyDescent="0.25">
      <c r="B11" s="161" t="s">
        <v>1159</v>
      </c>
      <c r="D11" s="161" t="s">
        <v>1160</v>
      </c>
      <c r="G11" t="str">
        <f t="shared" si="0"/>
        <v>RS58</v>
      </c>
    </row>
    <row r="12" spans="2:7" x14ac:dyDescent="0.25">
      <c r="B12" s="161" t="s">
        <v>1161</v>
      </c>
      <c r="D12" s="161" t="s">
        <v>1145</v>
      </c>
      <c r="G12" t="str">
        <f t="shared" si="0"/>
        <v>RS58</v>
      </c>
    </row>
    <row r="13" spans="2:7" x14ac:dyDescent="0.25">
      <c r="B13" s="161" t="s">
        <v>1162</v>
      </c>
      <c r="D13" s="161" t="s">
        <v>1151</v>
      </c>
      <c r="G13" t="str">
        <f t="shared" si="0"/>
        <v>RS64</v>
      </c>
    </row>
    <row r="14" spans="2:7" x14ac:dyDescent="0.25">
      <c r="B14" s="161" t="s">
        <v>1163</v>
      </c>
      <c r="D14" s="161" t="s">
        <v>1153</v>
      </c>
      <c r="G14" t="str">
        <f t="shared" si="0"/>
        <v>RS37</v>
      </c>
    </row>
    <row r="15" spans="2:7" x14ac:dyDescent="0.25">
      <c r="B15" s="161" t="s">
        <v>1164</v>
      </c>
      <c r="D15" s="161" t="s">
        <v>1165</v>
      </c>
      <c r="G15" t="str">
        <f t="shared" si="0"/>
        <v>RS15</v>
      </c>
    </row>
    <row r="16" spans="2:7" x14ac:dyDescent="0.25">
      <c r="B16" s="161" t="s">
        <v>1166</v>
      </c>
      <c r="D16" s="161" t="s">
        <v>1149</v>
      </c>
      <c r="G16" t="str">
        <f t="shared" si="0"/>
        <v>RS90</v>
      </c>
    </row>
    <row r="17" spans="2:7" x14ac:dyDescent="0.25">
      <c r="B17" s="161" t="s">
        <v>1167</v>
      </c>
      <c r="D17" s="161" t="s">
        <v>1155</v>
      </c>
      <c r="G17" t="str">
        <f t="shared" si="0"/>
        <v>RS90</v>
      </c>
    </row>
    <row r="18" spans="2:7" x14ac:dyDescent="0.25">
      <c r="B18" s="161" t="s">
        <v>1168</v>
      </c>
      <c r="D18" s="161" t="s">
        <v>1169</v>
      </c>
      <c r="G18" t="str">
        <f t="shared" si="0"/>
        <v>RS10</v>
      </c>
    </row>
    <row r="19" spans="2:7" x14ac:dyDescent="0.25">
      <c r="B19" s="161" t="s">
        <v>1170</v>
      </c>
      <c r="D19" s="161" t="s">
        <v>1171</v>
      </c>
      <c r="G19" t="str">
        <f t="shared" si="0"/>
        <v>RS10</v>
      </c>
    </row>
    <row r="20" spans="2:7" x14ac:dyDescent="0.25">
      <c r="B20" s="161" t="s">
        <v>1172</v>
      </c>
      <c r="D20" s="161" t="s">
        <v>1169</v>
      </c>
      <c r="G20" t="str">
        <f t="shared" si="0"/>
        <v>RS10</v>
      </c>
    </row>
    <row r="21" spans="2:7" x14ac:dyDescent="0.25">
      <c r="B21" s="161" t="s">
        <v>1173</v>
      </c>
      <c r="D21" s="161" t="s">
        <v>1171</v>
      </c>
      <c r="G21" t="str">
        <f t="shared" si="0"/>
        <v>RS10</v>
      </c>
    </row>
    <row r="22" spans="2:7" x14ac:dyDescent="0.25">
      <c r="B22" s="161" t="s">
        <v>1174</v>
      </c>
      <c r="D22" s="161" t="s">
        <v>1171</v>
      </c>
      <c r="G22" t="str">
        <f t="shared" si="0"/>
        <v>RS10</v>
      </c>
    </row>
    <row r="23" spans="2:7" x14ac:dyDescent="0.25">
      <c r="B23" s="161" t="s">
        <v>1175</v>
      </c>
      <c r="D23" s="161" t="s">
        <v>1169</v>
      </c>
      <c r="G23" t="str">
        <f t="shared" si="0"/>
        <v>RS10</v>
      </c>
    </row>
    <row r="24" spans="2:7" x14ac:dyDescent="0.25">
      <c r="B24" s="161" t="s">
        <v>1176</v>
      </c>
      <c r="D24" s="161" t="s">
        <v>1171</v>
      </c>
      <c r="G24" t="str">
        <f t="shared" si="0"/>
        <v>RS10</v>
      </c>
    </row>
    <row r="25" spans="2:7" x14ac:dyDescent="0.25">
      <c r="B25" s="161" t="s">
        <v>1177</v>
      </c>
      <c r="D25" s="161" t="s">
        <v>1169</v>
      </c>
      <c r="G25" t="str">
        <f t="shared" si="0"/>
        <v>RS10</v>
      </c>
    </row>
    <row r="26" spans="2:7" x14ac:dyDescent="0.25">
      <c r="B26" s="161" t="s">
        <v>1178</v>
      </c>
      <c r="D26" s="161" t="s">
        <v>1171</v>
      </c>
      <c r="G26" t="str">
        <f t="shared" si="0"/>
        <v>RS10</v>
      </c>
    </row>
    <row r="27" spans="2:7" x14ac:dyDescent="0.25">
      <c r="B27" s="161" t="s">
        <v>1179</v>
      </c>
      <c r="D27" s="161" t="s">
        <v>1171</v>
      </c>
      <c r="G27" t="str">
        <f t="shared" si="0"/>
        <v>RS10</v>
      </c>
    </row>
    <row r="28" spans="2:7" x14ac:dyDescent="0.25">
      <c r="B28" s="161" t="s">
        <v>1180</v>
      </c>
      <c r="D28" s="161" t="s">
        <v>1169</v>
      </c>
      <c r="G28" t="str">
        <f t="shared" si="0"/>
        <v>RS10</v>
      </c>
    </row>
    <row r="29" spans="2:7" x14ac:dyDescent="0.25">
      <c r="B29" s="161" t="s">
        <v>1181</v>
      </c>
      <c r="D29" s="161" t="s">
        <v>1171</v>
      </c>
      <c r="G29" t="str">
        <f t="shared" si="0"/>
        <v>RS10</v>
      </c>
    </row>
    <row r="30" spans="2:7" x14ac:dyDescent="0.25">
      <c r="B30" s="161" t="s">
        <v>1182</v>
      </c>
      <c r="D30" s="161" t="s">
        <v>1169</v>
      </c>
      <c r="G30" t="str">
        <f t="shared" si="0"/>
        <v>RS10</v>
      </c>
    </row>
    <row r="31" spans="2:7" x14ac:dyDescent="0.25">
      <c r="B31" s="161" t="s">
        <v>1183</v>
      </c>
      <c r="D31" s="161" t="s">
        <v>1169</v>
      </c>
      <c r="G31" t="str">
        <f t="shared" si="0"/>
        <v>RS10</v>
      </c>
    </row>
    <row r="32" spans="2:7" x14ac:dyDescent="0.25">
      <c r="B32" s="161" t="s">
        <v>1184</v>
      </c>
      <c r="D32" s="161" t="s">
        <v>1171</v>
      </c>
      <c r="G32" t="str">
        <f t="shared" si="0"/>
        <v>RS10</v>
      </c>
    </row>
    <row r="33" spans="2:7" x14ac:dyDescent="0.25">
      <c r="B33" s="161" t="s">
        <v>1185</v>
      </c>
      <c r="D33" s="161" t="s">
        <v>1171</v>
      </c>
      <c r="G33" t="str">
        <f t="shared" si="0"/>
        <v>RS10</v>
      </c>
    </row>
    <row r="34" spans="2:7" x14ac:dyDescent="0.25">
      <c r="B34" s="161" t="s">
        <v>1186</v>
      </c>
      <c r="D34" s="161" t="s">
        <v>1169</v>
      </c>
      <c r="G34" t="str">
        <f t="shared" si="0"/>
        <v>RS10</v>
      </c>
    </row>
    <row r="35" spans="2:7" x14ac:dyDescent="0.25">
      <c r="B35" s="161" t="s">
        <v>1187</v>
      </c>
      <c r="D35" s="161" t="s">
        <v>1171</v>
      </c>
      <c r="G35" t="str">
        <f t="shared" si="0"/>
        <v>RS10</v>
      </c>
    </row>
    <row r="36" spans="2:7" x14ac:dyDescent="0.25">
      <c r="B36" s="161" t="s">
        <v>1188</v>
      </c>
      <c r="D36" s="161" t="s">
        <v>1169</v>
      </c>
      <c r="G36" t="str">
        <f t="shared" si="0"/>
        <v>RS10</v>
      </c>
    </row>
    <row r="37" spans="2:7" x14ac:dyDescent="0.25">
      <c r="B37" s="161" t="s">
        <v>1189</v>
      </c>
      <c r="D37" s="161" t="s">
        <v>1169</v>
      </c>
      <c r="G37" t="str">
        <f t="shared" si="0"/>
        <v>RS10</v>
      </c>
    </row>
    <row r="38" spans="2:7" x14ac:dyDescent="0.25">
      <c r="B38" s="161" t="s">
        <v>1190</v>
      </c>
      <c r="D38" s="161" t="s">
        <v>1171</v>
      </c>
      <c r="G38" t="str">
        <f t="shared" si="0"/>
        <v>RS10</v>
      </c>
    </row>
    <row r="39" spans="2:7" x14ac:dyDescent="0.25">
      <c r="B39" s="161" t="s">
        <v>1191</v>
      </c>
      <c r="D39" s="161" t="s">
        <v>1169</v>
      </c>
      <c r="G39" t="str">
        <f t="shared" si="0"/>
        <v>RS10</v>
      </c>
    </row>
    <row r="40" spans="2:7" x14ac:dyDescent="0.25">
      <c r="B40" s="161" t="s">
        <v>1192</v>
      </c>
      <c r="D40" s="161" t="s">
        <v>1171</v>
      </c>
      <c r="G40" t="str">
        <f t="shared" si="0"/>
        <v>RS10</v>
      </c>
    </row>
    <row r="41" spans="2:7" x14ac:dyDescent="0.25">
      <c r="B41" s="161" t="s">
        <v>1193</v>
      </c>
      <c r="D41" s="161" t="s">
        <v>1194</v>
      </c>
      <c r="G41" t="str">
        <f t="shared" si="0"/>
        <v>RS35</v>
      </c>
    </row>
    <row r="42" spans="2:7" x14ac:dyDescent="0.25">
      <c r="B42" s="161" t="s">
        <v>1195</v>
      </c>
    </row>
    <row r="43" spans="2:7" x14ac:dyDescent="0.25">
      <c r="B43" s="161" t="s">
        <v>1196</v>
      </c>
    </row>
    <row r="44" spans="2:7" x14ac:dyDescent="0.25">
      <c r="B44" s="161" t="s">
        <v>1197</v>
      </c>
    </row>
    <row r="45" spans="2:7" x14ac:dyDescent="0.25">
      <c r="B45" s="161" t="s">
        <v>1198</v>
      </c>
    </row>
    <row r="46" spans="2:7" x14ac:dyDescent="0.25">
      <c r="B46" s="161" t="s">
        <v>1199</v>
      </c>
    </row>
    <row r="47" spans="2:7" x14ac:dyDescent="0.25">
      <c r="B47" s="161" t="s">
        <v>1200</v>
      </c>
    </row>
    <row r="48" spans="2:7" x14ac:dyDescent="0.25">
      <c r="B48" s="161" t="s">
        <v>1201</v>
      </c>
    </row>
    <row r="49" spans="2:2" x14ac:dyDescent="0.25">
      <c r="B49" s="161" t="s">
        <v>1202</v>
      </c>
    </row>
    <row r="50" spans="2:2" x14ac:dyDescent="0.25">
      <c r="B50" s="161" t="s">
        <v>1203</v>
      </c>
    </row>
    <row r="51" spans="2:2" x14ac:dyDescent="0.25">
      <c r="B51" s="161" t="s">
        <v>1204</v>
      </c>
    </row>
    <row r="52" spans="2:2" x14ac:dyDescent="0.25">
      <c r="B52" s="161" t="s">
        <v>1205</v>
      </c>
    </row>
    <row r="53" spans="2:2" x14ac:dyDescent="0.25">
      <c r="B53" s="161" t="s">
        <v>1206</v>
      </c>
    </row>
    <row r="54" spans="2:2" x14ac:dyDescent="0.25">
      <c r="B54" s="161" t="s">
        <v>1207</v>
      </c>
    </row>
    <row r="55" spans="2:2" x14ac:dyDescent="0.25">
      <c r="B55" s="161" t="s">
        <v>1208</v>
      </c>
    </row>
    <row r="56" spans="2:2" x14ac:dyDescent="0.25">
      <c r="B56" s="161" t="s">
        <v>1209</v>
      </c>
    </row>
    <row r="57" spans="2:2" x14ac:dyDescent="0.25">
      <c r="B57" s="161" t="s">
        <v>1210</v>
      </c>
    </row>
    <row r="58" spans="2:2" x14ac:dyDescent="0.25">
      <c r="B58" s="161" t="s">
        <v>1211</v>
      </c>
    </row>
    <row r="59" spans="2:2" x14ac:dyDescent="0.25">
      <c r="B59" s="161" t="s">
        <v>1212</v>
      </c>
    </row>
    <row r="60" spans="2:2" x14ac:dyDescent="0.25">
      <c r="B60" s="161" t="s">
        <v>1213</v>
      </c>
    </row>
    <row r="61" spans="2:2" x14ac:dyDescent="0.25">
      <c r="B61" s="161" t="s">
        <v>1214</v>
      </c>
    </row>
    <row r="62" spans="2:2" x14ac:dyDescent="0.25">
      <c r="B62" s="161" t="s">
        <v>1215</v>
      </c>
    </row>
    <row r="63" spans="2:2" x14ac:dyDescent="0.25">
      <c r="B63" s="161" t="s">
        <v>1216</v>
      </c>
    </row>
    <row r="64" spans="2:2" x14ac:dyDescent="0.25">
      <c r="B64" s="161" t="s">
        <v>1217</v>
      </c>
    </row>
    <row r="65" spans="2:2" x14ac:dyDescent="0.25">
      <c r="B65" s="161" t="s">
        <v>1218</v>
      </c>
    </row>
    <row r="66" spans="2:2" x14ac:dyDescent="0.25">
      <c r="B66" s="161" t="s">
        <v>1219</v>
      </c>
    </row>
    <row r="67" spans="2:2" x14ac:dyDescent="0.25">
      <c r="B67" s="161" t="s">
        <v>1220</v>
      </c>
    </row>
    <row r="68" spans="2:2" x14ac:dyDescent="0.25">
      <c r="B68" s="161" t="s">
        <v>1221</v>
      </c>
    </row>
    <row r="69" spans="2:2" x14ac:dyDescent="0.25">
      <c r="B69" s="161" t="s">
        <v>1222</v>
      </c>
    </row>
    <row r="70" spans="2:2" x14ac:dyDescent="0.25">
      <c r="B70" s="161" t="s">
        <v>1223</v>
      </c>
    </row>
    <row r="71" spans="2:2" x14ac:dyDescent="0.25">
      <c r="B71" s="161" t="s">
        <v>1224</v>
      </c>
    </row>
    <row r="72" spans="2:2" x14ac:dyDescent="0.25">
      <c r="B72" s="161" t="s">
        <v>1225</v>
      </c>
    </row>
    <row r="73" spans="2:2" x14ac:dyDescent="0.25">
      <c r="B73" s="161" t="s">
        <v>1226</v>
      </c>
    </row>
    <row r="74" spans="2:2" x14ac:dyDescent="0.25">
      <c r="B74" s="161" t="s">
        <v>1227</v>
      </c>
    </row>
    <row r="75" spans="2:2" x14ac:dyDescent="0.25">
      <c r="B75" s="161" t="s">
        <v>1228</v>
      </c>
    </row>
    <row r="76" spans="2:2" x14ac:dyDescent="0.25">
      <c r="B76" s="161" t="s">
        <v>1229</v>
      </c>
    </row>
    <row r="77" spans="2:2" x14ac:dyDescent="0.25">
      <c r="B77" s="161" t="s">
        <v>1230</v>
      </c>
    </row>
    <row r="78" spans="2:2" x14ac:dyDescent="0.25">
      <c r="B78" s="161" t="s">
        <v>1231</v>
      </c>
    </row>
    <row r="79" spans="2:2" x14ac:dyDescent="0.25">
      <c r="B79" s="161" t="s">
        <v>1232</v>
      </c>
    </row>
    <row r="80" spans="2:2" x14ac:dyDescent="0.25">
      <c r="B80" s="161" t="s">
        <v>1233</v>
      </c>
    </row>
    <row r="81" spans="2:2" x14ac:dyDescent="0.25">
      <c r="B81" s="161" t="s">
        <v>1234</v>
      </c>
    </row>
    <row r="82" spans="2:2" x14ac:dyDescent="0.25">
      <c r="B82" s="161" t="s">
        <v>1235</v>
      </c>
    </row>
    <row r="83" spans="2:2" x14ac:dyDescent="0.25">
      <c r="B83" s="161" t="s">
        <v>1236</v>
      </c>
    </row>
    <row r="84" spans="2:2" x14ac:dyDescent="0.25">
      <c r="B84" s="161" t="s">
        <v>1237</v>
      </c>
    </row>
    <row r="85" spans="2:2" x14ac:dyDescent="0.25">
      <c r="B85" s="161" t="s">
        <v>1238</v>
      </c>
    </row>
    <row r="86" spans="2:2" x14ac:dyDescent="0.25">
      <c r="B86" s="161" t="s">
        <v>1239</v>
      </c>
    </row>
    <row r="87" spans="2:2" x14ac:dyDescent="0.25">
      <c r="B87" s="161" t="s">
        <v>1240</v>
      </c>
    </row>
    <row r="88" spans="2:2" x14ac:dyDescent="0.25">
      <c r="B88" s="161" t="s">
        <v>1241</v>
      </c>
    </row>
    <row r="89" spans="2:2" x14ac:dyDescent="0.25">
      <c r="B89" s="161" t="s">
        <v>1242</v>
      </c>
    </row>
    <row r="90" spans="2:2" x14ac:dyDescent="0.25">
      <c r="B90" s="161" t="s">
        <v>1243</v>
      </c>
    </row>
    <row r="91" spans="2:2" x14ac:dyDescent="0.25">
      <c r="B91" s="161" t="s">
        <v>1244</v>
      </c>
    </row>
    <row r="92" spans="2:2" x14ac:dyDescent="0.25">
      <c r="B92" s="161" t="s">
        <v>1245</v>
      </c>
    </row>
    <row r="93" spans="2:2" x14ac:dyDescent="0.25">
      <c r="B93" s="161" t="s">
        <v>1246</v>
      </c>
    </row>
    <row r="94" spans="2:2" x14ac:dyDescent="0.25">
      <c r="B94" s="161" t="s">
        <v>1247</v>
      </c>
    </row>
    <row r="95" spans="2:2" x14ac:dyDescent="0.25">
      <c r="B95" s="161" t="s">
        <v>1248</v>
      </c>
    </row>
    <row r="96" spans="2:2" x14ac:dyDescent="0.25">
      <c r="B96" s="161" t="s">
        <v>1249</v>
      </c>
    </row>
    <row r="97" spans="2:8" x14ac:dyDescent="0.25">
      <c r="B97" s="161" t="s">
        <v>1250</v>
      </c>
    </row>
    <row r="98" spans="2:8" ht="15.75" x14ac:dyDescent="0.25">
      <c r="B98" s="161" t="s">
        <v>1251</v>
      </c>
      <c r="D98" s="160" t="s">
        <v>1142</v>
      </c>
    </row>
    <row r="99" spans="2:8" x14ac:dyDescent="0.25">
      <c r="B99" s="161" t="s">
        <v>1252</v>
      </c>
      <c r="D99" s="161" t="s">
        <v>1500</v>
      </c>
      <c r="E99" t="s">
        <v>1501</v>
      </c>
      <c r="F99" s="1" t="s">
        <v>1146</v>
      </c>
      <c r="G99" t="str">
        <f t="shared" ref="G99:G130" si="1">D99&amp;"@"&amp;E99</f>
        <v>SUMAN@GMAIL.COM</v>
      </c>
      <c r="H99" t="str">
        <f>E:E</f>
        <v>GMAIL.COM</v>
      </c>
    </row>
    <row r="100" spans="2:8" x14ac:dyDescent="0.25">
      <c r="B100" s="161" t="s">
        <v>1253</v>
      </c>
      <c r="D100" s="161" t="s">
        <v>1504</v>
      </c>
      <c r="E100" t="s">
        <v>1501</v>
      </c>
      <c r="F100" s="1" t="s">
        <v>1152</v>
      </c>
      <c r="G100" t="str">
        <f t="shared" si="1"/>
        <v>SEEMA@GMAIL.COM</v>
      </c>
    </row>
    <row r="101" spans="2:8" x14ac:dyDescent="0.25">
      <c r="B101" s="161" t="s">
        <v>1254</v>
      </c>
      <c r="D101" s="161" t="s">
        <v>1507</v>
      </c>
      <c r="E101" t="s">
        <v>1501</v>
      </c>
      <c r="F101" s="1" t="s">
        <v>1156</v>
      </c>
      <c r="G101" t="str">
        <f t="shared" si="1"/>
        <v>DEEPAK@GMAIL.COM</v>
      </c>
    </row>
    <row r="102" spans="2:8" x14ac:dyDescent="0.25">
      <c r="B102" s="161" t="s">
        <v>1255</v>
      </c>
      <c r="D102" s="161" t="s">
        <v>1516</v>
      </c>
      <c r="E102" t="s">
        <v>1501</v>
      </c>
      <c r="F102" s="1" t="s">
        <v>1166</v>
      </c>
      <c r="G102" t="str">
        <f t="shared" si="1"/>
        <v>SHEETAL@GMAIL.COM</v>
      </c>
    </row>
    <row r="103" spans="2:8" x14ac:dyDescent="0.25">
      <c r="D103" s="161" t="s">
        <v>1517</v>
      </c>
      <c r="E103" t="s">
        <v>1501</v>
      </c>
      <c r="F103" s="1" t="s">
        <v>1167</v>
      </c>
      <c r="G103" t="str">
        <f t="shared" si="1"/>
        <v>PRIYA@GMAIL.COM</v>
      </c>
    </row>
    <row r="104" spans="2:8" x14ac:dyDescent="0.25">
      <c r="D104" s="161" t="s">
        <v>1518</v>
      </c>
      <c r="E104" t="s">
        <v>1501</v>
      </c>
      <c r="F104" s="1" t="s">
        <v>1168</v>
      </c>
      <c r="G104" t="str">
        <f t="shared" si="1"/>
        <v>AALOK@GMAIL.COM</v>
      </c>
    </row>
    <row r="105" spans="2:8" x14ac:dyDescent="0.25">
      <c r="D105" s="161" t="s">
        <v>1534</v>
      </c>
      <c r="E105" t="s">
        <v>1501</v>
      </c>
      <c r="F105" s="1" t="s">
        <v>1185</v>
      </c>
      <c r="G105" t="str">
        <f t="shared" si="1"/>
        <v>ANKUR@GMAIL.COM</v>
      </c>
    </row>
    <row r="106" spans="2:8" x14ac:dyDescent="0.25">
      <c r="D106" s="161" t="s">
        <v>1546</v>
      </c>
      <c r="E106" t="s">
        <v>1501</v>
      </c>
      <c r="F106" s="1" t="s">
        <v>1196</v>
      </c>
      <c r="G106" t="str">
        <f t="shared" si="1"/>
        <v>JEENA@GMAIL.COM</v>
      </c>
    </row>
    <row r="107" spans="2:8" x14ac:dyDescent="0.25">
      <c r="D107" s="161" t="s">
        <v>1551</v>
      </c>
      <c r="E107" t="s">
        <v>1501</v>
      </c>
      <c r="F107" s="1" t="s">
        <v>1201</v>
      </c>
      <c r="G107" t="str">
        <f t="shared" si="1"/>
        <v>MARIO@GMAIL.COM</v>
      </c>
    </row>
    <row r="108" spans="2:8" x14ac:dyDescent="0.25">
      <c r="D108" s="161" t="s">
        <v>1552</v>
      </c>
      <c r="E108" t="s">
        <v>1501</v>
      </c>
      <c r="F108" s="1" t="s">
        <v>1202</v>
      </c>
      <c r="G108" t="str">
        <f t="shared" si="1"/>
        <v>HEENA@GMAIL.COM</v>
      </c>
    </row>
    <row r="109" spans="2:8" x14ac:dyDescent="0.25">
      <c r="D109" s="161" t="s">
        <v>1555</v>
      </c>
      <c r="E109" t="s">
        <v>1501</v>
      </c>
      <c r="F109" s="1" t="s">
        <v>1205</v>
      </c>
      <c r="G109" t="str">
        <f t="shared" si="1"/>
        <v>LALITA@GMAIL.COM</v>
      </c>
    </row>
    <row r="110" spans="2:8" x14ac:dyDescent="0.25">
      <c r="D110" s="161" t="s">
        <v>1556</v>
      </c>
      <c r="E110" t="s">
        <v>1501</v>
      </c>
      <c r="F110" s="1" t="s">
        <v>1206</v>
      </c>
      <c r="G110" t="str">
        <f t="shared" si="1"/>
        <v>KAJAL@GMAIL.COM</v>
      </c>
    </row>
    <row r="111" spans="2:8" x14ac:dyDescent="0.25">
      <c r="D111" s="161" t="s">
        <v>1559</v>
      </c>
      <c r="E111" t="s">
        <v>1501</v>
      </c>
      <c r="F111" s="1" t="s">
        <v>1209</v>
      </c>
      <c r="G111" t="str">
        <f t="shared" si="1"/>
        <v>DISHA@GMAIL.COM</v>
      </c>
    </row>
    <row r="112" spans="2:8" x14ac:dyDescent="0.25">
      <c r="D112" s="161" t="s">
        <v>1561</v>
      </c>
      <c r="E112" t="s">
        <v>1501</v>
      </c>
      <c r="F112" s="1" t="s">
        <v>1211</v>
      </c>
      <c r="G112" t="str">
        <f t="shared" si="1"/>
        <v>ANURADHA@GMAIL.COM</v>
      </c>
    </row>
    <row r="113" spans="4:7" x14ac:dyDescent="0.25">
      <c r="D113" s="161" t="s">
        <v>1562</v>
      </c>
      <c r="E113" t="s">
        <v>1501</v>
      </c>
      <c r="F113" s="1" t="s">
        <v>1212</v>
      </c>
      <c r="G113" t="str">
        <f t="shared" si="1"/>
        <v>ASHA@GMAIL.COM</v>
      </c>
    </row>
    <row r="114" spans="4:7" x14ac:dyDescent="0.25">
      <c r="D114" s="161" t="s">
        <v>1563</v>
      </c>
      <c r="E114" t="s">
        <v>1501</v>
      </c>
      <c r="F114" s="1" t="s">
        <v>1213</v>
      </c>
      <c r="G114" t="str">
        <f t="shared" si="1"/>
        <v>WAHEDA@GMAIL.COM</v>
      </c>
    </row>
    <row r="115" spans="4:7" x14ac:dyDescent="0.25">
      <c r="D115" s="161" t="s">
        <v>1564</v>
      </c>
      <c r="E115" t="s">
        <v>1501</v>
      </c>
      <c r="F115" s="1" t="s">
        <v>1214</v>
      </c>
      <c r="G115" t="str">
        <f t="shared" si="1"/>
        <v>VEENA@GMAIL.COM</v>
      </c>
    </row>
    <row r="116" spans="4:7" x14ac:dyDescent="0.25">
      <c r="D116" s="161" t="s">
        <v>1565</v>
      </c>
      <c r="E116" t="s">
        <v>1501</v>
      </c>
      <c r="F116" s="1" t="s">
        <v>1215</v>
      </c>
      <c r="G116" t="str">
        <f t="shared" si="1"/>
        <v>TIMSI@GMAIL.COM</v>
      </c>
    </row>
    <row r="117" spans="4:7" x14ac:dyDescent="0.25">
      <c r="D117" s="161" t="s">
        <v>1566</v>
      </c>
      <c r="E117" t="s">
        <v>1501</v>
      </c>
      <c r="F117" s="1" t="s">
        <v>1216</v>
      </c>
      <c r="G117" t="str">
        <f t="shared" si="1"/>
        <v>PARUL@GMAIL.COM</v>
      </c>
    </row>
    <row r="118" spans="4:7" x14ac:dyDescent="0.25">
      <c r="D118" s="161" t="s">
        <v>1567</v>
      </c>
      <c r="E118" t="s">
        <v>1501</v>
      </c>
      <c r="F118" s="1" t="s">
        <v>1217</v>
      </c>
      <c r="G118" t="str">
        <f t="shared" si="1"/>
        <v>UDAY@GMAIL.COM</v>
      </c>
    </row>
    <row r="119" spans="4:7" x14ac:dyDescent="0.25">
      <c r="D119" s="161" t="s">
        <v>1568</v>
      </c>
      <c r="E119" t="s">
        <v>1501</v>
      </c>
      <c r="F119" s="1" t="s">
        <v>1218</v>
      </c>
      <c r="G119" t="str">
        <f t="shared" si="1"/>
        <v>MANDAKINI@GMAIL.COM</v>
      </c>
    </row>
    <row r="120" spans="4:7" x14ac:dyDescent="0.25">
      <c r="D120" s="161" t="s">
        <v>1569</v>
      </c>
      <c r="E120" t="s">
        <v>1501</v>
      </c>
      <c r="F120" s="1" t="s">
        <v>1219</v>
      </c>
      <c r="G120" t="str">
        <f t="shared" si="1"/>
        <v>PRAVIN@GMAIL.COM</v>
      </c>
    </row>
    <row r="121" spans="4:7" x14ac:dyDescent="0.25">
      <c r="D121" s="161" t="s">
        <v>1570</v>
      </c>
      <c r="E121" t="s">
        <v>1501</v>
      </c>
      <c r="F121" s="1" t="s">
        <v>1220</v>
      </c>
      <c r="G121" t="str">
        <f t="shared" si="1"/>
        <v>REETA@GMAIL.COM</v>
      </c>
    </row>
    <row r="122" spans="4:7" x14ac:dyDescent="0.25">
      <c r="D122" s="161" t="s">
        <v>1571</v>
      </c>
      <c r="E122" t="s">
        <v>1501</v>
      </c>
      <c r="F122" s="1" t="s">
        <v>1221</v>
      </c>
      <c r="G122" t="str">
        <f t="shared" si="1"/>
        <v>SURENDRA@GMAIL.COM</v>
      </c>
    </row>
    <row r="123" spans="4:7" x14ac:dyDescent="0.25">
      <c r="D123" s="161" t="s">
        <v>1572</v>
      </c>
      <c r="E123" t="s">
        <v>1501</v>
      </c>
      <c r="F123" s="1" t="s">
        <v>1222</v>
      </c>
      <c r="G123" t="str">
        <f t="shared" si="1"/>
        <v>YAMINI@GMAIL.COM</v>
      </c>
    </row>
    <row r="124" spans="4:7" x14ac:dyDescent="0.25">
      <c r="D124" s="161" t="s">
        <v>1573</v>
      </c>
      <c r="E124" t="s">
        <v>1501</v>
      </c>
      <c r="F124" s="1" t="s">
        <v>1223</v>
      </c>
      <c r="G124" t="str">
        <f t="shared" si="1"/>
        <v>LAVEENA@GMAIL.COM</v>
      </c>
    </row>
    <row r="125" spans="4:7" x14ac:dyDescent="0.25">
      <c r="D125" s="161" t="s">
        <v>1574</v>
      </c>
      <c r="E125" t="s">
        <v>1501</v>
      </c>
      <c r="F125" s="1" t="s">
        <v>1224</v>
      </c>
      <c r="G125" t="str">
        <f t="shared" si="1"/>
        <v>NITA@GMAIL.COM</v>
      </c>
    </row>
    <row r="126" spans="4:7" x14ac:dyDescent="0.25">
      <c r="D126" s="161" t="s">
        <v>1575</v>
      </c>
      <c r="E126" t="s">
        <v>1501</v>
      </c>
      <c r="F126" s="1" t="s">
        <v>1225</v>
      </c>
      <c r="G126" t="str">
        <f t="shared" si="1"/>
        <v>SURAJ@GMAIL.COM</v>
      </c>
    </row>
    <row r="127" spans="4:7" x14ac:dyDescent="0.25">
      <c r="D127" s="161" t="s">
        <v>1576</v>
      </c>
      <c r="E127" t="s">
        <v>1501</v>
      </c>
      <c r="F127" s="1" t="s">
        <v>1226</v>
      </c>
      <c r="G127" t="str">
        <f t="shared" si="1"/>
        <v>NAYEEM@GMAIL.COM</v>
      </c>
    </row>
    <row r="128" spans="4:7" x14ac:dyDescent="0.25">
      <c r="D128" s="161" t="s">
        <v>1577</v>
      </c>
      <c r="E128" t="s">
        <v>1501</v>
      </c>
      <c r="F128" s="1" t="s">
        <v>1227</v>
      </c>
      <c r="G128" t="str">
        <f t="shared" si="1"/>
        <v>DRISHTI@GMAIL.COM</v>
      </c>
    </row>
    <row r="129" spans="4:7" x14ac:dyDescent="0.25">
      <c r="D129" s="161" t="s">
        <v>1578</v>
      </c>
      <c r="E129" t="s">
        <v>1501</v>
      </c>
      <c r="F129" s="1" t="s">
        <v>1228</v>
      </c>
      <c r="G129" t="str">
        <f t="shared" si="1"/>
        <v>DEEP@GMAIL.COM</v>
      </c>
    </row>
    <row r="130" spans="4:7" x14ac:dyDescent="0.25">
      <c r="D130" s="161" t="s">
        <v>1579</v>
      </c>
      <c r="E130" t="s">
        <v>1501</v>
      </c>
      <c r="F130" s="1" t="s">
        <v>1229</v>
      </c>
      <c r="G130" t="str">
        <f t="shared" si="1"/>
        <v>SAGAR@GMAIL.COM</v>
      </c>
    </row>
    <row r="131" spans="4:7" x14ac:dyDescent="0.25">
      <c r="D131" s="161" t="s">
        <v>1580</v>
      </c>
      <c r="E131" t="s">
        <v>1501</v>
      </c>
      <c r="F131" s="1" t="s">
        <v>1230</v>
      </c>
      <c r="G131" t="str">
        <f t="shared" ref="G131:G162" si="2">D131&amp;"@"&amp;E131</f>
        <v>DAYANAND@GMAIL.COM</v>
      </c>
    </row>
    <row r="132" spans="4:7" x14ac:dyDescent="0.25">
      <c r="D132" s="161" t="s">
        <v>1602</v>
      </c>
      <c r="E132" t="s">
        <v>1501</v>
      </c>
      <c r="F132" s="1" t="s">
        <v>1250</v>
      </c>
      <c r="G132" t="str">
        <f t="shared" si="2"/>
        <v>RAYMONDEKAR@GMAIL.COM</v>
      </c>
    </row>
    <row r="133" spans="4:7" x14ac:dyDescent="0.25">
      <c r="D133" s="161" t="s">
        <v>1605</v>
      </c>
      <c r="E133" t="s">
        <v>1501</v>
      </c>
      <c r="F133" s="1" t="s">
        <v>1253</v>
      </c>
      <c r="G133" t="str">
        <f t="shared" si="2"/>
        <v>MAVADIA@GMAIL.COM</v>
      </c>
    </row>
    <row r="134" spans="4:7" x14ac:dyDescent="0.25">
      <c r="D134" s="161" t="s">
        <v>1607</v>
      </c>
      <c r="E134" t="s">
        <v>1501</v>
      </c>
      <c r="F134" s="1" t="s">
        <v>1255</v>
      </c>
      <c r="G134" t="str">
        <f t="shared" si="2"/>
        <v>D'SOUZA@GMAIL.COM</v>
      </c>
    </row>
    <row r="135" spans="4:7" x14ac:dyDescent="0.25">
      <c r="D135" s="161" t="s">
        <v>1582</v>
      </c>
      <c r="E135" t="s">
        <v>1583</v>
      </c>
      <c r="F135" s="1" t="s">
        <v>1232</v>
      </c>
      <c r="G135" t="str">
        <f t="shared" si="2"/>
        <v>KALPANA@HOTMAIL.COM</v>
      </c>
    </row>
    <row r="136" spans="4:7" x14ac:dyDescent="0.25">
      <c r="D136" s="161" t="s">
        <v>1544</v>
      </c>
      <c r="E136" t="s">
        <v>1545</v>
      </c>
      <c r="F136" s="1" t="s">
        <v>1195</v>
      </c>
      <c r="G136" t="str">
        <f t="shared" si="2"/>
        <v>KINNARI@INDIATIMES.COM</v>
      </c>
    </row>
    <row r="137" spans="4:7" x14ac:dyDescent="0.25">
      <c r="D137" s="161" t="s">
        <v>1585</v>
      </c>
      <c r="E137" t="s">
        <v>1586</v>
      </c>
      <c r="F137" s="1" t="s">
        <v>1234</v>
      </c>
      <c r="G137" t="str">
        <f t="shared" si="2"/>
        <v>PINKY@MKCL.ORG</v>
      </c>
    </row>
    <row r="138" spans="4:7" x14ac:dyDescent="0.25">
      <c r="D138" s="161" t="s">
        <v>1498</v>
      </c>
      <c r="E138" t="s">
        <v>1499</v>
      </c>
      <c r="F138" s="1" t="s">
        <v>1144</v>
      </c>
      <c r="G138" t="str">
        <f t="shared" si="2"/>
        <v>RAJA@REDIFFMAIL.COM</v>
      </c>
    </row>
    <row r="139" spans="4:7" x14ac:dyDescent="0.25">
      <c r="D139" s="161" t="s">
        <v>1502</v>
      </c>
      <c r="E139" t="s">
        <v>1499</v>
      </c>
      <c r="F139" s="1" t="s">
        <v>1148</v>
      </c>
      <c r="G139" t="str">
        <f t="shared" si="2"/>
        <v>KULDEEP@REDIFFMAIL.COM</v>
      </c>
    </row>
    <row r="140" spans="4:7" x14ac:dyDescent="0.25">
      <c r="D140" s="161" t="s">
        <v>1503</v>
      </c>
      <c r="E140" t="s">
        <v>1499</v>
      </c>
      <c r="F140" s="1" t="s">
        <v>1150</v>
      </c>
      <c r="G140" t="str">
        <f t="shared" si="2"/>
        <v>BEENA@REDIFFMAIL.COM</v>
      </c>
    </row>
    <row r="141" spans="4:7" x14ac:dyDescent="0.25">
      <c r="D141" s="161" t="s">
        <v>1508</v>
      </c>
      <c r="E141" t="s">
        <v>1499</v>
      </c>
      <c r="F141" s="1" t="s">
        <v>1157</v>
      </c>
      <c r="G141" t="str">
        <f t="shared" si="2"/>
        <v>NEENA@REDIFFMAIL.COM</v>
      </c>
    </row>
    <row r="142" spans="4:7" x14ac:dyDescent="0.25">
      <c r="D142" s="161" t="s">
        <v>1511</v>
      </c>
      <c r="E142" t="s">
        <v>1499</v>
      </c>
      <c r="F142" s="1" t="s">
        <v>1161</v>
      </c>
      <c r="G142" t="str">
        <f t="shared" si="2"/>
        <v>ANDRE@REDIFFMAIL.COM</v>
      </c>
    </row>
    <row r="143" spans="4:7" x14ac:dyDescent="0.25">
      <c r="D143" s="161" t="s">
        <v>1513</v>
      </c>
      <c r="E143" t="s">
        <v>1499</v>
      </c>
      <c r="F143" s="1" t="s">
        <v>1163</v>
      </c>
      <c r="G143" t="str">
        <f t="shared" si="2"/>
        <v>SHILPA@REDIFFMAIL.COM</v>
      </c>
    </row>
    <row r="144" spans="4:7" x14ac:dyDescent="0.25">
      <c r="D144" s="161" t="s">
        <v>1520</v>
      </c>
      <c r="E144" t="s">
        <v>1499</v>
      </c>
      <c r="F144" s="1" t="s">
        <v>1172</v>
      </c>
      <c r="G144" t="str">
        <f t="shared" si="2"/>
        <v>PARVATI@REDIFFMAIL.COM</v>
      </c>
    </row>
    <row r="145" spans="4:7" x14ac:dyDescent="0.25">
      <c r="D145" s="161" t="s">
        <v>1521</v>
      </c>
      <c r="E145" t="s">
        <v>1499</v>
      </c>
      <c r="F145" s="1" t="s">
        <v>1173</v>
      </c>
      <c r="G145" t="str">
        <f t="shared" si="2"/>
        <v>FARHAN@REDIFFMAIL.COM</v>
      </c>
    </row>
    <row r="146" spans="4:7" x14ac:dyDescent="0.25">
      <c r="D146" s="161" t="s">
        <v>1523</v>
      </c>
      <c r="E146" t="s">
        <v>1499</v>
      </c>
      <c r="F146" s="1" t="s">
        <v>1175</v>
      </c>
      <c r="G146" t="str">
        <f t="shared" si="2"/>
        <v>SUCHITA@REDIFFMAIL.COM</v>
      </c>
    </row>
    <row r="147" spans="4:7" x14ac:dyDescent="0.25">
      <c r="D147" s="161" t="s">
        <v>1524</v>
      </c>
      <c r="E147" t="s">
        <v>1499</v>
      </c>
      <c r="F147" s="1" t="s">
        <v>1176</v>
      </c>
      <c r="G147" t="str">
        <f t="shared" si="2"/>
        <v>SHAZIA@REDIFFMAIL.COM</v>
      </c>
    </row>
    <row r="148" spans="4:7" x14ac:dyDescent="0.25">
      <c r="D148" s="161" t="s">
        <v>1525</v>
      </c>
      <c r="E148" t="s">
        <v>1499</v>
      </c>
      <c r="F148" s="1" t="s">
        <v>1177</v>
      </c>
      <c r="G148" t="str">
        <f t="shared" si="2"/>
        <v>POOJA@REDIFFMAIL.COM</v>
      </c>
    </row>
    <row r="149" spans="4:7" x14ac:dyDescent="0.25">
      <c r="D149" s="161" t="s">
        <v>1528</v>
      </c>
      <c r="E149" t="s">
        <v>1499</v>
      </c>
      <c r="F149" s="1" t="s">
        <v>1179</v>
      </c>
      <c r="G149" t="str">
        <f t="shared" si="2"/>
        <v>BHARAT@REDIFFMAIL.COM</v>
      </c>
    </row>
    <row r="150" spans="4:7" x14ac:dyDescent="0.25">
      <c r="D150" s="161" t="s">
        <v>1531</v>
      </c>
      <c r="E150" t="s">
        <v>1499</v>
      </c>
      <c r="F150" s="1" t="s">
        <v>1182</v>
      </c>
      <c r="G150" t="str">
        <f t="shared" si="2"/>
        <v>HAJRA@REDIFFMAIL.COM</v>
      </c>
    </row>
    <row r="151" spans="4:7" x14ac:dyDescent="0.25">
      <c r="D151" s="161" t="s">
        <v>1533</v>
      </c>
      <c r="E151" t="s">
        <v>1499</v>
      </c>
      <c r="F151" s="1" t="s">
        <v>1184</v>
      </c>
      <c r="G151" t="str">
        <f t="shared" si="2"/>
        <v>GIRIRAJ@REDIFFMAIL.COM</v>
      </c>
    </row>
    <row r="152" spans="4:7" x14ac:dyDescent="0.25">
      <c r="D152" s="161" t="s">
        <v>1537</v>
      </c>
      <c r="E152" t="s">
        <v>1499</v>
      </c>
      <c r="F152" s="1" t="s">
        <v>1188</v>
      </c>
      <c r="G152" t="str">
        <f t="shared" si="2"/>
        <v>ARUN@REDIFFMAIL.COM</v>
      </c>
    </row>
    <row r="153" spans="4:7" x14ac:dyDescent="0.25">
      <c r="D153" s="161" t="s">
        <v>1538</v>
      </c>
      <c r="E153" t="s">
        <v>1499</v>
      </c>
      <c r="F153" s="1" t="s">
        <v>1189</v>
      </c>
      <c r="G153" t="str">
        <f t="shared" si="2"/>
        <v>CHITRA@REDIFFMAIL.COM</v>
      </c>
    </row>
    <row r="154" spans="4:7" x14ac:dyDescent="0.25">
      <c r="D154" s="161" t="s">
        <v>1539</v>
      </c>
      <c r="E154" t="s">
        <v>1499</v>
      </c>
      <c r="F154" s="1" t="s">
        <v>1190</v>
      </c>
      <c r="G154" t="str">
        <f t="shared" si="2"/>
        <v>RICHA@REDIFFMAIL.COM</v>
      </c>
    </row>
    <row r="155" spans="4:7" x14ac:dyDescent="0.25">
      <c r="D155" s="161" t="s">
        <v>1540</v>
      </c>
      <c r="E155" t="s">
        <v>1499</v>
      </c>
      <c r="F155" s="1" t="s">
        <v>1191</v>
      </c>
      <c r="G155" t="str">
        <f t="shared" si="2"/>
        <v>KIRTIKAR@REDIFFMAIL.COM</v>
      </c>
    </row>
    <row r="156" spans="4:7" x14ac:dyDescent="0.25">
      <c r="D156" s="161" t="s">
        <v>1547</v>
      </c>
      <c r="E156" t="s">
        <v>1499</v>
      </c>
      <c r="F156" s="1" t="s">
        <v>1197</v>
      </c>
      <c r="G156" t="str">
        <f t="shared" si="2"/>
        <v>VICKY@REDIFFMAIL.COM</v>
      </c>
    </row>
    <row r="157" spans="4:7" x14ac:dyDescent="0.25">
      <c r="D157" s="161" t="s">
        <v>1548</v>
      </c>
      <c r="E157" t="s">
        <v>1499</v>
      </c>
      <c r="F157" s="1" t="s">
        <v>1198</v>
      </c>
      <c r="G157" t="str">
        <f t="shared" si="2"/>
        <v>NEHA@REDIFFMAIL.COM</v>
      </c>
    </row>
    <row r="158" spans="4:7" x14ac:dyDescent="0.25">
      <c r="D158" s="161" t="s">
        <v>1550</v>
      </c>
      <c r="E158" t="s">
        <v>1499</v>
      </c>
      <c r="F158" s="1" t="s">
        <v>1200</v>
      </c>
      <c r="G158" t="str">
        <f t="shared" si="2"/>
        <v>RUHEAL@REDIFFMAIL.COM</v>
      </c>
    </row>
    <row r="159" spans="4:7" x14ac:dyDescent="0.25">
      <c r="D159" s="161" t="s">
        <v>1553</v>
      </c>
      <c r="E159" t="s">
        <v>1499</v>
      </c>
      <c r="F159" s="1" t="s">
        <v>1203</v>
      </c>
      <c r="G159" t="str">
        <f t="shared" si="2"/>
        <v>MEHUL@REDIFFMAIL.COM</v>
      </c>
    </row>
    <row r="160" spans="4:7" x14ac:dyDescent="0.25">
      <c r="D160" s="161" t="s">
        <v>1554</v>
      </c>
      <c r="E160" t="s">
        <v>1499</v>
      </c>
      <c r="F160" s="1" t="s">
        <v>1204</v>
      </c>
      <c r="G160" t="str">
        <f t="shared" si="2"/>
        <v>VISHAL@REDIFFMAIL.COM</v>
      </c>
    </row>
    <row r="161" spans="4:7" x14ac:dyDescent="0.25">
      <c r="D161" s="161" t="s">
        <v>1557</v>
      </c>
      <c r="E161" t="s">
        <v>1499</v>
      </c>
      <c r="F161" s="1" t="s">
        <v>1207</v>
      </c>
      <c r="G161" t="str">
        <f t="shared" si="2"/>
        <v>KATTI@REDIFFMAIL.COM</v>
      </c>
    </row>
    <row r="162" spans="4:7" x14ac:dyDescent="0.25">
      <c r="D162" s="161" t="s">
        <v>1558</v>
      </c>
      <c r="E162" t="s">
        <v>1499</v>
      </c>
      <c r="F162" s="1" t="s">
        <v>1208</v>
      </c>
      <c r="G162" t="str">
        <f t="shared" si="2"/>
        <v>MAYA@REDIFFMAIL.COM</v>
      </c>
    </row>
    <row r="163" spans="4:7" x14ac:dyDescent="0.25">
      <c r="D163" s="161" t="s">
        <v>1589</v>
      </c>
      <c r="E163" t="s">
        <v>1499</v>
      </c>
      <c r="F163" s="1" t="s">
        <v>1237</v>
      </c>
      <c r="G163" t="str">
        <f t="shared" ref="G163:G198" si="3">D163&amp;"@"&amp;E163</f>
        <v>JIGNESH@REDIFFMAIL.COM</v>
      </c>
    </row>
    <row r="164" spans="4:7" x14ac:dyDescent="0.25">
      <c r="D164" s="161" t="s">
        <v>1591</v>
      </c>
      <c r="E164" t="s">
        <v>1499</v>
      </c>
      <c r="F164" s="1" t="s">
        <v>1239</v>
      </c>
      <c r="G164" t="str">
        <f t="shared" si="3"/>
        <v>TEJAL@REDIFFMAIL.COM</v>
      </c>
    </row>
    <row r="165" spans="4:7" x14ac:dyDescent="0.25">
      <c r="D165" s="161" t="s">
        <v>1592</v>
      </c>
      <c r="E165" t="s">
        <v>1499</v>
      </c>
      <c r="F165" s="1" t="s">
        <v>1240</v>
      </c>
      <c r="G165" t="str">
        <f t="shared" si="3"/>
        <v>PRIYANKA@REDIFFMAIL.COM</v>
      </c>
    </row>
    <row r="166" spans="4:7" x14ac:dyDescent="0.25">
      <c r="D166" s="161" t="s">
        <v>1593</v>
      </c>
      <c r="E166" t="s">
        <v>1499</v>
      </c>
      <c r="F166" s="1" t="s">
        <v>1241</v>
      </c>
      <c r="G166" t="str">
        <f t="shared" si="3"/>
        <v>NIKI@REDIFFMAIL.COM</v>
      </c>
    </row>
    <row r="167" spans="4:7" x14ac:dyDescent="0.25">
      <c r="D167" s="161" t="s">
        <v>1596</v>
      </c>
      <c r="E167" t="s">
        <v>1499</v>
      </c>
      <c r="F167" s="1" t="s">
        <v>1244</v>
      </c>
      <c r="G167" t="str">
        <f t="shared" si="3"/>
        <v>RADHIKA@REDIFFMAIL.COM</v>
      </c>
    </row>
    <row r="168" spans="4:7" x14ac:dyDescent="0.25">
      <c r="D168" s="161" t="s">
        <v>1604</v>
      </c>
      <c r="E168" t="s">
        <v>1499</v>
      </c>
      <c r="F168" s="1" t="s">
        <v>1252</v>
      </c>
      <c r="G168" t="str">
        <f t="shared" si="3"/>
        <v>SHARMA@REDIFFMAIL.COM</v>
      </c>
    </row>
    <row r="169" spans="4:7" x14ac:dyDescent="0.25">
      <c r="D169" s="161" t="s">
        <v>1526</v>
      </c>
      <c r="E169" t="s">
        <v>1527</v>
      </c>
      <c r="F169" s="1" t="s">
        <v>1178</v>
      </c>
      <c r="G169" t="str">
        <f t="shared" si="3"/>
        <v>JASBINDER@SIFY.COM</v>
      </c>
    </row>
    <row r="170" spans="4:7" x14ac:dyDescent="0.25">
      <c r="D170" s="161" t="s">
        <v>1587</v>
      </c>
      <c r="E170" t="s">
        <v>1527</v>
      </c>
      <c r="F170" s="1" t="s">
        <v>1235</v>
      </c>
      <c r="G170" t="str">
        <f t="shared" si="3"/>
        <v>RUBY@SIFY.COM</v>
      </c>
    </row>
    <row r="171" spans="4:7" x14ac:dyDescent="0.25">
      <c r="D171" s="161" t="s">
        <v>1509</v>
      </c>
      <c r="E171" t="s">
        <v>1510</v>
      </c>
      <c r="F171" s="1" t="s">
        <v>1159</v>
      </c>
      <c r="G171" t="str">
        <f t="shared" si="3"/>
        <v>PANKAJ@YAHOO.CO.IN</v>
      </c>
    </row>
    <row r="172" spans="4:7" x14ac:dyDescent="0.25">
      <c r="D172" s="161" t="s">
        <v>1512</v>
      </c>
      <c r="E172" t="s">
        <v>1510</v>
      </c>
      <c r="F172" s="1" t="s">
        <v>1162</v>
      </c>
      <c r="G172" t="str">
        <f t="shared" si="3"/>
        <v>SUJAY@YAHOO.CO.IN</v>
      </c>
    </row>
    <row r="173" spans="4:7" x14ac:dyDescent="0.25">
      <c r="D173" s="161" t="s">
        <v>1519</v>
      </c>
      <c r="E173" t="s">
        <v>1510</v>
      </c>
      <c r="F173" s="1" t="s">
        <v>1170</v>
      </c>
      <c r="G173" t="str">
        <f t="shared" si="3"/>
        <v>AAKASH@YAHOO.CO.IN</v>
      </c>
    </row>
    <row r="174" spans="4:7" x14ac:dyDescent="0.25">
      <c r="D174" s="161" t="s">
        <v>1535</v>
      </c>
      <c r="E174" t="s">
        <v>1510</v>
      </c>
      <c r="F174" s="1" t="s">
        <v>1186</v>
      </c>
      <c r="G174" t="str">
        <f t="shared" si="3"/>
        <v>TAPAN@YAHOO.CO.IN</v>
      </c>
    </row>
    <row r="175" spans="4:7" x14ac:dyDescent="0.25">
      <c r="D175" s="161" t="s">
        <v>1536</v>
      </c>
      <c r="E175" t="s">
        <v>1510</v>
      </c>
      <c r="F175" s="1" t="s">
        <v>1187</v>
      </c>
      <c r="G175" t="str">
        <f t="shared" si="3"/>
        <v>ZARINA@YAHOO.CO.IN</v>
      </c>
    </row>
    <row r="176" spans="4:7" x14ac:dyDescent="0.25">
      <c r="D176" s="161" t="s">
        <v>1541</v>
      </c>
      <c r="E176" t="s">
        <v>1510</v>
      </c>
      <c r="F176" s="1" t="s">
        <v>1192</v>
      </c>
      <c r="G176" t="str">
        <f t="shared" si="3"/>
        <v>PIYUSH@YAHOO.CO.IN</v>
      </c>
    </row>
    <row r="177" spans="4:7" x14ac:dyDescent="0.25">
      <c r="D177" s="161" t="s">
        <v>1588</v>
      </c>
      <c r="E177" t="s">
        <v>1510</v>
      </c>
      <c r="F177" s="1" t="s">
        <v>1236</v>
      </c>
      <c r="G177" t="str">
        <f t="shared" si="3"/>
        <v>SONIA@YAHOO.CO.IN</v>
      </c>
    </row>
    <row r="178" spans="4:7" x14ac:dyDescent="0.25">
      <c r="D178" s="161" t="s">
        <v>1595</v>
      </c>
      <c r="E178" t="s">
        <v>1510</v>
      </c>
      <c r="F178" s="1" t="s">
        <v>1243</v>
      </c>
      <c r="G178" t="str">
        <f t="shared" si="3"/>
        <v>HARSHA@YAHOO.CO.IN</v>
      </c>
    </row>
    <row r="179" spans="4:7" x14ac:dyDescent="0.25">
      <c r="D179" s="161" t="s">
        <v>1598</v>
      </c>
      <c r="E179" t="s">
        <v>1510</v>
      </c>
      <c r="F179" s="1" t="s">
        <v>1246</v>
      </c>
      <c r="G179" t="str">
        <f t="shared" si="3"/>
        <v>PUSHPA@YAHOO.CO.IN</v>
      </c>
    </row>
    <row r="180" spans="4:7" x14ac:dyDescent="0.25">
      <c r="D180" s="161" t="s">
        <v>1599</v>
      </c>
      <c r="E180" t="s">
        <v>1510</v>
      </c>
      <c r="F180" s="1" t="s">
        <v>1247</v>
      </c>
      <c r="G180" t="str">
        <f t="shared" si="3"/>
        <v>CHETAN@YAHOO.CO.IN</v>
      </c>
    </row>
    <row r="181" spans="4:7" x14ac:dyDescent="0.25">
      <c r="D181" s="161" t="s">
        <v>1600</v>
      </c>
      <c r="E181" t="s">
        <v>1510</v>
      </c>
      <c r="F181" s="1" t="s">
        <v>1248</v>
      </c>
      <c r="G181" t="str">
        <f t="shared" si="3"/>
        <v>INDU@YAHOO.CO.IN</v>
      </c>
    </row>
    <row r="182" spans="4:7" x14ac:dyDescent="0.25">
      <c r="D182" s="161" t="s">
        <v>1603</v>
      </c>
      <c r="E182" t="s">
        <v>1510</v>
      </c>
      <c r="F182" s="1" t="s">
        <v>1251</v>
      </c>
      <c r="G182" t="str">
        <f t="shared" si="3"/>
        <v>SHINDE@YAHOO.CO.IN</v>
      </c>
    </row>
    <row r="183" spans="4:7" x14ac:dyDescent="0.25">
      <c r="D183" s="161" t="s">
        <v>1514</v>
      </c>
      <c r="E183" t="s">
        <v>1515</v>
      </c>
      <c r="F183" s="1" t="s">
        <v>1164</v>
      </c>
      <c r="G183" t="str">
        <f t="shared" si="3"/>
        <v>MEERA@YAHOO.COM</v>
      </c>
    </row>
    <row r="184" spans="4:7" x14ac:dyDescent="0.25">
      <c r="D184" s="161" t="s">
        <v>1522</v>
      </c>
      <c r="E184" t="s">
        <v>1515</v>
      </c>
      <c r="F184" s="1" t="s">
        <v>1174</v>
      </c>
      <c r="G184" t="str">
        <f t="shared" si="3"/>
        <v>SATINDER@YAHOO.COM</v>
      </c>
    </row>
    <row r="185" spans="4:7" x14ac:dyDescent="0.25">
      <c r="D185" s="161" t="s">
        <v>1529</v>
      </c>
      <c r="E185" t="s">
        <v>1515</v>
      </c>
      <c r="F185" s="1" t="s">
        <v>1180</v>
      </c>
      <c r="G185" t="str">
        <f t="shared" si="3"/>
        <v>RISHI@YAHOO.COM</v>
      </c>
    </row>
    <row r="186" spans="4:7" x14ac:dyDescent="0.25">
      <c r="D186" s="161" t="s">
        <v>1530</v>
      </c>
      <c r="E186" t="s">
        <v>1515</v>
      </c>
      <c r="F186" s="1" t="s">
        <v>1181</v>
      </c>
      <c r="G186" t="str">
        <f t="shared" si="3"/>
        <v>MALA@YAHOO.COM</v>
      </c>
    </row>
    <row r="187" spans="4:7" x14ac:dyDescent="0.25">
      <c r="D187" s="161" t="s">
        <v>1532</v>
      </c>
      <c r="E187" t="s">
        <v>1515</v>
      </c>
      <c r="F187" s="1" t="s">
        <v>1183</v>
      </c>
      <c r="G187" t="str">
        <f t="shared" si="3"/>
        <v>AALAM@YAHOO.COM</v>
      </c>
    </row>
    <row r="188" spans="4:7" x14ac:dyDescent="0.25">
      <c r="D188" s="161" t="s">
        <v>1549</v>
      </c>
      <c r="E188" t="s">
        <v>1515</v>
      </c>
      <c r="F188" s="1" t="s">
        <v>1199</v>
      </c>
      <c r="G188" t="str">
        <f t="shared" si="3"/>
        <v>RAKESH@YAHOO.COM</v>
      </c>
    </row>
    <row r="189" spans="4:7" x14ac:dyDescent="0.25">
      <c r="D189" s="161" t="s">
        <v>1560</v>
      </c>
      <c r="E189" t="s">
        <v>1515</v>
      </c>
      <c r="F189" s="1" t="s">
        <v>1210</v>
      </c>
      <c r="G189" t="str">
        <f t="shared" si="3"/>
        <v>GEETA@YAHOO.COM</v>
      </c>
    </row>
    <row r="190" spans="4:7" x14ac:dyDescent="0.25">
      <c r="D190" s="161" t="s">
        <v>1581</v>
      </c>
      <c r="E190" t="s">
        <v>1515</v>
      </c>
      <c r="F190" s="1" t="s">
        <v>1231</v>
      </c>
      <c r="G190" t="str">
        <f t="shared" si="3"/>
        <v>TARA@YAHOO.COM</v>
      </c>
    </row>
    <row r="191" spans="4:7" x14ac:dyDescent="0.25">
      <c r="D191" s="161" t="s">
        <v>1584</v>
      </c>
      <c r="E191" t="s">
        <v>1515</v>
      </c>
      <c r="F191" s="1" t="s">
        <v>1233</v>
      </c>
      <c r="G191" t="str">
        <f t="shared" si="3"/>
        <v>KUNAL@YAHOO.COM</v>
      </c>
    </row>
    <row r="192" spans="4:7" x14ac:dyDescent="0.25">
      <c r="D192" s="161" t="s">
        <v>1590</v>
      </c>
      <c r="E192" t="s">
        <v>1515</v>
      </c>
      <c r="F192" s="1" t="s">
        <v>1238</v>
      </c>
      <c r="G192" t="str">
        <f t="shared" si="3"/>
        <v>VINIT@YAHOO.COM</v>
      </c>
    </row>
    <row r="193" spans="4:7" x14ac:dyDescent="0.25">
      <c r="D193" s="161" t="s">
        <v>1594</v>
      </c>
      <c r="E193" t="s">
        <v>1515</v>
      </c>
      <c r="F193" s="1" t="s">
        <v>1242</v>
      </c>
      <c r="G193" t="str">
        <f t="shared" si="3"/>
        <v>PAYAL@YAHOO.COM</v>
      </c>
    </row>
    <row r="194" spans="4:7" x14ac:dyDescent="0.25">
      <c r="D194" s="161" t="s">
        <v>1597</v>
      </c>
      <c r="E194" t="s">
        <v>1515</v>
      </c>
      <c r="F194" s="1" t="s">
        <v>1245</v>
      </c>
      <c r="G194" t="str">
        <f t="shared" si="3"/>
        <v>KABIR@YAHOO.COM</v>
      </c>
    </row>
    <row r="195" spans="4:7" x14ac:dyDescent="0.25">
      <c r="D195" s="161" t="s">
        <v>1601</v>
      </c>
      <c r="E195" t="s">
        <v>1515</v>
      </c>
      <c r="F195" s="1" t="s">
        <v>1249</v>
      </c>
      <c r="G195" t="str">
        <f t="shared" si="3"/>
        <v>RUPESH@YAHOO.COM</v>
      </c>
    </row>
    <row r="196" spans="4:7" x14ac:dyDescent="0.25">
      <c r="D196" s="161" t="s">
        <v>1606</v>
      </c>
      <c r="E196" t="s">
        <v>1515</v>
      </c>
      <c r="F196" s="1" t="s">
        <v>1254</v>
      </c>
      <c r="G196" t="str">
        <f t="shared" si="3"/>
        <v>RANGANATHAN@YAHOO.COM</v>
      </c>
    </row>
    <row r="197" spans="4:7" x14ac:dyDescent="0.25">
      <c r="D197" s="161" t="s">
        <v>1542</v>
      </c>
      <c r="E197" t="s">
        <v>1543</v>
      </c>
      <c r="F197" s="1" t="s">
        <v>1193</v>
      </c>
      <c r="G197" t="str">
        <f t="shared" si="3"/>
        <v>SHAHEEN@YAHOO.IN</v>
      </c>
    </row>
    <row r="198" spans="4:7" x14ac:dyDescent="0.25">
      <c r="D198" s="161" t="s">
        <v>1505</v>
      </c>
      <c r="E198" t="s">
        <v>1506</v>
      </c>
      <c r="F198" s="1" t="s">
        <v>1154</v>
      </c>
      <c r="G198" t="str">
        <f t="shared" si="3"/>
        <v>JULIE@YMAIL.COM</v>
      </c>
    </row>
  </sheetData>
  <sortState ref="D99:E198">
    <sortCondition ref="E9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tabColor rgb="FFFF0000"/>
  </sheetPr>
  <dimension ref="B2:K62"/>
  <sheetViews>
    <sheetView workbookViewId="0">
      <selection activeCell="C4" sqref="C4"/>
    </sheetView>
  </sheetViews>
  <sheetFormatPr defaultRowHeight="15" x14ac:dyDescent="0.25"/>
  <cols>
    <col min="3" max="3" width="18.85546875" bestFit="1" customWidth="1"/>
  </cols>
  <sheetData>
    <row r="2" spans="2:11" x14ac:dyDescent="0.25">
      <c r="B2" s="238" t="s">
        <v>805</v>
      </c>
      <c r="C2" s="239" t="s">
        <v>630</v>
      </c>
      <c r="D2" s="239" t="s">
        <v>1263</v>
      </c>
      <c r="E2" s="239" t="s">
        <v>1264</v>
      </c>
      <c r="F2" s="239" t="s">
        <v>742</v>
      </c>
      <c r="G2" s="239" t="s">
        <v>743</v>
      </c>
      <c r="H2" s="239" t="s">
        <v>744</v>
      </c>
    </row>
    <row r="3" spans="2:11" x14ac:dyDescent="0.25">
      <c r="B3" s="236">
        <v>1</v>
      </c>
      <c r="C3" s="94" t="s">
        <v>806</v>
      </c>
      <c r="D3" s="94">
        <v>2016</v>
      </c>
      <c r="E3" s="94" t="s">
        <v>782</v>
      </c>
      <c r="F3" s="94">
        <v>70</v>
      </c>
      <c r="G3" s="94">
        <v>29</v>
      </c>
      <c r="H3" s="94">
        <v>86</v>
      </c>
    </row>
    <row r="4" spans="2:11" x14ac:dyDescent="0.25">
      <c r="B4" s="237">
        <v>2</v>
      </c>
      <c r="C4" s="95" t="s">
        <v>807</v>
      </c>
      <c r="D4" s="95">
        <v>2016</v>
      </c>
      <c r="E4" s="94" t="s">
        <v>782</v>
      </c>
      <c r="F4" s="95">
        <v>90</v>
      </c>
      <c r="G4" s="95">
        <v>85</v>
      </c>
      <c r="H4" s="95">
        <v>57</v>
      </c>
      <c r="K4" s="180">
        <v>21875</v>
      </c>
    </row>
    <row r="5" spans="2:11" x14ac:dyDescent="0.25">
      <c r="B5" s="236">
        <v>3</v>
      </c>
      <c r="C5" s="94" t="s">
        <v>808</v>
      </c>
      <c r="D5" s="94">
        <v>2016</v>
      </c>
      <c r="E5" s="94" t="s">
        <v>782</v>
      </c>
      <c r="F5" s="94">
        <v>65</v>
      </c>
      <c r="G5" s="94">
        <v>75</v>
      </c>
      <c r="H5" s="94">
        <v>15</v>
      </c>
      <c r="K5" s="181">
        <v>17500</v>
      </c>
    </row>
    <row r="6" spans="2:11" x14ac:dyDescent="0.25">
      <c r="B6" s="237">
        <v>4</v>
      </c>
      <c r="C6" s="95" t="s">
        <v>809</v>
      </c>
      <c r="D6" s="95">
        <v>2016</v>
      </c>
      <c r="E6" s="94" t="s">
        <v>206</v>
      </c>
      <c r="F6" s="95">
        <v>89</v>
      </c>
      <c r="G6" s="95">
        <v>68</v>
      </c>
      <c r="H6" s="95">
        <v>75</v>
      </c>
      <c r="K6" s="180">
        <v>7000</v>
      </c>
    </row>
    <row r="7" spans="2:11" x14ac:dyDescent="0.25">
      <c r="B7" s="236">
        <v>5</v>
      </c>
      <c r="C7" s="94" t="s">
        <v>810</v>
      </c>
      <c r="D7" s="94">
        <v>2016</v>
      </c>
      <c r="E7" s="94" t="s">
        <v>782</v>
      </c>
      <c r="F7" s="94">
        <v>22</v>
      </c>
      <c r="G7" s="94">
        <v>23</v>
      </c>
      <c r="H7" s="94">
        <v>89</v>
      </c>
      <c r="K7" s="181">
        <v>12250</v>
      </c>
    </row>
    <row r="8" spans="2:11" x14ac:dyDescent="0.25">
      <c r="B8" s="237">
        <v>6</v>
      </c>
      <c r="C8" s="95" t="s">
        <v>806</v>
      </c>
      <c r="D8" s="95">
        <v>2016</v>
      </c>
      <c r="E8" s="96" t="s">
        <v>206</v>
      </c>
      <c r="F8" s="95">
        <v>14</v>
      </c>
      <c r="G8" s="95">
        <v>85</v>
      </c>
      <c r="H8" s="95">
        <v>84</v>
      </c>
      <c r="K8" s="180">
        <v>21000</v>
      </c>
    </row>
    <row r="9" spans="2:11" x14ac:dyDescent="0.25">
      <c r="B9" s="236">
        <v>7</v>
      </c>
      <c r="C9" s="94" t="s">
        <v>807</v>
      </c>
      <c r="D9" s="94">
        <v>2016</v>
      </c>
      <c r="E9" s="96" t="s">
        <v>206</v>
      </c>
      <c r="F9" s="94">
        <v>85</v>
      </c>
      <c r="G9" s="94">
        <f>86</f>
        <v>86</v>
      </c>
      <c r="H9" s="94">
        <v>29</v>
      </c>
      <c r="K9" s="181">
        <v>12425</v>
      </c>
    </row>
    <row r="10" spans="2:11" x14ac:dyDescent="0.25">
      <c r="B10" s="237">
        <v>8</v>
      </c>
      <c r="C10" s="95" t="s">
        <v>808</v>
      </c>
      <c r="D10" s="95">
        <v>2016</v>
      </c>
      <c r="E10" s="96" t="s">
        <v>206</v>
      </c>
      <c r="F10" s="95">
        <v>25</v>
      </c>
      <c r="G10" s="95">
        <v>78</v>
      </c>
      <c r="H10" s="95">
        <v>79</v>
      </c>
      <c r="K10" s="180">
        <v>13825</v>
      </c>
    </row>
    <row r="11" spans="2:11" x14ac:dyDescent="0.25">
      <c r="B11" s="236">
        <v>9</v>
      </c>
      <c r="C11" s="94" t="s">
        <v>809</v>
      </c>
      <c r="D11" s="94">
        <v>2016</v>
      </c>
      <c r="E11" s="96" t="s">
        <v>206</v>
      </c>
      <c r="F11" s="94">
        <v>26</v>
      </c>
      <c r="G11" s="94">
        <v>35</v>
      </c>
      <c r="H11" s="94">
        <v>56</v>
      </c>
      <c r="K11" s="181">
        <v>12425</v>
      </c>
    </row>
    <row r="12" spans="2:11" x14ac:dyDescent="0.25">
      <c r="B12" s="237">
        <v>10</v>
      </c>
      <c r="C12" s="95" t="s">
        <v>810</v>
      </c>
      <c r="D12" s="95">
        <v>2016</v>
      </c>
      <c r="E12" s="96" t="s">
        <v>206</v>
      </c>
      <c r="F12" s="95">
        <v>25</v>
      </c>
      <c r="G12" s="95">
        <v>75</v>
      </c>
      <c r="H12" s="95">
        <v>43</v>
      </c>
      <c r="K12" s="180">
        <v>78545</v>
      </c>
    </row>
    <row r="13" spans="2:11" x14ac:dyDescent="0.25">
      <c r="B13" s="236">
        <v>11</v>
      </c>
      <c r="C13" s="94" t="s">
        <v>806</v>
      </c>
      <c r="D13" s="94">
        <v>2016</v>
      </c>
      <c r="E13" s="96" t="s">
        <v>207</v>
      </c>
      <c r="F13" s="94">
        <v>36</v>
      </c>
      <c r="G13" s="94">
        <v>15</v>
      </c>
      <c r="H13" s="94">
        <v>65</v>
      </c>
      <c r="K13" s="181">
        <v>15750</v>
      </c>
    </row>
    <row r="14" spans="2:11" x14ac:dyDescent="0.25">
      <c r="B14" s="237">
        <v>12</v>
      </c>
      <c r="C14" s="95" t="s">
        <v>807</v>
      </c>
      <c r="D14" s="95">
        <v>2016</v>
      </c>
      <c r="E14" s="96" t="s">
        <v>207</v>
      </c>
      <c r="F14" s="95">
        <v>70</v>
      </c>
      <c r="G14" s="95">
        <v>79</v>
      </c>
      <c r="H14" s="95">
        <v>48</v>
      </c>
      <c r="K14" s="180">
        <v>14875</v>
      </c>
    </row>
    <row r="15" spans="2:11" x14ac:dyDescent="0.25">
      <c r="B15" s="236">
        <v>13</v>
      </c>
      <c r="C15" s="94" t="s">
        <v>808</v>
      </c>
      <c r="D15" s="94">
        <v>2016</v>
      </c>
      <c r="E15" s="96" t="s">
        <v>207</v>
      </c>
      <c r="F15" s="94">
        <v>80</v>
      </c>
      <c r="G15" s="94">
        <v>50</v>
      </c>
      <c r="H15" s="94">
        <v>69</v>
      </c>
      <c r="K15" s="181">
        <v>21000</v>
      </c>
    </row>
    <row r="16" spans="2:11" x14ac:dyDescent="0.25">
      <c r="B16" s="237">
        <v>14</v>
      </c>
      <c r="C16" s="95" t="s">
        <v>809</v>
      </c>
      <c r="D16" s="95">
        <v>2016</v>
      </c>
      <c r="E16" s="96" t="s">
        <v>207</v>
      </c>
      <c r="F16" s="95">
        <v>59</v>
      </c>
      <c r="G16" s="95">
        <v>46</v>
      </c>
      <c r="H16" s="95">
        <v>61</v>
      </c>
      <c r="K16" s="180">
        <v>12000</v>
      </c>
    </row>
    <row r="17" spans="2:11" x14ac:dyDescent="0.25">
      <c r="B17" s="236">
        <v>15</v>
      </c>
      <c r="C17" s="94" t="s">
        <v>810</v>
      </c>
      <c r="D17" s="94">
        <v>2016</v>
      </c>
      <c r="E17" s="96" t="s">
        <v>207</v>
      </c>
      <c r="F17" s="94">
        <v>63</v>
      </c>
      <c r="G17" s="94">
        <v>56</v>
      </c>
      <c r="H17" s="94">
        <v>59</v>
      </c>
      <c r="K17" s="181">
        <v>49000</v>
      </c>
    </row>
    <row r="18" spans="2:11" x14ac:dyDescent="0.25">
      <c r="B18" s="237">
        <v>16</v>
      </c>
      <c r="C18" s="95" t="s">
        <v>806</v>
      </c>
      <c r="D18" s="95">
        <v>2016</v>
      </c>
      <c r="E18" s="96" t="s">
        <v>783</v>
      </c>
      <c r="F18" s="95">
        <v>70</v>
      </c>
      <c r="G18" s="95">
        <v>29</v>
      </c>
      <c r="H18" s="95">
        <v>52</v>
      </c>
      <c r="K18" s="180">
        <v>14875</v>
      </c>
    </row>
    <row r="19" spans="2:11" x14ac:dyDescent="0.25">
      <c r="B19" s="236">
        <v>17</v>
      </c>
      <c r="C19" s="94" t="s">
        <v>807</v>
      </c>
      <c r="D19" s="94">
        <v>2016</v>
      </c>
      <c r="E19" s="96" t="s">
        <v>783</v>
      </c>
      <c r="F19" s="94">
        <v>90</v>
      </c>
      <c r="G19" s="94">
        <v>85</v>
      </c>
      <c r="H19" s="94">
        <v>47</v>
      </c>
      <c r="K19" s="181">
        <v>14875</v>
      </c>
    </row>
    <row r="20" spans="2:11" x14ac:dyDescent="0.25">
      <c r="B20" s="237">
        <v>18</v>
      </c>
      <c r="C20" s="95" t="s">
        <v>808</v>
      </c>
      <c r="D20" s="95">
        <v>2016</v>
      </c>
      <c r="E20" s="96" t="s">
        <v>783</v>
      </c>
      <c r="F20" s="95">
        <v>80</v>
      </c>
      <c r="G20" s="95">
        <v>75</v>
      </c>
      <c r="H20" s="95">
        <v>39</v>
      </c>
      <c r="K20" s="180">
        <v>15750</v>
      </c>
    </row>
    <row r="21" spans="2:11" x14ac:dyDescent="0.25">
      <c r="B21" s="236">
        <v>19</v>
      </c>
      <c r="C21" s="94" t="s">
        <v>809</v>
      </c>
      <c r="D21" s="94">
        <v>2016</v>
      </c>
      <c r="E21" s="96" t="s">
        <v>783</v>
      </c>
      <c r="F21" s="94">
        <v>78</v>
      </c>
      <c r="G21" s="94">
        <v>68</v>
      </c>
      <c r="H21" s="94">
        <v>88</v>
      </c>
      <c r="K21" s="181">
        <v>15750</v>
      </c>
    </row>
    <row r="22" spans="2:11" x14ac:dyDescent="0.25">
      <c r="B22" s="237">
        <v>20</v>
      </c>
      <c r="C22" s="95" t="s">
        <v>810</v>
      </c>
      <c r="D22" s="95">
        <v>2016</v>
      </c>
      <c r="E22" s="96" t="s">
        <v>783</v>
      </c>
      <c r="F22" s="95">
        <v>80</v>
      </c>
      <c r="G22" s="95">
        <v>23</v>
      </c>
      <c r="H22" s="95">
        <v>79</v>
      </c>
    </row>
    <row r="23" spans="2:11" x14ac:dyDescent="0.25">
      <c r="B23" s="236">
        <v>21</v>
      </c>
      <c r="C23" s="94" t="s">
        <v>806</v>
      </c>
      <c r="D23" s="94">
        <v>2016</v>
      </c>
      <c r="E23" s="96" t="s">
        <v>791</v>
      </c>
      <c r="F23" s="94">
        <v>98</v>
      </c>
      <c r="G23" s="94">
        <v>85</v>
      </c>
      <c r="H23" s="94">
        <v>77</v>
      </c>
    </row>
    <row r="24" spans="2:11" x14ac:dyDescent="0.25">
      <c r="B24" s="237">
        <v>22</v>
      </c>
      <c r="C24" s="95" t="s">
        <v>807</v>
      </c>
      <c r="D24" s="95">
        <v>2016</v>
      </c>
      <c r="E24" s="96" t="s">
        <v>791</v>
      </c>
      <c r="F24" s="95">
        <v>36</v>
      </c>
      <c r="G24" s="95">
        <v>65</v>
      </c>
      <c r="H24" s="95">
        <v>90</v>
      </c>
    </row>
    <row r="25" spans="2:11" x14ac:dyDescent="0.25">
      <c r="B25" s="236">
        <v>23</v>
      </c>
      <c r="C25" s="94" t="s">
        <v>808</v>
      </c>
      <c r="D25" s="94">
        <v>2016</v>
      </c>
      <c r="E25" s="96" t="s">
        <v>791</v>
      </c>
      <c r="F25" s="94">
        <v>80</v>
      </c>
      <c r="G25" s="94">
        <v>26</v>
      </c>
      <c r="H25" s="94">
        <v>84</v>
      </c>
    </row>
    <row r="26" spans="2:11" x14ac:dyDescent="0.25">
      <c r="B26" s="237">
        <v>24</v>
      </c>
      <c r="C26" s="95" t="s">
        <v>809</v>
      </c>
      <c r="D26" s="95">
        <v>2016</v>
      </c>
      <c r="E26" s="96" t="s">
        <v>791</v>
      </c>
      <c r="F26" s="95">
        <v>78</v>
      </c>
      <c r="G26" s="95">
        <v>35</v>
      </c>
      <c r="H26" s="95">
        <v>76</v>
      </c>
    </row>
    <row r="27" spans="2:11" x14ac:dyDescent="0.25">
      <c r="B27" s="236">
        <v>25</v>
      </c>
      <c r="C27" s="94" t="s">
        <v>810</v>
      </c>
      <c r="D27" s="94">
        <v>2016</v>
      </c>
      <c r="E27" s="96" t="s">
        <v>791</v>
      </c>
      <c r="F27" s="94">
        <v>25</v>
      </c>
      <c r="G27" s="94">
        <v>75</v>
      </c>
      <c r="H27" s="94">
        <v>72</v>
      </c>
    </row>
    <row r="28" spans="2:11" x14ac:dyDescent="0.25">
      <c r="B28" s="237">
        <v>26</v>
      </c>
      <c r="C28" s="95" t="s">
        <v>806</v>
      </c>
      <c r="D28" s="95">
        <v>2016</v>
      </c>
      <c r="E28" s="96" t="s">
        <v>769</v>
      </c>
      <c r="F28" s="95">
        <v>36</v>
      </c>
      <c r="G28" s="95">
        <v>15</v>
      </c>
      <c r="H28" s="95">
        <v>71</v>
      </c>
    </row>
    <row r="29" spans="2:11" x14ac:dyDescent="0.25">
      <c r="B29" s="236">
        <v>27</v>
      </c>
      <c r="C29" s="94" t="s">
        <v>807</v>
      </c>
      <c r="D29" s="94">
        <v>2016</v>
      </c>
      <c r="E29" s="96" t="s">
        <v>769</v>
      </c>
      <c r="F29" s="94">
        <v>70</v>
      </c>
      <c r="G29" s="94">
        <v>79</v>
      </c>
      <c r="H29" s="94">
        <v>65</v>
      </c>
    </row>
    <row r="30" spans="2:11" x14ac:dyDescent="0.25">
      <c r="B30" s="237">
        <v>28</v>
      </c>
      <c r="C30" s="95" t="s">
        <v>808</v>
      </c>
      <c r="D30" s="95">
        <v>2016</v>
      </c>
      <c r="E30" s="96" t="s">
        <v>769</v>
      </c>
      <c r="F30" s="95">
        <v>80</v>
      </c>
      <c r="G30" s="95">
        <v>50</v>
      </c>
      <c r="H30" s="95">
        <v>62</v>
      </c>
    </row>
    <row r="31" spans="2:11" x14ac:dyDescent="0.25">
      <c r="B31" s="236">
        <v>29</v>
      </c>
      <c r="C31" s="94" t="s">
        <v>809</v>
      </c>
      <c r="D31" s="94">
        <v>2016</v>
      </c>
      <c r="E31" s="96" t="s">
        <v>769</v>
      </c>
      <c r="F31" s="94">
        <v>59</v>
      </c>
      <c r="G31" s="94">
        <v>46</v>
      </c>
      <c r="H31" s="94">
        <v>75</v>
      </c>
    </row>
    <row r="32" spans="2:11" x14ac:dyDescent="0.25">
      <c r="B32" s="237">
        <v>30</v>
      </c>
      <c r="C32" s="95" t="s">
        <v>810</v>
      </c>
      <c r="D32" s="95">
        <v>2016</v>
      </c>
      <c r="E32" s="96" t="s">
        <v>769</v>
      </c>
      <c r="F32" s="95">
        <v>49</v>
      </c>
      <c r="G32" s="95">
        <v>63</v>
      </c>
      <c r="H32" s="95">
        <v>56</v>
      </c>
    </row>
    <row r="33" spans="2:8" x14ac:dyDescent="0.25">
      <c r="B33" s="236">
        <v>31</v>
      </c>
      <c r="C33" s="94" t="s">
        <v>806</v>
      </c>
      <c r="D33" s="94">
        <v>2017</v>
      </c>
      <c r="E33" s="94" t="s">
        <v>782</v>
      </c>
      <c r="F33" s="94">
        <v>86</v>
      </c>
      <c r="G33" s="94">
        <v>70</v>
      </c>
      <c r="H33" s="94">
        <v>29</v>
      </c>
    </row>
    <row r="34" spans="2:8" x14ac:dyDescent="0.25">
      <c r="B34" s="237">
        <v>32</v>
      </c>
      <c r="C34" s="95" t="s">
        <v>807</v>
      </c>
      <c r="D34" s="95">
        <v>2017</v>
      </c>
      <c r="E34" s="94" t="s">
        <v>782</v>
      </c>
      <c r="F34" s="95">
        <v>57</v>
      </c>
      <c r="G34" s="95">
        <v>90</v>
      </c>
      <c r="H34" s="95">
        <v>85</v>
      </c>
    </row>
    <row r="35" spans="2:8" x14ac:dyDescent="0.25">
      <c r="B35" s="236">
        <v>33</v>
      </c>
      <c r="C35" s="94" t="s">
        <v>808</v>
      </c>
      <c r="D35" s="94">
        <v>2017</v>
      </c>
      <c r="E35" s="94" t="s">
        <v>782</v>
      </c>
      <c r="F35" s="94">
        <v>15</v>
      </c>
      <c r="G35" s="94">
        <v>80</v>
      </c>
      <c r="H35" s="94">
        <v>75</v>
      </c>
    </row>
    <row r="36" spans="2:8" x14ac:dyDescent="0.25">
      <c r="B36" s="237">
        <v>34</v>
      </c>
      <c r="C36" s="95" t="s">
        <v>809</v>
      </c>
      <c r="D36" s="95">
        <v>2017</v>
      </c>
      <c r="E36" s="94" t="s">
        <v>782</v>
      </c>
      <c r="F36" s="95">
        <v>75</v>
      </c>
      <c r="G36" s="95">
        <v>78</v>
      </c>
      <c r="H36" s="95">
        <v>68</v>
      </c>
    </row>
    <row r="37" spans="2:8" x14ac:dyDescent="0.25">
      <c r="B37" s="236">
        <v>35</v>
      </c>
      <c r="C37" s="94" t="s">
        <v>810</v>
      </c>
      <c r="D37" s="94">
        <v>2017</v>
      </c>
      <c r="E37" s="94" t="s">
        <v>782</v>
      </c>
      <c r="F37" s="94">
        <v>89</v>
      </c>
      <c r="G37" s="94">
        <v>80</v>
      </c>
      <c r="H37" s="94">
        <v>23</v>
      </c>
    </row>
    <row r="38" spans="2:8" x14ac:dyDescent="0.25">
      <c r="B38" s="237">
        <v>36</v>
      </c>
      <c r="C38" s="95" t="s">
        <v>806</v>
      </c>
      <c r="D38" s="95">
        <v>2017</v>
      </c>
      <c r="E38" s="96" t="s">
        <v>206</v>
      </c>
      <c r="F38" s="95">
        <v>84</v>
      </c>
      <c r="G38" s="95">
        <v>98</v>
      </c>
      <c r="H38" s="95">
        <v>85</v>
      </c>
    </row>
    <row r="39" spans="2:8" x14ac:dyDescent="0.25">
      <c r="B39" s="236">
        <v>37</v>
      </c>
      <c r="C39" s="94" t="s">
        <v>807</v>
      </c>
      <c r="D39" s="94">
        <v>2017</v>
      </c>
      <c r="E39" s="96" t="s">
        <v>206</v>
      </c>
      <c r="F39" s="94">
        <v>29</v>
      </c>
      <c r="G39" s="94">
        <v>36</v>
      </c>
      <c r="H39" s="94">
        <v>65</v>
      </c>
    </row>
    <row r="40" spans="2:8" x14ac:dyDescent="0.25">
      <c r="B40" s="237">
        <v>38</v>
      </c>
      <c r="C40" s="95" t="s">
        <v>808</v>
      </c>
      <c r="D40" s="95">
        <v>2017</v>
      </c>
      <c r="E40" s="96" t="s">
        <v>206</v>
      </c>
      <c r="F40" s="95">
        <v>79</v>
      </c>
      <c r="G40" s="95">
        <v>80</v>
      </c>
      <c r="H40" s="95">
        <v>26</v>
      </c>
    </row>
    <row r="41" spans="2:8" x14ac:dyDescent="0.25">
      <c r="B41" s="236">
        <v>39</v>
      </c>
      <c r="C41" s="94" t="s">
        <v>809</v>
      </c>
      <c r="D41" s="94">
        <v>2017</v>
      </c>
      <c r="E41" s="96" t="s">
        <v>206</v>
      </c>
      <c r="F41" s="94">
        <v>56</v>
      </c>
      <c r="G41" s="94">
        <v>78</v>
      </c>
      <c r="H41" s="94">
        <v>35</v>
      </c>
    </row>
    <row r="42" spans="2:8" x14ac:dyDescent="0.25">
      <c r="B42" s="237">
        <v>40</v>
      </c>
      <c r="C42" s="95" t="s">
        <v>810</v>
      </c>
      <c r="D42" s="95">
        <v>2017</v>
      </c>
      <c r="E42" s="96" t="s">
        <v>206</v>
      </c>
      <c r="F42" s="95">
        <v>43</v>
      </c>
      <c r="G42" s="95">
        <v>25</v>
      </c>
      <c r="H42" s="95">
        <v>75</v>
      </c>
    </row>
    <row r="43" spans="2:8" x14ac:dyDescent="0.25">
      <c r="B43" s="236">
        <v>41</v>
      </c>
      <c r="C43" s="94" t="s">
        <v>806</v>
      </c>
      <c r="D43" s="94">
        <v>2017</v>
      </c>
      <c r="E43" s="96" t="s">
        <v>207</v>
      </c>
      <c r="F43" s="94">
        <v>65</v>
      </c>
      <c r="G43" s="94">
        <v>36</v>
      </c>
      <c r="H43" s="94">
        <v>15</v>
      </c>
    </row>
    <row r="44" spans="2:8" x14ac:dyDescent="0.25">
      <c r="B44" s="237">
        <v>42</v>
      </c>
      <c r="C44" s="95" t="s">
        <v>807</v>
      </c>
      <c r="D44" s="95">
        <v>2017</v>
      </c>
      <c r="E44" s="96" t="s">
        <v>207</v>
      </c>
      <c r="F44" s="95">
        <v>48</v>
      </c>
      <c r="G44" s="95">
        <v>70</v>
      </c>
      <c r="H44" s="95">
        <v>79</v>
      </c>
    </row>
    <row r="45" spans="2:8" x14ac:dyDescent="0.25">
      <c r="B45" s="236">
        <v>43</v>
      </c>
      <c r="C45" s="94" t="s">
        <v>808</v>
      </c>
      <c r="D45" s="94">
        <v>2017</v>
      </c>
      <c r="E45" s="96" t="s">
        <v>207</v>
      </c>
      <c r="F45" s="94">
        <v>69</v>
      </c>
      <c r="G45" s="94">
        <v>80</v>
      </c>
      <c r="H45" s="94">
        <v>50</v>
      </c>
    </row>
    <row r="46" spans="2:8" x14ac:dyDescent="0.25">
      <c r="B46" s="237">
        <v>44</v>
      </c>
      <c r="C46" s="95" t="s">
        <v>809</v>
      </c>
      <c r="D46" s="95">
        <v>2017</v>
      </c>
      <c r="E46" s="96" t="s">
        <v>207</v>
      </c>
      <c r="F46" s="95">
        <v>61</v>
      </c>
      <c r="G46" s="95">
        <v>59</v>
      </c>
      <c r="H46" s="95">
        <v>46</v>
      </c>
    </row>
    <row r="47" spans="2:8" x14ac:dyDescent="0.25">
      <c r="B47" s="236">
        <v>45</v>
      </c>
      <c r="C47" s="94" t="s">
        <v>810</v>
      </c>
      <c r="D47" s="94">
        <v>2017</v>
      </c>
      <c r="E47" s="96" t="s">
        <v>207</v>
      </c>
      <c r="F47" s="94">
        <v>59</v>
      </c>
      <c r="G47" s="94">
        <v>63</v>
      </c>
      <c r="H47" s="94">
        <v>56</v>
      </c>
    </row>
    <row r="48" spans="2:8" x14ac:dyDescent="0.25">
      <c r="B48" s="237">
        <v>46</v>
      </c>
      <c r="C48" s="95" t="s">
        <v>806</v>
      </c>
      <c r="D48" s="95">
        <v>2017</v>
      </c>
      <c r="E48" s="96" t="s">
        <v>783</v>
      </c>
      <c r="F48" s="95">
        <v>52</v>
      </c>
      <c r="G48" s="95">
        <v>70</v>
      </c>
      <c r="H48" s="95">
        <v>29</v>
      </c>
    </row>
    <row r="49" spans="2:8" x14ac:dyDescent="0.25">
      <c r="B49" s="236">
        <v>47</v>
      </c>
      <c r="C49" s="94" t="s">
        <v>807</v>
      </c>
      <c r="D49" s="94">
        <v>2017</v>
      </c>
      <c r="E49" s="96" t="s">
        <v>783</v>
      </c>
      <c r="F49" s="94">
        <v>47</v>
      </c>
      <c r="G49" s="94">
        <v>90</v>
      </c>
      <c r="H49" s="94">
        <v>85</v>
      </c>
    </row>
    <row r="50" spans="2:8" x14ac:dyDescent="0.25">
      <c r="B50" s="237">
        <v>48</v>
      </c>
      <c r="C50" s="95" t="s">
        <v>808</v>
      </c>
      <c r="D50" s="95">
        <v>2017</v>
      </c>
      <c r="E50" s="96" t="s">
        <v>783</v>
      </c>
      <c r="F50" s="95">
        <v>39</v>
      </c>
      <c r="G50" s="95">
        <v>80</v>
      </c>
      <c r="H50" s="95">
        <v>75</v>
      </c>
    </row>
    <row r="51" spans="2:8" x14ac:dyDescent="0.25">
      <c r="B51" s="236">
        <v>49</v>
      </c>
      <c r="C51" s="94" t="s">
        <v>809</v>
      </c>
      <c r="D51" s="94">
        <v>2017</v>
      </c>
      <c r="E51" s="96" t="s">
        <v>783</v>
      </c>
      <c r="F51" s="94">
        <v>88</v>
      </c>
      <c r="G51" s="94">
        <v>78</v>
      </c>
      <c r="H51" s="94">
        <v>68</v>
      </c>
    </row>
    <row r="52" spans="2:8" x14ac:dyDescent="0.25">
      <c r="B52" s="237">
        <v>50</v>
      </c>
      <c r="C52" s="95" t="s">
        <v>810</v>
      </c>
      <c r="D52" s="95">
        <v>2017</v>
      </c>
      <c r="E52" s="96" t="s">
        <v>783</v>
      </c>
      <c r="F52" s="95">
        <v>79</v>
      </c>
      <c r="G52" s="95">
        <v>80</v>
      </c>
      <c r="H52" s="95">
        <v>23</v>
      </c>
    </row>
    <row r="53" spans="2:8" x14ac:dyDescent="0.25">
      <c r="B53" s="236">
        <v>51</v>
      </c>
      <c r="C53" s="94" t="s">
        <v>806</v>
      </c>
      <c r="D53" s="94">
        <v>2017</v>
      </c>
      <c r="E53" s="96" t="s">
        <v>791</v>
      </c>
      <c r="F53" s="94">
        <v>77</v>
      </c>
      <c r="G53" s="94">
        <v>98</v>
      </c>
      <c r="H53" s="94">
        <v>85</v>
      </c>
    </row>
    <row r="54" spans="2:8" x14ac:dyDescent="0.25">
      <c r="B54" s="237">
        <v>52</v>
      </c>
      <c r="C54" s="95" t="s">
        <v>807</v>
      </c>
      <c r="D54" s="95">
        <v>2017</v>
      </c>
      <c r="E54" s="96" t="s">
        <v>791</v>
      </c>
      <c r="F54" s="95">
        <v>90</v>
      </c>
      <c r="G54" s="95">
        <v>36</v>
      </c>
      <c r="H54" s="95">
        <v>65</v>
      </c>
    </row>
    <row r="55" spans="2:8" x14ac:dyDescent="0.25">
      <c r="B55" s="236">
        <v>53</v>
      </c>
      <c r="C55" s="94" t="s">
        <v>808</v>
      </c>
      <c r="D55" s="94">
        <v>2017</v>
      </c>
      <c r="E55" s="96" t="s">
        <v>791</v>
      </c>
      <c r="F55" s="94">
        <v>84</v>
      </c>
      <c r="G55" s="94">
        <v>80</v>
      </c>
      <c r="H55" s="94">
        <v>26</v>
      </c>
    </row>
    <row r="56" spans="2:8" x14ac:dyDescent="0.25">
      <c r="B56" s="237">
        <v>54</v>
      </c>
      <c r="C56" s="95" t="s">
        <v>809</v>
      </c>
      <c r="D56" s="95">
        <v>2017</v>
      </c>
      <c r="E56" s="96" t="s">
        <v>791</v>
      </c>
      <c r="F56" s="95">
        <v>76</v>
      </c>
      <c r="G56" s="95">
        <v>78</v>
      </c>
      <c r="H56" s="95">
        <v>35</v>
      </c>
    </row>
    <row r="57" spans="2:8" x14ac:dyDescent="0.25">
      <c r="B57" s="236">
        <v>55</v>
      </c>
      <c r="C57" s="94" t="s">
        <v>810</v>
      </c>
      <c r="D57" s="94">
        <v>2017</v>
      </c>
      <c r="E57" s="96" t="s">
        <v>791</v>
      </c>
      <c r="F57" s="94">
        <v>72</v>
      </c>
      <c r="G57" s="94">
        <v>25</v>
      </c>
      <c r="H57" s="94">
        <v>75</v>
      </c>
    </row>
    <row r="58" spans="2:8" x14ac:dyDescent="0.25">
      <c r="B58" s="237">
        <v>56</v>
      </c>
      <c r="C58" s="95" t="s">
        <v>806</v>
      </c>
      <c r="D58" s="95">
        <v>2017</v>
      </c>
      <c r="E58" s="96" t="s">
        <v>769</v>
      </c>
      <c r="F58" s="95">
        <v>71</v>
      </c>
      <c r="G58" s="95">
        <v>36</v>
      </c>
      <c r="H58" s="95">
        <v>15</v>
      </c>
    </row>
    <row r="59" spans="2:8" x14ac:dyDescent="0.25">
      <c r="B59" s="236">
        <v>57</v>
      </c>
      <c r="C59" s="94" t="s">
        <v>807</v>
      </c>
      <c r="D59" s="94">
        <v>2017</v>
      </c>
      <c r="E59" s="96" t="s">
        <v>769</v>
      </c>
      <c r="F59" s="94">
        <v>65</v>
      </c>
      <c r="G59" s="94">
        <v>70</v>
      </c>
      <c r="H59" s="94">
        <v>79</v>
      </c>
    </row>
    <row r="60" spans="2:8" x14ac:dyDescent="0.25">
      <c r="B60" s="237">
        <v>58</v>
      </c>
      <c r="C60" s="95" t="s">
        <v>808</v>
      </c>
      <c r="D60" s="95">
        <v>2017</v>
      </c>
      <c r="E60" s="96" t="s">
        <v>769</v>
      </c>
      <c r="F60" s="95">
        <v>62</v>
      </c>
      <c r="G60" s="95">
        <v>80</v>
      </c>
      <c r="H60" s="95">
        <v>50</v>
      </c>
    </row>
    <row r="61" spans="2:8" x14ac:dyDescent="0.25">
      <c r="B61" s="236">
        <v>59</v>
      </c>
      <c r="C61" s="94" t="s">
        <v>809</v>
      </c>
      <c r="D61" s="94">
        <v>2017</v>
      </c>
      <c r="E61" s="96" t="s">
        <v>769</v>
      </c>
      <c r="F61" s="94">
        <v>75</v>
      </c>
      <c r="G61" s="94">
        <v>59</v>
      </c>
      <c r="H61" s="94">
        <v>46</v>
      </c>
    </row>
    <row r="62" spans="2:8" x14ac:dyDescent="0.25">
      <c r="B62" s="237">
        <v>60</v>
      </c>
      <c r="C62" s="95" t="s">
        <v>810</v>
      </c>
      <c r="D62" s="95">
        <v>2017</v>
      </c>
      <c r="E62" s="240" t="s">
        <v>769</v>
      </c>
      <c r="F62" s="95">
        <v>49</v>
      </c>
      <c r="G62" s="95">
        <v>63</v>
      </c>
      <c r="H62" s="95">
        <v>56</v>
      </c>
    </row>
  </sheetData>
  <conditionalFormatting sqref="K4:K21">
    <cfRule type="cellIs" dxfId="5" priority="1" operator="greaterThanOrEqual">
      <formula>15000</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6C5C1-C787-4D12-9140-15E26DD27F8A}">
  <dimension ref="A1:N204"/>
  <sheetViews>
    <sheetView topLeftCell="E1" workbookViewId="0">
      <selection activeCell="F18" sqref="F18"/>
    </sheetView>
  </sheetViews>
  <sheetFormatPr defaultRowHeight="15" x14ac:dyDescent="0.25"/>
  <cols>
    <col min="1" max="1" width="13.5703125" bestFit="1" customWidth="1"/>
    <col min="2" max="2" width="18.5703125" bestFit="1" customWidth="1"/>
    <col min="3" max="3" width="20.42578125" bestFit="1" customWidth="1"/>
    <col min="4" max="4" width="8.28515625" customWidth="1"/>
    <col min="5" max="5" width="18.85546875" bestFit="1" customWidth="1"/>
    <col min="6" max="6" width="12.140625" bestFit="1" customWidth="1"/>
    <col min="7" max="9" width="11.42578125" bestFit="1" customWidth="1"/>
    <col min="10" max="10" width="13.140625" bestFit="1" customWidth="1"/>
    <col min="11" max="11" width="16.7109375" bestFit="1" customWidth="1"/>
    <col min="12" max="12" width="15.28515625" bestFit="1" customWidth="1"/>
    <col min="13" max="13" width="13.140625" bestFit="1" customWidth="1"/>
    <col min="14" max="14" width="22.7109375" bestFit="1" customWidth="1"/>
  </cols>
  <sheetData>
    <row r="1" spans="1:14" x14ac:dyDescent="0.25">
      <c r="F1" s="221" t="s">
        <v>742</v>
      </c>
      <c r="G1" t="s" vm="1">
        <v>1625</v>
      </c>
    </row>
    <row r="2" spans="1:14" x14ac:dyDescent="0.25">
      <c r="F2" s="221" t="s">
        <v>743</v>
      </c>
      <c r="G2" t="s" vm="2">
        <v>1625</v>
      </c>
    </row>
    <row r="3" spans="1:14" x14ac:dyDescent="0.25">
      <c r="A3" s="221" t="s">
        <v>1608</v>
      </c>
      <c r="B3" t="s">
        <v>1627</v>
      </c>
      <c r="C3" t="s">
        <v>1628</v>
      </c>
    </row>
    <row r="4" spans="1:14" x14ac:dyDescent="0.25">
      <c r="A4" s="222" t="s">
        <v>513</v>
      </c>
      <c r="B4" s="183">
        <v>19</v>
      </c>
      <c r="C4" s="183">
        <v>1</v>
      </c>
      <c r="F4" s="221" t="s">
        <v>1608</v>
      </c>
      <c r="G4" t="s">
        <v>1613</v>
      </c>
      <c r="J4" s="183"/>
    </row>
    <row r="5" spans="1:14" x14ac:dyDescent="0.25">
      <c r="A5" s="222" t="s">
        <v>603</v>
      </c>
      <c r="B5" s="183">
        <v>28</v>
      </c>
      <c r="C5" s="183">
        <v>1</v>
      </c>
      <c r="F5" s="222" t="s">
        <v>810</v>
      </c>
      <c r="G5" s="183">
        <v>4033</v>
      </c>
      <c r="J5" s="183"/>
    </row>
    <row r="6" spans="1:14" x14ac:dyDescent="0.25">
      <c r="A6" s="222" t="s">
        <v>601</v>
      </c>
      <c r="B6" s="183">
        <v>22</v>
      </c>
      <c r="C6" s="183">
        <v>1</v>
      </c>
      <c r="F6" s="222" t="s">
        <v>807</v>
      </c>
      <c r="G6" s="183">
        <v>4033</v>
      </c>
      <c r="J6" s="183"/>
      <c r="M6" s="221" t="s">
        <v>1608</v>
      </c>
      <c r="N6" t="s">
        <v>1629</v>
      </c>
    </row>
    <row r="7" spans="1:14" x14ac:dyDescent="0.25">
      <c r="A7" s="222" t="s">
        <v>322</v>
      </c>
      <c r="B7" s="183">
        <v>20</v>
      </c>
      <c r="C7" s="183">
        <v>1</v>
      </c>
      <c r="F7" s="222" t="s">
        <v>806</v>
      </c>
      <c r="G7" s="183">
        <v>4033</v>
      </c>
      <c r="J7" s="183"/>
      <c r="M7" s="222" t="s">
        <v>59</v>
      </c>
      <c r="N7" s="183">
        <v>4</v>
      </c>
    </row>
    <row r="8" spans="1:14" x14ac:dyDescent="0.25">
      <c r="A8" s="222" t="s">
        <v>326</v>
      </c>
      <c r="B8" s="183">
        <v>44</v>
      </c>
      <c r="C8" s="183">
        <v>2</v>
      </c>
      <c r="F8" s="222" t="s">
        <v>809</v>
      </c>
      <c r="G8" s="183">
        <v>6049</v>
      </c>
      <c r="J8" s="183"/>
      <c r="M8" s="222" t="s">
        <v>113</v>
      </c>
      <c r="N8" s="183">
        <v>4</v>
      </c>
    </row>
    <row r="9" spans="1:14" x14ac:dyDescent="0.25">
      <c r="A9" s="222" t="s">
        <v>411</v>
      </c>
      <c r="B9" s="183">
        <v>18</v>
      </c>
      <c r="C9" s="183">
        <v>1</v>
      </c>
      <c r="F9" s="222" t="s">
        <v>808</v>
      </c>
      <c r="G9" s="183">
        <v>4033</v>
      </c>
      <c r="J9" s="183"/>
      <c r="M9" s="222" t="s">
        <v>87</v>
      </c>
      <c r="N9" s="183">
        <v>1</v>
      </c>
    </row>
    <row r="10" spans="1:14" x14ac:dyDescent="0.25">
      <c r="A10" s="222" t="s">
        <v>284</v>
      </c>
      <c r="B10" s="183">
        <v>19</v>
      </c>
      <c r="C10" s="183">
        <v>1</v>
      </c>
      <c r="F10" s="222" t="s">
        <v>1609</v>
      </c>
      <c r="G10" s="183">
        <v>22181</v>
      </c>
      <c r="M10" s="222" t="s">
        <v>81</v>
      </c>
      <c r="N10" s="183">
        <v>4</v>
      </c>
    </row>
    <row r="11" spans="1:14" x14ac:dyDescent="0.25">
      <c r="A11" s="222" t="s">
        <v>424</v>
      </c>
      <c r="B11" s="183">
        <v>43</v>
      </c>
      <c r="C11" s="183">
        <v>2</v>
      </c>
      <c r="M11" s="222" t="s">
        <v>63</v>
      </c>
      <c r="N11" s="183">
        <v>4</v>
      </c>
    </row>
    <row r="12" spans="1:14" x14ac:dyDescent="0.25">
      <c r="A12" s="222" t="s">
        <v>494</v>
      </c>
      <c r="B12" s="183">
        <v>18</v>
      </c>
      <c r="C12" s="183">
        <v>1</v>
      </c>
      <c r="M12" s="222" t="s">
        <v>71</v>
      </c>
      <c r="N12" s="183">
        <v>4</v>
      </c>
    </row>
    <row r="13" spans="1:14" x14ac:dyDescent="0.25">
      <c r="A13" s="222" t="s">
        <v>353</v>
      </c>
      <c r="B13" s="183">
        <v>38</v>
      </c>
      <c r="C13" s="183">
        <v>2</v>
      </c>
      <c r="M13" s="222" t="s">
        <v>66</v>
      </c>
      <c r="N13" s="183">
        <v>4</v>
      </c>
    </row>
    <row r="14" spans="1:14" x14ac:dyDescent="0.25">
      <c r="A14" s="222" t="s">
        <v>308</v>
      </c>
      <c r="B14" s="183">
        <v>28</v>
      </c>
      <c r="C14" s="183">
        <v>1</v>
      </c>
      <c r="M14" s="222" t="s">
        <v>52</v>
      </c>
      <c r="N14" s="183">
        <v>4</v>
      </c>
    </row>
    <row r="15" spans="1:14" x14ac:dyDescent="0.25">
      <c r="A15" s="222" t="s">
        <v>300</v>
      </c>
      <c r="B15" s="183">
        <v>47</v>
      </c>
      <c r="C15" s="183">
        <v>2</v>
      </c>
      <c r="M15" s="222" t="s">
        <v>1609</v>
      </c>
      <c r="N15" s="183">
        <v>4</v>
      </c>
    </row>
    <row r="16" spans="1:14" x14ac:dyDescent="0.25">
      <c r="A16" s="222" t="s">
        <v>610</v>
      </c>
      <c r="B16" s="183">
        <v>26</v>
      </c>
      <c r="C16" s="183">
        <v>1</v>
      </c>
      <c r="E16" s="221" t="s">
        <v>630</v>
      </c>
      <c r="F16" t="s">
        <v>1613</v>
      </c>
      <c r="J16" s="221" t="s">
        <v>1608</v>
      </c>
      <c r="K16" t="s">
        <v>1620</v>
      </c>
    </row>
    <row r="17" spans="1:11" x14ac:dyDescent="0.25">
      <c r="A17" s="222" t="s">
        <v>242</v>
      </c>
      <c r="B17" s="183">
        <v>48</v>
      </c>
      <c r="C17" s="183">
        <v>2</v>
      </c>
      <c r="E17" t="s">
        <v>810</v>
      </c>
      <c r="F17" s="261">
        <v>24198</v>
      </c>
      <c r="J17" s="222" t="s">
        <v>790</v>
      </c>
      <c r="K17" s="183">
        <v>76</v>
      </c>
    </row>
    <row r="18" spans="1:11" x14ac:dyDescent="0.25">
      <c r="A18" s="222" t="s">
        <v>374</v>
      </c>
      <c r="B18" s="183">
        <v>35</v>
      </c>
      <c r="C18" s="183">
        <v>1</v>
      </c>
      <c r="E18" t="s">
        <v>807</v>
      </c>
      <c r="F18" s="261">
        <v>24198</v>
      </c>
      <c r="J18" s="222" t="s">
        <v>792</v>
      </c>
      <c r="K18" s="183">
        <v>72</v>
      </c>
    </row>
    <row r="19" spans="1:11" x14ac:dyDescent="0.25">
      <c r="A19" s="222" t="s">
        <v>488</v>
      </c>
      <c r="B19" s="183">
        <v>20</v>
      </c>
      <c r="C19" s="183">
        <v>1</v>
      </c>
      <c r="E19" t="s">
        <v>806</v>
      </c>
      <c r="F19" s="261">
        <v>24198</v>
      </c>
      <c r="J19" s="222" t="s">
        <v>783</v>
      </c>
      <c r="K19" s="183">
        <v>124</v>
      </c>
    </row>
    <row r="20" spans="1:11" x14ac:dyDescent="0.25">
      <c r="A20" s="222" t="s">
        <v>511</v>
      </c>
      <c r="B20" s="183">
        <v>20</v>
      </c>
      <c r="C20" s="183">
        <v>1</v>
      </c>
      <c r="E20" t="s">
        <v>809</v>
      </c>
      <c r="F20" s="261">
        <v>24198</v>
      </c>
      <c r="J20" s="222" t="s">
        <v>788</v>
      </c>
      <c r="K20" s="183">
        <v>45</v>
      </c>
    </row>
    <row r="21" spans="1:11" x14ac:dyDescent="0.25">
      <c r="A21" s="222" t="s">
        <v>556</v>
      </c>
      <c r="B21" s="183">
        <v>22</v>
      </c>
      <c r="C21" s="183">
        <v>1</v>
      </c>
      <c r="E21" t="s">
        <v>808</v>
      </c>
      <c r="F21" s="261">
        <v>24198</v>
      </c>
      <c r="J21" s="222" t="s">
        <v>789</v>
      </c>
      <c r="K21" s="183">
        <v>87</v>
      </c>
    </row>
    <row r="22" spans="1:11" x14ac:dyDescent="0.25">
      <c r="A22" s="222" t="s">
        <v>459</v>
      </c>
      <c r="B22" s="183">
        <v>23</v>
      </c>
      <c r="C22" s="183">
        <v>1</v>
      </c>
      <c r="J22" s="222" t="s">
        <v>785</v>
      </c>
      <c r="K22" s="183">
        <v>81</v>
      </c>
    </row>
    <row r="23" spans="1:11" x14ac:dyDescent="0.25">
      <c r="A23" s="222" t="s">
        <v>388</v>
      </c>
      <c r="B23" s="183">
        <v>32</v>
      </c>
      <c r="C23" s="183">
        <v>1</v>
      </c>
      <c r="J23" s="222" t="s">
        <v>793</v>
      </c>
      <c r="K23" s="183">
        <v>71</v>
      </c>
    </row>
    <row r="24" spans="1:11" x14ac:dyDescent="0.25">
      <c r="A24" s="222" t="s">
        <v>273</v>
      </c>
      <c r="B24" s="183">
        <v>32</v>
      </c>
      <c r="C24" s="183">
        <v>1</v>
      </c>
      <c r="J24" s="222" t="s">
        <v>791</v>
      </c>
      <c r="K24" s="183">
        <v>93</v>
      </c>
    </row>
    <row r="25" spans="1:11" x14ac:dyDescent="0.25">
      <c r="A25" s="222" t="s">
        <v>314</v>
      </c>
      <c r="B25" s="183">
        <v>28</v>
      </c>
      <c r="C25" s="183">
        <v>1</v>
      </c>
      <c r="J25" s="222" t="s">
        <v>784</v>
      </c>
      <c r="K25" s="183">
        <v>93</v>
      </c>
    </row>
    <row r="26" spans="1:11" x14ac:dyDescent="0.25">
      <c r="A26" s="222" t="s">
        <v>283</v>
      </c>
      <c r="B26" s="183">
        <v>20</v>
      </c>
      <c r="C26" s="183">
        <v>1</v>
      </c>
      <c r="J26" s="222" t="s">
        <v>206</v>
      </c>
      <c r="K26" s="183">
        <v>115</v>
      </c>
    </row>
    <row r="27" spans="1:11" x14ac:dyDescent="0.25">
      <c r="A27" s="222" t="s">
        <v>552</v>
      </c>
      <c r="B27" s="183">
        <v>32</v>
      </c>
      <c r="C27" s="183">
        <v>1</v>
      </c>
      <c r="J27" s="222" t="s">
        <v>787</v>
      </c>
      <c r="K27" s="183">
        <v>129</v>
      </c>
    </row>
    <row r="28" spans="1:11" x14ac:dyDescent="0.25">
      <c r="A28" s="222" t="s">
        <v>462</v>
      </c>
      <c r="B28" s="183">
        <v>23</v>
      </c>
      <c r="C28" s="183">
        <v>1</v>
      </c>
      <c r="J28" s="222" t="s">
        <v>1619</v>
      </c>
      <c r="K28" s="183">
        <v>31</v>
      </c>
    </row>
    <row r="29" spans="1:11" x14ac:dyDescent="0.25">
      <c r="A29" s="222" t="s">
        <v>531</v>
      </c>
      <c r="B29" s="183">
        <v>18</v>
      </c>
      <c r="C29" s="183">
        <v>1</v>
      </c>
      <c r="J29" s="222" t="s">
        <v>207</v>
      </c>
      <c r="K29" s="183">
        <v>113</v>
      </c>
    </row>
    <row r="30" spans="1:11" x14ac:dyDescent="0.25">
      <c r="A30" s="222" t="s">
        <v>286</v>
      </c>
      <c r="B30" s="183">
        <v>25</v>
      </c>
      <c r="C30" s="183">
        <v>1</v>
      </c>
      <c r="J30" s="222" t="s">
        <v>786</v>
      </c>
      <c r="K30" s="183">
        <v>103</v>
      </c>
    </row>
    <row r="31" spans="1:11" x14ac:dyDescent="0.25">
      <c r="A31" s="222" t="s">
        <v>270</v>
      </c>
      <c r="B31" s="183">
        <v>29</v>
      </c>
      <c r="C31" s="183">
        <v>1</v>
      </c>
      <c r="J31" s="222" t="s">
        <v>782</v>
      </c>
      <c r="K31" s="183">
        <v>72</v>
      </c>
    </row>
    <row r="32" spans="1:11" x14ac:dyDescent="0.25">
      <c r="A32" s="222" t="s">
        <v>274</v>
      </c>
      <c r="B32" s="183">
        <v>22</v>
      </c>
      <c r="C32" s="183">
        <v>1</v>
      </c>
      <c r="J32" s="222" t="s">
        <v>769</v>
      </c>
      <c r="K32" s="183">
        <v>24</v>
      </c>
    </row>
    <row r="33" spans="1:11" x14ac:dyDescent="0.25">
      <c r="A33" s="222" t="s">
        <v>287</v>
      </c>
      <c r="B33" s="183">
        <v>18</v>
      </c>
      <c r="C33" s="183">
        <v>1</v>
      </c>
      <c r="J33" s="222" t="s">
        <v>1609</v>
      </c>
      <c r="K33" s="183">
        <v>1329</v>
      </c>
    </row>
    <row r="34" spans="1:11" x14ac:dyDescent="0.25">
      <c r="A34" s="222" t="s">
        <v>609</v>
      </c>
      <c r="B34" s="183">
        <v>32</v>
      </c>
      <c r="C34" s="183">
        <v>1</v>
      </c>
    </row>
    <row r="35" spans="1:11" x14ac:dyDescent="0.25">
      <c r="A35" s="222" t="s">
        <v>548</v>
      </c>
      <c r="B35" s="183">
        <v>30</v>
      </c>
      <c r="C35" s="183">
        <v>1</v>
      </c>
    </row>
    <row r="36" spans="1:11" x14ac:dyDescent="0.25">
      <c r="A36" s="222" t="s">
        <v>455</v>
      </c>
      <c r="B36" s="183">
        <v>20</v>
      </c>
      <c r="C36" s="183">
        <v>1</v>
      </c>
    </row>
    <row r="37" spans="1:11" x14ac:dyDescent="0.25">
      <c r="A37" s="222" t="s">
        <v>254</v>
      </c>
      <c r="B37" s="183">
        <v>21</v>
      </c>
      <c r="C37" s="183">
        <v>1</v>
      </c>
    </row>
    <row r="38" spans="1:11" x14ac:dyDescent="0.25">
      <c r="A38" s="222" t="s">
        <v>616</v>
      </c>
      <c r="B38" s="183">
        <v>35</v>
      </c>
      <c r="C38" s="183">
        <v>1</v>
      </c>
    </row>
    <row r="39" spans="1:11" x14ac:dyDescent="0.25">
      <c r="A39" s="222" t="s">
        <v>599</v>
      </c>
      <c r="B39" s="183">
        <v>22</v>
      </c>
      <c r="C39" s="183">
        <v>1</v>
      </c>
    </row>
    <row r="40" spans="1:11" x14ac:dyDescent="0.25">
      <c r="A40" s="222" t="s">
        <v>401</v>
      </c>
      <c r="B40" s="183">
        <v>19</v>
      </c>
      <c r="C40" s="183">
        <v>1</v>
      </c>
    </row>
    <row r="41" spans="1:11" x14ac:dyDescent="0.25">
      <c r="A41" s="222" t="s">
        <v>279</v>
      </c>
      <c r="B41" s="183">
        <v>30</v>
      </c>
      <c r="C41" s="183">
        <v>1</v>
      </c>
    </row>
    <row r="42" spans="1:11" x14ac:dyDescent="0.25">
      <c r="A42" s="222" t="s">
        <v>446</v>
      </c>
      <c r="B42" s="183">
        <v>29</v>
      </c>
      <c r="C42" s="183">
        <v>1</v>
      </c>
    </row>
    <row r="43" spans="1:11" x14ac:dyDescent="0.25">
      <c r="A43" s="222" t="s">
        <v>280</v>
      </c>
      <c r="B43" s="183">
        <v>32</v>
      </c>
      <c r="C43" s="183">
        <v>1</v>
      </c>
    </row>
    <row r="44" spans="1:11" x14ac:dyDescent="0.25">
      <c r="A44" s="222" t="s">
        <v>623</v>
      </c>
      <c r="B44" s="183">
        <v>32</v>
      </c>
      <c r="C44" s="183">
        <v>1</v>
      </c>
    </row>
    <row r="45" spans="1:11" x14ac:dyDescent="0.25">
      <c r="A45" s="222" t="s">
        <v>358</v>
      </c>
      <c r="B45" s="183">
        <v>29</v>
      </c>
      <c r="C45" s="183">
        <v>1</v>
      </c>
    </row>
    <row r="46" spans="1:11" x14ac:dyDescent="0.25">
      <c r="A46" s="222" t="s">
        <v>569</v>
      </c>
      <c r="B46" s="183">
        <v>32</v>
      </c>
      <c r="C46" s="183">
        <v>1</v>
      </c>
    </row>
    <row r="47" spans="1:11" x14ac:dyDescent="0.25">
      <c r="A47" s="222" t="s">
        <v>533</v>
      </c>
      <c r="B47" s="183">
        <v>22</v>
      </c>
      <c r="C47" s="183">
        <v>1</v>
      </c>
    </row>
    <row r="48" spans="1:11" x14ac:dyDescent="0.25">
      <c r="A48" s="222" t="s">
        <v>261</v>
      </c>
      <c r="B48" s="183">
        <v>19</v>
      </c>
      <c r="C48" s="183">
        <v>1</v>
      </c>
    </row>
    <row r="49" spans="1:3" x14ac:dyDescent="0.25">
      <c r="A49" s="222" t="s">
        <v>502</v>
      </c>
      <c r="B49" s="183">
        <v>29</v>
      </c>
      <c r="C49" s="183">
        <v>1</v>
      </c>
    </row>
    <row r="50" spans="1:3" x14ac:dyDescent="0.25">
      <c r="A50" s="222" t="s">
        <v>263</v>
      </c>
      <c r="B50" s="183">
        <v>43</v>
      </c>
      <c r="C50" s="183">
        <v>2</v>
      </c>
    </row>
    <row r="51" spans="1:3" x14ac:dyDescent="0.25">
      <c r="A51" s="222" t="s">
        <v>470</v>
      </c>
      <c r="B51" s="183">
        <v>24</v>
      </c>
      <c r="C51" s="183">
        <v>1</v>
      </c>
    </row>
    <row r="52" spans="1:3" x14ac:dyDescent="0.25">
      <c r="A52" s="222" t="s">
        <v>496</v>
      </c>
      <c r="B52" s="183">
        <v>24</v>
      </c>
      <c r="C52" s="183">
        <v>1</v>
      </c>
    </row>
    <row r="53" spans="1:3" x14ac:dyDescent="0.25">
      <c r="A53" s="222" t="s">
        <v>266</v>
      </c>
      <c r="B53" s="183">
        <v>28</v>
      </c>
      <c r="C53" s="183">
        <v>1</v>
      </c>
    </row>
    <row r="54" spans="1:3" x14ac:dyDescent="0.25">
      <c r="A54" s="222" t="s">
        <v>394</v>
      </c>
      <c r="B54" s="183">
        <v>20</v>
      </c>
      <c r="C54" s="183">
        <v>1</v>
      </c>
    </row>
    <row r="55" spans="1:3" x14ac:dyDescent="0.25">
      <c r="A55" s="222" t="s">
        <v>307</v>
      </c>
      <c r="B55" s="183">
        <v>25</v>
      </c>
      <c r="C55" s="183">
        <v>1</v>
      </c>
    </row>
    <row r="56" spans="1:3" x14ac:dyDescent="0.25">
      <c r="A56" s="222" t="s">
        <v>370</v>
      </c>
      <c r="B56" s="183">
        <v>35</v>
      </c>
      <c r="C56" s="183">
        <v>1</v>
      </c>
    </row>
    <row r="57" spans="1:3" x14ac:dyDescent="0.25">
      <c r="A57" s="222" t="s">
        <v>330</v>
      </c>
      <c r="B57" s="183">
        <v>18</v>
      </c>
      <c r="C57" s="183">
        <v>1</v>
      </c>
    </row>
    <row r="58" spans="1:3" x14ac:dyDescent="0.25">
      <c r="A58" s="222" t="s">
        <v>359</v>
      </c>
      <c r="B58" s="183">
        <v>24</v>
      </c>
      <c r="C58" s="183">
        <v>1</v>
      </c>
    </row>
    <row r="59" spans="1:3" x14ac:dyDescent="0.25">
      <c r="A59" s="222" t="s">
        <v>389</v>
      </c>
      <c r="B59" s="183">
        <v>19</v>
      </c>
      <c r="C59" s="183">
        <v>1</v>
      </c>
    </row>
    <row r="60" spans="1:3" x14ac:dyDescent="0.25">
      <c r="A60" s="222" t="s">
        <v>528</v>
      </c>
      <c r="B60" s="183">
        <v>35</v>
      </c>
      <c r="C60" s="183">
        <v>1</v>
      </c>
    </row>
    <row r="61" spans="1:3" x14ac:dyDescent="0.25">
      <c r="A61" s="222" t="s">
        <v>518</v>
      </c>
      <c r="B61" s="183">
        <v>27</v>
      </c>
      <c r="C61" s="183">
        <v>1</v>
      </c>
    </row>
    <row r="62" spans="1:3" x14ac:dyDescent="0.25">
      <c r="A62" s="222" t="s">
        <v>379</v>
      </c>
      <c r="B62" s="183">
        <v>32</v>
      </c>
      <c r="C62" s="183">
        <v>1</v>
      </c>
    </row>
    <row r="63" spans="1:3" x14ac:dyDescent="0.25">
      <c r="A63" s="222" t="s">
        <v>520</v>
      </c>
      <c r="B63" s="183">
        <v>26</v>
      </c>
      <c r="C63" s="183">
        <v>1</v>
      </c>
    </row>
    <row r="64" spans="1:3" x14ac:dyDescent="0.25">
      <c r="A64" s="222" t="s">
        <v>393</v>
      </c>
      <c r="B64" s="183">
        <v>19</v>
      </c>
      <c r="C64" s="183">
        <v>1</v>
      </c>
    </row>
    <row r="65" spans="1:3" x14ac:dyDescent="0.25">
      <c r="A65" s="222" t="s">
        <v>395</v>
      </c>
      <c r="B65" s="183">
        <v>29</v>
      </c>
      <c r="C65" s="183">
        <v>1</v>
      </c>
    </row>
    <row r="66" spans="1:3" x14ac:dyDescent="0.25">
      <c r="A66" s="222" t="s">
        <v>400</v>
      </c>
      <c r="B66" s="183">
        <v>25</v>
      </c>
      <c r="C66" s="183">
        <v>1</v>
      </c>
    </row>
    <row r="67" spans="1:3" x14ac:dyDescent="0.25">
      <c r="A67" s="222" t="s">
        <v>396</v>
      </c>
      <c r="B67" s="183">
        <v>35</v>
      </c>
      <c r="C67" s="183">
        <v>1</v>
      </c>
    </row>
    <row r="68" spans="1:3" x14ac:dyDescent="0.25">
      <c r="A68" s="222" t="s">
        <v>545</v>
      </c>
      <c r="B68" s="183">
        <v>25</v>
      </c>
      <c r="C68" s="183">
        <v>1</v>
      </c>
    </row>
    <row r="69" spans="1:3" x14ac:dyDescent="0.25">
      <c r="A69" s="222" t="s">
        <v>475</v>
      </c>
      <c r="B69" s="183">
        <v>24</v>
      </c>
      <c r="C69" s="183">
        <v>1</v>
      </c>
    </row>
    <row r="70" spans="1:3" x14ac:dyDescent="0.25">
      <c r="A70" s="222" t="s">
        <v>272</v>
      </c>
      <c r="B70" s="183">
        <v>29</v>
      </c>
      <c r="C70" s="183">
        <v>1</v>
      </c>
    </row>
    <row r="71" spans="1:3" x14ac:dyDescent="0.25">
      <c r="A71" s="222" t="s">
        <v>412</v>
      </c>
      <c r="B71" s="183">
        <v>24</v>
      </c>
      <c r="C71" s="183">
        <v>1</v>
      </c>
    </row>
    <row r="72" spans="1:3" x14ac:dyDescent="0.25">
      <c r="A72" s="222" t="s">
        <v>402</v>
      </c>
      <c r="B72" s="183">
        <v>20</v>
      </c>
      <c r="C72" s="183">
        <v>1</v>
      </c>
    </row>
    <row r="73" spans="1:3" x14ac:dyDescent="0.25">
      <c r="A73" s="222" t="s">
        <v>435</v>
      </c>
      <c r="B73" s="183">
        <v>20</v>
      </c>
      <c r="C73" s="183">
        <v>1</v>
      </c>
    </row>
    <row r="74" spans="1:3" x14ac:dyDescent="0.25">
      <c r="A74" s="222" t="s">
        <v>619</v>
      </c>
      <c r="B74" s="183">
        <v>21</v>
      </c>
      <c r="C74" s="183">
        <v>1</v>
      </c>
    </row>
    <row r="75" spans="1:3" x14ac:dyDescent="0.25">
      <c r="A75" s="222" t="s">
        <v>334</v>
      </c>
      <c r="B75" s="183">
        <v>34</v>
      </c>
      <c r="C75" s="183">
        <v>1</v>
      </c>
    </row>
    <row r="76" spans="1:3" x14ac:dyDescent="0.25">
      <c r="A76" s="222" t="s">
        <v>581</v>
      </c>
      <c r="B76" s="183">
        <v>27</v>
      </c>
      <c r="C76" s="183">
        <v>1</v>
      </c>
    </row>
    <row r="77" spans="1:3" x14ac:dyDescent="0.25">
      <c r="A77" s="222" t="s">
        <v>543</v>
      </c>
      <c r="B77" s="183">
        <v>18</v>
      </c>
      <c r="C77" s="183">
        <v>1</v>
      </c>
    </row>
    <row r="78" spans="1:3" x14ac:dyDescent="0.25">
      <c r="A78" s="222" t="s">
        <v>367</v>
      </c>
      <c r="B78" s="183">
        <v>24</v>
      </c>
      <c r="C78" s="183">
        <v>1</v>
      </c>
    </row>
    <row r="79" spans="1:3" x14ac:dyDescent="0.25">
      <c r="A79" s="222" t="s">
        <v>595</v>
      </c>
      <c r="B79" s="183">
        <v>20</v>
      </c>
      <c r="C79" s="183">
        <v>1</v>
      </c>
    </row>
    <row r="80" spans="1:3" x14ac:dyDescent="0.25">
      <c r="A80" s="222" t="s">
        <v>490</v>
      </c>
      <c r="B80" s="183">
        <v>25</v>
      </c>
      <c r="C80" s="183">
        <v>1</v>
      </c>
    </row>
    <row r="81" spans="1:3" x14ac:dyDescent="0.25">
      <c r="A81" s="222" t="s">
        <v>344</v>
      </c>
      <c r="B81" s="183">
        <v>35</v>
      </c>
      <c r="C81" s="183">
        <v>1</v>
      </c>
    </row>
    <row r="82" spans="1:3" x14ac:dyDescent="0.25">
      <c r="A82" s="222" t="s">
        <v>578</v>
      </c>
      <c r="B82" s="183">
        <v>24</v>
      </c>
      <c r="C82" s="183">
        <v>1</v>
      </c>
    </row>
    <row r="83" spans="1:3" x14ac:dyDescent="0.25">
      <c r="A83" s="222" t="s">
        <v>362</v>
      </c>
      <c r="B83" s="183">
        <v>18</v>
      </c>
      <c r="C83" s="183">
        <v>1</v>
      </c>
    </row>
    <row r="84" spans="1:3" x14ac:dyDescent="0.25">
      <c r="A84" s="222" t="s">
        <v>382</v>
      </c>
      <c r="B84" s="183">
        <v>32</v>
      </c>
      <c r="C84" s="183">
        <v>1</v>
      </c>
    </row>
    <row r="85" spans="1:3" x14ac:dyDescent="0.25">
      <c r="A85" s="222" t="s">
        <v>328</v>
      </c>
      <c r="B85" s="183">
        <v>32</v>
      </c>
      <c r="C85" s="183">
        <v>1</v>
      </c>
    </row>
    <row r="86" spans="1:3" x14ac:dyDescent="0.25">
      <c r="A86" s="222" t="s">
        <v>526</v>
      </c>
      <c r="B86" s="183">
        <v>26</v>
      </c>
      <c r="C86" s="183">
        <v>1</v>
      </c>
    </row>
    <row r="87" spans="1:3" x14ac:dyDescent="0.25">
      <c r="A87" s="222" t="s">
        <v>342</v>
      </c>
      <c r="B87" s="183">
        <v>57</v>
      </c>
      <c r="C87" s="183">
        <v>2</v>
      </c>
    </row>
    <row r="88" spans="1:3" x14ac:dyDescent="0.25">
      <c r="A88" s="222" t="s">
        <v>403</v>
      </c>
      <c r="B88" s="183">
        <v>18</v>
      </c>
      <c r="C88" s="183">
        <v>1</v>
      </c>
    </row>
    <row r="89" spans="1:3" x14ac:dyDescent="0.25">
      <c r="A89" s="222" t="s">
        <v>575</v>
      </c>
      <c r="B89" s="183">
        <v>32</v>
      </c>
      <c r="C89" s="183">
        <v>1</v>
      </c>
    </row>
    <row r="90" spans="1:3" x14ac:dyDescent="0.25">
      <c r="A90" s="222" t="s">
        <v>428</v>
      </c>
      <c r="B90" s="183">
        <v>35</v>
      </c>
      <c r="C90" s="183">
        <v>1</v>
      </c>
    </row>
    <row r="91" spans="1:3" x14ac:dyDescent="0.25">
      <c r="A91" s="222" t="s">
        <v>410</v>
      </c>
      <c r="B91" s="183">
        <v>20</v>
      </c>
      <c r="C91" s="183">
        <v>1</v>
      </c>
    </row>
    <row r="92" spans="1:3" x14ac:dyDescent="0.25">
      <c r="A92" s="222" t="s">
        <v>464</v>
      </c>
      <c r="B92" s="183">
        <v>30</v>
      </c>
      <c r="C92" s="183">
        <v>1</v>
      </c>
    </row>
    <row r="93" spans="1:3" x14ac:dyDescent="0.25">
      <c r="A93" s="222" t="s">
        <v>621</v>
      </c>
      <c r="B93" s="183">
        <v>20</v>
      </c>
      <c r="C93" s="183">
        <v>1</v>
      </c>
    </row>
    <row r="94" spans="1:3" x14ac:dyDescent="0.25">
      <c r="A94" s="222" t="s">
        <v>498</v>
      </c>
      <c r="B94" s="183">
        <v>19</v>
      </c>
      <c r="C94" s="183">
        <v>1</v>
      </c>
    </row>
    <row r="95" spans="1:3" x14ac:dyDescent="0.25">
      <c r="A95" s="222" t="s">
        <v>387</v>
      </c>
      <c r="B95" s="183">
        <v>24</v>
      </c>
      <c r="C95" s="183">
        <v>1</v>
      </c>
    </row>
    <row r="96" spans="1:3" x14ac:dyDescent="0.25">
      <c r="A96" s="222" t="s">
        <v>315</v>
      </c>
      <c r="B96" s="183">
        <v>35</v>
      </c>
      <c r="C96" s="183">
        <v>1</v>
      </c>
    </row>
    <row r="97" spans="1:3" x14ac:dyDescent="0.25">
      <c r="A97" s="222" t="s">
        <v>377</v>
      </c>
      <c r="B97" s="183">
        <v>25</v>
      </c>
      <c r="C97" s="183">
        <v>1</v>
      </c>
    </row>
    <row r="98" spans="1:3" x14ac:dyDescent="0.25">
      <c r="A98" s="222" t="s">
        <v>414</v>
      </c>
      <c r="B98" s="183">
        <v>20</v>
      </c>
      <c r="C98" s="183">
        <v>1</v>
      </c>
    </row>
    <row r="99" spans="1:3" x14ac:dyDescent="0.25">
      <c r="A99" s="222" t="s">
        <v>385</v>
      </c>
      <c r="B99" s="183">
        <v>28</v>
      </c>
      <c r="C99" s="183">
        <v>1</v>
      </c>
    </row>
    <row r="100" spans="1:3" x14ac:dyDescent="0.25">
      <c r="A100" s="222" t="s">
        <v>288</v>
      </c>
      <c r="B100" s="183">
        <v>27</v>
      </c>
      <c r="C100" s="183">
        <v>1</v>
      </c>
    </row>
    <row r="101" spans="1:3" x14ac:dyDescent="0.25">
      <c r="A101" s="222" t="s">
        <v>338</v>
      </c>
      <c r="B101" s="183">
        <v>20</v>
      </c>
      <c r="C101" s="183">
        <v>1</v>
      </c>
    </row>
    <row r="102" spans="1:3" x14ac:dyDescent="0.25">
      <c r="A102" s="222" t="s">
        <v>535</v>
      </c>
      <c r="B102" s="183">
        <v>25</v>
      </c>
      <c r="C102" s="183">
        <v>1</v>
      </c>
    </row>
    <row r="103" spans="1:3" x14ac:dyDescent="0.25">
      <c r="A103" s="222" t="s">
        <v>565</v>
      </c>
      <c r="B103" s="183">
        <v>27</v>
      </c>
      <c r="C103" s="183">
        <v>1</v>
      </c>
    </row>
    <row r="104" spans="1:3" x14ac:dyDescent="0.25">
      <c r="A104" s="222" t="s">
        <v>381</v>
      </c>
      <c r="B104" s="183">
        <v>21</v>
      </c>
      <c r="C104" s="183">
        <v>1</v>
      </c>
    </row>
    <row r="105" spans="1:3" x14ac:dyDescent="0.25">
      <c r="A105" s="222" t="s">
        <v>278</v>
      </c>
      <c r="B105" s="183">
        <v>19</v>
      </c>
      <c r="C105" s="183">
        <v>1</v>
      </c>
    </row>
    <row r="106" spans="1:3" x14ac:dyDescent="0.25">
      <c r="A106" s="222" t="s">
        <v>550</v>
      </c>
      <c r="B106" s="183">
        <v>25</v>
      </c>
      <c r="C106" s="183">
        <v>1</v>
      </c>
    </row>
    <row r="107" spans="1:3" x14ac:dyDescent="0.25">
      <c r="A107" s="222" t="s">
        <v>361</v>
      </c>
      <c r="B107" s="183">
        <v>35</v>
      </c>
      <c r="C107" s="183">
        <v>1</v>
      </c>
    </row>
    <row r="108" spans="1:3" x14ac:dyDescent="0.25">
      <c r="A108" s="222" t="s">
        <v>419</v>
      </c>
      <c r="B108" s="183">
        <v>18</v>
      </c>
      <c r="C108" s="183">
        <v>1</v>
      </c>
    </row>
    <row r="109" spans="1:3" x14ac:dyDescent="0.25">
      <c r="A109" s="222" t="s">
        <v>571</v>
      </c>
      <c r="B109" s="183">
        <v>25</v>
      </c>
      <c r="C109" s="183">
        <v>1</v>
      </c>
    </row>
    <row r="110" spans="1:3" x14ac:dyDescent="0.25">
      <c r="A110" s="222" t="s">
        <v>304</v>
      </c>
      <c r="B110" s="183">
        <v>19</v>
      </c>
      <c r="C110" s="183">
        <v>1</v>
      </c>
    </row>
    <row r="111" spans="1:3" x14ac:dyDescent="0.25">
      <c r="A111" s="222" t="s">
        <v>356</v>
      </c>
      <c r="B111" s="183">
        <v>29</v>
      </c>
      <c r="C111" s="183">
        <v>1</v>
      </c>
    </row>
    <row r="112" spans="1:3" x14ac:dyDescent="0.25">
      <c r="A112" s="222" t="s">
        <v>482</v>
      </c>
      <c r="B112" s="183">
        <v>29</v>
      </c>
      <c r="C112" s="183">
        <v>1</v>
      </c>
    </row>
    <row r="113" spans="1:3" x14ac:dyDescent="0.25">
      <c r="A113" s="222" t="s">
        <v>438</v>
      </c>
      <c r="B113" s="183">
        <v>34</v>
      </c>
      <c r="C113" s="183">
        <v>1</v>
      </c>
    </row>
    <row r="114" spans="1:3" x14ac:dyDescent="0.25">
      <c r="A114" s="222" t="s">
        <v>585</v>
      </c>
      <c r="B114" s="183">
        <v>19</v>
      </c>
      <c r="C114" s="183">
        <v>1</v>
      </c>
    </row>
    <row r="115" spans="1:3" x14ac:dyDescent="0.25">
      <c r="A115" s="222" t="s">
        <v>591</v>
      </c>
      <c r="B115" s="183">
        <v>34</v>
      </c>
      <c r="C115" s="183">
        <v>1</v>
      </c>
    </row>
    <row r="116" spans="1:3" x14ac:dyDescent="0.25">
      <c r="A116" s="222" t="s">
        <v>323</v>
      </c>
      <c r="B116" s="183">
        <v>23</v>
      </c>
      <c r="C116" s="183">
        <v>1</v>
      </c>
    </row>
    <row r="117" spans="1:3" x14ac:dyDescent="0.25">
      <c r="A117" s="222" t="s">
        <v>386</v>
      </c>
      <c r="B117" s="183">
        <v>18</v>
      </c>
      <c r="C117" s="183">
        <v>1</v>
      </c>
    </row>
    <row r="118" spans="1:3" x14ac:dyDescent="0.25">
      <c r="A118" s="222" t="s">
        <v>371</v>
      </c>
      <c r="B118" s="183">
        <v>32</v>
      </c>
      <c r="C118" s="183">
        <v>1</v>
      </c>
    </row>
    <row r="119" spans="1:3" x14ac:dyDescent="0.25">
      <c r="A119" s="222" t="s">
        <v>325</v>
      </c>
      <c r="B119" s="183">
        <v>22</v>
      </c>
      <c r="C119" s="183">
        <v>1</v>
      </c>
    </row>
    <row r="120" spans="1:3" x14ac:dyDescent="0.25">
      <c r="A120" s="222" t="s">
        <v>311</v>
      </c>
      <c r="B120" s="183">
        <v>29</v>
      </c>
      <c r="C120" s="183">
        <v>1</v>
      </c>
    </row>
    <row r="121" spans="1:3" x14ac:dyDescent="0.25">
      <c r="A121" s="222" t="s">
        <v>588</v>
      </c>
      <c r="B121" s="183">
        <v>32</v>
      </c>
      <c r="C121" s="183">
        <v>1</v>
      </c>
    </row>
    <row r="122" spans="1:3" x14ac:dyDescent="0.25">
      <c r="A122" s="222" t="s">
        <v>560</v>
      </c>
      <c r="B122" s="183">
        <v>19</v>
      </c>
      <c r="C122" s="183">
        <v>1</v>
      </c>
    </row>
    <row r="123" spans="1:3" x14ac:dyDescent="0.25">
      <c r="A123" s="222" t="s">
        <v>248</v>
      </c>
      <c r="B123" s="183">
        <v>30</v>
      </c>
      <c r="C123" s="183">
        <v>1</v>
      </c>
    </row>
    <row r="124" spans="1:3" x14ac:dyDescent="0.25">
      <c r="A124" s="222" t="s">
        <v>612</v>
      </c>
      <c r="B124" s="183">
        <v>35</v>
      </c>
      <c r="C124" s="183">
        <v>1</v>
      </c>
    </row>
    <row r="125" spans="1:3" x14ac:dyDescent="0.25">
      <c r="A125" s="222" t="s">
        <v>589</v>
      </c>
      <c r="B125" s="183">
        <v>30</v>
      </c>
      <c r="C125" s="183">
        <v>1</v>
      </c>
    </row>
    <row r="126" spans="1:3" x14ac:dyDescent="0.25">
      <c r="A126" s="222" t="s">
        <v>398</v>
      </c>
      <c r="B126" s="183">
        <v>34</v>
      </c>
      <c r="C126" s="183">
        <v>1</v>
      </c>
    </row>
    <row r="127" spans="1:3" x14ac:dyDescent="0.25">
      <c r="A127" s="222" t="s">
        <v>320</v>
      </c>
      <c r="B127" s="183">
        <v>26</v>
      </c>
      <c r="C127" s="183">
        <v>1</v>
      </c>
    </row>
    <row r="128" spans="1:3" x14ac:dyDescent="0.25">
      <c r="A128" s="222" t="s">
        <v>593</v>
      </c>
      <c r="B128" s="183">
        <v>24</v>
      </c>
      <c r="C128" s="183">
        <v>1</v>
      </c>
    </row>
    <row r="129" spans="1:3" x14ac:dyDescent="0.25">
      <c r="A129" s="222" t="s">
        <v>391</v>
      </c>
      <c r="B129" s="183">
        <v>20</v>
      </c>
      <c r="C129" s="183">
        <v>1</v>
      </c>
    </row>
    <row r="130" spans="1:3" x14ac:dyDescent="0.25">
      <c r="A130" s="222" t="s">
        <v>406</v>
      </c>
      <c r="B130" s="183">
        <v>19</v>
      </c>
      <c r="C130" s="183">
        <v>1</v>
      </c>
    </row>
    <row r="131" spans="1:3" x14ac:dyDescent="0.25">
      <c r="A131" s="222" t="s">
        <v>291</v>
      </c>
      <c r="B131" s="183">
        <v>22</v>
      </c>
      <c r="C131" s="183">
        <v>1</v>
      </c>
    </row>
    <row r="132" spans="1:3" x14ac:dyDescent="0.25">
      <c r="A132" s="222" t="s">
        <v>331</v>
      </c>
      <c r="B132" s="183">
        <v>25</v>
      </c>
      <c r="C132" s="183">
        <v>1</v>
      </c>
    </row>
    <row r="133" spans="1:3" x14ac:dyDescent="0.25">
      <c r="A133" s="222" t="s">
        <v>515</v>
      </c>
      <c r="B133" s="183">
        <v>18</v>
      </c>
      <c r="C133" s="183">
        <v>1</v>
      </c>
    </row>
    <row r="134" spans="1:3" x14ac:dyDescent="0.25">
      <c r="A134" s="222" t="s">
        <v>333</v>
      </c>
      <c r="B134" s="183">
        <v>26</v>
      </c>
      <c r="C134" s="183">
        <v>1</v>
      </c>
    </row>
    <row r="135" spans="1:3" x14ac:dyDescent="0.25">
      <c r="A135" s="222" t="s">
        <v>364</v>
      </c>
      <c r="B135" s="183">
        <v>32</v>
      </c>
      <c r="C135" s="183">
        <v>1</v>
      </c>
    </row>
    <row r="136" spans="1:3" x14ac:dyDescent="0.25">
      <c r="A136" s="222" t="s">
        <v>457</v>
      </c>
      <c r="B136" s="183">
        <v>32</v>
      </c>
      <c r="C136" s="183">
        <v>1</v>
      </c>
    </row>
    <row r="137" spans="1:3" x14ac:dyDescent="0.25">
      <c r="A137" s="222" t="s">
        <v>329</v>
      </c>
      <c r="B137" s="183">
        <v>20</v>
      </c>
      <c r="C137" s="183">
        <v>1</v>
      </c>
    </row>
    <row r="138" spans="1:3" x14ac:dyDescent="0.25">
      <c r="A138" s="222" t="s">
        <v>256</v>
      </c>
      <c r="B138" s="183">
        <v>32</v>
      </c>
      <c r="C138" s="183">
        <v>1</v>
      </c>
    </row>
    <row r="139" spans="1:3" x14ac:dyDescent="0.25">
      <c r="A139" s="222" t="s">
        <v>480</v>
      </c>
      <c r="B139" s="183">
        <v>30</v>
      </c>
      <c r="C139" s="183">
        <v>1</v>
      </c>
    </row>
    <row r="140" spans="1:3" x14ac:dyDescent="0.25">
      <c r="A140" s="222" t="s">
        <v>343</v>
      </c>
      <c r="B140" s="183">
        <v>20</v>
      </c>
      <c r="C140" s="183">
        <v>1</v>
      </c>
    </row>
    <row r="141" spans="1:3" x14ac:dyDescent="0.25">
      <c r="A141" s="222" t="s">
        <v>437</v>
      </c>
      <c r="B141" s="183">
        <v>23</v>
      </c>
      <c r="C141" s="183">
        <v>1</v>
      </c>
    </row>
    <row r="142" spans="1:3" x14ac:dyDescent="0.25">
      <c r="A142" s="222" t="s">
        <v>312</v>
      </c>
      <c r="B142" s="183">
        <v>35</v>
      </c>
      <c r="C142" s="183">
        <v>1</v>
      </c>
    </row>
    <row r="143" spans="1:3" x14ac:dyDescent="0.25">
      <c r="A143" s="222" t="s">
        <v>484</v>
      </c>
      <c r="B143" s="183">
        <v>35</v>
      </c>
      <c r="C143" s="183">
        <v>1</v>
      </c>
    </row>
    <row r="144" spans="1:3" x14ac:dyDescent="0.25">
      <c r="A144" s="222" t="s">
        <v>507</v>
      </c>
      <c r="B144" s="183">
        <v>27</v>
      </c>
      <c r="C144" s="183">
        <v>1</v>
      </c>
    </row>
    <row r="145" spans="1:3" x14ac:dyDescent="0.25">
      <c r="A145" s="222" t="s">
        <v>523</v>
      </c>
      <c r="B145" s="183">
        <v>23</v>
      </c>
      <c r="C145" s="183">
        <v>1</v>
      </c>
    </row>
    <row r="146" spans="1:3" x14ac:dyDescent="0.25">
      <c r="A146" s="222" t="s">
        <v>573</v>
      </c>
      <c r="B146" s="183">
        <v>24</v>
      </c>
      <c r="C146" s="183">
        <v>1</v>
      </c>
    </row>
    <row r="147" spans="1:3" x14ac:dyDescent="0.25">
      <c r="A147" s="222" t="s">
        <v>310</v>
      </c>
      <c r="B147" s="183">
        <v>18</v>
      </c>
      <c r="C147" s="183">
        <v>1</v>
      </c>
    </row>
    <row r="148" spans="1:3" x14ac:dyDescent="0.25">
      <c r="A148" s="222" t="s">
        <v>509</v>
      </c>
      <c r="B148" s="183">
        <v>23</v>
      </c>
      <c r="C148" s="183">
        <v>1</v>
      </c>
    </row>
    <row r="149" spans="1:3" x14ac:dyDescent="0.25">
      <c r="A149" s="222" t="s">
        <v>417</v>
      </c>
      <c r="B149" s="183">
        <v>27</v>
      </c>
      <c r="C149" s="183">
        <v>1</v>
      </c>
    </row>
    <row r="150" spans="1:3" x14ac:dyDescent="0.25">
      <c r="A150" s="222" t="s">
        <v>423</v>
      </c>
      <c r="B150" s="183">
        <v>34</v>
      </c>
      <c r="C150" s="183">
        <v>1</v>
      </c>
    </row>
    <row r="151" spans="1:3" x14ac:dyDescent="0.25">
      <c r="A151" s="222" t="s">
        <v>429</v>
      </c>
      <c r="B151" s="183">
        <v>25</v>
      </c>
      <c r="C151" s="183">
        <v>1</v>
      </c>
    </row>
    <row r="152" spans="1:3" x14ac:dyDescent="0.25">
      <c r="A152" s="222" t="s">
        <v>390</v>
      </c>
      <c r="B152" s="183">
        <v>27</v>
      </c>
      <c r="C152" s="183">
        <v>1</v>
      </c>
    </row>
    <row r="153" spans="1:3" x14ac:dyDescent="0.25">
      <c r="A153" s="222" t="s">
        <v>302</v>
      </c>
      <c r="B153" s="183">
        <v>24</v>
      </c>
      <c r="C153" s="183">
        <v>1</v>
      </c>
    </row>
    <row r="154" spans="1:3" x14ac:dyDescent="0.25">
      <c r="A154" s="222" t="s">
        <v>500</v>
      </c>
      <c r="B154" s="183">
        <v>32</v>
      </c>
      <c r="C154" s="183">
        <v>1</v>
      </c>
    </row>
    <row r="155" spans="1:3" x14ac:dyDescent="0.25">
      <c r="A155" s="222" t="s">
        <v>404</v>
      </c>
      <c r="B155" s="183">
        <v>22</v>
      </c>
      <c r="C155" s="183">
        <v>1</v>
      </c>
    </row>
    <row r="156" spans="1:3" x14ac:dyDescent="0.25">
      <c r="A156" s="222" t="s">
        <v>373</v>
      </c>
      <c r="B156" s="183">
        <v>34</v>
      </c>
      <c r="C156" s="183">
        <v>1</v>
      </c>
    </row>
    <row r="157" spans="1:3" x14ac:dyDescent="0.25">
      <c r="A157" s="222" t="s">
        <v>294</v>
      </c>
      <c r="B157" s="183">
        <v>32</v>
      </c>
      <c r="C157" s="183">
        <v>1</v>
      </c>
    </row>
    <row r="158" spans="1:3" x14ac:dyDescent="0.25">
      <c r="A158" s="222" t="s">
        <v>357</v>
      </c>
      <c r="B158" s="183">
        <v>35</v>
      </c>
      <c r="C158" s="183">
        <v>1</v>
      </c>
    </row>
    <row r="159" spans="1:3" x14ac:dyDescent="0.25">
      <c r="A159" s="222" t="s">
        <v>576</v>
      </c>
      <c r="B159" s="183">
        <v>21</v>
      </c>
      <c r="C159" s="183">
        <v>1</v>
      </c>
    </row>
    <row r="160" spans="1:3" x14ac:dyDescent="0.25">
      <c r="A160" s="222" t="s">
        <v>448</v>
      </c>
      <c r="B160" s="183">
        <v>22</v>
      </c>
      <c r="C160" s="183">
        <v>1</v>
      </c>
    </row>
    <row r="161" spans="1:3" x14ac:dyDescent="0.25">
      <c r="A161" s="222" t="s">
        <v>432</v>
      </c>
      <c r="B161" s="183">
        <v>32</v>
      </c>
      <c r="C161" s="183">
        <v>1</v>
      </c>
    </row>
    <row r="162" spans="1:3" x14ac:dyDescent="0.25">
      <c r="A162" s="222" t="s">
        <v>486</v>
      </c>
      <c r="B162" s="183">
        <v>19</v>
      </c>
      <c r="C162" s="183">
        <v>1</v>
      </c>
    </row>
    <row r="163" spans="1:3" x14ac:dyDescent="0.25">
      <c r="A163" s="222" t="s">
        <v>335</v>
      </c>
      <c r="B163" s="183">
        <v>45</v>
      </c>
      <c r="C163" s="183">
        <v>2</v>
      </c>
    </row>
    <row r="164" spans="1:3" x14ac:dyDescent="0.25">
      <c r="A164" s="222" t="s">
        <v>305</v>
      </c>
      <c r="B164" s="183">
        <v>19</v>
      </c>
      <c r="C164" s="183">
        <v>1</v>
      </c>
    </row>
    <row r="165" spans="1:3" x14ac:dyDescent="0.25">
      <c r="A165" s="222" t="s">
        <v>252</v>
      </c>
      <c r="B165" s="183">
        <v>20</v>
      </c>
      <c r="C165" s="183">
        <v>1</v>
      </c>
    </row>
    <row r="166" spans="1:3" x14ac:dyDescent="0.25">
      <c r="A166" s="222" t="s">
        <v>289</v>
      </c>
      <c r="B166" s="183">
        <v>57</v>
      </c>
      <c r="C166" s="183">
        <v>2</v>
      </c>
    </row>
    <row r="167" spans="1:3" x14ac:dyDescent="0.25">
      <c r="A167" s="222" t="s">
        <v>625</v>
      </c>
      <c r="B167" s="183">
        <v>29</v>
      </c>
      <c r="C167" s="183">
        <v>1</v>
      </c>
    </row>
    <row r="168" spans="1:3" x14ac:dyDescent="0.25">
      <c r="A168" s="222" t="s">
        <v>554</v>
      </c>
      <c r="B168" s="183">
        <v>19</v>
      </c>
      <c r="C168" s="183">
        <v>1</v>
      </c>
    </row>
    <row r="169" spans="1:3" x14ac:dyDescent="0.25">
      <c r="A169" s="222" t="s">
        <v>332</v>
      </c>
      <c r="B169" s="183">
        <v>27</v>
      </c>
      <c r="C169" s="183">
        <v>1</v>
      </c>
    </row>
    <row r="170" spans="1:3" x14ac:dyDescent="0.25">
      <c r="A170" s="222" t="s">
        <v>443</v>
      </c>
      <c r="B170" s="183">
        <v>26</v>
      </c>
      <c r="C170" s="183">
        <v>1</v>
      </c>
    </row>
    <row r="171" spans="1:3" x14ac:dyDescent="0.25">
      <c r="A171" s="222" t="s">
        <v>317</v>
      </c>
      <c r="B171" s="183">
        <v>34</v>
      </c>
      <c r="C171" s="183">
        <v>1</v>
      </c>
    </row>
    <row r="172" spans="1:3" x14ac:dyDescent="0.25">
      <c r="A172" s="222" t="s">
        <v>363</v>
      </c>
      <c r="B172" s="183">
        <v>18</v>
      </c>
      <c r="C172" s="183">
        <v>1</v>
      </c>
    </row>
    <row r="173" spans="1:3" x14ac:dyDescent="0.25">
      <c r="A173" s="222" t="s">
        <v>408</v>
      </c>
      <c r="B173" s="183">
        <v>34</v>
      </c>
      <c r="C173" s="183">
        <v>1</v>
      </c>
    </row>
    <row r="174" spans="1:3" x14ac:dyDescent="0.25">
      <c r="A174" s="222" t="s">
        <v>245</v>
      </c>
      <c r="B174" s="183">
        <v>22</v>
      </c>
      <c r="C174" s="183">
        <v>1</v>
      </c>
    </row>
    <row r="175" spans="1:3" x14ac:dyDescent="0.25">
      <c r="A175" s="222" t="s">
        <v>316</v>
      </c>
      <c r="B175" s="183">
        <v>19</v>
      </c>
      <c r="C175" s="183">
        <v>1</v>
      </c>
    </row>
    <row r="176" spans="1:3" x14ac:dyDescent="0.25">
      <c r="A176" s="222" t="s">
        <v>297</v>
      </c>
      <c r="B176" s="183">
        <v>21</v>
      </c>
      <c r="C176" s="183">
        <v>1</v>
      </c>
    </row>
    <row r="177" spans="1:3" x14ac:dyDescent="0.25">
      <c r="A177" s="222" t="s">
        <v>383</v>
      </c>
      <c r="B177" s="183">
        <v>21</v>
      </c>
      <c r="C177" s="183">
        <v>1</v>
      </c>
    </row>
    <row r="178" spans="1:3" x14ac:dyDescent="0.25">
      <c r="A178" s="222" t="s">
        <v>350</v>
      </c>
      <c r="B178" s="183">
        <v>22</v>
      </c>
      <c r="C178" s="183">
        <v>1</v>
      </c>
    </row>
    <row r="179" spans="1:3" x14ac:dyDescent="0.25">
      <c r="A179" s="222" t="s">
        <v>399</v>
      </c>
      <c r="B179" s="183">
        <v>20</v>
      </c>
      <c r="C179" s="183">
        <v>1</v>
      </c>
    </row>
    <row r="180" spans="1:3" x14ac:dyDescent="0.25">
      <c r="A180" s="222" t="s">
        <v>285</v>
      </c>
      <c r="B180" s="183">
        <v>32</v>
      </c>
      <c r="C180" s="183">
        <v>1</v>
      </c>
    </row>
    <row r="181" spans="1:3" x14ac:dyDescent="0.25">
      <c r="A181" s="222" t="s">
        <v>430</v>
      </c>
      <c r="B181" s="183">
        <v>20</v>
      </c>
      <c r="C181" s="183">
        <v>1</v>
      </c>
    </row>
    <row r="182" spans="1:3" x14ac:dyDescent="0.25">
      <c r="A182" s="222" t="s">
        <v>352</v>
      </c>
      <c r="B182" s="183">
        <v>23</v>
      </c>
      <c r="C182" s="183">
        <v>1</v>
      </c>
    </row>
    <row r="183" spans="1:3" x14ac:dyDescent="0.25">
      <c r="A183" s="222" t="s">
        <v>421</v>
      </c>
      <c r="B183" s="183">
        <v>20</v>
      </c>
      <c r="C183" s="183">
        <v>1</v>
      </c>
    </row>
    <row r="184" spans="1:3" x14ac:dyDescent="0.25">
      <c r="A184" s="222" t="s">
        <v>257</v>
      </c>
      <c r="B184" s="183">
        <v>29</v>
      </c>
      <c r="C184" s="183">
        <v>1</v>
      </c>
    </row>
    <row r="185" spans="1:3" x14ac:dyDescent="0.25">
      <c r="A185" s="222" t="s">
        <v>360</v>
      </c>
      <c r="B185" s="183">
        <v>28</v>
      </c>
      <c r="C185" s="183">
        <v>1</v>
      </c>
    </row>
    <row r="186" spans="1:3" x14ac:dyDescent="0.25">
      <c r="A186" s="222" t="s">
        <v>431</v>
      </c>
      <c r="B186" s="183">
        <v>52</v>
      </c>
      <c r="C186" s="183">
        <v>2</v>
      </c>
    </row>
    <row r="187" spans="1:3" x14ac:dyDescent="0.25">
      <c r="A187" s="222" t="s">
        <v>295</v>
      </c>
      <c r="B187" s="183">
        <v>44</v>
      </c>
      <c r="C187" s="183">
        <v>2</v>
      </c>
    </row>
    <row r="188" spans="1:3" x14ac:dyDescent="0.25">
      <c r="A188" s="222" t="s">
        <v>539</v>
      </c>
      <c r="B188" s="183">
        <v>34</v>
      </c>
      <c r="C188" s="183">
        <v>1</v>
      </c>
    </row>
    <row r="189" spans="1:3" x14ac:dyDescent="0.25">
      <c r="A189" s="222" t="s">
        <v>426</v>
      </c>
      <c r="B189" s="183">
        <v>47</v>
      </c>
      <c r="C189" s="183">
        <v>2</v>
      </c>
    </row>
    <row r="190" spans="1:3" x14ac:dyDescent="0.25">
      <c r="A190" s="222" t="s">
        <v>492</v>
      </c>
      <c r="B190" s="183">
        <v>19</v>
      </c>
      <c r="C190" s="183">
        <v>1</v>
      </c>
    </row>
    <row r="191" spans="1:3" x14ac:dyDescent="0.25">
      <c r="A191" s="222" t="s">
        <v>292</v>
      </c>
      <c r="B191" s="183">
        <v>19</v>
      </c>
      <c r="C191" s="183">
        <v>1</v>
      </c>
    </row>
    <row r="192" spans="1:3" x14ac:dyDescent="0.25">
      <c r="A192" s="222" t="s">
        <v>337</v>
      </c>
      <c r="B192" s="183">
        <v>24</v>
      </c>
      <c r="C192" s="183">
        <v>1</v>
      </c>
    </row>
    <row r="193" spans="1:3" x14ac:dyDescent="0.25">
      <c r="A193" s="222" t="s">
        <v>339</v>
      </c>
      <c r="B193" s="183">
        <v>27</v>
      </c>
      <c r="C193" s="183">
        <v>1</v>
      </c>
    </row>
    <row r="194" spans="1:3" x14ac:dyDescent="0.25">
      <c r="A194" s="222" t="s">
        <v>347</v>
      </c>
      <c r="B194" s="183">
        <v>38</v>
      </c>
      <c r="C194" s="183">
        <v>2</v>
      </c>
    </row>
    <row r="195" spans="1:3" x14ac:dyDescent="0.25">
      <c r="A195" s="222" t="s">
        <v>537</v>
      </c>
      <c r="B195" s="183">
        <v>22</v>
      </c>
      <c r="C195" s="183">
        <v>1</v>
      </c>
    </row>
    <row r="196" spans="1:3" x14ac:dyDescent="0.25">
      <c r="A196" s="222" t="s">
        <v>369</v>
      </c>
      <c r="B196" s="183">
        <v>19</v>
      </c>
      <c r="C196" s="183">
        <v>1</v>
      </c>
    </row>
    <row r="197" spans="1:3" x14ac:dyDescent="0.25">
      <c r="A197" s="222" t="s">
        <v>604</v>
      </c>
      <c r="B197" s="183">
        <v>27</v>
      </c>
      <c r="C197" s="183">
        <v>1</v>
      </c>
    </row>
    <row r="198" spans="1:3" x14ac:dyDescent="0.25">
      <c r="A198" s="222" t="s">
        <v>583</v>
      </c>
      <c r="B198" s="183">
        <v>23</v>
      </c>
      <c r="C198" s="183">
        <v>1</v>
      </c>
    </row>
    <row r="199" spans="1:3" x14ac:dyDescent="0.25">
      <c r="A199" s="222" t="s">
        <v>597</v>
      </c>
      <c r="B199" s="183">
        <v>19</v>
      </c>
      <c r="C199" s="183">
        <v>1</v>
      </c>
    </row>
    <row r="200" spans="1:3" x14ac:dyDescent="0.25">
      <c r="A200" s="222" t="s">
        <v>277</v>
      </c>
      <c r="B200" s="183">
        <v>19</v>
      </c>
      <c r="C200" s="183">
        <v>1</v>
      </c>
    </row>
    <row r="201" spans="1:3" x14ac:dyDescent="0.25">
      <c r="A201" s="222" t="s">
        <v>276</v>
      </c>
      <c r="B201" s="183">
        <v>28</v>
      </c>
      <c r="C201" s="183">
        <v>1</v>
      </c>
    </row>
    <row r="202" spans="1:3" x14ac:dyDescent="0.25">
      <c r="A202" s="222" t="s">
        <v>468</v>
      </c>
      <c r="B202" s="183">
        <v>19</v>
      </c>
      <c r="C202" s="183">
        <v>1</v>
      </c>
    </row>
    <row r="203" spans="1:3" x14ac:dyDescent="0.25">
      <c r="A203" s="222" t="s">
        <v>345</v>
      </c>
      <c r="B203" s="183">
        <v>26</v>
      </c>
      <c r="C203" s="183">
        <v>1</v>
      </c>
    </row>
    <row r="204" spans="1:3" x14ac:dyDescent="0.25">
      <c r="A204" s="222" t="s">
        <v>1609</v>
      </c>
      <c r="B204" s="183">
        <v>5340</v>
      </c>
      <c r="C204" s="183">
        <v>213</v>
      </c>
    </row>
  </sheetData>
  <pageMargins left="0.7" right="0.7" top="0.75" bottom="0.75" header="0.3" footer="0.3"/>
  <pageSetup paperSize="9" orientation="portrait" r:id="rId6"/>
  <drawing r:id="rId7"/>
  <extLst>
    <ext xmlns:x14="http://schemas.microsoft.com/office/spreadsheetml/2009/9/main" uri="{A8765BA9-456A-4dab-B4F3-ACF838C121DE}">
      <x14:slicerList>
        <x14:slicer r:id="rId8"/>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F4C96-C518-4C4B-8811-2F51752CB1AD}">
  <dimension ref="A3:O108"/>
  <sheetViews>
    <sheetView tabSelected="1" workbookViewId="0">
      <selection activeCell="P17" sqref="P17"/>
    </sheetView>
  </sheetViews>
  <sheetFormatPr defaultRowHeight="15" x14ac:dyDescent="0.25"/>
  <cols>
    <col min="1" max="1" width="24.28515625" bestFit="1" customWidth="1"/>
    <col min="2" max="2" width="17.85546875" bestFit="1" customWidth="1"/>
    <col min="3" max="3" width="8.140625" bestFit="1" customWidth="1"/>
    <col min="4" max="4" width="11.28515625" bestFit="1" customWidth="1"/>
    <col min="5" max="6" width="6" bestFit="1" customWidth="1"/>
    <col min="7" max="7" width="6.28515625" bestFit="1" customWidth="1"/>
    <col min="8" max="8" width="10.42578125" bestFit="1" customWidth="1"/>
    <col min="9" max="9" width="5.7109375" bestFit="1" customWidth="1"/>
    <col min="10" max="10" width="8" bestFit="1" customWidth="1"/>
    <col min="11" max="11" width="5.85546875" bestFit="1" customWidth="1"/>
    <col min="12" max="12" width="24.28515625" bestFit="1" customWidth="1"/>
    <col min="13" max="13" width="17.85546875" bestFit="1" customWidth="1"/>
    <col min="14" max="14" width="16.42578125" bestFit="1" customWidth="1"/>
    <col min="15" max="15" width="15.42578125" bestFit="1" customWidth="1"/>
    <col min="16" max="16" width="11.140625" bestFit="1" customWidth="1"/>
    <col min="17" max="17" width="11.42578125" bestFit="1" customWidth="1"/>
    <col min="18" max="18" width="10.85546875" bestFit="1" customWidth="1"/>
    <col min="19" max="19" width="11.140625" bestFit="1" customWidth="1"/>
    <col min="20" max="20" width="16.42578125" bestFit="1" customWidth="1"/>
    <col min="21" max="21" width="15.85546875" bestFit="1" customWidth="1"/>
    <col min="22" max="22" width="16.140625" bestFit="1" customWidth="1"/>
    <col min="23" max="24" width="8.140625" bestFit="1" customWidth="1"/>
    <col min="25" max="25" width="10.85546875" bestFit="1" customWidth="1"/>
    <col min="26" max="26" width="11.28515625" bestFit="1" customWidth="1"/>
    <col min="27" max="27" width="8.5703125" bestFit="1" customWidth="1"/>
    <col min="28" max="28" width="6" bestFit="1" customWidth="1"/>
    <col min="29" max="29" width="11.28515625" bestFit="1" customWidth="1"/>
  </cols>
  <sheetData>
    <row r="3" spans="1:15" x14ac:dyDescent="0.25">
      <c r="B3" s="221" t="s">
        <v>1614</v>
      </c>
    </row>
    <row r="4" spans="1:15" x14ac:dyDescent="0.25">
      <c r="B4" t="s">
        <v>1613</v>
      </c>
      <c r="H4" t="s">
        <v>1610</v>
      </c>
      <c r="N4" t="s">
        <v>1618</v>
      </c>
      <c r="O4" t="s">
        <v>1615</v>
      </c>
    </row>
    <row r="5" spans="1:15" x14ac:dyDescent="0.25">
      <c r="A5" s="221" t="s">
        <v>1608</v>
      </c>
      <c r="B5" t="s">
        <v>783</v>
      </c>
      <c r="C5" t="s">
        <v>791</v>
      </c>
      <c r="D5" t="s">
        <v>206</v>
      </c>
      <c r="E5" t="s">
        <v>207</v>
      </c>
      <c r="F5" t="s">
        <v>782</v>
      </c>
      <c r="G5" t="s">
        <v>769</v>
      </c>
      <c r="H5" t="s">
        <v>783</v>
      </c>
      <c r="I5" t="s">
        <v>791</v>
      </c>
      <c r="J5" t="s">
        <v>206</v>
      </c>
      <c r="K5" t="s">
        <v>207</v>
      </c>
      <c r="L5" t="s">
        <v>782</v>
      </c>
      <c r="M5" t="s">
        <v>769</v>
      </c>
    </row>
    <row r="6" spans="1:15" x14ac:dyDescent="0.25">
      <c r="A6" s="222" t="s">
        <v>810</v>
      </c>
      <c r="B6" s="183">
        <v>4033</v>
      </c>
      <c r="C6" s="183">
        <v>4033</v>
      </c>
      <c r="D6" s="183">
        <v>4033</v>
      </c>
      <c r="E6" s="183">
        <v>4033</v>
      </c>
      <c r="F6" s="183">
        <v>4033</v>
      </c>
      <c r="G6" s="183">
        <v>4033</v>
      </c>
      <c r="H6" s="183">
        <v>159</v>
      </c>
      <c r="I6" s="183">
        <v>97</v>
      </c>
      <c r="J6" s="183">
        <v>68</v>
      </c>
      <c r="K6" s="183">
        <v>122</v>
      </c>
      <c r="L6" s="183">
        <v>111</v>
      </c>
      <c r="M6" s="183">
        <v>98</v>
      </c>
      <c r="N6" s="183">
        <v>24198</v>
      </c>
      <c r="O6" s="183">
        <v>655</v>
      </c>
    </row>
    <row r="7" spans="1:15" x14ac:dyDescent="0.25">
      <c r="A7" s="222" t="s">
        <v>807</v>
      </c>
      <c r="B7" s="183">
        <v>4033</v>
      </c>
      <c r="C7" s="183">
        <v>4033</v>
      </c>
      <c r="D7" s="183">
        <v>4033</v>
      </c>
      <c r="E7" s="183">
        <v>4033</v>
      </c>
      <c r="F7" s="183">
        <v>4033</v>
      </c>
      <c r="G7" s="183">
        <v>4033</v>
      </c>
      <c r="H7" s="183">
        <v>137</v>
      </c>
      <c r="I7" s="183">
        <v>126</v>
      </c>
      <c r="J7" s="183">
        <v>114</v>
      </c>
      <c r="K7" s="183">
        <v>118</v>
      </c>
      <c r="L7" s="183">
        <v>147</v>
      </c>
      <c r="M7" s="183">
        <v>135</v>
      </c>
      <c r="N7" s="183">
        <v>24198</v>
      </c>
      <c r="O7" s="183">
        <v>777</v>
      </c>
    </row>
    <row r="8" spans="1:15" x14ac:dyDescent="0.25">
      <c r="A8" s="222" t="s">
        <v>806</v>
      </c>
      <c r="B8" s="183">
        <v>4033</v>
      </c>
      <c r="C8" s="183">
        <v>4033</v>
      </c>
      <c r="D8" s="183">
        <v>4033</v>
      </c>
      <c r="E8" s="183">
        <v>4033</v>
      </c>
      <c r="F8" s="183">
        <v>4033</v>
      </c>
      <c r="G8" s="183">
        <v>4033</v>
      </c>
      <c r="H8" s="183">
        <v>122</v>
      </c>
      <c r="I8" s="183">
        <v>175</v>
      </c>
      <c r="J8" s="183">
        <v>98</v>
      </c>
      <c r="K8" s="183">
        <v>101</v>
      </c>
      <c r="L8" s="183">
        <v>156</v>
      </c>
      <c r="M8" s="183">
        <v>107</v>
      </c>
      <c r="N8" s="183">
        <v>24198</v>
      </c>
      <c r="O8" s="183">
        <v>759</v>
      </c>
    </row>
    <row r="9" spans="1:15" x14ac:dyDescent="0.25">
      <c r="A9" s="222" t="s">
        <v>809</v>
      </c>
      <c r="B9" s="183">
        <v>4033</v>
      </c>
      <c r="C9" s="183">
        <v>4033</v>
      </c>
      <c r="D9" s="183">
        <v>6049</v>
      </c>
      <c r="E9" s="183">
        <v>4033</v>
      </c>
      <c r="F9" s="183">
        <v>2017</v>
      </c>
      <c r="G9" s="183">
        <v>4033</v>
      </c>
      <c r="H9" s="183">
        <v>166</v>
      </c>
      <c r="I9" s="183">
        <v>154</v>
      </c>
      <c r="J9" s="183">
        <v>171</v>
      </c>
      <c r="K9" s="183">
        <v>120</v>
      </c>
      <c r="L9" s="183">
        <v>75</v>
      </c>
      <c r="M9" s="183">
        <v>134</v>
      </c>
      <c r="N9" s="183">
        <v>24198</v>
      </c>
      <c r="O9" s="183">
        <v>820</v>
      </c>
    </row>
    <row r="10" spans="1:15" x14ac:dyDescent="0.25">
      <c r="A10" s="222" t="s">
        <v>808</v>
      </c>
      <c r="B10" s="183">
        <v>4033</v>
      </c>
      <c r="C10" s="183">
        <v>4033</v>
      </c>
      <c r="D10" s="183">
        <v>4033</v>
      </c>
      <c r="E10" s="183">
        <v>4033</v>
      </c>
      <c r="F10" s="183">
        <v>4033</v>
      </c>
      <c r="G10" s="183">
        <v>4033</v>
      </c>
      <c r="H10" s="183">
        <v>119</v>
      </c>
      <c r="I10" s="183">
        <v>164</v>
      </c>
      <c r="J10" s="183">
        <v>104</v>
      </c>
      <c r="K10" s="183">
        <v>149</v>
      </c>
      <c r="L10" s="183">
        <v>80</v>
      </c>
      <c r="M10" s="183">
        <v>142</v>
      </c>
      <c r="N10" s="183">
        <v>24198</v>
      </c>
      <c r="O10" s="183">
        <v>758</v>
      </c>
    </row>
    <row r="11" spans="1:15" x14ac:dyDescent="0.25">
      <c r="A11" s="222" t="s">
        <v>1609</v>
      </c>
      <c r="B11" s="183">
        <v>20165</v>
      </c>
      <c r="C11" s="183">
        <v>20165</v>
      </c>
      <c r="D11" s="183">
        <v>22181</v>
      </c>
      <c r="E11" s="183">
        <v>20165</v>
      </c>
      <c r="F11" s="183">
        <v>18149</v>
      </c>
      <c r="G11" s="183">
        <v>20165</v>
      </c>
      <c r="H11" s="183">
        <v>703</v>
      </c>
      <c r="I11" s="183">
        <v>716</v>
      </c>
      <c r="J11" s="183">
        <v>555</v>
      </c>
      <c r="K11" s="183">
        <v>610</v>
      </c>
      <c r="L11" s="183">
        <v>569</v>
      </c>
      <c r="M11" s="183">
        <v>616</v>
      </c>
      <c r="N11" s="183">
        <v>120990</v>
      </c>
      <c r="O11" s="183">
        <v>3769</v>
      </c>
    </row>
    <row r="14" spans="1:15" x14ac:dyDescent="0.25">
      <c r="A14" s="221" t="s">
        <v>48</v>
      </c>
      <c r="B14" t="s">
        <v>1632</v>
      </c>
    </row>
    <row r="16" spans="1:15" x14ac:dyDescent="0.25">
      <c r="A16" s="221" t="s">
        <v>1631</v>
      </c>
      <c r="B16" s="221" t="s">
        <v>1614</v>
      </c>
    </row>
    <row r="17" spans="1:4" x14ac:dyDescent="0.25">
      <c r="A17" s="221" t="s">
        <v>1608</v>
      </c>
      <c r="B17" t="s">
        <v>56</v>
      </c>
      <c r="C17" t="s">
        <v>60</v>
      </c>
      <c r="D17" t="s">
        <v>1609</v>
      </c>
    </row>
    <row r="18" spans="1:4" x14ac:dyDescent="0.25">
      <c r="A18" s="222" t="s">
        <v>78</v>
      </c>
      <c r="B18" s="273"/>
      <c r="C18" s="273"/>
      <c r="D18" s="273"/>
    </row>
    <row r="19" spans="1:4" x14ac:dyDescent="0.25">
      <c r="A19" s="274">
        <v>28326</v>
      </c>
      <c r="B19" s="273"/>
      <c r="C19" s="273"/>
      <c r="D19" s="273"/>
    </row>
    <row r="20" spans="1:4" x14ac:dyDescent="0.25">
      <c r="A20" s="272" t="s">
        <v>63</v>
      </c>
      <c r="B20" s="273">
        <v>0.10848975374547959</v>
      </c>
      <c r="C20" s="273">
        <v>0</v>
      </c>
      <c r="D20" s="273">
        <v>5.0917319970904387E-2</v>
      </c>
    </row>
    <row r="21" spans="1:4" x14ac:dyDescent="0.25">
      <c r="A21" s="274" t="s">
        <v>1641</v>
      </c>
      <c r="B21" s="273">
        <v>0.10848975374547959</v>
      </c>
      <c r="C21" s="273">
        <v>0</v>
      </c>
      <c r="D21" s="273">
        <v>5.0917319970904387E-2</v>
      </c>
    </row>
    <row r="22" spans="1:4" x14ac:dyDescent="0.25">
      <c r="A22" s="222" t="s">
        <v>1651</v>
      </c>
      <c r="B22" s="273">
        <v>0.10848975374547959</v>
      </c>
      <c r="C22" s="273">
        <v>0</v>
      </c>
      <c r="D22" s="273">
        <v>5.0917319970904387E-2</v>
      </c>
    </row>
    <row r="23" spans="1:4" x14ac:dyDescent="0.25">
      <c r="A23" s="222" t="s">
        <v>150</v>
      </c>
      <c r="B23" s="273"/>
      <c r="C23" s="273"/>
      <c r="D23" s="273"/>
    </row>
    <row r="24" spans="1:4" x14ac:dyDescent="0.25">
      <c r="A24" s="274">
        <v>31791</v>
      </c>
      <c r="B24" s="273"/>
      <c r="C24" s="273"/>
      <c r="D24" s="273"/>
    </row>
    <row r="25" spans="1:4" x14ac:dyDescent="0.25">
      <c r="A25" s="272" t="s">
        <v>59</v>
      </c>
      <c r="B25" s="273">
        <v>0</v>
      </c>
      <c r="C25" s="273">
        <v>0.11727078891257996</v>
      </c>
      <c r="D25" s="273">
        <v>6.2232279964438697E-2</v>
      </c>
    </row>
    <row r="26" spans="1:4" x14ac:dyDescent="0.25">
      <c r="A26" s="274" t="s">
        <v>1635</v>
      </c>
      <c r="B26" s="273">
        <v>0</v>
      </c>
      <c r="C26" s="273">
        <v>0.11727078891257996</v>
      </c>
      <c r="D26" s="273">
        <v>6.2232279964438697E-2</v>
      </c>
    </row>
    <row r="27" spans="1:4" x14ac:dyDescent="0.25">
      <c r="A27" s="222" t="s">
        <v>1655</v>
      </c>
      <c r="B27" s="273">
        <v>0</v>
      </c>
      <c r="C27" s="273">
        <v>0.11727078891257996</v>
      </c>
      <c r="D27" s="273">
        <v>6.2232279964438697E-2</v>
      </c>
    </row>
    <row r="28" spans="1:4" x14ac:dyDescent="0.25">
      <c r="A28" s="222" t="s">
        <v>186</v>
      </c>
      <c r="B28" s="273"/>
      <c r="C28" s="273"/>
      <c r="D28" s="273"/>
    </row>
    <row r="29" spans="1:4" x14ac:dyDescent="0.25">
      <c r="A29" s="274">
        <v>32604</v>
      </c>
      <c r="B29" s="273"/>
      <c r="C29" s="273"/>
      <c r="D29" s="273"/>
    </row>
    <row r="30" spans="1:4" x14ac:dyDescent="0.25">
      <c r="A30" s="272" t="s">
        <v>52</v>
      </c>
      <c r="B30" s="273">
        <v>0</v>
      </c>
      <c r="C30" s="273">
        <v>0.10554371002132196</v>
      </c>
      <c r="D30" s="273">
        <v>5.6009051967994827E-2</v>
      </c>
    </row>
    <row r="31" spans="1:4" x14ac:dyDescent="0.25">
      <c r="A31" s="274" t="s">
        <v>1648</v>
      </c>
      <c r="B31" s="273">
        <v>0</v>
      </c>
      <c r="C31" s="273">
        <v>0.10554371002132196</v>
      </c>
      <c r="D31" s="273">
        <v>5.6009051967994827E-2</v>
      </c>
    </row>
    <row r="32" spans="1:4" x14ac:dyDescent="0.25">
      <c r="A32" s="222" t="s">
        <v>1661</v>
      </c>
      <c r="B32" s="273">
        <v>0</v>
      </c>
      <c r="C32" s="273">
        <v>0.10554371002132196</v>
      </c>
      <c r="D32" s="273">
        <v>5.6009051967994827E-2</v>
      </c>
    </row>
    <row r="33" spans="1:4" x14ac:dyDescent="0.25">
      <c r="A33" s="222" t="s">
        <v>188</v>
      </c>
      <c r="B33" s="273"/>
      <c r="C33" s="273"/>
      <c r="D33" s="273"/>
    </row>
    <row r="34" spans="1:4" x14ac:dyDescent="0.25">
      <c r="A34" s="274">
        <v>32606</v>
      </c>
      <c r="B34" s="273"/>
      <c r="C34" s="273"/>
      <c r="D34" s="273"/>
    </row>
    <row r="35" spans="1:4" x14ac:dyDescent="0.25">
      <c r="A35" s="272" t="s">
        <v>63</v>
      </c>
      <c r="B35" s="273">
        <v>0</v>
      </c>
      <c r="C35" s="273">
        <v>0.10554371002132196</v>
      </c>
      <c r="D35" s="273">
        <v>5.6009051967994827E-2</v>
      </c>
    </row>
    <row r="36" spans="1:4" x14ac:dyDescent="0.25">
      <c r="A36" s="274" t="s">
        <v>1643</v>
      </c>
      <c r="B36" s="273">
        <v>0</v>
      </c>
      <c r="C36" s="273">
        <v>0.10554371002132196</v>
      </c>
      <c r="D36" s="273">
        <v>5.6009051967994827E-2</v>
      </c>
    </row>
    <row r="37" spans="1:4" x14ac:dyDescent="0.25">
      <c r="A37" s="222" t="s">
        <v>1662</v>
      </c>
      <c r="B37" s="273">
        <v>0</v>
      </c>
      <c r="C37" s="273">
        <v>0.10554371002132196</v>
      </c>
      <c r="D37" s="273">
        <v>5.6009051967994827E-2</v>
      </c>
    </row>
    <row r="38" spans="1:4" x14ac:dyDescent="0.25">
      <c r="A38" s="222" t="s">
        <v>147</v>
      </c>
      <c r="B38" s="273"/>
      <c r="C38" s="273"/>
      <c r="D38" s="273"/>
    </row>
    <row r="39" spans="1:4" x14ac:dyDescent="0.25">
      <c r="A39" s="274">
        <v>34098</v>
      </c>
      <c r="B39" s="273"/>
      <c r="C39" s="273"/>
      <c r="D39" s="273"/>
    </row>
    <row r="40" spans="1:4" x14ac:dyDescent="0.25">
      <c r="A40" s="272" t="s">
        <v>52</v>
      </c>
      <c r="B40" s="273">
        <v>0</v>
      </c>
      <c r="C40" s="273">
        <v>9.0618336886993597E-2</v>
      </c>
      <c r="D40" s="273">
        <v>4.8088579972520813E-2</v>
      </c>
    </row>
    <row r="41" spans="1:4" x14ac:dyDescent="0.25">
      <c r="A41" s="274" t="s">
        <v>1650</v>
      </c>
      <c r="B41" s="273">
        <v>0</v>
      </c>
      <c r="C41" s="273">
        <v>9.0618336886993597E-2</v>
      </c>
      <c r="D41" s="273">
        <v>4.8088579972520813E-2</v>
      </c>
    </row>
    <row r="42" spans="1:4" x14ac:dyDescent="0.25">
      <c r="A42" s="222" t="s">
        <v>1665</v>
      </c>
      <c r="B42" s="273">
        <v>0</v>
      </c>
      <c r="C42" s="273">
        <v>9.0618336886993597E-2</v>
      </c>
      <c r="D42" s="273">
        <v>4.8088579972520813E-2</v>
      </c>
    </row>
    <row r="43" spans="1:4" x14ac:dyDescent="0.25">
      <c r="A43" s="222" t="s">
        <v>127</v>
      </c>
      <c r="B43" s="273"/>
      <c r="C43" s="273"/>
      <c r="D43" s="273"/>
    </row>
    <row r="44" spans="1:4" x14ac:dyDescent="0.25">
      <c r="A44" s="274">
        <v>35595</v>
      </c>
      <c r="B44" s="273"/>
      <c r="C44" s="273"/>
      <c r="D44" s="273"/>
    </row>
    <row r="45" spans="1:4" x14ac:dyDescent="0.25">
      <c r="A45" s="272" t="s">
        <v>59</v>
      </c>
      <c r="B45" s="273">
        <v>5.4244876872739795E-2</v>
      </c>
      <c r="C45" s="273">
        <v>0</v>
      </c>
      <c r="D45" s="273">
        <v>2.5458659985452194E-2</v>
      </c>
    </row>
    <row r="46" spans="1:4" x14ac:dyDescent="0.25">
      <c r="A46" s="274" t="s">
        <v>1634</v>
      </c>
      <c r="B46" s="273">
        <v>5.4244876872739795E-2</v>
      </c>
      <c r="C46" s="273">
        <v>0</v>
      </c>
      <c r="D46" s="273">
        <v>2.5458659985452194E-2</v>
      </c>
    </row>
    <row r="47" spans="1:4" x14ac:dyDescent="0.25">
      <c r="A47" s="222" t="s">
        <v>1667</v>
      </c>
      <c r="B47" s="273">
        <v>5.4244876872739795E-2</v>
      </c>
      <c r="C47" s="273">
        <v>0</v>
      </c>
      <c r="D47" s="273">
        <v>2.5458659985452194E-2</v>
      </c>
    </row>
    <row r="48" spans="1:4" x14ac:dyDescent="0.25">
      <c r="A48" s="222" t="s">
        <v>84</v>
      </c>
      <c r="B48" s="273"/>
      <c r="C48" s="273"/>
      <c r="D48" s="273"/>
    </row>
    <row r="49" spans="1:4" x14ac:dyDescent="0.25">
      <c r="A49" s="274">
        <v>31027</v>
      </c>
      <c r="B49" s="273"/>
      <c r="C49" s="273"/>
      <c r="D49" s="273"/>
    </row>
    <row r="50" spans="1:4" x14ac:dyDescent="0.25">
      <c r="A50" s="272" t="s">
        <v>81</v>
      </c>
      <c r="B50" s="273">
        <v>8.2658859996555881E-2</v>
      </c>
      <c r="C50" s="273">
        <v>0</v>
      </c>
      <c r="D50" s="273">
        <v>3.8794148549260485E-2</v>
      </c>
    </row>
    <row r="51" spans="1:4" x14ac:dyDescent="0.25">
      <c r="A51" s="274" t="s">
        <v>1640</v>
      </c>
      <c r="B51" s="273">
        <v>8.2658859996555881E-2</v>
      </c>
      <c r="C51" s="273">
        <v>0</v>
      </c>
      <c r="D51" s="273">
        <v>3.8794148549260485E-2</v>
      </c>
    </row>
    <row r="52" spans="1:4" x14ac:dyDescent="0.25">
      <c r="A52" s="222" t="s">
        <v>1653</v>
      </c>
      <c r="B52" s="273">
        <v>8.2658859996555881E-2</v>
      </c>
      <c r="C52" s="273">
        <v>0</v>
      </c>
      <c r="D52" s="273">
        <v>3.8794148549260485E-2</v>
      </c>
    </row>
    <row r="53" spans="1:4" x14ac:dyDescent="0.25">
      <c r="A53" s="222" t="s">
        <v>184</v>
      </c>
      <c r="B53" s="273"/>
      <c r="C53" s="273"/>
      <c r="D53" s="273"/>
    </row>
    <row r="54" spans="1:4" x14ac:dyDescent="0.25">
      <c r="A54" s="274">
        <v>29172</v>
      </c>
      <c r="B54" s="273"/>
      <c r="C54" s="273"/>
      <c r="D54" s="273"/>
    </row>
    <row r="55" spans="1:4" x14ac:dyDescent="0.25">
      <c r="A55" s="272" t="s">
        <v>52</v>
      </c>
      <c r="B55" s="273">
        <v>0.15670742207680385</v>
      </c>
      <c r="C55" s="273">
        <v>0</v>
      </c>
      <c r="D55" s="273">
        <v>7.3547239957973007E-2</v>
      </c>
    </row>
    <row r="56" spans="1:4" x14ac:dyDescent="0.25">
      <c r="A56" s="274" t="s">
        <v>1646</v>
      </c>
      <c r="B56" s="273">
        <v>0.15670742207680385</v>
      </c>
      <c r="C56" s="273">
        <v>0</v>
      </c>
      <c r="D56" s="273">
        <v>7.3547239957973007E-2</v>
      </c>
    </row>
    <row r="57" spans="1:4" x14ac:dyDescent="0.25">
      <c r="A57" s="222" t="s">
        <v>1652</v>
      </c>
      <c r="B57" s="273">
        <v>0.15670742207680385</v>
      </c>
      <c r="C57" s="273">
        <v>0</v>
      </c>
      <c r="D57" s="273">
        <v>7.3547239957973007E-2</v>
      </c>
    </row>
    <row r="58" spans="1:4" x14ac:dyDescent="0.25">
      <c r="A58" s="222" t="s">
        <v>167</v>
      </c>
      <c r="B58" s="273"/>
      <c r="C58" s="273"/>
      <c r="D58" s="273"/>
    </row>
    <row r="59" spans="1:4" x14ac:dyDescent="0.25">
      <c r="A59" s="274">
        <v>32440</v>
      </c>
      <c r="B59" s="273"/>
      <c r="C59" s="273"/>
      <c r="D59" s="273"/>
    </row>
    <row r="60" spans="1:4" x14ac:dyDescent="0.25">
      <c r="A60" s="272" t="s">
        <v>52</v>
      </c>
      <c r="B60" s="273">
        <v>0.12054417082831066</v>
      </c>
      <c r="C60" s="273">
        <v>0</v>
      </c>
      <c r="D60" s="273">
        <v>5.6574799967671542E-2</v>
      </c>
    </row>
    <row r="61" spans="1:4" x14ac:dyDescent="0.25">
      <c r="A61" s="274" t="s">
        <v>1647</v>
      </c>
      <c r="B61" s="273">
        <v>0.12054417082831066</v>
      </c>
      <c r="C61" s="273">
        <v>0</v>
      </c>
      <c r="D61" s="273">
        <v>5.6574799967671542E-2</v>
      </c>
    </row>
    <row r="62" spans="1:4" x14ac:dyDescent="0.25">
      <c r="A62" s="222" t="s">
        <v>1657</v>
      </c>
      <c r="B62" s="273">
        <v>0.12054417082831066</v>
      </c>
      <c r="C62" s="273">
        <v>0</v>
      </c>
      <c r="D62" s="273">
        <v>5.6574799967671542E-2</v>
      </c>
    </row>
    <row r="63" spans="1:4" x14ac:dyDescent="0.25">
      <c r="A63" s="222" t="s">
        <v>177</v>
      </c>
      <c r="B63" s="273"/>
      <c r="C63" s="273"/>
      <c r="D63" s="273"/>
    </row>
    <row r="64" spans="1:4" x14ac:dyDescent="0.25">
      <c r="A64" s="274">
        <v>36222</v>
      </c>
      <c r="B64" s="273"/>
      <c r="C64" s="273"/>
      <c r="D64" s="273"/>
    </row>
    <row r="65" spans="1:4" x14ac:dyDescent="0.25">
      <c r="A65" s="272" t="s">
        <v>66</v>
      </c>
      <c r="B65" s="273">
        <v>4.8217668331324265E-2</v>
      </c>
      <c r="C65" s="273">
        <v>0</v>
      </c>
      <c r="D65" s="273">
        <v>2.2629919987068616E-2</v>
      </c>
    </row>
    <row r="66" spans="1:4" x14ac:dyDescent="0.25">
      <c r="A66" s="274" t="s">
        <v>1645</v>
      </c>
      <c r="B66" s="273">
        <v>4.8217668331324265E-2</v>
      </c>
      <c r="C66" s="273">
        <v>0</v>
      </c>
      <c r="D66" s="273">
        <v>2.2629919987068616E-2</v>
      </c>
    </row>
    <row r="67" spans="1:4" x14ac:dyDescent="0.25">
      <c r="A67" s="222" t="s">
        <v>1668</v>
      </c>
      <c r="B67" s="273">
        <v>4.8217668331324265E-2</v>
      </c>
      <c r="C67" s="273">
        <v>0</v>
      </c>
      <c r="D67" s="273">
        <v>2.2629919987068616E-2</v>
      </c>
    </row>
    <row r="68" spans="1:4" x14ac:dyDescent="0.25">
      <c r="A68" s="222" t="s">
        <v>128</v>
      </c>
      <c r="B68" s="273"/>
      <c r="C68" s="273"/>
      <c r="D68" s="273"/>
    </row>
    <row r="69" spans="1:4" x14ac:dyDescent="0.25">
      <c r="A69" s="274">
        <v>33510</v>
      </c>
      <c r="B69" s="273"/>
      <c r="C69" s="273"/>
      <c r="D69" s="273"/>
    </row>
    <row r="70" spans="1:4" x14ac:dyDescent="0.25">
      <c r="A70" s="272" t="s">
        <v>66</v>
      </c>
      <c r="B70" s="273">
        <v>9.1613569829516101E-2</v>
      </c>
      <c r="C70" s="273">
        <v>0</v>
      </c>
      <c r="D70" s="273">
        <v>4.2996847975430373E-2</v>
      </c>
    </row>
    <row r="71" spans="1:4" x14ac:dyDescent="0.25">
      <c r="A71" s="274" t="s">
        <v>1644</v>
      </c>
      <c r="B71" s="273">
        <v>9.1613569829516101E-2</v>
      </c>
      <c r="C71" s="273">
        <v>0</v>
      </c>
      <c r="D71" s="273">
        <v>4.2996847975430373E-2</v>
      </c>
    </row>
    <row r="72" spans="1:4" x14ac:dyDescent="0.25">
      <c r="A72" s="222" t="s">
        <v>1663</v>
      </c>
      <c r="B72" s="273">
        <v>9.1613569829516101E-2</v>
      </c>
      <c r="C72" s="273">
        <v>0</v>
      </c>
      <c r="D72" s="273">
        <v>4.2996847975430373E-2</v>
      </c>
    </row>
    <row r="73" spans="1:4" x14ac:dyDescent="0.25">
      <c r="A73" s="222" t="s">
        <v>136</v>
      </c>
      <c r="B73" s="273"/>
      <c r="C73" s="273"/>
      <c r="D73" s="273"/>
    </row>
    <row r="74" spans="1:4" x14ac:dyDescent="0.25">
      <c r="A74" s="274">
        <v>32435</v>
      </c>
      <c r="B74" s="273"/>
      <c r="C74" s="273"/>
      <c r="D74" s="273"/>
    </row>
    <row r="75" spans="1:4" x14ac:dyDescent="0.25">
      <c r="A75" s="272" t="s">
        <v>113</v>
      </c>
      <c r="B75" s="273">
        <v>0</v>
      </c>
      <c r="C75" s="273">
        <v>9.5948827292110878E-2</v>
      </c>
      <c r="D75" s="273">
        <v>5.0917319970904387E-2</v>
      </c>
    </row>
    <row r="76" spans="1:4" x14ac:dyDescent="0.25">
      <c r="A76" s="274" t="s">
        <v>1637</v>
      </c>
      <c r="B76" s="273">
        <v>0</v>
      </c>
      <c r="C76" s="273">
        <v>9.5948827292110878E-2</v>
      </c>
      <c r="D76" s="273">
        <v>5.0917319970904387E-2</v>
      </c>
    </row>
    <row r="77" spans="1:4" x14ac:dyDescent="0.25">
      <c r="A77" s="222" t="s">
        <v>1656</v>
      </c>
      <c r="B77" s="273">
        <v>0</v>
      </c>
      <c r="C77" s="273">
        <v>9.5948827292110878E-2</v>
      </c>
      <c r="D77" s="273">
        <v>5.0917319970904387E-2</v>
      </c>
    </row>
    <row r="78" spans="1:4" x14ac:dyDescent="0.25">
      <c r="A78" s="222" t="s">
        <v>162</v>
      </c>
      <c r="B78" s="273"/>
      <c r="C78" s="273"/>
      <c r="D78" s="273"/>
    </row>
    <row r="79" spans="1:4" x14ac:dyDescent="0.25">
      <c r="A79" s="274">
        <v>34762</v>
      </c>
      <c r="B79" s="273"/>
      <c r="C79" s="273"/>
      <c r="D79" s="273"/>
    </row>
    <row r="80" spans="1:4" x14ac:dyDescent="0.25">
      <c r="A80" s="272" t="s">
        <v>63</v>
      </c>
      <c r="B80" s="273">
        <v>9.643533666264853E-2</v>
      </c>
      <c r="C80" s="273">
        <v>0</v>
      </c>
      <c r="D80" s="273">
        <v>4.5259839974137232E-2</v>
      </c>
    </row>
    <row r="81" spans="1:4" x14ac:dyDescent="0.25">
      <c r="A81" s="274" t="s">
        <v>1642</v>
      </c>
      <c r="B81" s="273">
        <v>9.643533666264853E-2</v>
      </c>
      <c r="C81" s="273">
        <v>0</v>
      </c>
      <c r="D81" s="273">
        <v>4.5259839974137232E-2</v>
      </c>
    </row>
    <row r="82" spans="1:4" x14ac:dyDescent="0.25">
      <c r="A82" s="222" t="s">
        <v>1666</v>
      </c>
      <c r="B82" s="273">
        <v>9.643533666264853E-2</v>
      </c>
      <c r="C82" s="273">
        <v>0</v>
      </c>
      <c r="D82" s="273">
        <v>4.5259839974137232E-2</v>
      </c>
    </row>
    <row r="83" spans="1:4" x14ac:dyDescent="0.25">
      <c r="A83" s="222" t="s">
        <v>105</v>
      </c>
      <c r="B83" s="273"/>
      <c r="C83" s="273"/>
      <c r="D83" s="273"/>
    </row>
    <row r="84" spans="1:4" x14ac:dyDescent="0.25">
      <c r="A84" s="274">
        <v>33787</v>
      </c>
      <c r="B84" s="273"/>
      <c r="C84" s="273"/>
      <c r="D84" s="273"/>
    </row>
    <row r="85" spans="1:4" x14ac:dyDescent="0.25">
      <c r="A85" s="272" t="s">
        <v>52</v>
      </c>
      <c r="B85" s="273">
        <v>0</v>
      </c>
      <c r="C85" s="273">
        <v>7.9957356076759065E-2</v>
      </c>
      <c r="D85" s="273">
        <v>4.2431099975753658E-2</v>
      </c>
    </row>
    <row r="86" spans="1:4" x14ac:dyDescent="0.25">
      <c r="A86" s="274" t="s">
        <v>1649</v>
      </c>
      <c r="B86" s="273">
        <v>0</v>
      </c>
      <c r="C86" s="273">
        <v>7.9957356076759065E-2</v>
      </c>
      <c r="D86" s="273">
        <v>4.2431099975753658E-2</v>
      </c>
    </row>
    <row r="87" spans="1:4" x14ac:dyDescent="0.25">
      <c r="A87" s="222" t="s">
        <v>1664</v>
      </c>
      <c r="B87" s="273">
        <v>0</v>
      </c>
      <c r="C87" s="273">
        <v>7.9957356076759065E-2</v>
      </c>
      <c r="D87" s="273">
        <v>4.2431099975753658E-2</v>
      </c>
    </row>
    <row r="88" spans="1:4" x14ac:dyDescent="0.25">
      <c r="A88" s="222" t="s">
        <v>86</v>
      </c>
      <c r="B88" s="273"/>
      <c r="C88" s="273"/>
      <c r="D88" s="273"/>
    </row>
    <row r="89" spans="1:4" x14ac:dyDescent="0.25">
      <c r="A89" s="274">
        <v>31028</v>
      </c>
      <c r="B89" s="273"/>
      <c r="C89" s="273"/>
      <c r="D89" s="273"/>
    </row>
    <row r="90" spans="1:4" x14ac:dyDescent="0.25">
      <c r="A90" s="272" t="s">
        <v>87</v>
      </c>
      <c r="B90" s="273">
        <v>0</v>
      </c>
      <c r="C90" s="273">
        <v>0.29850746268656714</v>
      </c>
      <c r="D90" s="273">
        <v>0.15840943990948031</v>
      </c>
    </row>
    <row r="91" spans="1:4" x14ac:dyDescent="0.25">
      <c r="A91" s="274" t="s">
        <v>1639</v>
      </c>
      <c r="B91" s="273">
        <v>0</v>
      </c>
      <c r="C91" s="273">
        <v>0.29850746268656714</v>
      </c>
      <c r="D91" s="273">
        <v>0.15840943990948031</v>
      </c>
    </row>
    <row r="92" spans="1:4" x14ac:dyDescent="0.25">
      <c r="A92" s="222" t="s">
        <v>1654</v>
      </c>
      <c r="B92" s="273">
        <v>0</v>
      </c>
      <c r="C92" s="273">
        <v>0.29850746268656714</v>
      </c>
      <c r="D92" s="273">
        <v>0.15840943990948031</v>
      </c>
    </row>
    <row r="93" spans="1:4" x14ac:dyDescent="0.25">
      <c r="A93" s="222" t="s">
        <v>168</v>
      </c>
      <c r="B93" s="273"/>
      <c r="C93" s="273"/>
      <c r="D93" s="273"/>
    </row>
    <row r="94" spans="1:4" x14ac:dyDescent="0.25">
      <c r="A94" s="274">
        <v>32441</v>
      </c>
      <c r="B94" s="273"/>
      <c r="C94" s="273"/>
      <c r="D94" s="273"/>
    </row>
    <row r="95" spans="1:4" x14ac:dyDescent="0.25">
      <c r="A95" s="272" t="s">
        <v>59</v>
      </c>
      <c r="B95" s="273">
        <v>0.12054417082831066</v>
      </c>
      <c r="C95" s="273">
        <v>0</v>
      </c>
      <c r="D95" s="273">
        <v>5.6574799967671542E-2</v>
      </c>
    </row>
    <row r="96" spans="1:4" x14ac:dyDescent="0.25">
      <c r="A96" s="274" t="s">
        <v>1633</v>
      </c>
      <c r="B96" s="273">
        <v>0.12054417082831066</v>
      </c>
      <c r="C96" s="273">
        <v>0</v>
      </c>
      <c r="D96" s="273">
        <v>5.6574799967671542E-2</v>
      </c>
    </row>
    <row r="97" spans="1:4" x14ac:dyDescent="0.25">
      <c r="A97" s="222" t="s">
        <v>1658</v>
      </c>
      <c r="B97" s="273">
        <v>0.12054417082831066</v>
      </c>
      <c r="C97" s="273">
        <v>0</v>
      </c>
      <c r="D97" s="273">
        <v>5.6574799967671542E-2</v>
      </c>
    </row>
    <row r="98" spans="1:4" x14ac:dyDescent="0.25">
      <c r="A98" s="222" t="s">
        <v>174</v>
      </c>
      <c r="B98" s="273"/>
      <c r="C98" s="273"/>
      <c r="D98" s="273"/>
    </row>
    <row r="99" spans="1:4" x14ac:dyDescent="0.25">
      <c r="A99" s="274">
        <v>32447</v>
      </c>
      <c r="B99" s="273"/>
      <c r="C99" s="273"/>
      <c r="D99" s="273"/>
    </row>
    <row r="100" spans="1:4" x14ac:dyDescent="0.25">
      <c r="A100" s="272" t="s">
        <v>113</v>
      </c>
      <c r="B100" s="273">
        <v>0</v>
      </c>
      <c r="C100" s="273">
        <v>0.10660980810234541</v>
      </c>
      <c r="D100" s="273">
        <v>5.6574799967671542E-2</v>
      </c>
    </row>
    <row r="101" spans="1:4" x14ac:dyDescent="0.25">
      <c r="A101" s="274" t="s">
        <v>1638</v>
      </c>
      <c r="B101" s="273">
        <v>0</v>
      </c>
      <c r="C101" s="273">
        <v>0.10660980810234541</v>
      </c>
      <c r="D101" s="273">
        <v>5.6574799967671542E-2</v>
      </c>
    </row>
    <row r="102" spans="1:4" x14ac:dyDescent="0.25">
      <c r="A102" s="222" t="s">
        <v>1660</v>
      </c>
      <c r="B102" s="273">
        <v>0</v>
      </c>
      <c r="C102" s="273">
        <v>0.10660980810234541</v>
      </c>
      <c r="D102" s="273">
        <v>5.6574799967671542E-2</v>
      </c>
    </row>
    <row r="103" spans="1:4" x14ac:dyDescent="0.25">
      <c r="A103" s="222" t="s">
        <v>157</v>
      </c>
      <c r="B103" s="273"/>
      <c r="C103" s="273"/>
      <c r="D103" s="273"/>
    </row>
    <row r="104" spans="1:4" x14ac:dyDescent="0.25">
      <c r="A104" s="274">
        <v>32442</v>
      </c>
      <c r="B104" s="273"/>
      <c r="C104" s="273"/>
      <c r="D104" s="273"/>
    </row>
    <row r="105" spans="1:4" x14ac:dyDescent="0.25">
      <c r="A105" s="272" t="s">
        <v>113</v>
      </c>
      <c r="B105" s="273">
        <v>0.12054417082831066</v>
      </c>
      <c r="C105" s="273">
        <v>0</v>
      </c>
      <c r="D105" s="273">
        <v>5.6574799967671542E-2</v>
      </c>
    </row>
    <row r="106" spans="1:4" x14ac:dyDescent="0.25">
      <c r="A106" s="274" t="s">
        <v>1636</v>
      </c>
      <c r="B106" s="273">
        <v>0.12054417082831066</v>
      </c>
      <c r="C106" s="273">
        <v>0</v>
      </c>
      <c r="D106" s="273">
        <v>5.6574799967671542E-2</v>
      </c>
    </row>
    <row r="107" spans="1:4" x14ac:dyDescent="0.25">
      <c r="A107" s="222" t="s">
        <v>1659</v>
      </c>
      <c r="B107" s="273">
        <v>0.12054417082831066</v>
      </c>
      <c r="C107" s="273">
        <v>0</v>
      </c>
      <c r="D107" s="273">
        <v>5.6574799967671542E-2</v>
      </c>
    </row>
    <row r="108" spans="1:4" x14ac:dyDescent="0.25">
      <c r="A108" s="222" t="s">
        <v>1609</v>
      </c>
      <c r="B108" s="273">
        <v>1</v>
      </c>
      <c r="C108" s="273">
        <v>1</v>
      </c>
      <c r="D108" s="273">
        <v>1</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5A7C-1E2F-43C2-8621-3BED2251852B}">
  <dimension ref="A3:I38"/>
  <sheetViews>
    <sheetView topLeftCell="A13" workbookViewId="0">
      <selection activeCell="A22" sqref="A22"/>
    </sheetView>
  </sheetViews>
  <sheetFormatPr defaultRowHeight="15" x14ac:dyDescent="0.25"/>
  <cols>
    <col min="1" max="1" width="14.140625" bestFit="1" customWidth="1"/>
    <col min="2" max="2" width="16.7109375" bestFit="1" customWidth="1"/>
    <col min="3" max="3" width="20.28515625" bestFit="1" customWidth="1"/>
    <col min="4" max="4" width="15.42578125" bestFit="1" customWidth="1"/>
    <col min="5" max="5" width="18.7109375" bestFit="1" customWidth="1"/>
    <col min="6" max="6" width="16.42578125" bestFit="1" customWidth="1"/>
    <col min="7" max="7" width="15.42578125" bestFit="1" customWidth="1"/>
    <col min="8" max="8" width="15.85546875" bestFit="1" customWidth="1"/>
    <col min="9" max="9" width="16.140625" bestFit="1" customWidth="1"/>
    <col min="10" max="10" width="21.85546875" bestFit="1" customWidth="1"/>
    <col min="11" max="11" width="25.28515625" bestFit="1" customWidth="1"/>
    <col min="12" max="12" width="20.42578125" bestFit="1" customWidth="1"/>
    <col min="13" max="13" width="23.7109375" bestFit="1" customWidth="1"/>
    <col min="14" max="14" width="16.7109375" bestFit="1" customWidth="1"/>
    <col min="15" max="15" width="20.28515625" bestFit="1" customWidth="1"/>
    <col min="16" max="16" width="15.42578125" bestFit="1" customWidth="1"/>
    <col min="17" max="17" width="18.7109375" bestFit="1" customWidth="1"/>
    <col min="18" max="18" width="16.7109375" bestFit="1" customWidth="1"/>
    <col min="19" max="19" width="20.28515625" bestFit="1" customWidth="1"/>
    <col min="20" max="20" width="15.42578125" bestFit="1" customWidth="1"/>
    <col min="21" max="21" width="18.7109375" bestFit="1" customWidth="1"/>
    <col min="22" max="22" width="16.7109375" bestFit="1" customWidth="1"/>
    <col min="23" max="23" width="20.28515625" bestFit="1" customWidth="1"/>
    <col min="24" max="24" width="15.42578125" bestFit="1" customWidth="1"/>
    <col min="25" max="25" width="18.7109375" bestFit="1" customWidth="1"/>
    <col min="26" max="26" width="16.7109375" bestFit="1" customWidth="1"/>
    <col min="27" max="27" width="20.28515625" bestFit="1" customWidth="1"/>
    <col min="28" max="28" width="15.42578125" bestFit="1" customWidth="1"/>
    <col min="29" max="29" width="18.7109375" bestFit="1" customWidth="1"/>
    <col min="30" max="30" width="16.7109375" bestFit="1" customWidth="1"/>
    <col min="31" max="31" width="20.28515625" bestFit="1" customWidth="1"/>
    <col min="32" max="32" width="15.42578125" bestFit="1" customWidth="1"/>
    <col min="33" max="33" width="18.7109375" bestFit="1" customWidth="1"/>
    <col min="34" max="34" width="16.7109375" bestFit="1" customWidth="1"/>
    <col min="35" max="35" width="20.28515625" bestFit="1" customWidth="1"/>
    <col min="36" max="36" width="15.42578125" bestFit="1" customWidth="1"/>
    <col min="37" max="37" width="18.7109375" bestFit="1" customWidth="1"/>
    <col min="38" max="38" width="16.7109375" bestFit="1" customWidth="1"/>
    <col min="39" max="39" width="20.28515625" bestFit="1" customWidth="1"/>
    <col min="40" max="40" width="15.42578125" bestFit="1" customWidth="1"/>
    <col min="41" max="41" width="18.7109375" bestFit="1" customWidth="1"/>
    <col min="42" max="42" width="21.85546875" bestFit="1" customWidth="1"/>
    <col min="43" max="43" width="25.28515625" bestFit="1" customWidth="1"/>
    <col min="44" max="44" width="20.42578125" bestFit="1" customWidth="1"/>
    <col min="45" max="45" width="23.7109375" bestFit="1" customWidth="1"/>
  </cols>
  <sheetData>
    <row r="3" spans="1:9" x14ac:dyDescent="0.25">
      <c r="B3" s="221" t="s">
        <v>1614</v>
      </c>
    </row>
    <row r="4" spans="1:9" x14ac:dyDescent="0.25">
      <c r="B4" t="s">
        <v>791</v>
      </c>
      <c r="F4" t="s">
        <v>1618</v>
      </c>
      <c r="G4" t="s">
        <v>1615</v>
      </c>
      <c r="H4" t="s">
        <v>1616</v>
      </c>
      <c r="I4" t="s">
        <v>1617</v>
      </c>
    </row>
    <row r="5" spans="1:9" x14ac:dyDescent="0.25">
      <c r="A5" s="221" t="s">
        <v>1608</v>
      </c>
      <c r="B5" t="s">
        <v>1613</v>
      </c>
      <c r="C5" t="s">
        <v>1610</v>
      </c>
      <c r="D5" t="s">
        <v>1611</v>
      </c>
      <c r="E5" t="s">
        <v>1612</v>
      </c>
    </row>
    <row r="6" spans="1:9" x14ac:dyDescent="0.25">
      <c r="A6" s="222" t="s">
        <v>1630</v>
      </c>
      <c r="B6" s="183">
        <v>20165</v>
      </c>
      <c r="C6" s="183">
        <v>716</v>
      </c>
      <c r="D6" s="183">
        <v>603</v>
      </c>
      <c r="E6" s="183">
        <v>685</v>
      </c>
      <c r="F6" s="183">
        <v>20165</v>
      </c>
      <c r="G6" s="183">
        <v>716</v>
      </c>
      <c r="H6" s="183">
        <v>603</v>
      </c>
      <c r="I6" s="183">
        <v>685</v>
      </c>
    </row>
    <row r="7" spans="1:9" x14ac:dyDescent="0.25">
      <c r="A7" s="260" t="s">
        <v>810</v>
      </c>
      <c r="B7" s="183">
        <v>4033</v>
      </c>
      <c r="C7" s="183">
        <v>97</v>
      </c>
      <c r="D7" s="183">
        <v>100</v>
      </c>
      <c r="E7" s="183">
        <v>147</v>
      </c>
      <c r="F7" s="183">
        <v>4033</v>
      </c>
      <c r="G7" s="183">
        <v>97</v>
      </c>
      <c r="H7" s="183">
        <v>100</v>
      </c>
      <c r="I7" s="183">
        <v>147</v>
      </c>
    </row>
    <row r="8" spans="1:9" x14ac:dyDescent="0.25">
      <c r="A8" s="260" t="s">
        <v>807</v>
      </c>
      <c r="B8" s="183">
        <v>4033</v>
      </c>
      <c r="C8" s="183">
        <v>126</v>
      </c>
      <c r="D8" s="183">
        <v>101</v>
      </c>
      <c r="E8" s="183">
        <v>155</v>
      </c>
      <c r="F8" s="183">
        <v>4033</v>
      </c>
      <c r="G8" s="183">
        <v>126</v>
      </c>
      <c r="H8" s="183">
        <v>101</v>
      </c>
      <c r="I8" s="183">
        <v>155</v>
      </c>
    </row>
    <row r="9" spans="1:9" x14ac:dyDescent="0.25">
      <c r="A9" s="260" t="s">
        <v>806</v>
      </c>
      <c r="B9" s="183">
        <v>4033</v>
      </c>
      <c r="C9" s="183">
        <v>175</v>
      </c>
      <c r="D9" s="183">
        <v>183</v>
      </c>
      <c r="E9" s="183">
        <v>162</v>
      </c>
      <c r="F9" s="183">
        <v>4033</v>
      </c>
      <c r="G9" s="183">
        <v>175</v>
      </c>
      <c r="H9" s="183">
        <v>183</v>
      </c>
      <c r="I9" s="183">
        <v>162</v>
      </c>
    </row>
    <row r="10" spans="1:9" x14ac:dyDescent="0.25">
      <c r="A10" s="260" t="s">
        <v>809</v>
      </c>
      <c r="B10" s="183">
        <v>4033</v>
      </c>
      <c r="C10" s="183">
        <v>154</v>
      </c>
      <c r="D10" s="183">
        <v>113</v>
      </c>
      <c r="E10" s="183">
        <v>111</v>
      </c>
      <c r="F10" s="183">
        <v>4033</v>
      </c>
      <c r="G10" s="183">
        <v>154</v>
      </c>
      <c r="H10" s="183">
        <v>113</v>
      </c>
      <c r="I10" s="183">
        <v>111</v>
      </c>
    </row>
    <row r="11" spans="1:9" x14ac:dyDescent="0.25">
      <c r="A11" s="260" t="s">
        <v>808</v>
      </c>
      <c r="B11" s="183">
        <v>4033</v>
      </c>
      <c r="C11" s="183">
        <v>164</v>
      </c>
      <c r="D11" s="183">
        <v>106</v>
      </c>
      <c r="E11" s="183">
        <v>110</v>
      </c>
      <c r="F11" s="183">
        <v>4033</v>
      </c>
      <c r="G11" s="183">
        <v>164</v>
      </c>
      <c r="H11" s="183">
        <v>106</v>
      </c>
      <c r="I11" s="183">
        <v>110</v>
      </c>
    </row>
    <row r="12" spans="1:9" x14ac:dyDescent="0.25">
      <c r="A12" s="222" t="s">
        <v>1609</v>
      </c>
      <c r="B12" s="183">
        <v>20165</v>
      </c>
      <c r="C12" s="183">
        <v>716</v>
      </c>
      <c r="D12" s="183">
        <v>603</v>
      </c>
      <c r="E12" s="183">
        <v>685</v>
      </c>
      <c r="F12" s="183">
        <v>20165</v>
      </c>
      <c r="G12" s="183">
        <v>716</v>
      </c>
      <c r="H12" s="183">
        <v>603</v>
      </c>
      <c r="I12" s="183">
        <v>685</v>
      </c>
    </row>
    <row r="19" spans="1:5" x14ac:dyDescent="0.25">
      <c r="A19" s="221" t="s">
        <v>1624</v>
      </c>
      <c r="B19" t="s" vm="3">
        <v>743</v>
      </c>
    </row>
    <row r="21" spans="1:5" x14ac:dyDescent="0.25">
      <c r="A21" s="221" t="s">
        <v>800</v>
      </c>
      <c r="B21" t="s">
        <v>1620</v>
      </c>
      <c r="C21" t="s">
        <v>1621</v>
      </c>
      <c r="D21" t="s">
        <v>1622</v>
      </c>
      <c r="E21" t="s">
        <v>1623</v>
      </c>
    </row>
    <row r="22" spans="1:5" x14ac:dyDescent="0.25">
      <c r="A22" t="s">
        <v>790</v>
      </c>
      <c r="B22" s="183">
        <v>31</v>
      </c>
      <c r="C22" s="183">
        <v>13779</v>
      </c>
      <c r="D22" s="183">
        <v>885</v>
      </c>
      <c r="E22" s="183">
        <v>1791.27</v>
      </c>
    </row>
    <row r="23" spans="1:5" x14ac:dyDescent="0.25">
      <c r="A23" t="s">
        <v>792</v>
      </c>
      <c r="B23" s="183">
        <v>24</v>
      </c>
      <c r="C23" s="183">
        <v>11088</v>
      </c>
      <c r="D23" s="183">
        <v>462</v>
      </c>
      <c r="E23" s="183">
        <v>776.16000000000008</v>
      </c>
    </row>
    <row r="24" spans="1:5" x14ac:dyDescent="0.25">
      <c r="A24" t="s">
        <v>783</v>
      </c>
      <c r="B24" s="183">
        <v>51</v>
      </c>
      <c r="C24" s="183">
        <v>20723</v>
      </c>
      <c r="D24" s="183">
        <v>1634</v>
      </c>
      <c r="E24" s="183">
        <v>2486.7599999999998</v>
      </c>
    </row>
    <row r="25" spans="1:5" x14ac:dyDescent="0.25">
      <c r="A25" t="s">
        <v>788</v>
      </c>
      <c r="B25" s="183">
        <v>15</v>
      </c>
      <c r="C25" s="183">
        <v>6630</v>
      </c>
      <c r="D25" s="183">
        <v>442</v>
      </c>
      <c r="E25" s="183">
        <v>1060.8</v>
      </c>
    </row>
    <row r="26" spans="1:5" x14ac:dyDescent="0.25">
      <c r="A26" t="s">
        <v>789</v>
      </c>
      <c r="B26" s="183">
        <v>29</v>
      </c>
      <c r="C26" s="183">
        <v>13630</v>
      </c>
      <c r="D26" s="183">
        <v>470</v>
      </c>
      <c r="E26" s="183">
        <v>1090.4000000000001</v>
      </c>
    </row>
    <row r="27" spans="1:5" x14ac:dyDescent="0.25">
      <c r="A27" t="s">
        <v>785</v>
      </c>
      <c r="B27" s="183">
        <v>15</v>
      </c>
      <c r="C27" s="183">
        <v>6585</v>
      </c>
      <c r="D27" s="183">
        <v>439</v>
      </c>
      <c r="E27" s="183">
        <v>921.90000000000009</v>
      </c>
    </row>
    <row r="28" spans="1:5" x14ac:dyDescent="0.25">
      <c r="A28" t="s">
        <v>793</v>
      </c>
      <c r="B28" s="183">
        <v>13</v>
      </c>
      <c r="C28" s="183">
        <v>5876</v>
      </c>
      <c r="D28" s="183">
        <v>452</v>
      </c>
      <c r="E28" s="183">
        <v>822.6400000000001</v>
      </c>
    </row>
    <row r="29" spans="1:5" x14ac:dyDescent="0.25">
      <c r="A29" t="s">
        <v>791</v>
      </c>
      <c r="B29" s="183">
        <v>32</v>
      </c>
      <c r="C29" s="183">
        <v>12906</v>
      </c>
      <c r="D29" s="183">
        <v>804</v>
      </c>
      <c r="E29" s="183">
        <v>1290.5999999999999</v>
      </c>
    </row>
    <row r="30" spans="1:5" x14ac:dyDescent="0.25">
      <c r="A30" t="s">
        <v>784</v>
      </c>
      <c r="B30" s="183">
        <v>29</v>
      </c>
      <c r="C30" s="183">
        <v>12610</v>
      </c>
      <c r="D30" s="183">
        <v>910</v>
      </c>
      <c r="E30" s="183">
        <v>1134.9000000000001</v>
      </c>
    </row>
    <row r="31" spans="1:5" x14ac:dyDescent="0.25">
      <c r="A31" t="s">
        <v>206</v>
      </c>
      <c r="B31" s="183">
        <v>61</v>
      </c>
      <c r="C31" s="183">
        <v>26123</v>
      </c>
      <c r="D31" s="183">
        <v>1670</v>
      </c>
      <c r="E31" s="183">
        <v>2612.3000000000002</v>
      </c>
    </row>
    <row r="32" spans="1:5" x14ac:dyDescent="0.25">
      <c r="A32" t="s">
        <v>787</v>
      </c>
      <c r="B32" s="183">
        <v>50</v>
      </c>
      <c r="C32" s="183">
        <v>19980</v>
      </c>
      <c r="D32" s="183">
        <v>809</v>
      </c>
      <c r="E32" s="183">
        <v>2197.8000000000002</v>
      </c>
    </row>
    <row r="33" spans="1:5" x14ac:dyDescent="0.25">
      <c r="A33" t="s">
        <v>1619</v>
      </c>
      <c r="B33" s="183">
        <v>19</v>
      </c>
      <c r="C33" s="183">
        <v>4864</v>
      </c>
      <c r="D33" s="183">
        <v>256</v>
      </c>
      <c r="E33" s="183">
        <v>486.40000000000003</v>
      </c>
    </row>
    <row r="34" spans="1:5" x14ac:dyDescent="0.25">
      <c r="A34" t="s">
        <v>207</v>
      </c>
      <c r="B34" s="183">
        <v>65</v>
      </c>
      <c r="C34" s="183">
        <v>26000</v>
      </c>
      <c r="D34" s="183">
        <v>1200</v>
      </c>
      <c r="E34" s="183">
        <v>2080</v>
      </c>
    </row>
    <row r="35" spans="1:5" x14ac:dyDescent="0.25">
      <c r="A35" t="s">
        <v>786</v>
      </c>
      <c r="B35" s="183">
        <v>20</v>
      </c>
      <c r="C35" s="183">
        <v>8176</v>
      </c>
      <c r="D35" s="183">
        <v>800</v>
      </c>
      <c r="E35" s="183">
        <v>654.08000000000004</v>
      </c>
    </row>
    <row r="36" spans="1:5" x14ac:dyDescent="0.25">
      <c r="A36" t="s">
        <v>782</v>
      </c>
      <c r="B36" s="183">
        <v>34</v>
      </c>
      <c r="C36" s="183">
        <v>14458</v>
      </c>
      <c r="D36" s="183">
        <v>1291</v>
      </c>
      <c r="E36" s="183">
        <v>2168.6999999999998</v>
      </c>
    </row>
    <row r="37" spans="1:5" x14ac:dyDescent="0.25">
      <c r="A37" t="s">
        <v>769</v>
      </c>
      <c r="B37" s="183">
        <v>12</v>
      </c>
      <c r="C37" s="183">
        <v>4800</v>
      </c>
      <c r="D37" s="183">
        <v>400</v>
      </c>
      <c r="E37" s="183">
        <v>528</v>
      </c>
    </row>
    <row r="38" spans="1:5" x14ac:dyDescent="0.25">
      <c r="A38" t="s">
        <v>1609</v>
      </c>
      <c r="B38" s="183">
        <v>500</v>
      </c>
      <c r="C38" s="183">
        <v>208228</v>
      </c>
      <c r="D38" s="183">
        <v>12924</v>
      </c>
      <c r="E38" s="183">
        <v>22102.710000000003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tabColor rgb="FF002060"/>
  </sheetPr>
  <dimension ref="B2:I26"/>
  <sheetViews>
    <sheetView workbookViewId="0">
      <selection activeCell="G21" sqref="G21"/>
    </sheetView>
  </sheetViews>
  <sheetFormatPr defaultRowHeight="15" x14ac:dyDescent="0.25"/>
  <cols>
    <col min="2" max="2" width="20.42578125" bestFit="1" customWidth="1"/>
    <col min="3" max="3" width="13.7109375" bestFit="1" customWidth="1"/>
    <col min="4" max="4" width="15" bestFit="1" customWidth="1"/>
    <col min="5" max="5" width="20.42578125" bestFit="1" customWidth="1"/>
    <col min="6" max="6" width="15.7109375" bestFit="1" customWidth="1"/>
    <col min="7" max="7" width="10.5703125" bestFit="1" customWidth="1"/>
    <col min="8" max="8" width="15.28515625" customWidth="1"/>
    <col min="9" max="9" width="11.28515625" customWidth="1"/>
    <col min="10" max="10" width="11" bestFit="1" customWidth="1"/>
    <col min="11" max="11" width="9" bestFit="1" customWidth="1"/>
  </cols>
  <sheetData>
    <row r="2" spans="2:9" ht="15.75" x14ac:dyDescent="0.25">
      <c r="B2" s="223" t="s">
        <v>49</v>
      </c>
      <c r="C2" s="224" t="s">
        <v>627</v>
      </c>
      <c r="E2" s="30" t="s">
        <v>628</v>
      </c>
      <c r="F2" s="30" t="s">
        <v>629</v>
      </c>
      <c r="H2" s="229" t="s">
        <v>800</v>
      </c>
      <c r="I2" s="230" t="s">
        <v>804</v>
      </c>
    </row>
    <row r="3" spans="2:9" x14ac:dyDescent="0.25">
      <c r="B3" s="225">
        <v>0</v>
      </c>
      <c r="C3" s="226" t="s">
        <v>632</v>
      </c>
      <c r="E3" s="31">
        <v>0</v>
      </c>
      <c r="F3" s="31" t="s">
        <v>633</v>
      </c>
      <c r="G3" t="e">
        <f>VLOOKUP(C3,'Name Manager'!$H$2:$I$18,)</f>
        <v>#N/A</v>
      </c>
      <c r="H3" s="231" t="s">
        <v>782</v>
      </c>
      <c r="I3" s="232">
        <v>0.15</v>
      </c>
    </row>
    <row r="4" spans="2:9" x14ac:dyDescent="0.25">
      <c r="B4" s="225">
        <v>10000</v>
      </c>
      <c r="C4" s="226" t="s">
        <v>634</v>
      </c>
      <c r="E4" s="31">
        <v>35</v>
      </c>
      <c r="F4" s="31" t="s">
        <v>635</v>
      </c>
      <c r="H4" s="231" t="s">
        <v>206</v>
      </c>
      <c r="I4" s="232">
        <v>0.1</v>
      </c>
    </row>
    <row r="5" spans="2:9" x14ac:dyDescent="0.25">
      <c r="B5" s="225">
        <v>20000</v>
      </c>
      <c r="C5" s="226" t="s">
        <v>636</v>
      </c>
      <c r="E5" s="31">
        <v>45</v>
      </c>
      <c r="F5" s="31" t="s">
        <v>637</v>
      </c>
      <c r="H5" s="231" t="s">
        <v>207</v>
      </c>
      <c r="I5" s="232">
        <v>0.08</v>
      </c>
    </row>
    <row r="6" spans="2:9" x14ac:dyDescent="0.25">
      <c r="B6" s="225">
        <v>30000</v>
      </c>
      <c r="C6" s="226" t="s">
        <v>638</v>
      </c>
      <c r="E6" s="31">
        <v>60</v>
      </c>
      <c r="F6" s="31" t="s">
        <v>267</v>
      </c>
      <c r="H6" s="231" t="s">
        <v>783</v>
      </c>
      <c r="I6" s="232">
        <v>0.12</v>
      </c>
    </row>
    <row r="7" spans="2:9" x14ac:dyDescent="0.25">
      <c r="B7" s="227">
        <v>40000</v>
      </c>
      <c r="C7" s="228" t="s">
        <v>639</v>
      </c>
      <c r="E7" s="31">
        <v>75</v>
      </c>
      <c r="F7" s="31" t="s">
        <v>246</v>
      </c>
      <c r="H7" s="231" t="s">
        <v>784</v>
      </c>
      <c r="I7" s="232">
        <v>0.09</v>
      </c>
    </row>
    <row r="8" spans="2:9" x14ac:dyDescent="0.25">
      <c r="E8" s="31">
        <v>85</v>
      </c>
      <c r="F8" s="31" t="s">
        <v>640</v>
      </c>
      <c r="H8" s="231" t="s">
        <v>785</v>
      </c>
      <c r="I8" s="232">
        <v>0.14000000000000001</v>
      </c>
    </row>
    <row r="9" spans="2:9" x14ac:dyDescent="0.25">
      <c r="H9" s="231" t="s">
        <v>786</v>
      </c>
      <c r="I9" s="232">
        <v>0.08</v>
      </c>
    </row>
    <row r="10" spans="2:9" x14ac:dyDescent="0.25">
      <c r="H10" s="231" t="s">
        <v>787</v>
      </c>
      <c r="I10" s="232">
        <v>0.11</v>
      </c>
    </row>
    <row r="11" spans="2:9" x14ac:dyDescent="0.25">
      <c r="B11" s="171" t="s">
        <v>641</v>
      </c>
      <c r="C11" s="169" t="s">
        <v>642</v>
      </c>
      <c r="D11" s="170" t="s">
        <v>643</v>
      </c>
      <c r="E11" s="170" t="s">
        <v>644</v>
      </c>
      <c r="H11" s="231" t="s">
        <v>788</v>
      </c>
      <c r="I11" s="232">
        <v>0.16</v>
      </c>
    </row>
    <row r="12" spans="2:9" x14ac:dyDescent="0.25">
      <c r="B12" s="174">
        <v>1</v>
      </c>
      <c r="C12" s="172" t="s">
        <v>645</v>
      </c>
      <c r="D12" s="172" t="s">
        <v>646</v>
      </c>
      <c r="E12" s="173">
        <v>5633</v>
      </c>
      <c r="H12" s="231" t="s">
        <v>789</v>
      </c>
      <c r="I12" s="232">
        <v>0.08</v>
      </c>
    </row>
    <row r="13" spans="2:9" x14ac:dyDescent="0.25">
      <c r="B13" s="174">
        <v>5</v>
      </c>
      <c r="C13" s="172" t="s">
        <v>647</v>
      </c>
      <c r="D13" s="172" t="s">
        <v>648</v>
      </c>
      <c r="E13" s="173">
        <v>2355</v>
      </c>
      <c r="H13" s="231" t="s">
        <v>790</v>
      </c>
      <c r="I13" s="232">
        <v>0.13</v>
      </c>
    </row>
    <row r="14" spans="2:9" x14ac:dyDescent="0.25">
      <c r="B14" s="174">
        <v>11</v>
      </c>
      <c r="C14" s="172" t="s">
        <v>649</v>
      </c>
      <c r="D14" s="172" t="s">
        <v>650</v>
      </c>
      <c r="E14" s="173">
        <v>7313</v>
      </c>
      <c r="H14" s="231" t="s">
        <v>791</v>
      </c>
      <c r="I14" s="232">
        <v>0.1</v>
      </c>
    </row>
    <row r="15" spans="2:9" x14ac:dyDescent="0.25">
      <c r="B15" s="174">
        <v>18</v>
      </c>
      <c r="C15" s="172" t="s">
        <v>651</v>
      </c>
      <c r="D15" s="172" t="s">
        <v>652</v>
      </c>
      <c r="E15" s="173">
        <v>6410</v>
      </c>
      <c r="H15" s="231" t="s">
        <v>769</v>
      </c>
      <c r="I15" s="232">
        <v>0.11</v>
      </c>
    </row>
    <row r="16" spans="2:9" x14ac:dyDescent="0.25">
      <c r="B16" s="174">
        <v>28</v>
      </c>
      <c r="C16" s="172" t="s">
        <v>651</v>
      </c>
      <c r="D16" s="172" t="s">
        <v>653</v>
      </c>
      <c r="E16" s="173">
        <v>3465</v>
      </c>
      <c r="H16" s="231" t="s">
        <v>792</v>
      </c>
      <c r="I16" s="232">
        <v>7.0000000000000007E-2</v>
      </c>
    </row>
    <row r="17" spans="2:9" x14ac:dyDescent="0.25">
      <c r="B17" s="174">
        <v>35</v>
      </c>
      <c r="C17" s="172" t="s">
        <v>654</v>
      </c>
      <c r="D17" s="172" t="s">
        <v>655</v>
      </c>
      <c r="E17" s="173">
        <v>8977</v>
      </c>
      <c r="H17" s="231" t="s">
        <v>793</v>
      </c>
      <c r="I17" s="232">
        <v>0.14000000000000001</v>
      </c>
    </row>
    <row r="18" spans="2:9" x14ac:dyDescent="0.25">
      <c r="B18" s="174">
        <v>48</v>
      </c>
      <c r="C18" s="172" t="s">
        <v>654</v>
      </c>
      <c r="D18" s="172" t="s">
        <v>656</v>
      </c>
      <c r="E18" s="173">
        <v>6119</v>
      </c>
      <c r="H18" s="233" t="s">
        <v>794</v>
      </c>
      <c r="I18" s="234">
        <v>0.1</v>
      </c>
    </row>
    <row r="19" spans="2:9" x14ac:dyDescent="0.25">
      <c r="B19" s="174">
        <v>76</v>
      </c>
      <c r="C19" s="172" t="s">
        <v>657</v>
      </c>
      <c r="D19" s="172" t="s">
        <v>658</v>
      </c>
      <c r="E19" s="173">
        <v>5403</v>
      </c>
    </row>
    <row r="20" spans="2:9" x14ac:dyDescent="0.25">
      <c r="B20" s="174">
        <v>80</v>
      </c>
      <c r="C20" s="172" t="s">
        <v>645</v>
      </c>
      <c r="D20" s="172" t="s">
        <v>659</v>
      </c>
      <c r="E20" s="173">
        <v>6454</v>
      </c>
    </row>
    <row r="21" spans="2:9" x14ac:dyDescent="0.25">
      <c r="B21" s="168">
        <v>97</v>
      </c>
      <c r="C21" s="175" t="s">
        <v>647</v>
      </c>
      <c r="D21" s="175" t="s">
        <v>660</v>
      </c>
      <c r="E21" s="167">
        <v>3071</v>
      </c>
    </row>
    <row r="23" spans="2:9" x14ac:dyDescent="0.25">
      <c r="D23">
        <f>INDEX(B11:E17,2,4)</f>
        <v>5633</v>
      </c>
    </row>
    <row r="25" spans="2:9" x14ac:dyDescent="0.25">
      <c r="B25" t="s">
        <v>1265</v>
      </c>
      <c r="C25" t="str">
        <f>INDEX(B11:E21,MATCH(B26,B11:B21,0),MATCH(B25,B11:E11,0))</f>
        <v>Asst Manager</v>
      </c>
    </row>
    <row r="26" spans="2:9" x14ac:dyDescent="0.25">
      <c r="B26">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theme="1"/>
  </sheetPr>
  <dimension ref="B2:X83"/>
  <sheetViews>
    <sheetView topLeftCell="A2" workbookViewId="0">
      <selection activeCell="B2" sqref="B2:G83"/>
    </sheetView>
  </sheetViews>
  <sheetFormatPr defaultRowHeight="15" x14ac:dyDescent="0.25"/>
  <cols>
    <col min="2" max="2" width="9.7109375" bestFit="1" customWidth="1"/>
    <col min="3" max="3" width="15.28515625" customWidth="1"/>
    <col min="4" max="4" width="13.28515625" customWidth="1"/>
    <col min="5" max="5" width="11.7109375" customWidth="1"/>
    <col min="6" max="6" width="17.28515625" customWidth="1"/>
    <col min="7" max="7" width="14.7109375" customWidth="1"/>
    <col min="11" max="11" width="12.42578125" bestFit="1" customWidth="1"/>
    <col min="16" max="16" width="13.7109375" customWidth="1"/>
  </cols>
  <sheetData>
    <row r="2" spans="2:24" ht="15.75" x14ac:dyDescent="0.25">
      <c r="B2" s="176" t="s">
        <v>232</v>
      </c>
      <c r="C2" s="243" t="s">
        <v>800</v>
      </c>
      <c r="D2" s="243" t="s">
        <v>801</v>
      </c>
      <c r="E2" s="243" t="s">
        <v>802</v>
      </c>
      <c r="F2" s="243" t="s">
        <v>803</v>
      </c>
      <c r="G2" s="177" t="s">
        <v>631</v>
      </c>
      <c r="V2" t="s">
        <v>1271</v>
      </c>
      <c r="W2" t="s">
        <v>1273</v>
      </c>
      <c r="X2" t="s">
        <v>1269</v>
      </c>
    </row>
    <row r="3" spans="2:24" x14ac:dyDescent="0.25">
      <c r="B3" s="241">
        <v>43156</v>
      </c>
      <c r="C3" s="88" t="s">
        <v>782</v>
      </c>
      <c r="D3" s="89">
        <v>10</v>
      </c>
      <c r="E3" s="89">
        <v>452</v>
      </c>
      <c r="F3" s="89">
        <f t="shared" ref="F3:F66" si="0">D3*E3</f>
        <v>4520</v>
      </c>
      <c r="G3" s="242">
        <f>VLOOKUP(C3,'Name Manager'!$H$2:$I$18,2,0)*F3</f>
        <v>678</v>
      </c>
      <c r="R3" s="88" t="s">
        <v>782</v>
      </c>
      <c r="T3">
        <f>SUMIF(C3:C83,R3,G3:G83)</f>
        <v>4472.0999999999995</v>
      </c>
      <c r="V3">
        <f>SUMIF(C3:C83,R3,F3:F83)</f>
        <v>29814</v>
      </c>
      <c r="W3">
        <f>AVERAGEIF(C3:C83,R3,F3:F83)</f>
        <v>4969</v>
      </c>
      <c r="X3">
        <f>COUNTIF(C3:C83,R3)</f>
        <v>6</v>
      </c>
    </row>
    <row r="4" spans="2:24" x14ac:dyDescent="0.25">
      <c r="B4" s="241">
        <v>43156</v>
      </c>
      <c r="C4" s="88" t="s">
        <v>206</v>
      </c>
      <c r="D4" s="89">
        <v>8</v>
      </c>
      <c r="E4" s="89">
        <v>356</v>
      </c>
      <c r="F4" s="89">
        <f t="shared" si="0"/>
        <v>2848</v>
      </c>
      <c r="G4" s="242">
        <f>VLOOKUP(C4,'Name Manager'!$H$2:$I$18,2,0)*F4</f>
        <v>284.8</v>
      </c>
      <c r="K4">
        <f>SUMIFS(F3:F83,C3:C83,R3)</f>
        <v>29814</v>
      </c>
      <c r="R4" s="88" t="s">
        <v>206</v>
      </c>
      <c r="T4">
        <f>SUMIF(C3:C83,R4,G3:G83)</f>
        <v>4638.5</v>
      </c>
      <c r="V4">
        <f>SUMIF(C3:C83,R4,F3:F83)</f>
        <v>46385</v>
      </c>
      <c r="W4">
        <f>AVERAGEIF(C3:C83,R4,F3:F83)</f>
        <v>6626.4285714285716</v>
      </c>
      <c r="X4">
        <f>COUNTIF(C3:C83,R4)</f>
        <v>7</v>
      </c>
    </row>
    <row r="5" spans="2:24" x14ac:dyDescent="0.25">
      <c r="B5" s="241">
        <v>43156</v>
      </c>
      <c r="C5" s="88" t="s">
        <v>207</v>
      </c>
      <c r="D5" s="89">
        <v>25</v>
      </c>
      <c r="E5" s="89">
        <v>400</v>
      </c>
      <c r="F5" s="89">
        <f t="shared" si="0"/>
        <v>10000</v>
      </c>
      <c r="G5" s="242">
        <f>VLOOKUP(C5,'Name Manager'!$H$2:$I$18,2,0)*F5</f>
        <v>800</v>
      </c>
      <c r="R5" s="88" t="s">
        <v>207</v>
      </c>
      <c r="T5">
        <f t="array" ref="T5">SUMIF(C3:C83,R5,G3:G83)</f>
        <v>3616</v>
      </c>
      <c r="V5">
        <f>SUMIF(C3:C83,R5,F3:F83)</f>
        <v>45200</v>
      </c>
      <c r="W5">
        <f>AVERAGEIF(C3:C83,R5,F3:F83)</f>
        <v>7533.333333333333</v>
      </c>
      <c r="X5">
        <f>COUNTIF(C3:C83,R5)</f>
        <v>6</v>
      </c>
    </row>
    <row r="6" spans="2:24" x14ac:dyDescent="0.25">
      <c r="B6" s="241">
        <v>43156</v>
      </c>
      <c r="C6" s="88" t="s">
        <v>783</v>
      </c>
      <c r="D6" s="89">
        <v>13</v>
      </c>
      <c r="E6" s="89">
        <v>398</v>
      </c>
      <c r="F6" s="89">
        <f t="shared" si="0"/>
        <v>5174</v>
      </c>
      <c r="G6" s="242">
        <f>VLOOKUP(C6,'Name Manager'!$H$2:$I$18,2,0)*F6</f>
        <v>620.88</v>
      </c>
      <c r="R6" s="88" t="s">
        <v>783</v>
      </c>
      <c r="T6">
        <f t="array" ref="T6">SUMIF(C4:C84,R6,G4:G84)</f>
        <v>5512.92</v>
      </c>
      <c r="V6">
        <f>SUMIF(C3:C83,R6,F3:F83)</f>
        <v>45941</v>
      </c>
      <c r="W6">
        <f>AVERAGEIF(C3:C83,R6,F3:F83)</f>
        <v>5104.5555555555557</v>
      </c>
      <c r="X6">
        <f>COUNTIF(C3:C83,R6)</f>
        <v>9</v>
      </c>
    </row>
    <row r="7" spans="2:24" x14ac:dyDescent="0.25">
      <c r="B7" s="241">
        <v>43156</v>
      </c>
      <c r="C7" s="88" t="s">
        <v>784</v>
      </c>
      <c r="D7" s="89">
        <v>21</v>
      </c>
      <c r="E7" s="89">
        <v>410</v>
      </c>
      <c r="F7" s="89">
        <f t="shared" si="0"/>
        <v>8610</v>
      </c>
      <c r="G7" s="242">
        <f>VLOOKUP(C7,'Name Manager'!$H$2:$I$18,2,0)*F7</f>
        <v>774.9</v>
      </c>
      <c r="R7" s="88" t="s">
        <v>784</v>
      </c>
      <c r="T7">
        <f t="array" ref="T7">SUMIF(C5:C85,R7,G5:G85)</f>
        <v>3674.7000000000003</v>
      </c>
      <c r="V7">
        <f>SUMIF(C3:C83,R7,F3:F83)</f>
        <v>40830</v>
      </c>
    </row>
    <row r="8" spans="2:24" x14ac:dyDescent="0.25">
      <c r="B8" s="241">
        <v>43156</v>
      </c>
      <c r="C8" s="88" t="s">
        <v>206</v>
      </c>
      <c r="D8" s="89">
        <v>16</v>
      </c>
      <c r="E8" s="89">
        <v>426</v>
      </c>
      <c r="F8" s="89">
        <f t="shared" si="0"/>
        <v>6816</v>
      </c>
      <c r="G8" s="242">
        <f>VLOOKUP(C8,'Name Manager'!$H$2:$I$18,2,0)*F8</f>
        <v>681.6</v>
      </c>
      <c r="R8" s="88" t="s">
        <v>785</v>
      </c>
      <c r="T8">
        <f t="array" ref="T8">SUMIF(C6:C86,R8,G6:G86)</f>
        <v>4847.22</v>
      </c>
      <c r="V8">
        <f>SUMIF(C3:C83,R8,F3:F83)</f>
        <v>34623</v>
      </c>
    </row>
    <row r="9" spans="2:24" x14ac:dyDescent="0.25">
      <c r="B9" s="241">
        <v>43156</v>
      </c>
      <c r="C9" s="88" t="s">
        <v>785</v>
      </c>
      <c r="D9" s="89">
        <v>15</v>
      </c>
      <c r="E9" s="89">
        <v>439</v>
      </c>
      <c r="F9" s="89">
        <f t="shared" si="0"/>
        <v>6585</v>
      </c>
      <c r="G9" s="242">
        <f>VLOOKUP(C9,'Name Manager'!$H$2:$I$18,2,0)*F9</f>
        <v>921.90000000000009</v>
      </c>
      <c r="K9">
        <f>SUMIFS($F$3:$F$83,$C$3:$C$83,$R3)</f>
        <v>29814</v>
      </c>
      <c r="R9" s="88" t="s">
        <v>786</v>
      </c>
      <c r="T9">
        <f t="array" ref="T9">SUMIF(C7:C87,R9,G7:G87)</f>
        <v>3450.08</v>
      </c>
    </row>
    <row r="10" spans="2:24" x14ac:dyDescent="0.25">
      <c r="B10" s="241">
        <v>43156</v>
      </c>
      <c r="C10" s="88" t="s">
        <v>786</v>
      </c>
      <c r="D10" s="89">
        <v>12</v>
      </c>
      <c r="E10" s="89">
        <v>444</v>
      </c>
      <c r="F10" s="89">
        <f t="shared" si="0"/>
        <v>5328</v>
      </c>
      <c r="G10" s="242">
        <f>VLOOKUP(C10,'Name Manager'!$H$2:$I$18,2,0)*F10</f>
        <v>426.24</v>
      </c>
      <c r="K10">
        <f t="shared" ref="K10:K25" si="1">SUMIFS($F$3:$F$83,$C$3:$C$83,$R4)</f>
        <v>46385</v>
      </c>
      <c r="R10" s="88" t="s">
        <v>787</v>
      </c>
      <c r="T10">
        <f t="array" ref="T10">SUMIF(C8:C88,R10,G8:G88)</f>
        <v>5508.6900000000005</v>
      </c>
    </row>
    <row r="11" spans="2:24" x14ac:dyDescent="0.25">
      <c r="B11" s="241">
        <v>43157</v>
      </c>
      <c r="C11" s="88" t="s">
        <v>783</v>
      </c>
      <c r="D11" s="89">
        <v>15</v>
      </c>
      <c r="E11" s="89">
        <v>399</v>
      </c>
      <c r="F11" s="89">
        <f t="shared" si="0"/>
        <v>5985</v>
      </c>
      <c r="G11" s="242">
        <f>VLOOKUP(C11,'Name Manager'!$H$2:$I$18,2,0)*F11</f>
        <v>718.19999999999993</v>
      </c>
      <c r="K11">
        <f t="shared" si="1"/>
        <v>45200</v>
      </c>
      <c r="R11" s="88" t="s">
        <v>788</v>
      </c>
      <c r="T11">
        <f t="array" ref="T11">SUMIF(C9:C89,R11,G9:G89)</f>
        <v>2695.2</v>
      </c>
    </row>
    <row r="12" spans="2:24" x14ac:dyDescent="0.25">
      <c r="B12" s="241">
        <v>43157</v>
      </c>
      <c r="C12" s="88" t="s">
        <v>787</v>
      </c>
      <c r="D12" s="89">
        <v>30</v>
      </c>
      <c r="E12" s="89">
        <v>380</v>
      </c>
      <c r="F12" s="89">
        <f t="shared" si="0"/>
        <v>11400</v>
      </c>
      <c r="G12" s="242">
        <f>VLOOKUP(C12,'Name Manager'!$H$2:$I$18,2,0)*F12</f>
        <v>1254</v>
      </c>
      <c r="K12">
        <f t="shared" si="1"/>
        <v>45941</v>
      </c>
      <c r="R12" s="88" t="s">
        <v>789</v>
      </c>
      <c r="T12">
        <f t="array" ref="T12">SUMIF(C10:C90,R12,G10:G90)</f>
        <v>3271.2000000000003</v>
      </c>
    </row>
    <row r="13" spans="2:24" x14ac:dyDescent="0.25">
      <c r="B13" s="241">
        <v>43157</v>
      </c>
      <c r="C13" s="88" t="s">
        <v>788</v>
      </c>
      <c r="D13" s="89">
        <v>15</v>
      </c>
      <c r="E13" s="89">
        <v>442</v>
      </c>
      <c r="F13" s="89">
        <f t="shared" si="0"/>
        <v>6630</v>
      </c>
      <c r="G13" s="242">
        <f>VLOOKUP(C13,'Name Manager'!$H$2:$I$18,2,0)*F13</f>
        <v>1060.8</v>
      </c>
      <c r="K13">
        <f t="shared" si="1"/>
        <v>40830</v>
      </c>
      <c r="R13" s="88" t="s">
        <v>790</v>
      </c>
      <c r="T13">
        <f t="array" ref="T13">SUMIF(C11:C91,R13,G11:G91)</f>
        <v>4350.58</v>
      </c>
    </row>
    <row r="14" spans="2:24" x14ac:dyDescent="0.25">
      <c r="B14" s="241">
        <v>43157</v>
      </c>
      <c r="C14" s="88" t="s">
        <v>206</v>
      </c>
      <c r="D14" s="89">
        <v>18</v>
      </c>
      <c r="E14" s="89">
        <v>413</v>
      </c>
      <c r="F14" s="89">
        <f t="shared" si="0"/>
        <v>7434</v>
      </c>
      <c r="G14" s="242">
        <f>VLOOKUP(C14,'Name Manager'!$H$2:$I$18,2,0)*F14</f>
        <v>743.40000000000009</v>
      </c>
      <c r="K14">
        <f t="shared" si="1"/>
        <v>34623</v>
      </c>
      <c r="R14" s="88" t="s">
        <v>791</v>
      </c>
      <c r="T14">
        <f t="array" ref="T14">SUMIF(C12:C92,R14,G12:G92)</f>
        <v>3510.6</v>
      </c>
    </row>
    <row r="15" spans="2:24" x14ac:dyDescent="0.25">
      <c r="B15" s="241">
        <v>43157</v>
      </c>
      <c r="C15" s="88" t="s">
        <v>789</v>
      </c>
      <c r="D15" s="89">
        <v>29</v>
      </c>
      <c r="E15" s="89">
        <v>470</v>
      </c>
      <c r="F15" s="89">
        <f t="shared" si="0"/>
        <v>13630</v>
      </c>
      <c r="G15" s="242">
        <f>VLOOKUP(C15,'Name Manager'!$H$2:$I$18,2,0)*F15</f>
        <v>1090.4000000000001</v>
      </c>
      <c r="K15">
        <f t="shared" si="1"/>
        <v>43126</v>
      </c>
      <c r="R15" s="88" t="s">
        <v>769</v>
      </c>
      <c r="T15">
        <f t="array" ref="T15">SUMIF(C13:C93,R15,G13:G93)</f>
        <v>1056</v>
      </c>
    </row>
    <row r="16" spans="2:24" x14ac:dyDescent="0.25">
      <c r="B16" s="241">
        <v>43157</v>
      </c>
      <c r="C16" s="88" t="s">
        <v>790</v>
      </c>
      <c r="D16" s="89">
        <v>14</v>
      </c>
      <c r="E16" s="89">
        <v>422</v>
      </c>
      <c r="F16" s="89">
        <f t="shared" si="0"/>
        <v>5908</v>
      </c>
      <c r="G16" s="242">
        <f>VLOOKUP(C16,'Name Manager'!$H$2:$I$18,2,0)*F16</f>
        <v>768.04000000000008</v>
      </c>
      <c r="K16">
        <f t="shared" si="1"/>
        <v>50079</v>
      </c>
      <c r="R16" s="88" t="s">
        <v>792</v>
      </c>
      <c r="T16">
        <f t="array" ref="T16">SUMIF(C14:C94,R16,G14:G94)</f>
        <v>2328.4800000000005</v>
      </c>
    </row>
    <row r="17" spans="2:20" x14ac:dyDescent="0.25">
      <c r="B17" s="241">
        <v>43158</v>
      </c>
      <c r="C17" s="88" t="s">
        <v>791</v>
      </c>
      <c r="D17" s="89">
        <v>9</v>
      </c>
      <c r="E17" s="89">
        <v>399</v>
      </c>
      <c r="F17" s="89">
        <f t="shared" si="0"/>
        <v>3591</v>
      </c>
      <c r="G17" s="242">
        <f>VLOOKUP(C17,'Name Manager'!$H$2:$I$18,2,0)*F17</f>
        <v>359.1</v>
      </c>
      <c r="K17">
        <f t="shared" si="1"/>
        <v>16845</v>
      </c>
      <c r="R17" s="88" t="s">
        <v>793</v>
      </c>
      <c r="T17">
        <f t="array" ref="T17">SUMIF(C15:C95,R17,G15:G95)</f>
        <v>4376.4000000000005</v>
      </c>
    </row>
    <row r="18" spans="2:20" x14ac:dyDescent="0.25">
      <c r="B18" s="241">
        <v>43158</v>
      </c>
      <c r="C18" s="88" t="s">
        <v>769</v>
      </c>
      <c r="D18" s="89">
        <v>12</v>
      </c>
      <c r="E18" s="89">
        <v>400</v>
      </c>
      <c r="F18" s="89">
        <f t="shared" si="0"/>
        <v>4800</v>
      </c>
      <c r="G18" s="242">
        <f>VLOOKUP(C18,'Name Manager'!$H$2:$I$18,2,0)*F18</f>
        <v>528</v>
      </c>
      <c r="K18">
        <f t="shared" si="1"/>
        <v>40890</v>
      </c>
      <c r="R18" s="88" t="s">
        <v>794</v>
      </c>
      <c r="T18">
        <f t="array" ref="T18">SUMIF(C16:C96,R18,G16:G96)</f>
        <v>966.40000000000009</v>
      </c>
    </row>
    <row r="19" spans="2:20" x14ac:dyDescent="0.25">
      <c r="B19" s="241">
        <v>43158</v>
      </c>
      <c r="C19" s="88" t="s">
        <v>784</v>
      </c>
      <c r="D19" s="89">
        <v>8</v>
      </c>
      <c r="E19" s="89">
        <v>500</v>
      </c>
      <c r="F19" s="89">
        <f t="shared" si="0"/>
        <v>4000</v>
      </c>
      <c r="G19" s="242">
        <f>VLOOKUP(C19,'Name Manager'!$H$2:$I$18,2,0)*F19</f>
        <v>360</v>
      </c>
      <c r="K19">
        <f t="shared" si="1"/>
        <v>33466</v>
      </c>
    </row>
    <row r="20" spans="2:20" x14ac:dyDescent="0.25">
      <c r="B20" s="241">
        <v>43158</v>
      </c>
      <c r="C20" s="88" t="s">
        <v>206</v>
      </c>
      <c r="D20" s="89">
        <v>19</v>
      </c>
      <c r="E20" s="89">
        <v>475</v>
      </c>
      <c r="F20" s="89">
        <f t="shared" si="0"/>
        <v>9025</v>
      </c>
      <c r="G20" s="242">
        <f>VLOOKUP(C20,'Name Manager'!$H$2:$I$18,2,0)*F20</f>
        <v>902.5</v>
      </c>
      <c r="K20">
        <f t="shared" si="1"/>
        <v>35106</v>
      </c>
    </row>
    <row r="21" spans="2:20" x14ac:dyDescent="0.25">
      <c r="B21" s="241">
        <v>43158</v>
      </c>
      <c r="C21" s="88" t="s">
        <v>782</v>
      </c>
      <c r="D21" s="89">
        <v>14</v>
      </c>
      <c r="E21" s="89">
        <v>387</v>
      </c>
      <c r="F21" s="89">
        <f t="shared" si="0"/>
        <v>5418</v>
      </c>
      <c r="G21" s="242">
        <f>VLOOKUP(C21,'Name Manager'!$H$2:$I$18,2,0)*F21</f>
        <v>812.69999999999993</v>
      </c>
      <c r="K21">
        <f t="shared" si="1"/>
        <v>9600</v>
      </c>
    </row>
    <row r="22" spans="2:20" x14ac:dyDescent="0.25">
      <c r="B22" s="241">
        <v>43158</v>
      </c>
      <c r="C22" s="88" t="s">
        <v>792</v>
      </c>
      <c r="D22" s="89">
        <v>24</v>
      </c>
      <c r="E22" s="89">
        <v>462</v>
      </c>
      <c r="F22" s="89">
        <f t="shared" si="0"/>
        <v>11088</v>
      </c>
      <c r="G22" s="242">
        <f>VLOOKUP(C22,'Name Manager'!$H$2:$I$18,2,0)*F22</f>
        <v>776.16000000000008</v>
      </c>
      <c r="K22">
        <f t="shared" si="1"/>
        <v>33264</v>
      </c>
    </row>
    <row r="23" spans="2:20" x14ac:dyDescent="0.25">
      <c r="B23" s="241">
        <v>43158</v>
      </c>
      <c r="C23" s="88" t="s">
        <v>793</v>
      </c>
      <c r="D23" s="89">
        <v>13</v>
      </c>
      <c r="E23" s="89">
        <v>452</v>
      </c>
      <c r="F23" s="89">
        <f t="shared" si="0"/>
        <v>5876</v>
      </c>
      <c r="G23" s="242">
        <f>VLOOKUP(C23,'Name Manager'!$H$2:$I$18,2,0)*F23</f>
        <v>822.6400000000001</v>
      </c>
      <c r="K23">
        <f t="shared" si="1"/>
        <v>31260</v>
      </c>
    </row>
    <row r="24" spans="2:20" x14ac:dyDescent="0.25">
      <c r="B24" s="241">
        <v>43158</v>
      </c>
      <c r="C24" s="88" t="s">
        <v>790</v>
      </c>
      <c r="D24" s="89">
        <v>17</v>
      </c>
      <c r="E24" s="89">
        <v>463</v>
      </c>
      <c r="F24" s="89">
        <f t="shared" si="0"/>
        <v>7871</v>
      </c>
      <c r="G24" s="242">
        <f>VLOOKUP(C24,'Name Manager'!$H$2:$I$18,2,0)*F24</f>
        <v>1023.23</v>
      </c>
      <c r="K24">
        <f>SUMIFS($F$3:$F$83,$C$3:$C$83,$R18)</f>
        <v>9664</v>
      </c>
    </row>
    <row r="25" spans="2:20" x14ac:dyDescent="0.25">
      <c r="B25" s="241">
        <v>43158</v>
      </c>
      <c r="C25" s="88" t="s">
        <v>207</v>
      </c>
      <c r="D25" s="89">
        <v>15</v>
      </c>
      <c r="E25" s="89">
        <v>400</v>
      </c>
      <c r="F25" s="89">
        <f t="shared" si="0"/>
        <v>6000</v>
      </c>
      <c r="G25" s="242">
        <f>VLOOKUP(C25,'Name Manager'!$H$2:$I$18,2,0)*F25</f>
        <v>480</v>
      </c>
      <c r="K25">
        <f t="shared" si="1"/>
        <v>0</v>
      </c>
    </row>
    <row r="26" spans="2:20" x14ac:dyDescent="0.25">
      <c r="B26" s="241">
        <v>43159</v>
      </c>
      <c r="C26" s="88" t="s">
        <v>791</v>
      </c>
      <c r="D26" s="89">
        <v>23</v>
      </c>
      <c r="E26" s="89">
        <v>405</v>
      </c>
      <c r="F26" s="89">
        <f t="shared" si="0"/>
        <v>9315</v>
      </c>
      <c r="G26" s="242">
        <f>VLOOKUP(C26,'Name Manager'!$H$2:$I$18,2,0)*F26</f>
        <v>931.5</v>
      </c>
    </row>
    <row r="27" spans="2:20" x14ac:dyDescent="0.25">
      <c r="B27" s="241">
        <v>43159</v>
      </c>
      <c r="C27" s="88" t="s">
        <v>783</v>
      </c>
      <c r="D27" s="89">
        <v>10</v>
      </c>
      <c r="E27" s="89">
        <v>439</v>
      </c>
      <c r="F27" s="89">
        <f t="shared" si="0"/>
        <v>4390</v>
      </c>
      <c r="G27" s="242">
        <f>VLOOKUP(C27,'Name Manager'!$H$2:$I$18,2,0)*F27</f>
        <v>526.79999999999995</v>
      </c>
    </row>
    <row r="28" spans="2:20" x14ac:dyDescent="0.25">
      <c r="B28" s="241">
        <v>43159</v>
      </c>
      <c r="C28" s="88" t="s">
        <v>787</v>
      </c>
      <c r="D28" s="89">
        <v>20</v>
      </c>
      <c r="E28" s="89">
        <v>429</v>
      </c>
      <c r="F28" s="89">
        <f t="shared" si="0"/>
        <v>8580</v>
      </c>
      <c r="G28" s="242">
        <f>VLOOKUP(C28,'Name Manager'!$H$2:$I$18,2,0)*F28</f>
        <v>943.8</v>
      </c>
    </row>
    <row r="29" spans="2:20" x14ac:dyDescent="0.25">
      <c r="B29" s="241">
        <v>43159</v>
      </c>
      <c r="C29" s="88" t="s">
        <v>794</v>
      </c>
      <c r="D29" s="89">
        <v>19</v>
      </c>
      <c r="E29" s="89">
        <v>256</v>
      </c>
      <c r="F29" s="89">
        <f t="shared" si="0"/>
        <v>4864</v>
      </c>
      <c r="G29" s="242">
        <f>VLOOKUP(C29,'Name Manager'!$H$2:$I$18,2,0)*F29</f>
        <v>486.40000000000003</v>
      </c>
    </row>
    <row r="30" spans="2:20" x14ac:dyDescent="0.25">
      <c r="B30" s="241">
        <v>43159</v>
      </c>
      <c r="C30" s="88" t="s">
        <v>782</v>
      </c>
      <c r="D30" s="89">
        <v>10</v>
      </c>
      <c r="E30" s="89">
        <v>452</v>
      </c>
      <c r="F30" s="89">
        <f t="shared" si="0"/>
        <v>4520</v>
      </c>
      <c r="G30" s="242">
        <f>VLOOKUP(C30,'Name Manager'!$H$2:$I$18,2,0)*F30</f>
        <v>678</v>
      </c>
    </row>
    <row r="31" spans="2:20" x14ac:dyDescent="0.25">
      <c r="B31" s="241">
        <v>43159</v>
      </c>
      <c r="C31" s="88" t="s">
        <v>786</v>
      </c>
      <c r="D31" s="89">
        <v>8</v>
      </c>
      <c r="E31" s="89">
        <v>356</v>
      </c>
      <c r="F31" s="89">
        <f t="shared" si="0"/>
        <v>2848</v>
      </c>
      <c r="G31" s="242">
        <f>VLOOKUP(C31,'Name Manager'!$H$2:$I$18,2,0)*F31</f>
        <v>227.84</v>
      </c>
    </row>
    <row r="32" spans="2:20" x14ac:dyDescent="0.25">
      <c r="B32" s="241">
        <v>43159</v>
      </c>
      <c r="C32" s="88" t="s">
        <v>207</v>
      </c>
      <c r="D32" s="89">
        <v>25</v>
      </c>
      <c r="E32" s="89">
        <v>400</v>
      </c>
      <c r="F32" s="89">
        <f t="shared" si="0"/>
        <v>10000</v>
      </c>
      <c r="G32" s="242">
        <f>VLOOKUP(C32,'Name Manager'!$H$2:$I$18,2,0)*F32</f>
        <v>800</v>
      </c>
    </row>
    <row r="33" spans="2:7" x14ac:dyDescent="0.25">
      <c r="B33" s="241">
        <v>43159</v>
      </c>
      <c r="C33" s="88" t="s">
        <v>783</v>
      </c>
      <c r="D33" s="89">
        <v>13</v>
      </c>
      <c r="E33" s="89">
        <v>398</v>
      </c>
      <c r="F33" s="89">
        <f t="shared" si="0"/>
        <v>5174</v>
      </c>
      <c r="G33" s="242">
        <f>VLOOKUP(C33,'Name Manager'!$H$2:$I$18,2,0)*F33</f>
        <v>620.88</v>
      </c>
    </row>
    <row r="34" spans="2:7" x14ac:dyDescent="0.25">
      <c r="B34" s="241">
        <v>43160</v>
      </c>
      <c r="C34" s="88" t="s">
        <v>784</v>
      </c>
      <c r="D34" s="89">
        <v>21</v>
      </c>
      <c r="E34" s="89">
        <v>410</v>
      </c>
      <c r="F34" s="89">
        <f t="shared" si="0"/>
        <v>8610</v>
      </c>
      <c r="G34" s="242">
        <f>VLOOKUP(C34,'Name Manager'!$H$2:$I$18,2,0)*F34</f>
        <v>774.9</v>
      </c>
    </row>
    <row r="35" spans="2:7" x14ac:dyDescent="0.25">
      <c r="B35" s="241">
        <v>43160</v>
      </c>
      <c r="C35" s="88" t="s">
        <v>793</v>
      </c>
      <c r="D35" s="89">
        <v>16</v>
      </c>
      <c r="E35" s="89">
        <v>426</v>
      </c>
      <c r="F35" s="89">
        <f t="shared" si="0"/>
        <v>6816</v>
      </c>
      <c r="G35" s="242">
        <f>VLOOKUP(C35,'Name Manager'!$H$2:$I$18,2,0)*F35</f>
        <v>954.24000000000012</v>
      </c>
    </row>
    <row r="36" spans="2:7" x14ac:dyDescent="0.25">
      <c r="B36" s="241">
        <v>43160</v>
      </c>
      <c r="C36" s="88" t="s">
        <v>785</v>
      </c>
      <c r="D36" s="89">
        <v>15</v>
      </c>
      <c r="E36" s="89">
        <v>439</v>
      </c>
      <c r="F36" s="89">
        <f t="shared" si="0"/>
        <v>6585</v>
      </c>
      <c r="G36" s="242">
        <f>VLOOKUP(C36,'Name Manager'!$H$2:$I$18,2,0)*F36</f>
        <v>921.90000000000009</v>
      </c>
    </row>
    <row r="37" spans="2:7" x14ac:dyDescent="0.25">
      <c r="B37" s="241">
        <v>43160</v>
      </c>
      <c r="C37" s="88" t="s">
        <v>786</v>
      </c>
      <c r="D37" s="89">
        <v>12</v>
      </c>
      <c r="E37" s="89">
        <v>444</v>
      </c>
      <c r="F37" s="89">
        <f t="shared" si="0"/>
        <v>5328</v>
      </c>
      <c r="G37" s="242">
        <f>VLOOKUP(C37,'Name Manager'!$H$2:$I$18,2,0)*F37</f>
        <v>426.24</v>
      </c>
    </row>
    <row r="38" spans="2:7" x14ac:dyDescent="0.25">
      <c r="B38" s="241">
        <v>43160</v>
      </c>
      <c r="C38" s="88" t="s">
        <v>783</v>
      </c>
      <c r="D38" s="89">
        <v>15</v>
      </c>
      <c r="E38" s="89">
        <v>399</v>
      </c>
      <c r="F38" s="89">
        <f t="shared" si="0"/>
        <v>5985</v>
      </c>
      <c r="G38" s="242">
        <f>VLOOKUP(C38,'Name Manager'!$H$2:$I$18,2,0)*F38</f>
        <v>718.19999999999993</v>
      </c>
    </row>
    <row r="39" spans="2:7" x14ac:dyDescent="0.25">
      <c r="B39" s="241">
        <v>43160</v>
      </c>
      <c r="C39" s="88" t="s">
        <v>787</v>
      </c>
      <c r="D39" s="89">
        <v>30</v>
      </c>
      <c r="E39" s="89">
        <v>380</v>
      </c>
      <c r="F39" s="89">
        <f t="shared" si="0"/>
        <v>11400</v>
      </c>
      <c r="G39" s="242">
        <f>VLOOKUP(C39,'Name Manager'!$H$2:$I$18,2,0)*F39</f>
        <v>1254</v>
      </c>
    </row>
    <row r="40" spans="2:7" x14ac:dyDescent="0.25">
      <c r="B40" s="241">
        <v>43160</v>
      </c>
      <c r="C40" s="88" t="s">
        <v>788</v>
      </c>
      <c r="D40" s="89">
        <v>15</v>
      </c>
      <c r="E40" s="89">
        <v>239</v>
      </c>
      <c r="F40" s="89">
        <f t="shared" si="0"/>
        <v>3585</v>
      </c>
      <c r="G40" s="242">
        <f>VLOOKUP(C40,'Name Manager'!$H$2:$I$18,2,0)*F40</f>
        <v>573.6</v>
      </c>
    </row>
    <row r="41" spans="2:7" x14ac:dyDescent="0.25">
      <c r="B41" s="241">
        <v>43160</v>
      </c>
      <c r="C41" s="88" t="s">
        <v>785</v>
      </c>
      <c r="D41" s="89">
        <v>18</v>
      </c>
      <c r="E41" s="89">
        <v>413</v>
      </c>
      <c r="F41" s="89">
        <f t="shared" si="0"/>
        <v>7434</v>
      </c>
      <c r="G41" s="242">
        <f>VLOOKUP(C41,'Name Manager'!$H$2:$I$18,2,0)*F41</f>
        <v>1040.76</v>
      </c>
    </row>
    <row r="42" spans="2:7" x14ac:dyDescent="0.25">
      <c r="B42" s="241">
        <v>43160</v>
      </c>
      <c r="C42" s="88" t="s">
        <v>789</v>
      </c>
      <c r="D42" s="89">
        <v>29</v>
      </c>
      <c r="E42" s="89">
        <v>470</v>
      </c>
      <c r="F42" s="89">
        <f t="shared" si="0"/>
        <v>13630</v>
      </c>
      <c r="G42" s="242">
        <f>VLOOKUP(C42,'Name Manager'!$H$2:$I$18,2,0)*F42</f>
        <v>1090.4000000000001</v>
      </c>
    </row>
    <row r="43" spans="2:7" x14ac:dyDescent="0.25">
      <c r="B43" s="241">
        <v>43161</v>
      </c>
      <c r="C43" s="88" t="s">
        <v>790</v>
      </c>
      <c r="D43" s="89">
        <v>14</v>
      </c>
      <c r="E43" s="89">
        <v>422</v>
      </c>
      <c r="F43" s="89">
        <f t="shared" si="0"/>
        <v>5908</v>
      </c>
      <c r="G43" s="242">
        <f>VLOOKUP(C43,'Name Manager'!$H$2:$I$18,2,0)*F43</f>
        <v>768.04000000000008</v>
      </c>
    </row>
    <row r="44" spans="2:7" x14ac:dyDescent="0.25">
      <c r="B44" s="241">
        <v>43161</v>
      </c>
      <c r="C44" s="88" t="s">
        <v>206</v>
      </c>
      <c r="D44" s="89">
        <v>13</v>
      </c>
      <c r="E44" s="89">
        <v>399</v>
      </c>
      <c r="F44" s="89">
        <f t="shared" si="0"/>
        <v>5187</v>
      </c>
      <c r="G44" s="242">
        <f>VLOOKUP(C44,'Name Manager'!$H$2:$I$18,2,0)*F44</f>
        <v>518.70000000000005</v>
      </c>
    </row>
    <row r="45" spans="2:7" x14ac:dyDescent="0.25">
      <c r="B45" s="241">
        <v>43161</v>
      </c>
      <c r="C45" s="88" t="s">
        <v>794</v>
      </c>
      <c r="D45" s="89">
        <v>12</v>
      </c>
      <c r="E45" s="89">
        <v>400</v>
      </c>
      <c r="F45" s="89">
        <f t="shared" si="0"/>
        <v>4800</v>
      </c>
      <c r="G45" s="242">
        <f>VLOOKUP(C45,'Name Manager'!$H$2:$I$18,2,0)*F45</f>
        <v>480</v>
      </c>
    </row>
    <row r="46" spans="2:7" x14ac:dyDescent="0.25">
      <c r="B46" s="241">
        <v>43161</v>
      </c>
      <c r="C46" s="88" t="s">
        <v>784</v>
      </c>
      <c r="D46" s="89">
        <v>14</v>
      </c>
      <c r="E46" s="89">
        <v>500</v>
      </c>
      <c r="F46" s="89">
        <f t="shared" si="0"/>
        <v>7000</v>
      </c>
      <c r="G46" s="242">
        <f>VLOOKUP(C46,'Name Manager'!$H$2:$I$18,2,0)*F46</f>
        <v>630</v>
      </c>
    </row>
    <row r="47" spans="2:7" x14ac:dyDescent="0.25">
      <c r="B47" s="241">
        <v>43161</v>
      </c>
      <c r="C47" s="88" t="s">
        <v>206</v>
      </c>
      <c r="D47" s="89">
        <v>22</v>
      </c>
      <c r="E47" s="89">
        <v>275</v>
      </c>
      <c r="F47" s="89">
        <f t="shared" si="0"/>
        <v>6050</v>
      </c>
      <c r="G47" s="242">
        <f>VLOOKUP(C47,'Name Manager'!$H$2:$I$18,2,0)*F47</f>
        <v>605</v>
      </c>
    </row>
    <row r="48" spans="2:7" x14ac:dyDescent="0.25">
      <c r="B48" s="241">
        <v>43161</v>
      </c>
      <c r="C48" s="88" t="s">
        <v>782</v>
      </c>
      <c r="D48" s="89">
        <v>14</v>
      </c>
      <c r="E48" s="89">
        <v>387</v>
      </c>
      <c r="F48" s="89">
        <f t="shared" si="0"/>
        <v>5418</v>
      </c>
      <c r="G48" s="242">
        <f>VLOOKUP(C48,'Name Manager'!$H$2:$I$18,2,0)*F48</f>
        <v>812.69999999999993</v>
      </c>
    </row>
    <row r="49" spans="2:7" x14ac:dyDescent="0.25">
      <c r="B49" s="241">
        <v>43161</v>
      </c>
      <c r="C49" s="88" t="s">
        <v>792</v>
      </c>
      <c r="D49" s="89">
        <v>24</v>
      </c>
      <c r="E49" s="89">
        <v>462</v>
      </c>
      <c r="F49" s="89">
        <f t="shared" si="0"/>
        <v>11088</v>
      </c>
      <c r="G49" s="242">
        <f>VLOOKUP(C49,'Name Manager'!$H$2:$I$18,2,0)*F49</f>
        <v>776.16000000000008</v>
      </c>
    </row>
    <row r="50" spans="2:7" x14ac:dyDescent="0.25">
      <c r="B50" s="241">
        <v>43161</v>
      </c>
      <c r="C50" s="88" t="s">
        <v>793</v>
      </c>
      <c r="D50" s="89">
        <v>13</v>
      </c>
      <c r="E50" s="89">
        <v>452</v>
      </c>
      <c r="F50" s="89">
        <f t="shared" si="0"/>
        <v>5876</v>
      </c>
      <c r="G50" s="242">
        <f>VLOOKUP(C50,'Name Manager'!$H$2:$I$18,2,0)*F50</f>
        <v>822.6400000000001</v>
      </c>
    </row>
    <row r="51" spans="2:7" x14ac:dyDescent="0.25">
      <c r="B51" s="241">
        <v>43161</v>
      </c>
      <c r="C51" s="88" t="s">
        <v>790</v>
      </c>
      <c r="D51" s="89">
        <v>17</v>
      </c>
      <c r="E51" s="89">
        <v>463</v>
      </c>
      <c r="F51" s="89">
        <f t="shared" si="0"/>
        <v>7871</v>
      </c>
      <c r="G51" s="242">
        <f>VLOOKUP(C51,'Name Manager'!$H$2:$I$18,2,0)*F51</f>
        <v>1023.23</v>
      </c>
    </row>
    <row r="52" spans="2:7" x14ac:dyDescent="0.25">
      <c r="B52" s="241">
        <v>43161</v>
      </c>
      <c r="C52" s="88" t="s">
        <v>207</v>
      </c>
      <c r="D52" s="89">
        <v>15</v>
      </c>
      <c r="E52" s="89">
        <v>400</v>
      </c>
      <c r="F52" s="89">
        <f t="shared" si="0"/>
        <v>6000</v>
      </c>
      <c r="G52" s="242">
        <f>VLOOKUP(C52,'Name Manager'!$H$2:$I$18,2,0)*F52</f>
        <v>480</v>
      </c>
    </row>
    <row r="53" spans="2:7" x14ac:dyDescent="0.25">
      <c r="B53" s="241">
        <v>43161</v>
      </c>
      <c r="C53" s="88" t="s">
        <v>791</v>
      </c>
      <c r="D53" s="89">
        <v>23</v>
      </c>
      <c r="E53" s="89">
        <v>300</v>
      </c>
      <c r="F53" s="89">
        <f t="shared" si="0"/>
        <v>6900</v>
      </c>
      <c r="G53" s="242">
        <f>VLOOKUP(C53,'Name Manager'!$H$2:$I$18,2,0)*F53</f>
        <v>690</v>
      </c>
    </row>
    <row r="54" spans="2:7" x14ac:dyDescent="0.25">
      <c r="B54" s="241">
        <v>43162</v>
      </c>
      <c r="C54" s="88" t="s">
        <v>783</v>
      </c>
      <c r="D54" s="89">
        <v>10</v>
      </c>
      <c r="E54" s="89">
        <v>439</v>
      </c>
      <c r="F54" s="89">
        <f t="shared" si="0"/>
        <v>4390</v>
      </c>
      <c r="G54" s="242">
        <f>VLOOKUP(C54,'Name Manager'!$H$2:$I$18,2,0)*F54</f>
        <v>526.79999999999995</v>
      </c>
    </row>
    <row r="55" spans="2:7" x14ac:dyDescent="0.25">
      <c r="B55" s="241">
        <v>43162</v>
      </c>
      <c r="C55" s="88" t="s">
        <v>787</v>
      </c>
      <c r="D55" s="89">
        <v>12</v>
      </c>
      <c r="E55" s="89">
        <v>358</v>
      </c>
      <c r="F55" s="89">
        <f t="shared" si="0"/>
        <v>4296</v>
      </c>
      <c r="G55" s="242">
        <f>VLOOKUP(C55,'Name Manager'!$H$2:$I$18,2,0)*F55</f>
        <v>472.56</v>
      </c>
    </row>
    <row r="56" spans="2:7" x14ac:dyDescent="0.25">
      <c r="B56" s="241">
        <v>43162</v>
      </c>
      <c r="C56" s="88" t="s">
        <v>786</v>
      </c>
      <c r="D56" s="89">
        <v>19</v>
      </c>
      <c r="E56" s="89">
        <v>456</v>
      </c>
      <c r="F56" s="89">
        <f t="shared" si="0"/>
        <v>8664</v>
      </c>
      <c r="G56" s="242">
        <f>VLOOKUP(C56,'Name Manager'!$H$2:$I$18,2,0)*F56</f>
        <v>693.12</v>
      </c>
    </row>
    <row r="57" spans="2:7" x14ac:dyDescent="0.25">
      <c r="B57" s="241">
        <v>43162</v>
      </c>
      <c r="C57" s="88" t="s">
        <v>782</v>
      </c>
      <c r="D57" s="89">
        <v>10</v>
      </c>
      <c r="E57" s="89">
        <v>452</v>
      </c>
      <c r="F57" s="89">
        <f t="shared" si="0"/>
        <v>4520</v>
      </c>
      <c r="G57" s="242">
        <f>VLOOKUP(C57,'Name Manager'!$H$2:$I$18,2,0)*F57</f>
        <v>678</v>
      </c>
    </row>
    <row r="58" spans="2:7" x14ac:dyDescent="0.25">
      <c r="B58" s="241">
        <v>43162</v>
      </c>
      <c r="C58" s="88" t="s">
        <v>786</v>
      </c>
      <c r="D58" s="89">
        <v>8</v>
      </c>
      <c r="E58" s="89">
        <v>356</v>
      </c>
      <c r="F58" s="89">
        <f t="shared" si="0"/>
        <v>2848</v>
      </c>
      <c r="G58" s="242">
        <f>VLOOKUP(C58,'Name Manager'!$H$2:$I$18,2,0)*F58</f>
        <v>227.84</v>
      </c>
    </row>
    <row r="59" spans="2:7" x14ac:dyDescent="0.25">
      <c r="B59" s="241">
        <v>43162</v>
      </c>
      <c r="C59" s="88" t="s">
        <v>207</v>
      </c>
      <c r="D59" s="89">
        <v>18</v>
      </c>
      <c r="E59" s="89">
        <v>400</v>
      </c>
      <c r="F59" s="89">
        <f t="shared" si="0"/>
        <v>7200</v>
      </c>
      <c r="G59" s="242">
        <f>VLOOKUP(C59,'Name Manager'!$H$2:$I$18,2,0)*F59</f>
        <v>576</v>
      </c>
    </row>
    <row r="60" spans="2:7" x14ac:dyDescent="0.25">
      <c r="B60" s="241">
        <v>43162</v>
      </c>
      <c r="C60" s="88" t="s">
        <v>786</v>
      </c>
      <c r="D60" s="89">
        <v>13</v>
      </c>
      <c r="E60" s="89">
        <v>398</v>
      </c>
      <c r="F60" s="89">
        <f t="shared" si="0"/>
        <v>5174</v>
      </c>
      <c r="G60" s="242">
        <f>VLOOKUP(C60,'Name Manager'!$H$2:$I$18,2,0)*F60</f>
        <v>413.92</v>
      </c>
    </row>
    <row r="61" spans="2:7" x14ac:dyDescent="0.25">
      <c r="B61" s="241">
        <v>43162</v>
      </c>
      <c r="C61" s="88" t="s">
        <v>784</v>
      </c>
      <c r="D61" s="89">
        <v>21</v>
      </c>
      <c r="E61" s="89">
        <v>410</v>
      </c>
      <c r="F61" s="89">
        <f t="shared" si="0"/>
        <v>8610</v>
      </c>
      <c r="G61" s="242">
        <f>VLOOKUP(C61,'Name Manager'!$H$2:$I$18,2,0)*F61</f>
        <v>774.9</v>
      </c>
    </row>
    <row r="62" spans="2:7" x14ac:dyDescent="0.25">
      <c r="B62" s="241">
        <v>43162</v>
      </c>
      <c r="C62" s="88" t="s">
        <v>793</v>
      </c>
      <c r="D62" s="89">
        <v>16</v>
      </c>
      <c r="E62" s="89">
        <v>426</v>
      </c>
      <c r="F62" s="89">
        <f t="shared" si="0"/>
        <v>6816</v>
      </c>
      <c r="G62" s="242">
        <f>VLOOKUP(C62,'Name Manager'!$H$2:$I$18,2,0)*F62</f>
        <v>954.24000000000012</v>
      </c>
    </row>
    <row r="63" spans="2:7" x14ac:dyDescent="0.25">
      <c r="B63" s="241">
        <v>43162</v>
      </c>
      <c r="C63" s="88" t="s">
        <v>785</v>
      </c>
      <c r="D63" s="89">
        <v>15</v>
      </c>
      <c r="E63" s="89">
        <v>439</v>
      </c>
      <c r="F63" s="89">
        <f t="shared" si="0"/>
        <v>6585</v>
      </c>
      <c r="G63" s="242">
        <f>VLOOKUP(C63,'Name Manager'!$H$2:$I$18,2,0)*F63</f>
        <v>921.90000000000009</v>
      </c>
    </row>
    <row r="64" spans="2:7" x14ac:dyDescent="0.25">
      <c r="B64" s="241">
        <v>43162</v>
      </c>
      <c r="C64" s="88" t="s">
        <v>786</v>
      </c>
      <c r="D64" s="89">
        <v>12</v>
      </c>
      <c r="E64" s="89">
        <v>356</v>
      </c>
      <c r="F64" s="89">
        <f t="shared" si="0"/>
        <v>4272</v>
      </c>
      <c r="G64" s="242">
        <f>VLOOKUP(C64,'Name Manager'!$H$2:$I$18,2,0)*F64</f>
        <v>341.76</v>
      </c>
    </row>
    <row r="65" spans="2:7" x14ac:dyDescent="0.25">
      <c r="B65" s="241">
        <v>43162</v>
      </c>
      <c r="C65" s="88" t="s">
        <v>783</v>
      </c>
      <c r="D65" s="89">
        <v>15</v>
      </c>
      <c r="E65" s="89">
        <v>285</v>
      </c>
      <c r="F65" s="89">
        <f t="shared" si="0"/>
        <v>4275</v>
      </c>
      <c r="G65" s="242">
        <f>VLOOKUP(C65,'Name Manager'!$H$2:$I$18,2,0)*F65</f>
        <v>513</v>
      </c>
    </row>
    <row r="66" spans="2:7" x14ac:dyDescent="0.25">
      <c r="B66" s="241">
        <v>43162</v>
      </c>
      <c r="C66" s="88" t="s">
        <v>787</v>
      </c>
      <c r="D66" s="89">
        <v>30</v>
      </c>
      <c r="E66" s="89">
        <v>380</v>
      </c>
      <c r="F66" s="89">
        <f t="shared" si="0"/>
        <v>11400</v>
      </c>
      <c r="G66" s="242">
        <f>VLOOKUP(C66,'Name Manager'!$H$2:$I$18,2,0)*F66</f>
        <v>1254</v>
      </c>
    </row>
    <row r="67" spans="2:7" x14ac:dyDescent="0.25">
      <c r="B67" s="241">
        <v>43163</v>
      </c>
      <c r="C67" s="88" t="s">
        <v>788</v>
      </c>
      <c r="D67" s="89">
        <v>15</v>
      </c>
      <c r="E67" s="89">
        <v>442</v>
      </c>
      <c r="F67" s="89">
        <f t="shared" ref="F67:F83" si="2">D67*E67</f>
        <v>6630</v>
      </c>
      <c r="G67" s="242">
        <f>VLOOKUP(C67,'Name Manager'!$H$2:$I$18,2,0)*F67</f>
        <v>1060.8</v>
      </c>
    </row>
    <row r="68" spans="2:7" x14ac:dyDescent="0.25">
      <c r="B68" s="241">
        <v>43164</v>
      </c>
      <c r="C68" s="88" t="s">
        <v>785</v>
      </c>
      <c r="D68" s="89">
        <v>18</v>
      </c>
      <c r="E68" s="89">
        <v>413</v>
      </c>
      <c r="F68" s="89">
        <f t="shared" si="2"/>
        <v>7434</v>
      </c>
      <c r="G68" s="242">
        <f>VLOOKUP(C68,'Name Manager'!$H$2:$I$18,2,0)*F68</f>
        <v>1040.76</v>
      </c>
    </row>
    <row r="69" spans="2:7" x14ac:dyDescent="0.25">
      <c r="B69" s="241">
        <v>43164</v>
      </c>
      <c r="C69" s="88" t="s">
        <v>789</v>
      </c>
      <c r="D69" s="89">
        <v>29</v>
      </c>
      <c r="E69" s="89">
        <v>470</v>
      </c>
      <c r="F69" s="89">
        <f t="shared" si="2"/>
        <v>13630</v>
      </c>
      <c r="G69" s="242">
        <f>VLOOKUP(C69,'Name Manager'!$H$2:$I$18,2,0)*F69</f>
        <v>1090.4000000000001</v>
      </c>
    </row>
    <row r="70" spans="2:7" x14ac:dyDescent="0.25">
      <c r="B70" s="241">
        <v>43164</v>
      </c>
      <c r="C70" s="88" t="s">
        <v>790</v>
      </c>
      <c r="D70" s="89">
        <v>14</v>
      </c>
      <c r="E70" s="89">
        <v>422</v>
      </c>
      <c r="F70" s="89">
        <f t="shared" si="2"/>
        <v>5908</v>
      </c>
      <c r="G70" s="242">
        <f>VLOOKUP(C70,'Name Manager'!$H$2:$I$18,2,0)*F70</f>
        <v>768.04000000000008</v>
      </c>
    </row>
    <row r="71" spans="2:7" x14ac:dyDescent="0.25">
      <c r="B71" s="241">
        <v>43164</v>
      </c>
      <c r="C71" s="88" t="s">
        <v>791</v>
      </c>
      <c r="D71" s="89">
        <v>15</v>
      </c>
      <c r="E71" s="89">
        <v>399</v>
      </c>
      <c r="F71" s="89">
        <f t="shared" si="2"/>
        <v>5985</v>
      </c>
      <c r="G71" s="242">
        <f>VLOOKUP(C71,'Name Manager'!$H$2:$I$18,2,0)*F71</f>
        <v>598.5</v>
      </c>
    </row>
    <row r="72" spans="2:7" x14ac:dyDescent="0.25">
      <c r="B72" s="241">
        <v>43164</v>
      </c>
      <c r="C72" s="88" t="s">
        <v>769</v>
      </c>
      <c r="D72" s="89">
        <v>12</v>
      </c>
      <c r="E72" s="89">
        <v>400</v>
      </c>
      <c r="F72" s="89">
        <f t="shared" si="2"/>
        <v>4800</v>
      </c>
      <c r="G72" s="242">
        <f>VLOOKUP(C72,'Name Manager'!$H$2:$I$18,2,0)*F72</f>
        <v>528</v>
      </c>
    </row>
    <row r="73" spans="2:7" x14ac:dyDescent="0.25">
      <c r="B73" s="241">
        <v>43164</v>
      </c>
      <c r="C73" s="88" t="s">
        <v>784</v>
      </c>
      <c r="D73" s="89">
        <v>8</v>
      </c>
      <c r="E73" s="89">
        <v>500</v>
      </c>
      <c r="F73" s="89">
        <f t="shared" si="2"/>
        <v>4000</v>
      </c>
      <c r="G73" s="242">
        <f>VLOOKUP(C73,'Name Manager'!$H$2:$I$18,2,0)*F73</f>
        <v>360</v>
      </c>
    </row>
    <row r="74" spans="2:7" x14ac:dyDescent="0.25">
      <c r="B74" s="241">
        <v>43164</v>
      </c>
      <c r="C74" s="88" t="s">
        <v>206</v>
      </c>
      <c r="D74" s="89">
        <v>19</v>
      </c>
      <c r="E74" s="89">
        <v>475</v>
      </c>
      <c r="F74" s="89">
        <f t="shared" si="2"/>
        <v>9025</v>
      </c>
      <c r="G74" s="242">
        <f>VLOOKUP(C74,'Name Manager'!$H$2:$I$18,2,0)*F74</f>
        <v>902.5</v>
      </c>
    </row>
    <row r="75" spans="2:7" x14ac:dyDescent="0.25">
      <c r="B75" s="241">
        <v>43164</v>
      </c>
      <c r="C75" s="88" t="s">
        <v>782</v>
      </c>
      <c r="D75" s="89">
        <v>14</v>
      </c>
      <c r="E75" s="89">
        <v>387</v>
      </c>
      <c r="F75" s="89">
        <f t="shared" si="2"/>
        <v>5418</v>
      </c>
      <c r="G75" s="242">
        <f>VLOOKUP(C75,'Name Manager'!$H$2:$I$18,2,0)*F75</f>
        <v>812.69999999999993</v>
      </c>
    </row>
    <row r="76" spans="2:7" x14ac:dyDescent="0.25">
      <c r="B76" s="241">
        <v>43165</v>
      </c>
      <c r="C76" s="88" t="s">
        <v>792</v>
      </c>
      <c r="D76" s="89">
        <v>24</v>
      </c>
      <c r="E76" s="89">
        <v>462</v>
      </c>
      <c r="F76" s="89">
        <f t="shared" si="2"/>
        <v>11088</v>
      </c>
      <c r="G76" s="242">
        <f>VLOOKUP(C76,'Name Manager'!$H$2:$I$18,2,0)*F76</f>
        <v>776.16000000000008</v>
      </c>
    </row>
    <row r="77" spans="2:7" x14ac:dyDescent="0.25">
      <c r="B77" s="241">
        <v>43165</v>
      </c>
      <c r="C77" s="88" t="s">
        <v>793</v>
      </c>
      <c r="D77" s="89">
        <v>13</v>
      </c>
      <c r="E77" s="89">
        <v>452</v>
      </c>
      <c r="F77" s="89">
        <f t="shared" si="2"/>
        <v>5876</v>
      </c>
      <c r="G77" s="242">
        <f>VLOOKUP(C77,'Name Manager'!$H$2:$I$18,2,0)*F77</f>
        <v>822.6400000000001</v>
      </c>
    </row>
    <row r="78" spans="2:7" x14ac:dyDescent="0.25">
      <c r="B78" s="241">
        <v>43165</v>
      </c>
      <c r="C78" s="88" t="s">
        <v>783</v>
      </c>
      <c r="D78" s="89">
        <v>17</v>
      </c>
      <c r="E78" s="89">
        <v>312</v>
      </c>
      <c r="F78" s="89">
        <f t="shared" si="2"/>
        <v>5304</v>
      </c>
      <c r="G78" s="242">
        <f>VLOOKUP(C78,'Name Manager'!$H$2:$I$18,2,0)*F78</f>
        <v>636.48</v>
      </c>
    </row>
    <row r="79" spans="2:7" x14ac:dyDescent="0.25">
      <c r="B79" s="241">
        <v>43165</v>
      </c>
      <c r="C79" s="88" t="s">
        <v>207</v>
      </c>
      <c r="D79" s="89">
        <v>15</v>
      </c>
      <c r="E79" s="89">
        <v>400</v>
      </c>
      <c r="F79" s="89">
        <f t="shared" si="2"/>
        <v>6000</v>
      </c>
      <c r="G79" s="242">
        <f>VLOOKUP(C79,'Name Manager'!$H$2:$I$18,2,0)*F79</f>
        <v>480</v>
      </c>
    </row>
    <row r="80" spans="2:7" x14ac:dyDescent="0.25">
      <c r="B80" s="241">
        <v>43165</v>
      </c>
      <c r="C80" s="88" t="s">
        <v>791</v>
      </c>
      <c r="D80" s="89">
        <v>23</v>
      </c>
      <c r="E80" s="89">
        <v>405</v>
      </c>
      <c r="F80" s="89">
        <f t="shared" si="2"/>
        <v>9315</v>
      </c>
      <c r="G80" s="242">
        <f>VLOOKUP(C80,'Name Manager'!$H$2:$I$18,2,0)*F80</f>
        <v>931.5</v>
      </c>
    </row>
    <row r="81" spans="2:7" x14ac:dyDescent="0.25">
      <c r="B81" s="241">
        <v>43165</v>
      </c>
      <c r="C81" s="88" t="s">
        <v>783</v>
      </c>
      <c r="D81" s="89">
        <v>16</v>
      </c>
      <c r="E81" s="89">
        <v>329</v>
      </c>
      <c r="F81" s="89">
        <f t="shared" si="2"/>
        <v>5264</v>
      </c>
      <c r="G81" s="242">
        <f>VLOOKUP(C81,'Name Manager'!$H$2:$I$18,2,0)*F81</f>
        <v>631.67999999999995</v>
      </c>
    </row>
    <row r="82" spans="2:7" x14ac:dyDescent="0.25">
      <c r="B82" s="241">
        <v>43165</v>
      </c>
      <c r="C82" s="88" t="s">
        <v>787</v>
      </c>
      <c r="D82" s="89">
        <v>7</v>
      </c>
      <c r="E82" s="89">
        <v>429</v>
      </c>
      <c r="F82" s="89">
        <f t="shared" si="2"/>
        <v>3003</v>
      </c>
      <c r="G82" s="242">
        <f>VLOOKUP(C82,'Name Manager'!$H$2:$I$18,2,0)*F82</f>
        <v>330.33</v>
      </c>
    </row>
    <row r="83" spans="2:7" x14ac:dyDescent="0.25">
      <c r="B83" s="244">
        <v>43165</v>
      </c>
      <c r="C83" s="245" t="s">
        <v>786</v>
      </c>
      <c r="D83" s="246">
        <v>19</v>
      </c>
      <c r="E83" s="246">
        <v>456</v>
      </c>
      <c r="F83" s="246">
        <f t="shared" si="2"/>
        <v>8664</v>
      </c>
      <c r="G83" s="247">
        <f>VLOOKUP(C83,'Name Manager'!$H$2:$I$18,2,0)*F83</f>
        <v>693.12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tabColor theme="1"/>
  </sheetPr>
  <dimension ref="B2:P47"/>
  <sheetViews>
    <sheetView workbookViewId="0">
      <selection activeCell="F14" sqref="F14"/>
    </sheetView>
  </sheetViews>
  <sheetFormatPr defaultRowHeight="15" x14ac:dyDescent="0.25"/>
  <cols>
    <col min="2" max="2" width="20.42578125" bestFit="1" customWidth="1"/>
    <col min="3" max="3" width="9.85546875" customWidth="1"/>
    <col min="6" max="6" width="18.5703125" bestFit="1" customWidth="1"/>
    <col min="7" max="7" width="13.7109375" bestFit="1" customWidth="1"/>
    <col min="8" max="8" width="15" bestFit="1" customWidth="1"/>
    <col min="9" max="9" width="20.42578125" bestFit="1" customWidth="1"/>
    <col min="10" max="10" width="15.7109375" bestFit="1" customWidth="1"/>
    <col min="12" max="12" width="19.28515625" customWidth="1"/>
    <col min="16" max="16" width="17.28515625" customWidth="1"/>
  </cols>
  <sheetData>
    <row r="2" spans="2:16" ht="15.75" x14ac:dyDescent="0.25">
      <c r="B2" s="91" t="s">
        <v>735</v>
      </c>
      <c r="C2" s="91" t="s">
        <v>736</v>
      </c>
      <c r="F2" s="32" t="s">
        <v>661</v>
      </c>
      <c r="G2" s="33" t="s">
        <v>662</v>
      </c>
      <c r="H2" s="33" t="s">
        <v>663</v>
      </c>
      <c r="I2" s="34" t="s">
        <v>664</v>
      </c>
    </row>
    <row r="3" spans="2:16" x14ac:dyDescent="0.25">
      <c r="B3" s="92" t="s">
        <v>691</v>
      </c>
      <c r="C3" s="93">
        <v>70000</v>
      </c>
      <c r="F3" s="41" t="s">
        <v>108</v>
      </c>
      <c r="G3" s="41" t="s">
        <v>665</v>
      </c>
      <c r="H3" s="41" t="s">
        <v>666</v>
      </c>
      <c r="I3" s="41" t="s">
        <v>667</v>
      </c>
    </row>
    <row r="4" spans="2:16" x14ac:dyDescent="0.25">
      <c r="B4" s="92" t="s">
        <v>696</v>
      </c>
      <c r="C4" s="93">
        <v>75242</v>
      </c>
      <c r="F4" s="41" t="s">
        <v>64</v>
      </c>
      <c r="G4" s="41" t="s">
        <v>668</v>
      </c>
      <c r="H4" s="41" t="s">
        <v>669</v>
      </c>
      <c r="I4" s="41" t="s">
        <v>670</v>
      </c>
    </row>
    <row r="5" spans="2:16" x14ac:dyDescent="0.25">
      <c r="B5" s="92" t="s">
        <v>701</v>
      </c>
      <c r="C5" s="93">
        <v>62542</v>
      </c>
      <c r="F5" s="41" t="s">
        <v>73</v>
      </c>
      <c r="G5" s="41" t="s">
        <v>671</v>
      </c>
      <c r="H5" s="41" t="s">
        <v>672</v>
      </c>
      <c r="I5" s="41" t="s">
        <v>673</v>
      </c>
      <c r="K5" s="178" t="s">
        <v>661</v>
      </c>
    </row>
    <row r="6" spans="2:16" x14ac:dyDescent="0.25">
      <c r="B6" s="92" t="s">
        <v>706</v>
      </c>
      <c r="C6" s="93">
        <v>82542</v>
      </c>
      <c r="F6" s="41" t="s">
        <v>674</v>
      </c>
      <c r="G6" s="41" t="s">
        <v>675</v>
      </c>
      <c r="H6" s="41" t="s">
        <v>676</v>
      </c>
      <c r="I6" s="41" t="s">
        <v>677</v>
      </c>
    </row>
    <row r="7" spans="2:16" x14ac:dyDescent="0.25">
      <c r="B7" s="92" t="s">
        <v>711</v>
      </c>
      <c r="C7" s="93">
        <v>63542</v>
      </c>
      <c r="F7" s="41" t="s">
        <v>678</v>
      </c>
      <c r="G7" s="41" t="s">
        <v>679</v>
      </c>
      <c r="H7" s="41" t="s">
        <v>680</v>
      </c>
      <c r="I7" s="41" t="s">
        <v>681</v>
      </c>
    </row>
    <row r="8" spans="2:16" x14ac:dyDescent="0.25">
      <c r="B8" s="92" t="s">
        <v>716</v>
      </c>
      <c r="C8" s="93">
        <v>67852</v>
      </c>
      <c r="F8" s="41" t="s">
        <v>682</v>
      </c>
      <c r="G8" s="41" t="s">
        <v>683</v>
      </c>
      <c r="H8" s="41" t="s">
        <v>684</v>
      </c>
      <c r="I8" s="41" t="s">
        <v>685</v>
      </c>
    </row>
    <row r="9" spans="2:16" x14ac:dyDescent="0.25">
      <c r="B9" s="92" t="s">
        <v>719</v>
      </c>
      <c r="C9" s="93">
        <v>85321</v>
      </c>
    </row>
    <row r="10" spans="2:16" x14ac:dyDescent="0.25">
      <c r="B10" s="92" t="s">
        <v>723</v>
      </c>
      <c r="C10" s="93">
        <v>54210</v>
      </c>
    </row>
    <row r="11" spans="2:16" x14ac:dyDescent="0.25">
      <c r="B11" s="92" t="s">
        <v>727</v>
      </c>
      <c r="C11" s="93">
        <v>62542</v>
      </c>
    </row>
    <row r="12" spans="2:16" x14ac:dyDescent="0.25">
      <c r="B12" s="92" t="s">
        <v>731</v>
      </c>
      <c r="C12" s="93">
        <v>82451</v>
      </c>
    </row>
    <row r="13" spans="2:16" x14ac:dyDescent="0.25">
      <c r="B13" s="92" t="s">
        <v>692</v>
      </c>
      <c r="C13" s="93">
        <v>55212</v>
      </c>
      <c r="F13" s="35" t="s">
        <v>686</v>
      </c>
      <c r="G13" s="35" t="s">
        <v>687</v>
      </c>
      <c r="H13" s="35" t="s">
        <v>688</v>
      </c>
      <c r="I13" s="35" t="s">
        <v>689</v>
      </c>
      <c r="J13" s="35" t="s">
        <v>690</v>
      </c>
      <c r="L13" t="s">
        <v>689</v>
      </c>
      <c r="M13" t="s">
        <v>707</v>
      </c>
      <c r="O13" t="s">
        <v>688</v>
      </c>
      <c r="P13" t="s">
        <v>698</v>
      </c>
    </row>
    <row r="14" spans="2:16" x14ac:dyDescent="0.25">
      <c r="B14" s="92" t="s">
        <v>697</v>
      </c>
      <c r="C14" s="93">
        <v>78542</v>
      </c>
      <c r="F14" s="36" t="s">
        <v>691</v>
      </c>
      <c r="G14" s="36" t="s">
        <v>692</v>
      </c>
      <c r="H14" s="36" t="s">
        <v>693</v>
      </c>
      <c r="I14" s="36" t="s">
        <v>694</v>
      </c>
      <c r="J14" s="36" t="s">
        <v>695</v>
      </c>
      <c r="L14" s="184" t="s">
        <v>1300</v>
      </c>
      <c r="M14">
        <f>VLOOKUP(M13,B2:C47,2,0)</f>
        <v>95422</v>
      </c>
      <c r="O14" t="s">
        <v>1300</v>
      </c>
      <c r="P14">
        <f>VLOOKUP(P13,B2:C47,2,FALSE)</f>
        <v>62554</v>
      </c>
    </row>
    <row r="15" spans="2:16" x14ac:dyDescent="0.25">
      <c r="B15" s="92" t="s">
        <v>702</v>
      </c>
      <c r="C15" s="93">
        <v>42152</v>
      </c>
      <c r="F15" s="36" t="s">
        <v>696</v>
      </c>
      <c r="G15" s="36" t="s">
        <v>697</v>
      </c>
      <c r="H15" s="36" t="s">
        <v>698</v>
      </c>
      <c r="I15" s="36" t="s">
        <v>699</v>
      </c>
      <c r="J15" s="36" t="s">
        <v>700</v>
      </c>
    </row>
    <row r="16" spans="2:16" x14ac:dyDescent="0.25">
      <c r="B16" s="92" t="s">
        <v>707</v>
      </c>
      <c r="C16" s="93">
        <v>95422</v>
      </c>
      <c r="F16" s="36" t="s">
        <v>701</v>
      </c>
      <c r="G16" s="36" t="s">
        <v>702</v>
      </c>
      <c r="H16" s="36" t="s">
        <v>703</v>
      </c>
      <c r="I16" s="36" t="s">
        <v>704</v>
      </c>
      <c r="J16" s="36" t="s">
        <v>705</v>
      </c>
    </row>
    <row r="17" spans="2:16" x14ac:dyDescent="0.25">
      <c r="B17" s="92" t="s">
        <v>712</v>
      </c>
      <c r="C17" s="93">
        <v>54221</v>
      </c>
      <c r="F17" s="36" t="s">
        <v>706</v>
      </c>
      <c r="G17" s="36" t="s">
        <v>707</v>
      </c>
      <c r="H17" s="36" t="s">
        <v>708</v>
      </c>
      <c r="I17" s="36" t="s">
        <v>709</v>
      </c>
      <c r="J17" s="36" t="s">
        <v>710</v>
      </c>
      <c r="L17" s="36" t="s">
        <v>1301</v>
      </c>
      <c r="M17">
        <f>M14</f>
        <v>95422</v>
      </c>
      <c r="P17">
        <v>62554</v>
      </c>
    </row>
    <row r="18" spans="2:16" x14ac:dyDescent="0.25">
      <c r="B18" s="92" t="s">
        <v>693</v>
      </c>
      <c r="C18" s="93">
        <v>75422</v>
      </c>
      <c r="F18" s="36" t="s">
        <v>711</v>
      </c>
      <c r="G18" s="36" t="s">
        <v>712</v>
      </c>
      <c r="H18" s="36" t="s">
        <v>713</v>
      </c>
      <c r="I18" s="36" t="s">
        <v>714</v>
      </c>
      <c r="J18" s="36" t="s">
        <v>715</v>
      </c>
      <c r="L18" s="36" t="s">
        <v>1302</v>
      </c>
      <c r="M18">
        <v>20000</v>
      </c>
      <c r="P18">
        <v>2000</v>
      </c>
    </row>
    <row r="19" spans="2:16" x14ac:dyDescent="0.25">
      <c r="B19" s="92" t="s">
        <v>698</v>
      </c>
      <c r="C19" s="93">
        <v>62554</v>
      </c>
      <c r="F19" s="36" t="s">
        <v>716</v>
      </c>
      <c r="G19" s="37"/>
      <c r="H19" s="36" t="s">
        <v>717</v>
      </c>
      <c r="I19" s="36" t="s">
        <v>714</v>
      </c>
      <c r="J19" s="36" t="s">
        <v>718</v>
      </c>
      <c r="L19" s="36" t="s">
        <v>1303</v>
      </c>
      <c r="M19" s="104">
        <v>0.1</v>
      </c>
      <c r="P19" s="104">
        <v>0.1</v>
      </c>
    </row>
    <row r="20" spans="2:16" x14ac:dyDescent="0.25">
      <c r="B20" s="92" t="s">
        <v>703</v>
      </c>
      <c r="C20" s="93">
        <v>45622</v>
      </c>
      <c r="F20" s="36" t="s">
        <v>719</v>
      </c>
      <c r="G20" s="37"/>
      <c r="H20" s="36" t="s">
        <v>720</v>
      </c>
      <c r="I20" s="36" t="s">
        <v>721</v>
      </c>
      <c r="J20" s="36" t="s">
        <v>722</v>
      </c>
      <c r="L20" s="36" t="s">
        <v>1304</v>
      </c>
      <c r="M20">
        <f>M17-M18</f>
        <v>75422</v>
      </c>
      <c r="P20">
        <v>60554</v>
      </c>
    </row>
    <row r="21" spans="2:16" x14ac:dyDescent="0.25">
      <c r="B21" s="92" t="s">
        <v>708</v>
      </c>
      <c r="C21" s="93">
        <v>45265</v>
      </c>
      <c r="F21" s="36" t="s">
        <v>723</v>
      </c>
      <c r="G21" s="37"/>
      <c r="H21" s="36" t="s">
        <v>724</v>
      </c>
      <c r="I21" s="36" t="s">
        <v>725</v>
      </c>
      <c r="J21" s="36" t="s">
        <v>726</v>
      </c>
      <c r="L21" s="36" t="s">
        <v>1305</v>
      </c>
      <c r="M21" s="185">
        <f>ABS(PMT(M19/12,M20,M17,))</f>
        <v>795.18333333333328</v>
      </c>
      <c r="P21" s="193"/>
    </row>
    <row r="22" spans="2:16" x14ac:dyDescent="0.25">
      <c r="B22" s="92" t="s">
        <v>713</v>
      </c>
      <c r="C22" s="93">
        <v>75685</v>
      </c>
      <c r="F22" s="36" t="s">
        <v>727</v>
      </c>
      <c r="G22" s="37"/>
      <c r="H22" s="36" t="s">
        <v>728</v>
      </c>
      <c r="I22" s="36" t="s">
        <v>729</v>
      </c>
      <c r="J22" s="36" t="s">
        <v>730</v>
      </c>
    </row>
    <row r="23" spans="2:16" x14ac:dyDescent="0.25">
      <c r="B23" s="92" t="s">
        <v>717</v>
      </c>
      <c r="C23" s="93">
        <v>152423</v>
      </c>
      <c r="F23" s="36" t="s">
        <v>731</v>
      </c>
      <c r="G23" s="37"/>
      <c r="H23" s="36" t="s">
        <v>732</v>
      </c>
      <c r="I23" s="36" t="s">
        <v>733</v>
      </c>
      <c r="J23" s="36" t="s">
        <v>734</v>
      </c>
    </row>
    <row r="24" spans="2:16" x14ac:dyDescent="0.25">
      <c r="B24" s="92" t="s">
        <v>720</v>
      </c>
      <c r="C24" s="93">
        <v>125452</v>
      </c>
    </row>
    <row r="25" spans="2:16" x14ac:dyDescent="0.25">
      <c r="B25" s="92" t="s">
        <v>724</v>
      </c>
      <c r="C25" s="93">
        <v>65245</v>
      </c>
    </row>
    <row r="26" spans="2:16" x14ac:dyDescent="0.25">
      <c r="B26" s="92" t="s">
        <v>728</v>
      </c>
      <c r="C26" s="93">
        <v>65254</v>
      </c>
    </row>
    <row r="27" spans="2:16" x14ac:dyDescent="0.25">
      <c r="B27" s="92" t="s">
        <v>732</v>
      </c>
      <c r="C27" s="93">
        <v>68543</v>
      </c>
    </row>
    <row r="28" spans="2:16" x14ac:dyDescent="0.25">
      <c r="B28" s="92" t="s">
        <v>694</v>
      </c>
      <c r="C28" s="93">
        <v>87423</v>
      </c>
    </row>
    <row r="29" spans="2:16" x14ac:dyDescent="0.25">
      <c r="B29" s="92" t="s">
        <v>699</v>
      </c>
      <c r="C29" s="93">
        <v>69854</v>
      </c>
    </row>
    <row r="30" spans="2:16" x14ac:dyDescent="0.25">
      <c r="B30" s="92" t="s">
        <v>704</v>
      </c>
      <c r="C30" s="93">
        <v>66655</v>
      </c>
    </row>
    <row r="31" spans="2:16" x14ac:dyDescent="0.25">
      <c r="B31" s="92" t="s">
        <v>709</v>
      </c>
      <c r="C31" s="93">
        <v>165242</v>
      </c>
    </row>
    <row r="32" spans="2:16" x14ac:dyDescent="0.25">
      <c r="B32" s="92" t="s">
        <v>714</v>
      </c>
      <c r="C32" s="93">
        <v>76852</v>
      </c>
    </row>
    <row r="33" spans="2:3" x14ac:dyDescent="0.25">
      <c r="B33" s="92" t="s">
        <v>714</v>
      </c>
      <c r="C33" s="93">
        <v>69854</v>
      </c>
    </row>
    <row r="34" spans="2:3" x14ac:dyDescent="0.25">
      <c r="B34" s="92" t="s">
        <v>721</v>
      </c>
      <c r="C34" s="93">
        <v>354253</v>
      </c>
    </row>
    <row r="35" spans="2:3" x14ac:dyDescent="0.25">
      <c r="B35" s="92" t="s">
        <v>725</v>
      </c>
      <c r="C35" s="93">
        <v>65421</v>
      </c>
    </row>
    <row r="36" spans="2:3" x14ac:dyDescent="0.25">
      <c r="B36" s="92" t="s">
        <v>729</v>
      </c>
      <c r="C36" s="93">
        <v>452125</v>
      </c>
    </row>
    <row r="37" spans="2:3" x14ac:dyDescent="0.25">
      <c r="B37" s="92" t="s">
        <v>733</v>
      </c>
      <c r="C37" s="93">
        <v>95421</v>
      </c>
    </row>
    <row r="38" spans="2:3" x14ac:dyDescent="0.25">
      <c r="B38" s="92" t="s">
        <v>695</v>
      </c>
      <c r="C38" s="93">
        <v>82123</v>
      </c>
    </row>
    <row r="39" spans="2:3" x14ac:dyDescent="0.25">
      <c r="B39" s="92" t="s">
        <v>700</v>
      </c>
      <c r="C39" s="93">
        <v>462360</v>
      </c>
    </row>
    <row r="40" spans="2:3" x14ac:dyDescent="0.25">
      <c r="B40" s="92" t="s">
        <v>705</v>
      </c>
      <c r="C40" s="93">
        <v>254652</v>
      </c>
    </row>
    <row r="41" spans="2:3" x14ac:dyDescent="0.25">
      <c r="B41" s="92" t="s">
        <v>710</v>
      </c>
      <c r="C41" s="93">
        <v>754212</v>
      </c>
    </row>
    <row r="42" spans="2:3" x14ac:dyDescent="0.25">
      <c r="B42" s="92" t="s">
        <v>715</v>
      </c>
      <c r="C42" s="93">
        <v>185425</v>
      </c>
    </row>
    <row r="43" spans="2:3" x14ac:dyDescent="0.25">
      <c r="B43" s="92" t="s">
        <v>718</v>
      </c>
      <c r="C43" s="93">
        <v>366552</v>
      </c>
    </row>
    <row r="44" spans="2:3" x14ac:dyDescent="0.25">
      <c r="B44" s="92" t="s">
        <v>722</v>
      </c>
      <c r="C44" s="93">
        <v>45526</v>
      </c>
    </row>
    <row r="45" spans="2:3" x14ac:dyDescent="0.25">
      <c r="B45" s="92" t="s">
        <v>726</v>
      </c>
      <c r="C45" s="93">
        <v>241520</v>
      </c>
    </row>
    <row r="46" spans="2:3" x14ac:dyDescent="0.25">
      <c r="B46" s="92" t="s">
        <v>730</v>
      </c>
      <c r="C46" s="93">
        <v>62542</v>
      </c>
    </row>
    <row r="47" spans="2:3" x14ac:dyDescent="0.25">
      <c r="B47" s="92" t="s">
        <v>734</v>
      </c>
      <c r="C47" s="93">
        <v>55421</v>
      </c>
    </row>
  </sheetData>
  <dataConsolidate/>
  <conditionalFormatting sqref="L14">
    <cfRule type="dataBar" priority="5">
      <dataBar>
        <cfvo type="min"/>
        <cfvo type="max"/>
        <color rgb="FF638EC6"/>
      </dataBar>
      <extLst>
        <ext xmlns:x14="http://schemas.microsoft.com/office/spreadsheetml/2009/9/main" uri="{B025F937-C7B1-47D3-B67F-A62EFF666E3E}">
          <x14:id>{BBB39F8D-E6D3-46B7-BB5A-E15B83BFC165}</x14:id>
        </ext>
      </extLst>
    </cfRule>
  </conditionalFormatting>
  <conditionalFormatting sqref="B2:C48">
    <cfRule type="cellIs" dxfId="4" priority="1" operator="greaterThan">
      <formula>398182</formula>
    </cfRule>
    <cfRule type="duplicateValues" priority="2"/>
    <cfRule type="top10" dxfId="3" priority="3" percent="1" rank="10"/>
    <cfRule type="top10" dxfId="2" priority="4" rank="10"/>
  </conditionalFormatting>
  <dataValidations count="4">
    <dataValidation type="list" allowBlank="1" showInputMessage="1" showErrorMessage="1" sqref="K5" xr:uid="{00000000-0002-0000-0A00-000000000000}">
      <formula1>$F$2:$I$2</formula1>
    </dataValidation>
    <dataValidation type="list" allowBlank="1" showInputMessage="1" showErrorMessage="1" sqref="L13 O13" xr:uid="{00000000-0002-0000-0A00-000001000000}">
      <formula1>$F$13:$J$13</formula1>
    </dataValidation>
    <dataValidation type="list" allowBlank="1" showInputMessage="1" showErrorMessage="1" sqref="M13" xr:uid="{00000000-0002-0000-0A00-000002000000}">
      <formula1>INDIRECT($L13)</formula1>
    </dataValidation>
    <dataValidation type="list" allowBlank="1" showInputMessage="1" showErrorMessage="1" sqref="P13" xr:uid="{00000000-0002-0000-0A00-000003000000}">
      <formula1>yamaha</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BB39F8D-E6D3-46B7-BB5A-E15B83BFC165}">
            <x14:dataBar minLength="0" maxLength="100" border="1" negativeBarBorderColorSameAsPositive="0">
              <x14:cfvo type="autoMin"/>
              <x14:cfvo type="autoMax"/>
              <x14:borderColor rgb="FF638EC6"/>
              <x14:negativeFillColor rgb="FFFF0000"/>
              <x14:negativeBorderColor rgb="FFFF0000"/>
              <x14:axisColor rgb="FF000000"/>
            </x14:dataBar>
          </x14:cfRule>
          <xm:sqref>L14</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tabColor rgb="FF00B050"/>
  </sheetPr>
  <dimension ref="B2:N44"/>
  <sheetViews>
    <sheetView workbookViewId="0">
      <selection activeCell="C5" sqref="C5"/>
    </sheetView>
  </sheetViews>
  <sheetFormatPr defaultRowHeight="15" x14ac:dyDescent="0.25"/>
  <cols>
    <col min="2" max="2" width="12.7109375" bestFit="1" customWidth="1"/>
    <col min="3" max="3" width="11.42578125" customWidth="1"/>
    <col min="4" max="4" width="12.7109375" customWidth="1"/>
    <col min="5" max="5" width="8.7109375" bestFit="1" customWidth="1"/>
    <col min="7" max="7" width="12.140625" bestFit="1" customWidth="1"/>
  </cols>
  <sheetData>
    <row r="2" spans="2:14" ht="18.75" customHeight="1" x14ac:dyDescent="0.25">
      <c r="C2" s="13" t="s">
        <v>738</v>
      </c>
      <c r="D2" s="12" t="s">
        <v>739</v>
      </c>
      <c r="F2" s="12">
        <f>INDEX(B5:N10,MATCH(D3,B5:B10,0),MATCH(D2,B5:N5,0))</f>
        <v>90</v>
      </c>
    </row>
    <row r="3" spans="2:14" x14ac:dyDescent="0.25">
      <c r="C3" s="13" t="s">
        <v>740</v>
      </c>
      <c r="D3" s="12" t="s">
        <v>741</v>
      </c>
    </row>
    <row r="5" spans="2:14" ht="15.75" x14ac:dyDescent="0.25">
      <c r="B5" s="38"/>
      <c r="C5" s="38" t="s">
        <v>742</v>
      </c>
      <c r="D5" s="38" t="s">
        <v>743</v>
      </c>
      <c r="E5" s="38" t="s">
        <v>744</v>
      </c>
      <c r="F5" s="38" t="s">
        <v>745</v>
      </c>
      <c r="G5" s="38" t="s">
        <v>746</v>
      </c>
      <c r="H5" s="38" t="s">
        <v>747</v>
      </c>
      <c r="I5" s="38" t="s">
        <v>748</v>
      </c>
      <c r="J5" s="38" t="s">
        <v>749</v>
      </c>
      <c r="K5" s="38" t="s">
        <v>750</v>
      </c>
      <c r="L5" s="38" t="s">
        <v>751</v>
      </c>
      <c r="M5" s="38" t="s">
        <v>752</v>
      </c>
      <c r="N5" s="38" t="s">
        <v>739</v>
      </c>
    </row>
    <row r="6" spans="2:14" x14ac:dyDescent="0.25">
      <c r="B6" s="39" t="s">
        <v>753</v>
      </c>
      <c r="C6" s="40">
        <v>85</v>
      </c>
      <c r="D6" s="40">
        <v>53</v>
      </c>
      <c r="E6" s="40">
        <v>77</v>
      </c>
      <c r="F6" s="40">
        <v>82</v>
      </c>
      <c r="G6" s="40">
        <v>69</v>
      </c>
      <c r="H6" s="40">
        <v>68</v>
      </c>
      <c r="I6" s="40">
        <v>99</v>
      </c>
      <c r="J6" s="40">
        <v>97</v>
      </c>
      <c r="K6" s="40">
        <v>81</v>
      </c>
      <c r="L6" s="40">
        <v>56</v>
      </c>
      <c r="M6" s="40">
        <v>78</v>
      </c>
      <c r="N6" s="40">
        <v>73</v>
      </c>
    </row>
    <row r="7" spans="2:14" x14ac:dyDescent="0.25">
      <c r="B7" s="39" t="s">
        <v>754</v>
      </c>
      <c r="C7" s="40">
        <v>50</v>
      </c>
      <c r="D7" s="40">
        <v>73</v>
      </c>
      <c r="E7" s="40">
        <v>66</v>
      </c>
      <c r="F7" s="40">
        <v>56</v>
      </c>
      <c r="G7" s="40">
        <v>81</v>
      </c>
      <c r="H7" s="40">
        <v>72</v>
      </c>
      <c r="I7" s="40">
        <v>94</v>
      </c>
      <c r="J7" s="40">
        <v>79</v>
      </c>
      <c r="K7" s="40">
        <v>91</v>
      </c>
      <c r="L7" s="40">
        <v>83</v>
      </c>
      <c r="M7" s="40">
        <v>100</v>
      </c>
      <c r="N7" s="40">
        <v>57</v>
      </c>
    </row>
    <row r="8" spans="2:14" x14ac:dyDescent="0.25">
      <c r="B8" s="39" t="s">
        <v>741</v>
      </c>
      <c r="C8" s="40">
        <v>90</v>
      </c>
      <c r="D8" s="40">
        <v>60</v>
      </c>
      <c r="E8" s="40">
        <v>65</v>
      </c>
      <c r="F8" s="40">
        <v>69</v>
      </c>
      <c r="G8" s="40">
        <v>83</v>
      </c>
      <c r="H8" s="40">
        <v>80</v>
      </c>
      <c r="I8" s="40">
        <v>86</v>
      </c>
      <c r="J8" s="40">
        <v>65</v>
      </c>
      <c r="K8" s="40">
        <v>82</v>
      </c>
      <c r="L8" s="40">
        <v>80</v>
      </c>
      <c r="M8" s="40">
        <v>65</v>
      </c>
      <c r="N8" s="40">
        <v>90</v>
      </c>
    </row>
    <row r="9" spans="2:14" x14ac:dyDescent="0.25">
      <c r="B9" s="39" t="s">
        <v>755</v>
      </c>
      <c r="C9" s="40">
        <v>86</v>
      </c>
      <c r="D9" s="40">
        <v>91</v>
      </c>
      <c r="E9" s="40">
        <v>76</v>
      </c>
      <c r="F9" s="40">
        <v>68</v>
      </c>
      <c r="G9" s="40">
        <v>62</v>
      </c>
      <c r="H9" s="40">
        <v>73</v>
      </c>
      <c r="I9" s="40">
        <v>67</v>
      </c>
      <c r="J9" s="40">
        <v>95</v>
      </c>
      <c r="K9" s="40">
        <v>98</v>
      </c>
      <c r="L9" s="40">
        <v>93</v>
      </c>
      <c r="M9" s="40">
        <v>94</v>
      </c>
      <c r="N9" s="40">
        <v>99</v>
      </c>
    </row>
    <row r="10" spans="2:14" x14ac:dyDescent="0.25">
      <c r="B10" s="39" t="s">
        <v>756</v>
      </c>
      <c r="C10" s="40">
        <v>54</v>
      </c>
      <c r="D10" s="40">
        <v>59</v>
      </c>
      <c r="E10" s="40">
        <v>50</v>
      </c>
      <c r="F10" s="40">
        <v>77</v>
      </c>
      <c r="G10" s="40">
        <v>87</v>
      </c>
      <c r="H10" s="40">
        <v>73</v>
      </c>
      <c r="I10" s="40">
        <v>95</v>
      </c>
      <c r="J10" s="40">
        <v>74</v>
      </c>
      <c r="K10" s="40">
        <v>57</v>
      </c>
      <c r="L10" s="40">
        <v>98</v>
      </c>
      <c r="M10" s="40">
        <v>90</v>
      </c>
      <c r="N10" s="40">
        <v>93</v>
      </c>
    </row>
    <row r="13" spans="2:14" x14ac:dyDescent="0.25">
      <c r="B13" s="42" t="s">
        <v>757</v>
      </c>
      <c r="C13" s="42" t="s">
        <v>682</v>
      </c>
      <c r="D13" s="42" t="s">
        <v>758</v>
      </c>
      <c r="E13" s="42" t="s">
        <v>116</v>
      </c>
      <c r="F13" s="42" t="s">
        <v>759</v>
      </c>
      <c r="G13" s="42" t="s">
        <v>760</v>
      </c>
      <c r="H13" s="42" t="s">
        <v>91</v>
      </c>
    </row>
    <row r="14" spans="2:14" x14ac:dyDescent="0.25">
      <c r="B14" s="43" t="s">
        <v>108</v>
      </c>
      <c r="C14" s="43">
        <v>1657</v>
      </c>
      <c r="D14" s="43">
        <v>739</v>
      </c>
      <c r="E14" s="43">
        <v>1370</v>
      </c>
      <c r="F14" s="43">
        <v>1776</v>
      </c>
      <c r="G14" s="43">
        <v>2299</v>
      </c>
      <c r="H14" s="43">
        <v>1176</v>
      </c>
    </row>
    <row r="15" spans="2:14" x14ac:dyDescent="0.25">
      <c r="B15" s="43" t="s">
        <v>64</v>
      </c>
      <c r="C15" s="43">
        <v>249</v>
      </c>
      <c r="D15" s="43">
        <v>1453</v>
      </c>
      <c r="E15" s="43">
        <v>569</v>
      </c>
      <c r="F15" s="43">
        <v>368</v>
      </c>
      <c r="G15" s="43">
        <v>891</v>
      </c>
      <c r="H15" s="43">
        <v>261</v>
      </c>
    </row>
    <row r="16" spans="2:14" x14ac:dyDescent="0.25">
      <c r="B16" s="43" t="s">
        <v>83</v>
      </c>
      <c r="C16" s="43">
        <v>363</v>
      </c>
      <c r="D16" s="43">
        <v>2039</v>
      </c>
      <c r="E16" s="43">
        <v>1085</v>
      </c>
      <c r="F16" s="43">
        <v>482</v>
      </c>
      <c r="G16" s="43">
        <v>305</v>
      </c>
      <c r="H16" s="43">
        <v>847</v>
      </c>
    </row>
    <row r="17" spans="2:8" x14ac:dyDescent="0.25">
      <c r="B17" s="43" t="s">
        <v>674</v>
      </c>
      <c r="C17" s="43">
        <v>2268</v>
      </c>
      <c r="D17" s="43">
        <v>566</v>
      </c>
      <c r="E17" s="43">
        <v>1900</v>
      </c>
      <c r="F17" s="43">
        <v>2387</v>
      </c>
      <c r="G17" s="43">
        <v>2910</v>
      </c>
      <c r="H17" s="43">
        <v>2049</v>
      </c>
    </row>
    <row r="18" spans="2:8" x14ac:dyDescent="0.25">
      <c r="B18" s="43" t="s">
        <v>298</v>
      </c>
      <c r="C18" s="43">
        <v>1491</v>
      </c>
      <c r="D18" s="43">
        <v>1516</v>
      </c>
      <c r="E18" s="43">
        <v>963</v>
      </c>
      <c r="F18" s="43">
        <v>1610</v>
      </c>
      <c r="G18" s="43">
        <v>2133</v>
      </c>
      <c r="H18" s="43">
        <v>1472</v>
      </c>
    </row>
    <row r="19" spans="2:8" x14ac:dyDescent="0.25">
      <c r="B19" s="43" t="s">
        <v>678</v>
      </c>
      <c r="C19" s="43">
        <v>2406</v>
      </c>
      <c r="D19" s="43">
        <v>704</v>
      </c>
      <c r="E19" s="43">
        <v>2038</v>
      </c>
      <c r="F19" s="43">
        <v>2525</v>
      </c>
      <c r="G19" s="43">
        <v>3048</v>
      </c>
      <c r="H19" s="43">
        <v>2187</v>
      </c>
    </row>
    <row r="23" spans="2:8" x14ac:dyDescent="0.25">
      <c r="B23" s="45"/>
      <c r="C23" s="45" t="s">
        <v>761</v>
      </c>
      <c r="D23" s="45" t="s">
        <v>762</v>
      </c>
      <c r="E23" s="45" t="s">
        <v>763</v>
      </c>
      <c r="F23" s="45" t="s">
        <v>764</v>
      </c>
      <c r="G23" s="45" t="s">
        <v>765</v>
      </c>
    </row>
    <row r="24" spans="2:8" x14ac:dyDescent="0.25">
      <c r="B24" s="44" t="s">
        <v>742</v>
      </c>
      <c r="C24" s="44">
        <v>32</v>
      </c>
      <c r="D24" s="44">
        <v>69</v>
      </c>
      <c r="E24" s="44">
        <v>97</v>
      </c>
      <c r="F24" s="44">
        <v>91</v>
      </c>
      <c r="G24" s="44">
        <v>87</v>
      </c>
    </row>
    <row r="25" spans="2:8" x14ac:dyDescent="0.25">
      <c r="B25" s="44" t="s">
        <v>743</v>
      </c>
      <c r="C25" s="44">
        <v>91</v>
      </c>
      <c r="D25" s="44">
        <v>100</v>
      </c>
      <c r="E25" s="44">
        <v>39</v>
      </c>
      <c r="F25" s="44">
        <v>98</v>
      </c>
      <c r="G25" s="44">
        <v>27</v>
      </c>
    </row>
    <row r="26" spans="2:8" x14ac:dyDescent="0.25">
      <c r="B26" s="44" t="s">
        <v>744</v>
      </c>
      <c r="C26" s="44">
        <v>45</v>
      </c>
      <c r="D26" s="44">
        <v>88</v>
      </c>
      <c r="E26" s="44">
        <v>76</v>
      </c>
      <c r="F26" s="44">
        <v>85</v>
      </c>
      <c r="G26" s="44">
        <v>40</v>
      </c>
    </row>
    <row r="27" spans="2:8" x14ac:dyDescent="0.25">
      <c r="B27" s="44" t="s">
        <v>745</v>
      </c>
      <c r="C27" s="44">
        <v>98</v>
      </c>
      <c r="D27" s="44">
        <v>27</v>
      </c>
      <c r="E27" s="44">
        <v>65</v>
      </c>
      <c r="F27" s="44">
        <v>70</v>
      </c>
      <c r="G27" s="44">
        <v>53</v>
      </c>
    </row>
    <row r="28" spans="2:8" x14ac:dyDescent="0.25">
      <c r="B28" s="44" t="s">
        <v>746</v>
      </c>
      <c r="C28" s="44">
        <v>97</v>
      </c>
      <c r="D28" s="44">
        <v>77</v>
      </c>
      <c r="E28" s="44">
        <v>46</v>
      </c>
      <c r="F28" s="44">
        <v>94</v>
      </c>
      <c r="G28" s="44">
        <v>28</v>
      </c>
    </row>
    <row r="29" spans="2:8" x14ac:dyDescent="0.25">
      <c r="B29" s="44" t="s">
        <v>747</v>
      </c>
      <c r="C29" s="44">
        <v>71</v>
      </c>
      <c r="D29" s="44">
        <v>54</v>
      </c>
      <c r="E29" s="44">
        <v>82</v>
      </c>
      <c r="F29" s="44">
        <v>50</v>
      </c>
      <c r="G29" s="44">
        <v>90</v>
      </c>
    </row>
    <row r="30" spans="2:8" x14ac:dyDescent="0.25">
      <c r="B30" s="44" t="s">
        <v>748</v>
      </c>
      <c r="C30" s="44">
        <v>79</v>
      </c>
      <c r="D30" s="44">
        <v>52</v>
      </c>
      <c r="E30" s="44">
        <v>80</v>
      </c>
      <c r="F30" s="44">
        <v>61</v>
      </c>
      <c r="G30" s="44">
        <v>87</v>
      </c>
    </row>
    <row r="31" spans="2:8" x14ac:dyDescent="0.25">
      <c r="B31" s="44" t="s">
        <v>749</v>
      </c>
      <c r="C31" s="44">
        <v>86</v>
      </c>
      <c r="D31" s="44">
        <v>37</v>
      </c>
      <c r="E31" s="44">
        <v>28</v>
      </c>
      <c r="F31" s="44">
        <v>32</v>
      </c>
      <c r="G31" s="44">
        <v>75</v>
      </c>
    </row>
    <row r="32" spans="2:8" x14ac:dyDescent="0.25">
      <c r="B32" s="44" t="s">
        <v>750</v>
      </c>
      <c r="C32" s="44">
        <v>99</v>
      </c>
      <c r="D32" s="44">
        <v>83</v>
      </c>
      <c r="E32" s="44">
        <v>62</v>
      </c>
      <c r="F32" s="44">
        <v>91</v>
      </c>
      <c r="G32" s="44">
        <v>50</v>
      </c>
    </row>
    <row r="33" spans="2:8" x14ac:dyDescent="0.25">
      <c r="B33" s="44" t="s">
        <v>751</v>
      </c>
      <c r="C33" s="44">
        <v>39</v>
      </c>
      <c r="D33" s="44">
        <v>27</v>
      </c>
      <c r="E33" s="44">
        <v>79</v>
      </c>
      <c r="F33" s="44">
        <v>51</v>
      </c>
      <c r="G33" s="44">
        <v>67</v>
      </c>
    </row>
    <row r="34" spans="2:8" x14ac:dyDescent="0.25">
      <c r="B34" s="44" t="s">
        <v>752</v>
      </c>
      <c r="C34" s="44">
        <v>74</v>
      </c>
      <c r="D34" s="44">
        <v>34</v>
      </c>
      <c r="E34" s="44">
        <v>42</v>
      </c>
      <c r="F34" s="44">
        <v>48</v>
      </c>
      <c r="G34" s="44">
        <v>84</v>
      </c>
    </row>
    <row r="35" spans="2:8" x14ac:dyDescent="0.25">
      <c r="B35" s="44" t="s">
        <v>739</v>
      </c>
      <c r="C35" s="44">
        <v>62</v>
      </c>
      <c r="D35" s="44">
        <v>34</v>
      </c>
      <c r="E35" s="44">
        <v>52</v>
      </c>
      <c r="F35" s="44">
        <v>93</v>
      </c>
      <c r="G35" s="44">
        <v>80</v>
      </c>
    </row>
    <row r="40" spans="2:8" ht="15.75" x14ac:dyDescent="0.25">
      <c r="B40" s="46"/>
      <c r="C40" s="47" t="s">
        <v>207</v>
      </c>
      <c r="D40" s="48" t="s">
        <v>766</v>
      </c>
      <c r="E40" s="48" t="s">
        <v>767</v>
      </c>
      <c r="F40" s="48" t="s">
        <v>206</v>
      </c>
      <c r="G40" s="48" t="s">
        <v>768</v>
      </c>
      <c r="H40" s="49" t="s">
        <v>769</v>
      </c>
    </row>
    <row r="41" spans="2:8" ht="15.75" x14ac:dyDescent="0.25">
      <c r="B41" s="50" t="s">
        <v>742</v>
      </c>
      <c r="C41" s="51">
        <v>1432</v>
      </c>
      <c r="D41" s="51">
        <v>7541</v>
      </c>
      <c r="E41" s="51">
        <v>9710</v>
      </c>
      <c r="F41" s="51">
        <v>6818</v>
      </c>
      <c r="G41" s="51">
        <v>7208</v>
      </c>
      <c r="H41" s="52">
        <v>4370</v>
      </c>
    </row>
    <row r="42" spans="2:8" ht="15.75" x14ac:dyDescent="0.25">
      <c r="B42" s="53" t="s">
        <v>743</v>
      </c>
      <c r="C42" s="51">
        <v>6156</v>
      </c>
      <c r="D42" s="51">
        <v>6704</v>
      </c>
      <c r="E42" s="51">
        <v>3591</v>
      </c>
      <c r="F42" s="51">
        <v>6641</v>
      </c>
      <c r="G42" s="51">
        <v>4971</v>
      </c>
      <c r="H42" s="52">
        <v>8337</v>
      </c>
    </row>
    <row r="43" spans="2:8" ht="15.75" x14ac:dyDescent="0.25">
      <c r="B43" s="53" t="s">
        <v>744</v>
      </c>
      <c r="C43" s="51">
        <v>1705</v>
      </c>
      <c r="D43" s="51">
        <v>2504</v>
      </c>
      <c r="E43" s="51">
        <v>9907</v>
      </c>
      <c r="F43" s="51">
        <v>4958</v>
      </c>
      <c r="G43" s="51">
        <v>7732</v>
      </c>
      <c r="H43" s="52">
        <v>9690</v>
      </c>
    </row>
    <row r="44" spans="2:8" ht="15.75" x14ac:dyDescent="0.25">
      <c r="B44" s="54" t="s">
        <v>770</v>
      </c>
      <c r="C44" s="55">
        <v>5388</v>
      </c>
      <c r="D44" s="55">
        <v>7158</v>
      </c>
      <c r="E44" s="55">
        <v>7436</v>
      </c>
      <c r="F44" s="55">
        <v>6393</v>
      </c>
      <c r="G44" s="55">
        <v>5496</v>
      </c>
      <c r="H44" s="56">
        <v>5017</v>
      </c>
    </row>
  </sheetData>
  <conditionalFormatting sqref="C24:G35">
    <cfRule type="cellIs" dxfId="1" priority="1" stopIfTrue="1" operator="equal">
      <formula>$N$6</formula>
    </cfRule>
  </conditionalFormatting>
  <dataValidations count="2">
    <dataValidation type="list" allowBlank="1" showInputMessage="1" showErrorMessage="1" sqref="D3" xr:uid="{00000000-0002-0000-0B00-000000000000}">
      <formula1>$B$6:$B$10</formula1>
    </dataValidation>
    <dataValidation type="list" allowBlank="1" showInputMessage="1" showErrorMessage="1" sqref="D2" xr:uid="{00000000-0002-0000-0B00-000001000000}">
      <formula1>$C$5:$N$5</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rgb="FFFFC000"/>
  </sheetPr>
  <dimension ref="B2:R102"/>
  <sheetViews>
    <sheetView workbookViewId="0">
      <selection activeCell="Q12" sqref="Q12"/>
    </sheetView>
  </sheetViews>
  <sheetFormatPr defaultRowHeight="15" x14ac:dyDescent="0.25"/>
  <cols>
    <col min="1" max="1" width="3.28515625" customWidth="1"/>
    <col min="2" max="2" width="12.42578125" bestFit="1" customWidth="1"/>
    <col min="3" max="3" width="14" bestFit="1" customWidth="1"/>
    <col min="4" max="4" width="13.7109375" bestFit="1" customWidth="1"/>
    <col min="5" max="5" width="15.5703125" bestFit="1" customWidth="1"/>
    <col min="9" max="9" width="9.5703125" bestFit="1" customWidth="1"/>
    <col min="10" max="10" width="19.140625" bestFit="1" customWidth="1"/>
    <col min="11" max="11" width="10" bestFit="1" customWidth="1"/>
    <col min="12" max="12" width="7.140625" bestFit="1" customWidth="1"/>
    <col min="13" max="13" width="11.85546875" bestFit="1" customWidth="1"/>
    <col min="14" max="14" width="9.28515625" customWidth="1"/>
    <col min="15" max="15" width="8.140625" bestFit="1" customWidth="1"/>
    <col min="16" max="16" width="18.42578125" bestFit="1" customWidth="1"/>
    <col min="17" max="17" width="18.85546875" bestFit="1" customWidth="1"/>
    <col min="18" max="18" width="17.42578125" bestFit="1" customWidth="1"/>
  </cols>
  <sheetData>
    <row r="2" spans="2:18" x14ac:dyDescent="0.25">
      <c r="B2" s="80" t="s">
        <v>771</v>
      </c>
      <c r="C2" s="80" t="s">
        <v>52</v>
      </c>
      <c r="D2" s="80" t="s">
        <v>780</v>
      </c>
      <c r="E2" s="80" t="s">
        <v>781</v>
      </c>
      <c r="F2" s="81" t="s">
        <v>737</v>
      </c>
      <c r="I2" s="78" t="s">
        <v>44</v>
      </c>
      <c r="J2" s="78" t="s">
        <v>45</v>
      </c>
      <c r="K2" s="78" t="s">
        <v>46</v>
      </c>
      <c r="L2" s="78" t="s">
        <v>47</v>
      </c>
      <c r="M2" s="78" t="s">
        <v>795</v>
      </c>
      <c r="N2" s="78" t="s">
        <v>49</v>
      </c>
      <c r="O2" s="79" t="s">
        <v>796</v>
      </c>
      <c r="P2" s="79" t="s">
        <v>797</v>
      </c>
      <c r="Q2" s="79" t="s">
        <v>798</v>
      </c>
      <c r="R2" s="79" t="s">
        <v>799</v>
      </c>
    </row>
    <row r="3" spans="2:18" x14ac:dyDescent="0.25">
      <c r="B3" s="63" t="s">
        <v>782</v>
      </c>
      <c r="C3" s="82">
        <v>1000</v>
      </c>
      <c r="D3" s="82">
        <v>5000</v>
      </c>
      <c r="E3" s="83" t="str">
        <f>IF(C3&gt;=6000,"complite","incompite")</f>
        <v>incompite</v>
      </c>
      <c r="F3" s="83">
        <f>RANK(D3,D2:D18,0)</f>
        <v>12</v>
      </c>
      <c r="I3" s="71">
        <v>1</v>
      </c>
      <c r="J3" s="85" t="s">
        <v>51</v>
      </c>
      <c r="K3" s="85" t="s">
        <v>52</v>
      </c>
      <c r="L3" s="85" t="s">
        <v>53</v>
      </c>
      <c r="M3" s="86">
        <v>28126</v>
      </c>
      <c r="N3" s="87">
        <v>21875</v>
      </c>
      <c r="O3" s="85" t="str">
        <f>IF(K3="mktg","yes","--")</f>
        <v>--</v>
      </c>
      <c r="P3" s="85" t="str">
        <f ca="1">IF(DATE(YEAR(TODAY()),MONTH(M3),DAY(M3))=TODAY(),"happy birthday","--")</f>
        <v>--</v>
      </c>
      <c r="Q3" s="85" t="str">
        <f>IF(AND(K3="mktg",L3="east"),"yes","--")</f>
        <v>--</v>
      </c>
      <c r="R3" s="85" t="str">
        <f>IF(AND(K3="mktg",OR(L3="east",L3="south")),"yes","--")</f>
        <v>--</v>
      </c>
    </row>
    <row r="4" spans="2:18" x14ac:dyDescent="0.25">
      <c r="B4" s="63" t="s">
        <v>206</v>
      </c>
      <c r="C4" s="82">
        <v>6000</v>
      </c>
      <c r="D4" s="82">
        <v>5000</v>
      </c>
      <c r="E4" s="83" t="str">
        <f t="shared" ref="E4:E18" si="0">IF(C4&gt;=6000,"complite","incompite")</f>
        <v>complite</v>
      </c>
      <c r="F4" s="83">
        <f t="shared" ref="F4:F18" si="1">RANK(D4,D3:D19,0)</f>
        <v>12</v>
      </c>
      <c r="I4" s="71">
        <v>2</v>
      </c>
      <c r="J4" s="85" t="s">
        <v>55</v>
      </c>
      <c r="K4" s="85" t="s">
        <v>52</v>
      </c>
      <c r="L4" s="85" t="s">
        <v>56</v>
      </c>
      <c r="M4" s="86">
        <v>28126</v>
      </c>
      <c r="N4" s="87">
        <v>17500</v>
      </c>
      <c r="O4" s="85" t="str">
        <f t="shared" ref="O4:O67" si="2">IF(K4="mktg","yes","--")</f>
        <v>--</v>
      </c>
      <c r="P4" s="85" t="str">
        <f t="shared" ref="P4:P67" ca="1" si="3">IF(DATE(YEAR(TODAY()),MONTH(M4),DAY(M4))=TODAY(),"happy birthday","--")</f>
        <v>--</v>
      </c>
      <c r="Q4" s="85" t="str">
        <f t="shared" ref="Q4:Q67" si="4">IF(AND(K4="mktg",L4="east"),"yes","--")</f>
        <v>--</v>
      </c>
      <c r="R4" s="85" t="str">
        <f t="shared" ref="R4:R67" si="5">IF(AND(K4="mktg",OR(L4="east",L4="south")),"yes","--")</f>
        <v>--</v>
      </c>
    </row>
    <row r="5" spans="2:18" x14ac:dyDescent="0.25">
      <c r="B5" s="63" t="s">
        <v>207</v>
      </c>
      <c r="C5" s="82">
        <v>2000</v>
      </c>
      <c r="D5" s="82">
        <v>4000</v>
      </c>
      <c r="E5" s="83" t="str">
        <f t="shared" si="0"/>
        <v>incompite</v>
      </c>
      <c r="F5" s="83">
        <f t="shared" si="1"/>
        <v>13</v>
      </c>
      <c r="I5" s="71">
        <v>3</v>
      </c>
      <c r="J5" s="85" t="s">
        <v>58</v>
      </c>
      <c r="K5" s="85" t="s">
        <v>59</v>
      </c>
      <c r="L5" s="85" t="s">
        <v>60</v>
      </c>
      <c r="M5" s="86">
        <v>36220</v>
      </c>
      <c r="N5" s="87">
        <v>7000</v>
      </c>
      <c r="O5" s="85" t="str">
        <f t="shared" si="2"/>
        <v>--</v>
      </c>
      <c r="P5" s="85" t="str">
        <f t="shared" ca="1" si="3"/>
        <v>--</v>
      </c>
      <c r="Q5" s="85" t="str">
        <f t="shared" si="4"/>
        <v>--</v>
      </c>
      <c r="R5" s="85" t="str">
        <f t="shared" si="5"/>
        <v>--</v>
      </c>
    </row>
    <row r="6" spans="2:18" x14ac:dyDescent="0.25">
      <c r="B6" s="63" t="s">
        <v>783</v>
      </c>
      <c r="C6" s="82">
        <v>42512</v>
      </c>
      <c r="D6" s="84">
        <v>9565</v>
      </c>
      <c r="E6" s="83" t="str">
        <f t="shared" si="0"/>
        <v>complite</v>
      </c>
      <c r="F6" s="83">
        <f t="shared" si="1"/>
        <v>9</v>
      </c>
      <c r="I6" s="71">
        <v>4</v>
      </c>
      <c r="J6" s="85" t="s">
        <v>62</v>
      </c>
      <c r="K6" s="85" t="s">
        <v>63</v>
      </c>
      <c r="L6" s="85" t="s">
        <v>53</v>
      </c>
      <c r="M6" s="86">
        <v>29183</v>
      </c>
      <c r="N6" s="87">
        <v>12250</v>
      </c>
      <c r="O6" s="85" t="str">
        <f t="shared" si="2"/>
        <v>yes</v>
      </c>
      <c r="P6" s="85" t="str">
        <f t="shared" ca="1" si="3"/>
        <v>--</v>
      </c>
      <c r="Q6" s="85" t="str">
        <f t="shared" si="4"/>
        <v>--</v>
      </c>
      <c r="R6" s="85" t="str">
        <f t="shared" si="5"/>
        <v>--</v>
      </c>
    </row>
    <row r="7" spans="2:18" x14ac:dyDescent="0.25">
      <c r="B7" s="63" t="s">
        <v>784</v>
      </c>
      <c r="C7" s="82">
        <v>62252</v>
      </c>
      <c r="D7" s="84">
        <v>22252</v>
      </c>
      <c r="E7" s="83" t="str">
        <f t="shared" si="0"/>
        <v>complite</v>
      </c>
      <c r="F7" s="83">
        <f t="shared" si="1"/>
        <v>7</v>
      </c>
      <c r="I7" s="71">
        <v>5</v>
      </c>
      <c r="J7" s="85" t="s">
        <v>65</v>
      </c>
      <c r="K7" s="85" t="s">
        <v>66</v>
      </c>
      <c r="L7" s="85" t="s">
        <v>53</v>
      </c>
      <c r="M7" s="86">
        <v>32755</v>
      </c>
      <c r="N7" s="87">
        <v>21000</v>
      </c>
      <c r="O7" s="85" t="str">
        <f t="shared" si="2"/>
        <v>--</v>
      </c>
      <c r="P7" s="85" t="str">
        <f t="shared" ca="1" si="3"/>
        <v>--</v>
      </c>
      <c r="Q7" s="85" t="str">
        <f t="shared" si="4"/>
        <v>--</v>
      </c>
      <c r="R7" s="85" t="str">
        <f t="shared" si="5"/>
        <v>--</v>
      </c>
    </row>
    <row r="8" spans="2:18" x14ac:dyDescent="0.25">
      <c r="B8" s="63" t="s">
        <v>785</v>
      </c>
      <c r="C8" s="82">
        <v>5252</v>
      </c>
      <c r="D8" s="84">
        <v>6652</v>
      </c>
      <c r="E8" s="83" t="str">
        <f t="shared" si="0"/>
        <v>incompite</v>
      </c>
      <c r="F8" s="83">
        <f t="shared" si="1"/>
        <v>9</v>
      </c>
      <c r="I8" s="71">
        <v>6</v>
      </c>
      <c r="J8" s="85" t="s">
        <v>68</v>
      </c>
      <c r="K8" s="85" t="s">
        <v>66</v>
      </c>
      <c r="L8" s="85" t="s">
        <v>53</v>
      </c>
      <c r="M8" s="86">
        <v>32390</v>
      </c>
      <c r="N8" s="87">
        <v>12425</v>
      </c>
      <c r="O8" s="85" t="str">
        <f t="shared" si="2"/>
        <v>--</v>
      </c>
      <c r="P8" s="85" t="str">
        <f t="shared" ca="1" si="3"/>
        <v>--</v>
      </c>
      <c r="Q8" s="85" t="str">
        <f t="shared" si="4"/>
        <v>--</v>
      </c>
      <c r="R8" s="85" t="str">
        <f t="shared" si="5"/>
        <v>--</v>
      </c>
    </row>
    <row r="9" spans="2:18" x14ac:dyDescent="0.25">
      <c r="B9" s="63" t="s">
        <v>786</v>
      </c>
      <c r="C9" s="82">
        <v>3255</v>
      </c>
      <c r="D9" s="84">
        <v>2552</v>
      </c>
      <c r="E9" s="83" t="str">
        <f t="shared" si="0"/>
        <v>incompite</v>
      </c>
      <c r="F9" s="83">
        <f t="shared" si="1"/>
        <v>10</v>
      </c>
      <c r="I9" s="71">
        <v>7</v>
      </c>
      <c r="J9" s="85" t="s">
        <v>70</v>
      </c>
      <c r="K9" s="85" t="s">
        <v>71</v>
      </c>
      <c r="L9" s="85" t="s">
        <v>72</v>
      </c>
      <c r="M9" s="86">
        <v>33102</v>
      </c>
      <c r="N9" s="87">
        <v>13825</v>
      </c>
      <c r="O9" s="85" t="str">
        <f t="shared" si="2"/>
        <v>--</v>
      </c>
      <c r="P9" s="85" t="str">
        <f t="shared" ca="1" si="3"/>
        <v>--</v>
      </c>
      <c r="Q9" s="85" t="str">
        <f t="shared" si="4"/>
        <v>--</v>
      </c>
      <c r="R9" s="85" t="str">
        <f t="shared" si="5"/>
        <v>--</v>
      </c>
    </row>
    <row r="10" spans="2:18" x14ac:dyDescent="0.25">
      <c r="B10" s="63" t="s">
        <v>787</v>
      </c>
      <c r="C10" s="82">
        <v>2245</v>
      </c>
      <c r="D10" s="84">
        <v>2125</v>
      </c>
      <c r="E10" s="83" t="str">
        <f t="shared" si="0"/>
        <v>incompite</v>
      </c>
      <c r="F10" s="83">
        <f t="shared" si="1"/>
        <v>10</v>
      </c>
      <c r="I10" s="71">
        <v>8</v>
      </c>
      <c r="J10" s="85" t="s">
        <v>74</v>
      </c>
      <c r="K10" s="85" t="s">
        <v>66</v>
      </c>
      <c r="L10" s="85" t="s">
        <v>53</v>
      </c>
      <c r="M10" s="86">
        <v>32755</v>
      </c>
      <c r="N10" s="87">
        <v>12425</v>
      </c>
      <c r="O10" s="85" t="str">
        <f t="shared" si="2"/>
        <v>--</v>
      </c>
      <c r="P10" s="85" t="str">
        <f t="shared" ca="1" si="3"/>
        <v>--</v>
      </c>
      <c r="Q10" s="85" t="str">
        <f t="shared" si="4"/>
        <v>--</v>
      </c>
      <c r="R10" s="85" t="str">
        <f t="shared" si="5"/>
        <v>--</v>
      </c>
    </row>
    <row r="11" spans="2:18" x14ac:dyDescent="0.25">
      <c r="B11" s="63" t="s">
        <v>788</v>
      </c>
      <c r="C11" s="82">
        <v>6625</v>
      </c>
      <c r="D11" s="84">
        <v>5622</v>
      </c>
      <c r="E11" s="83" t="str">
        <f t="shared" si="0"/>
        <v>complite</v>
      </c>
      <c r="F11" s="83">
        <f t="shared" si="1"/>
        <v>8</v>
      </c>
      <c r="I11" s="71">
        <v>9</v>
      </c>
      <c r="J11" s="85" t="s">
        <v>76</v>
      </c>
      <c r="K11" s="85" t="s">
        <v>52</v>
      </c>
      <c r="L11" s="85" t="s">
        <v>53</v>
      </c>
      <c r="M11" s="86">
        <v>36506</v>
      </c>
      <c r="N11" s="87">
        <v>14875</v>
      </c>
      <c r="O11" s="85" t="str">
        <f t="shared" si="2"/>
        <v>--</v>
      </c>
      <c r="P11" s="85" t="str">
        <f t="shared" ca="1" si="3"/>
        <v>--</v>
      </c>
      <c r="Q11" s="85" t="str">
        <f t="shared" si="4"/>
        <v>--</v>
      </c>
      <c r="R11" s="85" t="str">
        <f t="shared" si="5"/>
        <v>--</v>
      </c>
    </row>
    <row r="12" spans="2:18" x14ac:dyDescent="0.25">
      <c r="B12" s="63" t="s">
        <v>789</v>
      </c>
      <c r="C12" s="82">
        <v>2152</v>
      </c>
      <c r="D12" s="84">
        <v>21222</v>
      </c>
      <c r="E12" s="83" t="str">
        <f t="shared" si="0"/>
        <v>incompite</v>
      </c>
      <c r="F12" s="83">
        <f t="shared" si="1"/>
        <v>7</v>
      </c>
      <c r="I12" s="71">
        <v>10</v>
      </c>
      <c r="J12" s="85" t="s">
        <v>78</v>
      </c>
      <c r="K12" s="85" t="s">
        <v>63</v>
      </c>
      <c r="L12" s="85" t="s">
        <v>56</v>
      </c>
      <c r="M12" s="86">
        <v>28326</v>
      </c>
      <c r="N12" s="87">
        <v>15750</v>
      </c>
      <c r="O12" s="85" t="str">
        <f t="shared" si="2"/>
        <v>yes</v>
      </c>
      <c r="P12" s="85" t="str">
        <f t="shared" ca="1" si="3"/>
        <v>--</v>
      </c>
      <c r="Q12" s="85" t="str">
        <f t="shared" si="4"/>
        <v>yes</v>
      </c>
      <c r="R12" s="85" t="str">
        <f t="shared" si="5"/>
        <v>yes</v>
      </c>
    </row>
    <row r="13" spans="2:18" x14ac:dyDescent="0.25">
      <c r="B13" s="63" t="s">
        <v>790</v>
      </c>
      <c r="C13" s="82">
        <v>3524</v>
      </c>
      <c r="D13" s="84">
        <v>55222</v>
      </c>
      <c r="E13" s="83" t="str">
        <f t="shared" si="0"/>
        <v>incompite</v>
      </c>
      <c r="F13" s="83">
        <f t="shared" si="1"/>
        <v>2</v>
      </c>
      <c r="I13" s="71">
        <v>11</v>
      </c>
      <c r="J13" s="85" t="s">
        <v>80</v>
      </c>
      <c r="K13" s="85" t="s">
        <v>81</v>
      </c>
      <c r="L13" s="85" t="s">
        <v>72</v>
      </c>
      <c r="M13" s="86">
        <v>31402</v>
      </c>
      <c r="N13" s="87">
        <v>14875</v>
      </c>
      <c r="O13" s="85" t="str">
        <f t="shared" si="2"/>
        <v>--</v>
      </c>
      <c r="P13" s="85" t="str">
        <f t="shared" ca="1" si="3"/>
        <v>--</v>
      </c>
      <c r="Q13" s="85" t="str">
        <f t="shared" si="4"/>
        <v>--</v>
      </c>
      <c r="R13" s="85" t="str">
        <f t="shared" si="5"/>
        <v>--</v>
      </c>
    </row>
    <row r="14" spans="2:18" x14ac:dyDescent="0.25">
      <c r="B14" s="63" t="s">
        <v>791</v>
      </c>
      <c r="C14" s="82">
        <v>66252</v>
      </c>
      <c r="D14" s="84">
        <v>45235</v>
      </c>
      <c r="E14" s="83" t="str">
        <f t="shared" si="0"/>
        <v>complite</v>
      </c>
      <c r="F14" s="83">
        <f t="shared" si="1"/>
        <v>4</v>
      </c>
      <c r="I14" s="71">
        <v>12</v>
      </c>
      <c r="J14" s="85" t="s">
        <v>82</v>
      </c>
      <c r="K14" s="85" t="s">
        <v>59</v>
      </c>
      <c r="L14" s="85" t="s">
        <v>53</v>
      </c>
      <c r="M14" s="86">
        <v>30376</v>
      </c>
      <c r="N14" s="87">
        <v>21000</v>
      </c>
      <c r="O14" s="85" t="str">
        <f t="shared" si="2"/>
        <v>--</v>
      </c>
      <c r="P14" s="85" t="str">
        <f t="shared" ca="1" si="3"/>
        <v>--</v>
      </c>
      <c r="Q14" s="85" t="str">
        <f t="shared" si="4"/>
        <v>--</v>
      </c>
      <c r="R14" s="85" t="str">
        <f t="shared" si="5"/>
        <v>--</v>
      </c>
    </row>
    <row r="15" spans="2:18" x14ac:dyDescent="0.25">
      <c r="B15" s="63" t="s">
        <v>769</v>
      </c>
      <c r="C15" s="82">
        <v>35254</v>
      </c>
      <c r="D15" s="84">
        <v>24225</v>
      </c>
      <c r="E15" s="83" t="str">
        <f t="shared" si="0"/>
        <v>complite</v>
      </c>
      <c r="F15" s="83">
        <f t="shared" si="1"/>
        <v>5</v>
      </c>
      <c r="I15" s="71">
        <v>13</v>
      </c>
      <c r="J15" s="85" t="s">
        <v>84</v>
      </c>
      <c r="K15" s="85" t="s">
        <v>81</v>
      </c>
      <c r="L15" s="85" t="s">
        <v>56</v>
      </c>
      <c r="M15" s="86">
        <v>31027</v>
      </c>
      <c r="N15" s="87">
        <v>19250</v>
      </c>
      <c r="O15" s="85" t="str">
        <f t="shared" si="2"/>
        <v>--</v>
      </c>
      <c r="P15" s="85" t="str">
        <f t="shared" ca="1" si="3"/>
        <v>--</v>
      </c>
      <c r="Q15" s="85" t="str">
        <f t="shared" si="4"/>
        <v>--</v>
      </c>
      <c r="R15" s="85" t="str">
        <f t="shared" si="5"/>
        <v>--</v>
      </c>
    </row>
    <row r="16" spans="2:18" x14ac:dyDescent="0.25">
      <c r="B16" s="63" t="s">
        <v>792</v>
      </c>
      <c r="C16" s="82">
        <v>62554</v>
      </c>
      <c r="D16" s="84">
        <v>65745</v>
      </c>
      <c r="E16" s="83" t="str">
        <f t="shared" si="0"/>
        <v>complite</v>
      </c>
      <c r="F16" s="83">
        <f t="shared" si="1"/>
        <v>1</v>
      </c>
      <c r="I16" s="71">
        <v>14</v>
      </c>
      <c r="J16" s="85" t="s">
        <v>86</v>
      </c>
      <c r="K16" s="85" t="s">
        <v>87</v>
      </c>
      <c r="L16" s="85" t="s">
        <v>60</v>
      </c>
      <c r="M16" s="86">
        <v>31028</v>
      </c>
      <c r="N16" s="87">
        <v>49000</v>
      </c>
      <c r="O16" s="85" t="str">
        <f t="shared" si="2"/>
        <v>--</v>
      </c>
      <c r="P16" s="85" t="str">
        <f t="shared" ca="1" si="3"/>
        <v>--</v>
      </c>
      <c r="Q16" s="85" t="str">
        <f t="shared" si="4"/>
        <v>--</v>
      </c>
      <c r="R16" s="85" t="str">
        <f t="shared" si="5"/>
        <v>--</v>
      </c>
    </row>
    <row r="17" spans="2:18" x14ac:dyDescent="0.25">
      <c r="B17" s="63" t="s">
        <v>793</v>
      </c>
      <c r="C17" s="82">
        <v>24536</v>
      </c>
      <c r="D17" s="84">
        <v>25242</v>
      </c>
      <c r="E17" s="83" t="str">
        <f t="shared" si="0"/>
        <v>complite</v>
      </c>
      <c r="F17" s="83">
        <f t="shared" si="1"/>
        <v>3</v>
      </c>
      <c r="I17" s="71">
        <v>15</v>
      </c>
      <c r="J17" s="85" t="s">
        <v>89</v>
      </c>
      <c r="K17" s="85" t="s">
        <v>71</v>
      </c>
      <c r="L17" s="85" t="s">
        <v>53</v>
      </c>
      <c r="M17" s="86">
        <v>31029</v>
      </c>
      <c r="N17" s="87">
        <v>14875</v>
      </c>
      <c r="O17" s="85" t="str">
        <f t="shared" si="2"/>
        <v>--</v>
      </c>
      <c r="P17" s="85" t="str">
        <f t="shared" ca="1" si="3"/>
        <v>--</v>
      </c>
      <c r="Q17" s="85" t="str">
        <f t="shared" si="4"/>
        <v>--</v>
      </c>
      <c r="R17" s="85" t="str">
        <f t="shared" si="5"/>
        <v>--</v>
      </c>
    </row>
    <row r="18" spans="2:18" x14ac:dyDescent="0.25">
      <c r="B18" s="63" t="s">
        <v>794</v>
      </c>
      <c r="C18" s="82">
        <v>66253</v>
      </c>
      <c r="D18" s="84">
        <v>52224</v>
      </c>
      <c r="E18" s="83" t="str">
        <f t="shared" si="0"/>
        <v>complite</v>
      </c>
      <c r="F18" s="83">
        <f t="shared" si="1"/>
        <v>1</v>
      </c>
      <c r="I18" s="71">
        <v>16</v>
      </c>
      <c r="J18" s="85" t="s">
        <v>90</v>
      </c>
      <c r="K18" s="85" t="s">
        <v>71</v>
      </c>
      <c r="L18" s="85" t="s">
        <v>53</v>
      </c>
      <c r="M18" s="86">
        <v>31030</v>
      </c>
      <c r="N18" s="87">
        <v>14875</v>
      </c>
      <c r="O18" s="85" t="str">
        <f t="shared" si="2"/>
        <v>--</v>
      </c>
      <c r="P18" s="85" t="str">
        <f t="shared" ca="1" si="3"/>
        <v>--</v>
      </c>
      <c r="Q18" s="85" t="str">
        <f t="shared" si="4"/>
        <v>--</v>
      </c>
      <c r="R18" s="85" t="str">
        <f t="shared" si="5"/>
        <v>--</v>
      </c>
    </row>
    <row r="19" spans="2:18" x14ac:dyDescent="0.25">
      <c r="I19" s="71">
        <v>17</v>
      </c>
      <c r="J19" s="85" t="s">
        <v>92</v>
      </c>
      <c r="K19" s="85" t="s">
        <v>59</v>
      </c>
      <c r="L19" s="85" t="s">
        <v>56</v>
      </c>
      <c r="M19" s="86">
        <v>30376</v>
      </c>
      <c r="N19" s="87">
        <v>15750</v>
      </c>
      <c r="O19" s="85" t="str">
        <f t="shared" si="2"/>
        <v>--</v>
      </c>
      <c r="P19" s="85" t="str">
        <f t="shared" ca="1" si="3"/>
        <v>--</v>
      </c>
      <c r="Q19" s="85" t="str">
        <f t="shared" si="4"/>
        <v>--</v>
      </c>
      <c r="R19" s="85" t="str">
        <f t="shared" si="5"/>
        <v>--</v>
      </c>
    </row>
    <row r="20" spans="2:18" x14ac:dyDescent="0.25">
      <c r="B20" s="147" t="s">
        <v>1075</v>
      </c>
      <c r="C20" s="147" t="s">
        <v>849</v>
      </c>
      <c r="D20" s="147" t="s">
        <v>1076</v>
      </c>
      <c r="E20" s="148" t="s">
        <v>1099</v>
      </c>
      <c r="I20" s="71">
        <v>18</v>
      </c>
      <c r="J20" s="85" t="s">
        <v>93</v>
      </c>
      <c r="K20" s="85" t="s">
        <v>59</v>
      </c>
      <c r="L20" s="85" t="s">
        <v>72</v>
      </c>
      <c r="M20" s="86">
        <v>30376</v>
      </c>
      <c r="N20" s="87">
        <v>15750</v>
      </c>
      <c r="O20" s="85" t="str">
        <f t="shared" si="2"/>
        <v>--</v>
      </c>
      <c r="P20" s="85" t="str">
        <f t="shared" ca="1" si="3"/>
        <v>--</v>
      </c>
      <c r="Q20" s="85" t="str">
        <f t="shared" si="4"/>
        <v>--</v>
      </c>
      <c r="R20" s="85" t="str">
        <f t="shared" si="5"/>
        <v>--</v>
      </c>
    </row>
    <row r="21" spans="2:18" x14ac:dyDescent="0.25">
      <c r="B21" s="149" t="s">
        <v>1077</v>
      </c>
      <c r="C21" s="82">
        <v>6000</v>
      </c>
      <c r="D21" s="150" t="s">
        <v>1078</v>
      </c>
      <c r="E21" s="150">
        <f>IF(D21="cash",C21,C21+(C21*2%))</f>
        <v>6000</v>
      </c>
      <c r="I21" s="71">
        <v>19</v>
      </c>
      <c r="J21" s="85" t="s">
        <v>95</v>
      </c>
      <c r="K21" s="85" t="s">
        <v>63</v>
      </c>
      <c r="L21" s="85" t="s">
        <v>53</v>
      </c>
      <c r="M21" s="86">
        <v>31637</v>
      </c>
      <c r="N21" s="87">
        <v>10500</v>
      </c>
      <c r="O21" s="85" t="str">
        <f t="shared" si="2"/>
        <v>yes</v>
      </c>
      <c r="P21" s="85" t="str">
        <f t="shared" ca="1" si="3"/>
        <v>--</v>
      </c>
      <c r="Q21" s="85" t="str">
        <f t="shared" si="4"/>
        <v>--</v>
      </c>
      <c r="R21" s="85" t="str">
        <f t="shared" si="5"/>
        <v>--</v>
      </c>
    </row>
    <row r="22" spans="2:18" x14ac:dyDescent="0.25">
      <c r="B22" s="149" t="s">
        <v>1079</v>
      </c>
      <c r="C22" s="82">
        <v>7582</v>
      </c>
      <c r="D22" s="150" t="s">
        <v>1080</v>
      </c>
      <c r="E22" s="150">
        <f t="shared" ref="E22:E30" si="6">IF(D22="cash",C22,C22+(C22*2%))</f>
        <v>7733.64</v>
      </c>
      <c r="I22" s="71">
        <v>20</v>
      </c>
      <c r="J22" s="85" t="s">
        <v>96</v>
      </c>
      <c r="K22" s="85" t="s">
        <v>63</v>
      </c>
      <c r="L22" s="85" t="s">
        <v>53</v>
      </c>
      <c r="M22" s="86">
        <v>36316</v>
      </c>
      <c r="N22" s="87">
        <v>5950</v>
      </c>
      <c r="O22" s="85" t="str">
        <f t="shared" si="2"/>
        <v>yes</v>
      </c>
      <c r="P22" s="85" t="str">
        <f t="shared" ca="1" si="3"/>
        <v>--</v>
      </c>
      <c r="Q22" s="85" t="str">
        <f t="shared" si="4"/>
        <v>--</v>
      </c>
      <c r="R22" s="85" t="str">
        <f t="shared" si="5"/>
        <v>--</v>
      </c>
    </row>
    <row r="23" spans="2:18" x14ac:dyDescent="0.25">
      <c r="B23" s="149" t="s">
        <v>1081</v>
      </c>
      <c r="C23" s="82">
        <v>3652</v>
      </c>
      <c r="D23" s="150" t="s">
        <v>1082</v>
      </c>
      <c r="E23" s="150">
        <f t="shared" si="6"/>
        <v>3725.04</v>
      </c>
      <c r="I23" s="71">
        <v>21</v>
      </c>
      <c r="J23" s="85" t="s">
        <v>97</v>
      </c>
      <c r="K23" s="85" t="s">
        <v>63</v>
      </c>
      <c r="L23" s="85" t="s">
        <v>56</v>
      </c>
      <c r="M23" s="86">
        <v>36317</v>
      </c>
      <c r="N23" s="87">
        <v>7875</v>
      </c>
      <c r="O23" s="85" t="str">
        <f t="shared" si="2"/>
        <v>yes</v>
      </c>
      <c r="P23" s="85" t="str">
        <f t="shared" ca="1" si="3"/>
        <v>--</v>
      </c>
      <c r="Q23" s="85" t="str">
        <f t="shared" si="4"/>
        <v>yes</v>
      </c>
      <c r="R23" s="85" t="str">
        <f t="shared" si="5"/>
        <v>yes</v>
      </c>
    </row>
    <row r="24" spans="2:18" x14ac:dyDescent="0.25">
      <c r="B24" s="149" t="s">
        <v>1083</v>
      </c>
      <c r="C24" s="82">
        <v>85456</v>
      </c>
      <c r="D24" s="150" t="s">
        <v>1082</v>
      </c>
      <c r="E24" s="150">
        <f t="shared" si="6"/>
        <v>87165.119999999995</v>
      </c>
      <c r="I24" s="71">
        <v>22</v>
      </c>
      <c r="J24" s="85" t="s">
        <v>99</v>
      </c>
      <c r="K24" s="85" t="s">
        <v>63</v>
      </c>
      <c r="L24" s="85" t="s">
        <v>72</v>
      </c>
      <c r="M24" s="86">
        <v>36318</v>
      </c>
      <c r="N24" s="87">
        <v>7875</v>
      </c>
      <c r="O24" s="85" t="str">
        <f t="shared" si="2"/>
        <v>yes</v>
      </c>
      <c r="P24" s="85" t="str">
        <f t="shared" ca="1" si="3"/>
        <v>--</v>
      </c>
      <c r="Q24" s="85" t="str">
        <f t="shared" si="4"/>
        <v>--</v>
      </c>
      <c r="R24" s="85" t="str">
        <f t="shared" si="5"/>
        <v>--</v>
      </c>
    </row>
    <row r="25" spans="2:18" x14ac:dyDescent="0.25">
      <c r="B25" s="149" t="s">
        <v>1084</v>
      </c>
      <c r="C25" s="82">
        <v>6854</v>
      </c>
      <c r="D25" s="150" t="s">
        <v>1080</v>
      </c>
      <c r="E25" s="150">
        <f t="shared" si="6"/>
        <v>6991.08</v>
      </c>
      <c r="I25" s="71">
        <v>23</v>
      </c>
      <c r="J25" s="85" t="s">
        <v>100</v>
      </c>
      <c r="K25" s="85" t="s">
        <v>63</v>
      </c>
      <c r="L25" s="85" t="s">
        <v>72</v>
      </c>
      <c r="M25" s="86">
        <v>36319</v>
      </c>
      <c r="N25" s="87">
        <v>7875</v>
      </c>
      <c r="O25" s="85" t="str">
        <f t="shared" si="2"/>
        <v>yes</v>
      </c>
      <c r="P25" s="85" t="str">
        <f t="shared" ca="1" si="3"/>
        <v>--</v>
      </c>
      <c r="Q25" s="85" t="str">
        <f t="shared" si="4"/>
        <v>--</v>
      </c>
      <c r="R25" s="85" t="str">
        <f t="shared" si="5"/>
        <v>--</v>
      </c>
    </row>
    <row r="26" spans="2:18" x14ac:dyDescent="0.25">
      <c r="B26" s="149" t="s">
        <v>1085</v>
      </c>
      <c r="C26" s="82">
        <v>988</v>
      </c>
      <c r="D26" s="150" t="s">
        <v>1078</v>
      </c>
      <c r="E26" s="150">
        <f t="shared" si="6"/>
        <v>988</v>
      </c>
      <c r="I26" s="71">
        <v>24</v>
      </c>
      <c r="J26" s="85" t="s">
        <v>101</v>
      </c>
      <c r="K26" s="85" t="s">
        <v>52</v>
      </c>
      <c r="L26" s="85" t="s">
        <v>72</v>
      </c>
      <c r="M26" s="86">
        <v>29362</v>
      </c>
      <c r="N26" s="87">
        <v>14875</v>
      </c>
      <c r="O26" s="85" t="str">
        <f t="shared" si="2"/>
        <v>--</v>
      </c>
      <c r="P26" s="85" t="str">
        <f t="shared" ca="1" si="3"/>
        <v>--</v>
      </c>
      <c r="Q26" s="85" t="str">
        <f t="shared" si="4"/>
        <v>--</v>
      </c>
      <c r="R26" s="85" t="str">
        <f t="shared" si="5"/>
        <v>--</v>
      </c>
    </row>
    <row r="27" spans="2:18" x14ac:dyDescent="0.25">
      <c r="B27" s="149" t="s">
        <v>1086</v>
      </c>
      <c r="C27" s="82">
        <v>55855</v>
      </c>
      <c r="D27" s="150" t="s">
        <v>1078</v>
      </c>
      <c r="E27" s="150">
        <f t="shared" si="6"/>
        <v>55855</v>
      </c>
      <c r="I27" s="71">
        <v>25</v>
      </c>
      <c r="J27" s="85" t="s">
        <v>102</v>
      </c>
      <c r="K27" s="85" t="s">
        <v>66</v>
      </c>
      <c r="L27" s="85" t="s">
        <v>60</v>
      </c>
      <c r="M27" s="86">
        <v>36274</v>
      </c>
      <c r="N27" s="87">
        <v>7875</v>
      </c>
      <c r="O27" s="85" t="str">
        <f t="shared" si="2"/>
        <v>--</v>
      </c>
      <c r="P27" s="85" t="str">
        <f t="shared" ca="1" si="3"/>
        <v>--</v>
      </c>
      <c r="Q27" s="85" t="str">
        <f t="shared" si="4"/>
        <v>--</v>
      </c>
      <c r="R27" s="85" t="str">
        <f t="shared" si="5"/>
        <v>--</v>
      </c>
    </row>
    <row r="28" spans="2:18" x14ac:dyDescent="0.25">
      <c r="B28" s="149" t="s">
        <v>1087</v>
      </c>
      <c r="C28" s="82">
        <v>5555</v>
      </c>
      <c r="D28" s="150" t="s">
        <v>1080</v>
      </c>
      <c r="E28" s="150">
        <f t="shared" si="6"/>
        <v>5666.1</v>
      </c>
      <c r="I28" s="71">
        <v>26</v>
      </c>
      <c r="J28" s="85" t="s">
        <v>104</v>
      </c>
      <c r="K28" s="85" t="s">
        <v>52</v>
      </c>
      <c r="L28" s="85" t="s">
        <v>56</v>
      </c>
      <c r="M28" s="86">
        <v>30225</v>
      </c>
      <c r="N28" s="87">
        <v>19250</v>
      </c>
      <c r="O28" s="85" t="str">
        <f t="shared" si="2"/>
        <v>--</v>
      </c>
      <c r="P28" s="85" t="str">
        <f t="shared" ca="1" si="3"/>
        <v>--</v>
      </c>
      <c r="Q28" s="85" t="str">
        <f t="shared" si="4"/>
        <v>--</v>
      </c>
      <c r="R28" s="85" t="str">
        <f t="shared" si="5"/>
        <v>--</v>
      </c>
    </row>
    <row r="29" spans="2:18" x14ac:dyDescent="0.25">
      <c r="B29" s="149" t="s">
        <v>1088</v>
      </c>
      <c r="C29" s="82">
        <v>8875</v>
      </c>
      <c r="D29" s="150" t="s">
        <v>1082</v>
      </c>
      <c r="E29" s="150">
        <f t="shared" si="6"/>
        <v>9052.5</v>
      </c>
      <c r="I29" s="71">
        <v>27</v>
      </c>
      <c r="J29" s="85" t="s">
        <v>105</v>
      </c>
      <c r="K29" s="85" t="s">
        <v>52</v>
      </c>
      <c r="L29" s="85" t="s">
        <v>60</v>
      </c>
      <c r="M29" s="86">
        <v>33787</v>
      </c>
      <c r="N29" s="87">
        <v>13125</v>
      </c>
      <c r="O29" s="85" t="str">
        <f t="shared" si="2"/>
        <v>--</v>
      </c>
      <c r="P29" s="85" t="str">
        <f t="shared" ca="1" si="3"/>
        <v>--</v>
      </c>
      <c r="Q29" s="85" t="str">
        <f t="shared" si="4"/>
        <v>--</v>
      </c>
      <c r="R29" s="85" t="str">
        <f t="shared" si="5"/>
        <v>--</v>
      </c>
    </row>
    <row r="30" spans="2:18" x14ac:dyDescent="0.25">
      <c r="B30" s="149" t="s">
        <v>1089</v>
      </c>
      <c r="C30" s="82">
        <v>7854</v>
      </c>
      <c r="D30" s="150" t="s">
        <v>1078</v>
      </c>
      <c r="E30" s="150">
        <f t="shared" si="6"/>
        <v>7854</v>
      </c>
      <c r="I30" s="71">
        <v>28</v>
      </c>
      <c r="J30" s="85" t="s">
        <v>107</v>
      </c>
      <c r="K30" s="85" t="s">
        <v>66</v>
      </c>
      <c r="L30" s="85" t="s">
        <v>72</v>
      </c>
      <c r="M30" s="86">
        <v>34777</v>
      </c>
      <c r="N30" s="87">
        <v>10500</v>
      </c>
      <c r="O30" s="85" t="str">
        <f t="shared" si="2"/>
        <v>--</v>
      </c>
      <c r="P30" s="85" t="str">
        <f t="shared" ca="1" si="3"/>
        <v>--</v>
      </c>
      <c r="Q30" s="85" t="str">
        <f t="shared" si="4"/>
        <v>--</v>
      </c>
      <c r="R30" s="85" t="str">
        <f t="shared" si="5"/>
        <v>--</v>
      </c>
    </row>
    <row r="31" spans="2:18" x14ac:dyDescent="0.25">
      <c r="B31" s="144"/>
      <c r="C31" s="144"/>
      <c r="D31" s="144"/>
      <c r="E31" s="144"/>
      <c r="I31" s="71">
        <v>29</v>
      </c>
      <c r="J31" s="85" t="s">
        <v>109</v>
      </c>
      <c r="K31" s="85" t="s">
        <v>59</v>
      </c>
      <c r="L31" s="85" t="s">
        <v>53</v>
      </c>
      <c r="M31" s="86">
        <v>35196</v>
      </c>
      <c r="N31" s="87">
        <v>9625</v>
      </c>
      <c r="O31" s="85" t="str">
        <f t="shared" si="2"/>
        <v>--</v>
      </c>
      <c r="P31" s="85" t="str">
        <f t="shared" ca="1" si="3"/>
        <v>--</v>
      </c>
      <c r="Q31" s="85" t="str">
        <f t="shared" si="4"/>
        <v>--</v>
      </c>
      <c r="R31" s="85" t="str">
        <f t="shared" si="5"/>
        <v>--</v>
      </c>
    </row>
    <row r="32" spans="2:18" x14ac:dyDescent="0.25">
      <c r="B32" s="145"/>
      <c r="C32" s="145"/>
      <c r="D32" s="145"/>
      <c r="E32" s="145"/>
      <c r="I32" s="71">
        <v>30</v>
      </c>
      <c r="J32" s="85" t="s">
        <v>110</v>
      </c>
      <c r="K32" s="85" t="s">
        <v>71</v>
      </c>
      <c r="L32" s="85" t="s">
        <v>56</v>
      </c>
      <c r="M32" s="86">
        <v>32435</v>
      </c>
      <c r="N32" s="87">
        <v>14175</v>
      </c>
      <c r="O32" s="85" t="str">
        <f t="shared" si="2"/>
        <v>--</v>
      </c>
      <c r="P32" s="85" t="str">
        <f t="shared" ca="1" si="3"/>
        <v>--</v>
      </c>
      <c r="Q32" s="85" t="str">
        <f t="shared" si="4"/>
        <v>--</v>
      </c>
      <c r="R32" s="85" t="str">
        <f t="shared" si="5"/>
        <v>--</v>
      </c>
    </row>
    <row r="33" spans="2:18" x14ac:dyDescent="0.25">
      <c r="B33" s="146" t="s">
        <v>771</v>
      </c>
      <c r="C33" s="146" t="s">
        <v>1090</v>
      </c>
      <c r="D33" s="146" t="s">
        <v>736</v>
      </c>
      <c r="E33" s="146" t="s">
        <v>1091</v>
      </c>
      <c r="I33" s="71">
        <v>31</v>
      </c>
      <c r="J33" s="85" t="s">
        <v>111</v>
      </c>
      <c r="K33" s="85" t="s">
        <v>66</v>
      </c>
      <c r="L33" s="85" t="s">
        <v>53</v>
      </c>
      <c r="M33" s="86">
        <v>30225</v>
      </c>
      <c r="N33" s="87">
        <v>15750</v>
      </c>
      <c r="O33" s="85" t="str">
        <f t="shared" si="2"/>
        <v>--</v>
      </c>
      <c r="P33" s="85" t="str">
        <f t="shared" ca="1" si="3"/>
        <v>--</v>
      </c>
      <c r="Q33" s="85" t="str">
        <f t="shared" si="4"/>
        <v>--</v>
      </c>
      <c r="R33" s="85" t="str">
        <f t="shared" si="5"/>
        <v>--</v>
      </c>
    </row>
    <row r="34" spans="2:18" x14ac:dyDescent="0.25">
      <c r="B34" s="149" t="s">
        <v>1092</v>
      </c>
      <c r="C34" s="149" t="s">
        <v>1093</v>
      </c>
      <c r="D34" s="82">
        <v>1000</v>
      </c>
      <c r="E34" s="150" t="str">
        <f>IF(C34&gt;="YES","DISCOUNT","NOTDISCOUNT")</f>
        <v>DISCOUNT</v>
      </c>
      <c r="I34" s="71">
        <v>32</v>
      </c>
      <c r="J34" s="85" t="s">
        <v>112</v>
      </c>
      <c r="K34" s="85" t="s">
        <v>113</v>
      </c>
      <c r="L34" s="85" t="s">
        <v>60</v>
      </c>
      <c r="M34" s="86">
        <v>30225</v>
      </c>
      <c r="N34" s="87">
        <v>15750</v>
      </c>
      <c r="O34" s="85" t="str">
        <f t="shared" si="2"/>
        <v>--</v>
      </c>
      <c r="P34" s="85" t="str">
        <f t="shared" ca="1" si="3"/>
        <v>--</v>
      </c>
      <c r="Q34" s="85" t="str">
        <f t="shared" si="4"/>
        <v>--</v>
      </c>
      <c r="R34" s="85" t="str">
        <f t="shared" si="5"/>
        <v>--</v>
      </c>
    </row>
    <row r="35" spans="2:18" x14ac:dyDescent="0.25">
      <c r="B35" s="149" t="s">
        <v>1094</v>
      </c>
      <c r="C35" s="149" t="s">
        <v>1095</v>
      </c>
      <c r="D35" s="82">
        <v>2000</v>
      </c>
      <c r="E35" s="150" t="str">
        <f t="shared" ref="E35:E37" si="7">IF(C35&gt;="YES","DISCOUNT","NOTDISCOUNT")</f>
        <v>NOTDISCOUNT</v>
      </c>
      <c r="I35" s="71">
        <v>33</v>
      </c>
      <c r="J35" s="85" t="s">
        <v>114</v>
      </c>
      <c r="K35" s="85" t="s">
        <v>113</v>
      </c>
      <c r="L35" s="85" t="s">
        <v>53</v>
      </c>
      <c r="M35" s="86">
        <v>35618</v>
      </c>
      <c r="N35" s="87">
        <v>7000</v>
      </c>
      <c r="O35" s="85" t="str">
        <f t="shared" si="2"/>
        <v>--</v>
      </c>
      <c r="P35" s="85" t="str">
        <f t="shared" ca="1" si="3"/>
        <v>--</v>
      </c>
      <c r="Q35" s="85" t="str">
        <f t="shared" si="4"/>
        <v>--</v>
      </c>
      <c r="R35" s="85" t="str">
        <f t="shared" si="5"/>
        <v>--</v>
      </c>
    </row>
    <row r="36" spans="2:18" x14ac:dyDescent="0.25">
      <c r="B36" s="149" t="s">
        <v>1096</v>
      </c>
      <c r="C36" s="149" t="s">
        <v>1097</v>
      </c>
      <c r="D36" s="82">
        <v>500</v>
      </c>
      <c r="E36" s="150" t="str">
        <f t="shared" si="7"/>
        <v>NOTDISCOUNT</v>
      </c>
      <c r="I36" s="71">
        <v>34</v>
      </c>
      <c r="J36" s="85" t="s">
        <v>115</v>
      </c>
      <c r="K36" s="85" t="s">
        <v>113</v>
      </c>
      <c r="L36" s="85" t="s">
        <v>53</v>
      </c>
      <c r="M36" s="86">
        <v>33510</v>
      </c>
      <c r="N36" s="87">
        <v>8750</v>
      </c>
      <c r="O36" s="85" t="str">
        <f t="shared" si="2"/>
        <v>--</v>
      </c>
      <c r="P36" s="85" t="str">
        <f t="shared" ca="1" si="3"/>
        <v>--</v>
      </c>
      <c r="Q36" s="85" t="str">
        <f t="shared" si="4"/>
        <v>--</v>
      </c>
      <c r="R36" s="85" t="str">
        <f t="shared" si="5"/>
        <v>--</v>
      </c>
    </row>
    <row r="37" spans="2:18" x14ac:dyDescent="0.25">
      <c r="B37" s="149" t="s">
        <v>1098</v>
      </c>
      <c r="C37" s="149" t="s">
        <v>1093</v>
      </c>
      <c r="D37" s="82">
        <v>3000</v>
      </c>
      <c r="E37" s="150" t="str">
        <f t="shared" si="7"/>
        <v>DISCOUNT</v>
      </c>
      <c r="I37" s="71">
        <v>35</v>
      </c>
      <c r="J37" s="85" t="s">
        <v>117</v>
      </c>
      <c r="K37" s="85" t="s">
        <v>63</v>
      </c>
      <c r="L37" s="85" t="s">
        <v>60</v>
      </c>
      <c r="M37" s="86">
        <v>33729</v>
      </c>
      <c r="N37" s="87">
        <v>9275</v>
      </c>
      <c r="O37" s="85" t="str">
        <f t="shared" si="2"/>
        <v>yes</v>
      </c>
      <c r="P37" s="85" t="str">
        <f t="shared" ca="1" si="3"/>
        <v>--</v>
      </c>
      <c r="Q37" s="85" t="str">
        <f t="shared" si="4"/>
        <v>--</v>
      </c>
      <c r="R37" s="85" t="str">
        <f t="shared" si="5"/>
        <v>yes</v>
      </c>
    </row>
    <row r="38" spans="2:18" x14ac:dyDescent="0.25">
      <c r="I38" s="71">
        <v>36</v>
      </c>
      <c r="J38" s="85" t="s">
        <v>118</v>
      </c>
      <c r="K38" s="85" t="s">
        <v>71</v>
      </c>
      <c r="L38" s="85" t="s">
        <v>72</v>
      </c>
      <c r="M38" s="86">
        <v>34580</v>
      </c>
      <c r="N38" s="87">
        <v>11725</v>
      </c>
      <c r="O38" s="85" t="str">
        <f t="shared" si="2"/>
        <v>--</v>
      </c>
      <c r="P38" s="85" t="str">
        <f t="shared" ca="1" si="3"/>
        <v>--</v>
      </c>
      <c r="Q38" s="85" t="str">
        <f t="shared" si="4"/>
        <v>--</v>
      </c>
      <c r="R38" s="85" t="str">
        <f t="shared" si="5"/>
        <v>--</v>
      </c>
    </row>
    <row r="39" spans="2:18" x14ac:dyDescent="0.25">
      <c r="I39" s="71">
        <v>37</v>
      </c>
      <c r="J39" s="85" t="s">
        <v>120</v>
      </c>
      <c r="K39" s="85" t="s">
        <v>81</v>
      </c>
      <c r="L39" s="85" t="s">
        <v>60</v>
      </c>
      <c r="M39" s="86">
        <v>30225</v>
      </c>
      <c r="N39" s="87">
        <v>24500</v>
      </c>
      <c r="O39" s="85" t="str">
        <f t="shared" si="2"/>
        <v>--</v>
      </c>
      <c r="P39" s="85" t="str">
        <f t="shared" ca="1" si="3"/>
        <v>--</v>
      </c>
      <c r="Q39" s="85" t="str">
        <f t="shared" si="4"/>
        <v>--</v>
      </c>
      <c r="R39" s="85" t="str">
        <f t="shared" si="5"/>
        <v>--</v>
      </c>
    </row>
    <row r="40" spans="2:18" x14ac:dyDescent="0.25">
      <c r="I40" s="71">
        <v>38</v>
      </c>
      <c r="J40" s="85" t="s">
        <v>122</v>
      </c>
      <c r="K40" s="85" t="s">
        <v>81</v>
      </c>
      <c r="L40" s="85" t="s">
        <v>53</v>
      </c>
      <c r="M40" s="86">
        <v>30225</v>
      </c>
      <c r="N40" s="87">
        <v>24500</v>
      </c>
      <c r="O40" s="85" t="str">
        <f t="shared" si="2"/>
        <v>--</v>
      </c>
      <c r="P40" s="85" t="str">
        <f t="shared" ca="1" si="3"/>
        <v>--</v>
      </c>
      <c r="Q40" s="85" t="str">
        <f t="shared" si="4"/>
        <v>--</v>
      </c>
      <c r="R40" s="85" t="str">
        <f t="shared" si="5"/>
        <v>--</v>
      </c>
    </row>
    <row r="41" spans="2:18" x14ac:dyDescent="0.25">
      <c r="I41" s="71">
        <v>39</v>
      </c>
      <c r="J41" s="85" t="s">
        <v>124</v>
      </c>
      <c r="K41" s="85" t="s">
        <v>81</v>
      </c>
      <c r="L41" s="85" t="s">
        <v>53</v>
      </c>
      <c r="M41" s="86">
        <v>30225</v>
      </c>
      <c r="N41" s="87">
        <v>24500</v>
      </c>
      <c r="O41" s="85" t="str">
        <f t="shared" si="2"/>
        <v>--</v>
      </c>
      <c r="P41" s="85" t="str">
        <f t="shared" ca="1" si="3"/>
        <v>--</v>
      </c>
      <c r="Q41" s="85" t="str">
        <f t="shared" si="4"/>
        <v>--</v>
      </c>
      <c r="R41" s="85" t="str">
        <f t="shared" si="5"/>
        <v>--</v>
      </c>
    </row>
    <row r="42" spans="2:18" x14ac:dyDescent="0.25">
      <c r="I42" s="71">
        <v>40</v>
      </c>
      <c r="J42" s="85" t="s">
        <v>126</v>
      </c>
      <c r="K42" s="85" t="s">
        <v>52</v>
      </c>
      <c r="L42" s="85" t="s">
        <v>60</v>
      </c>
      <c r="M42" s="86">
        <v>33510</v>
      </c>
      <c r="N42" s="87">
        <v>10500</v>
      </c>
      <c r="O42" s="85" t="str">
        <f t="shared" si="2"/>
        <v>--</v>
      </c>
      <c r="P42" s="85" t="str">
        <f t="shared" ca="1" si="3"/>
        <v>--</v>
      </c>
      <c r="Q42" s="85" t="str">
        <f t="shared" si="4"/>
        <v>--</v>
      </c>
      <c r="R42" s="85" t="str">
        <f t="shared" si="5"/>
        <v>--</v>
      </c>
    </row>
    <row r="43" spans="2:18" x14ac:dyDescent="0.25">
      <c r="I43" s="71">
        <v>41</v>
      </c>
      <c r="J43" s="85" t="s">
        <v>127</v>
      </c>
      <c r="K43" s="85" t="s">
        <v>59</v>
      </c>
      <c r="L43" s="85" t="s">
        <v>56</v>
      </c>
      <c r="M43" s="86">
        <v>35595</v>
      </c>
      <c r="N43" s="87">
        <v>7875</v>
      </c>
      <c r="O43" s="85" t="str">
        <f t="shared" si="2"/>
        <v>--</v>
      </c>
      <c r="P43" s="85" t="str">
        <f t="shared" ca="1" si="3"/>
        <v>--</v>
      </c>
      <c r="Q43" s="85" t="str">
        <f t="shared" si="4"/>
        <v>--</v>
      </c>
      <c r="R43" s="85" t="str">
        <f t="shared" si="5"/>
        <v>--</v>
      </c>
    </row>
    <row r="44" spans="2:18" x14ac:dyDescent="0.25">
      <c r="I44" s="71">
        <v>42</v>
      </c>
      <c r="J44" s="85" t="s">
        <v>128</v>
      </c>
      <c r="K44" s="85" t="s">
        <v>66</v>
      </c>
      <c r="L44" s="85" t="s">
        <v>56</v>
      </c>
      <c r="M44" s="86">
        <v>33510</v>
      </c>
      <c r="N44" s="87">
        <v>13300</v>
      </c>
      <c r="O44" s="85" t="str">
        <f t="shared" si="2"/>
        <v>--</v>
      </c>
      <c r="P44" s="85" t="str">
        <f t="shared" ca="1" si="3"/>
        <v>--</v>
      </c>
      <c r="Q44" s="85" t="str">
        <f t="shared" si="4"/>
        <v>--</v>
      </c>
      <c r="R44" s="85" t="str">
        <f t="shared" si="5"/>
        <v>--</v>
      </c>
    </row>
    <row r="45" spans="2:18" x14ac:dyDescent="0.25">
      <c r="I45" s="71">
        <v>43</v>
      </c>
      <c r="J45" s="85" t="s">
        <v>129</v>
      </c>
      <c r="K45" s="85" t="s">
        <v>71</v>
      </c>
      <c r="L45" s="85" t="s">
        <v>72</v>
      </c>
      <c r="M45" s="86">
        <v>32435</v>
      </c>
      <c r="N45" s="87">
        <v>15750</v>
      </c>
      <c r="O45" s="85" t="str">
        <f t="shared" si="2"/>
        <v>--</v>
      </c>
      <c r="P45" s="85" t="str">
        <f t="shared" ca="1" si="3"/>
        <v>--</v>
      </c>
      <c r="Q45" s="85" t="str">
        <f t="shared" si="4"/>
        <v>--</v>
      </c>
      <c r="R45" s="85" t="str">
        <f t="shared" si="5"/>
        <v>--</v>
      </c>
    </row>
    <row r="46" spans="2:18" x14ac:dyDescent="0.25">
      <c r="I46" s="71">
        <v>44</v>
      </c>
      <c r="J46" s="85" t="s">
        <v>130</v>
      </c>
      <c r="K46" s="85" t="s">
        <v>71</v>
      </c>
      <c r="L46" s="85" t="s">
        <v>56</v>
      </c>
      <c r="M46" s="86">
        <v>33194</v>
      </c>
      <c r="N46" s="87">
        <v>13825</v>
      </c>
      <c r="O46" s="85" t="str">
        <f t="shared" si="2"/>
        <v>--</v>
      </c>
      <c r="P46" s="85" t="str">
        <f t="shared" ca="1" si="3"/>
        <v>--</v>
      </c>
      <c r="Q46" s="85" t="str">
        <f t="shared" si="4"/>
        <v>--</v>
      </c>
      <c r="R46" s="85" t="str">
        <f t="shared" si="5"/>
        <v>--</v>
      </c>
    </row>
    <row r="47" spans="2:18" x14ac:dyDescent="0.25">
      <c r="I47" s="71">
        <v>45</v>
      </c>
      <c r="J47" s="85" t="s">
        <v>131</v>
      </c>
      <c r="K47" s="85" t="s">
        <v>66</v>
      </c>
      <c r="L47" s="85" t="s">
        <v>53</v>
      </c>
      <c r="M47" s="86">
        <v>35618</v>
      </c>
      <c r="N47" s="87">
        <v>11375</v>
      </c>
      <c r="O47" s="85" t="str">
        <f t="shared" si="2"/>
        <v>--</v>
      </c>
      <c r="P47" s="85" t="str">
        <f t="shared" ca="1" si="3"/>
        <v>--</v>
      </c>
      <c r="Q47" s="85" t="str">
        <f t="shared" si="4"/>
        <v>--</v>
      </c>
      <c r="R47" s="85" t="str">
        <f t="shared" si="5"/>
        <v>--</v>
      </c>
    </row>
    <row r="48" spans="2:18" x14ac:dyDescent="0.25">
      <c r="I48" s="71">
        <v>46</v>
      </c>
      <c r="J48" s="85" t="s">
        <v>132</v>
      </c>
      <c r="K48" s="85" t="s">
        <v>52</v>
      </c>
      <c r="L48" s="85" t="s">
        <v>53</v>
      </c>
      <c r="M48" s="86">
        <v>33510</v>
      </c>
      <c r="N48" s="87">
        <v>15750</v>
      </c>
      <c r="O48" s="85" t="str">
        <f t="shared" si="2"/>
        <v>--</v>
      </c>
      <c r="P48" s="85" t="str">
        <f t="shared" ca="1" si="3"/>
        <v>--</v>
      </c>
      <c r="Q48" s="85" t="str">
        <f t="shared" si="4"/>
        <v>--</v>
      </c>
      <c r="R48" s="85" t="str">
        <f t="shared" si="5"/>
        <v>--</v>
      </c>
    </row>
    <row r="49" spans="9:18" x14ac:dyDescent="0.25">
      <c r="I49" s="71">
        <v>47</v>
      </c>
      <c r="J49" s="85" t="s">
        <v>133</v>
      </c>
      <c r="K49" s="85" t="s">
        <v>59</v>
      </c>
      <c r="L49" s="85" t="s">
        <v>53</v>
      </c>
      <c r="M49" s="86">
        <v>32180</v>
      </c>
      <c r="N49" s="87">
        <v>15750</v>
      </c>
      <c r="O49" s="85" t="str">
        <f t="shared" si="2"/>
        <v>--</v>
      </c>
      <c r="P49" s="85" t="str">
        <f t="shared" ca="1" si="3"/>
        <v>--</v>
      </c>
      <c r="Q49" s="85" t="str">
        <f t="shared" si="4"/>
        <v>--</v>
      </c>
      <c r="R49" s="85" t="str">
        <f t="shared" si="5"/>
        <v>--</v>
      </c>
    </row>
    <row r="50" spans="9:18" x14ac:dyDescent="0.25">
      <c r="I50" s="71">
        <v>48</v>
      </c>
      <c r="J50" s="85" t="s">
        <v>134</v>
      </c>
      <c r="K50" s="85" t="s">
        <v>113</v>
      </c>
      <c r="L50" s="85" t="s">
        <v>72</v>
      </c>
      <c r="M50" s="86">
        <v>32435</v>
      </c>
      <c r="N50" s="87">
        <v>15750</v>
      </c>
      <c r="O50" s="85" t="str">
        <f t="shared" si="2"/>
        <v>--</v>
      </c>
      <c r="P50" s="85" t="str">
        <f t="shared" ca="1" si="3"/>
        <v>--</v>
      </c>
      <c r="Q50" s="85" t="str">
        <f t="shared" si="4"/>
        <v>--</v>
      </c>
      <c r="R50" s="85" t="str">
        <f t="shared" si="5"/>
        <v>--</v>
      </c>
    </row>
    <row r="51" spans="9:18" x14ac:dyDescent="0.25">
      <c r="I51" s="71">
        <v>49</v>
      </c>
      <c r="J51" s="85" t="s">
        <v>136</v>
      </c>
      <c r="K51" s="85" t="s">
        <v>113</v>
      </c>
      <c r="L51" s="85" t="s">
        <v>60</v>
      </c>
      <c r="M51" s="86">
        <v>32435</v>
      </c>
      <c r="N51" s="87">
        <v>15750</v>
      </c>
      <c r="O51" s="85" t="str">
        <f t="shared" si="2"/>
        <v>--</v>
      </c>
      <c r="P51" s="85" t="str">
        <f t="shared" ca="1" si="3"/>
        <v>--</v>
      </c>
      <c r="Q51" s="85" t="str">
        <f t="shared" si="4"/>
        <v>--</v>
      </c>
      <c r="R51" s="85" t="str">
        <f t="shared" si="5"/>
        <v>--</v>
      </c>
    </row>
    <row r="52" spans="9:18" x14ac:dyDescent="0.25">
      <c r="I52" s="71">
        <v>50</v>
      </c>
      <c r="J52" s="85" t="s">
        <v>137</v>
      </c>
      <c r="K52" s="85" t="s">
        <v>71</v>
      </c>
      <c r="L52" s="85" t="s">
        <v>72</v>
      </c>
      <c r="M52" s="86">
        <v>32435</v>
      </c>
      <c r="N52" s="87">
        <v>15750</v>
      </c>
      <c r="O52" s="85" t="str">
        <f t="shared" si="2"/>
        <v>--</v>
      </c>
      <c r="P52" s="85" t="str">
        <f t="shared" ca="1" si="3"/>
        <v>--</v>
      </c>
      <c r="Q52" s="85" t="str">
        <f t="shared" si="4"/>
        <v>--</v>
      </c>
      <c r="R52" s="85" t="str">
        <f t="shared" si="5"/>
        <v>--</v>
      </c>
    </row>
    <row r="53" spans="9:18" x14ac:dyDescent="0.25">
      <c r="I53" s="71">
        <v>51</v>
      </c>
      <c r="J53" s="85" t="s">
        <v>138</v>
      </c>
      <c r="K53" s="85" t="s">
        <v>52</v>
      </c>
      <c r="L53" s="85" t="s">
        <v>53</v>
      </c>
      <c r="M53" s="86">
        <v>32436</v>
      </c>
      <c r="N53" s="87">
        <v>15750</v>
      </c>
      <c r="O53" s="85" t="str">
        <f t="shared" si="2"/>
        <v>--</v>
      </c>
      <c r="P53" s="85" t="str">
        <f t="shared" ca="1" si="3"/>
        <v>--</v>
      </c>
      <c r="Q53" s="85" t="str">
        <f t="shared" si="4"/>
        <v>--</v>
      </c>
      <c r="R53" s="85" t="str">
        <f t="shared" si="5"/>
        <v>--</v>
      </c>
    </row>
    <row r="54" spans="9:18" x14ac:dyDescent="0.25">
      <c r="I54" s="71">
        <v>52</v>
      </c>
      <c r="J54" s="85" t="s">
        <v>139</v>
      </c>
      <c r="K54" s="85" t="s">
        <v>113</v>
      </c>
      <c r="L54" s="85" t="s">
        <v>53</v>
      </c>
      <c r="M54" s="86">
        <v>32437</v>
      </c>
      <c r="N54" s="87">
        <v>19250</v>
      </c>
      <c r="O54" s="85" t="str">
        <f t="shared" si="2"/>
        <v>--</v>
      </c>
      <c r="P54" s="85" t="str">
        <f t="shared" ca="1" si="3"/>
        <v>--</v>
      </c>
      <c r="Q54" s="85" t="str">
        <f t="shared" si="4"/>
        <v>--</v>
      </c>
      <c r="R54" s="85" t="str">
        <f t="shared" si="5"/>
        <v>--</v>
      </c>
    </row>
    <row r="55" spans="9:18" x14ac:dyDescent="0.25">
      <c r="I55" s="71">
        <v>53</v>
      </c>
      <c r="J55" s="85" t="s">
        <v>140</v>
      </c>
      <c r="K55" s="85" t="s">
        <v>113</v>
      </c>
      <c r="L55" s="85" t="s">
        <v>72</v>
      </c>
      <c r="M55" s="86">
        <v>35034</v>
      </c>
      <c r="N55" s="87">
        <v>15750</v>
      </c>
      <c r="O55" s="85" t="str">
        <f t="shared" si="2"/>
        <v>--</v>
      </c>
      <c r="P55" s="85" t="str">
        <f t="shared" ca="1" si="3"/>
        <v>--</v>
      </c>
      <c r="Q55" s="85" t="str">
        <f t="shared" si="4"/>
        <v>--</v>
      </c>
      <c r="R55" s="85" t="str">
        <f t="shared" si="5"/>
        <v>--</v>
      </c>
    </row>
    <row r="56" spans="9:18" x14ac:dyDescent="0.25">
      <c r="I56" s="71">
        <v>54</v>
      </c>
      <c r="J56" s="85" t="s">
        <v>142</v>
      </c>
      <c r="K56" s="85" t="s">
        <v>113</v>
      </c>
      <c r="L56" s="85" t="s">
        <v>56</v>
      </c>
      <c r="M56" s="86">
        <v>34761</v>
      </c>
      <c r="N56" s="87">
        <v>15750</v>
      </c>
      <c r="O56" s="85" t="str">
        <f t="shared" si="2"/>
        <v>--</v>
      </c>
      <c r="P56" s="85" t="str">
        <f t="shared" ca="1" si="3"/>
        <v>--</v>
      </c>
      <c r="Q56" s="85" t="str">
        <f t="shared" si="4"/>
        <v>--</v>
      </c>
      <c r="R56" s="85" t="str">
        <f t="shared" si="5"/>
        <v>--</v>
      </c>
    </row>
    <row r="57" spans="9:18" x14ac:dyDescent="0.25">
      <c r="I57" s="71">
        <v>55</v>
      </c>
      <c r="J57" s="85" t="s">
        <v>144</v>
      </c>
      <c r="K57" s="85" t="s">
        <v>113</v>
      </c>
      <c r="L57" s="85" t="s">
        <v>56</v>
      </c>
      <c r="M57" s="86">
        <v>31717</v>
      </c>
      <c r="N57" s="87">
        <v>15750</v>
      </c>
      <c r="O57" s="85" t="str">
        <f t="shared" si="2"/>
        <v>--</v>
      </c>
      <c r="P57" s="85" t="str">
        <f t="shared" ca="1" si="3"/>
        <v>--</v>
      </c>
      <c r="Q57" s="85" t="str">
        <f t="shared" si="4"/>
        <v>--</v>
      </c>
      <c r="R57" s="85" t="str">
        <f t="shared" si="5"/>
        <v>--</v>
      </c>
    </row>
    <row r="58" spans="9:18" x14ac:dyDescent="0.25">
      <c r="I58" s="71">
        <v>56</v>
      </c>
      <c r="J58" s="85" t="s">
        <v>146</v>
      </c>
      <c r="K58" s="85" t="s">
        <v>52</v>
      </c>
      <c r="L58" s="85" t="s">
        <v>72</v>
      </c>
      <c r="M58" s="86">
        <v>33878</v>
      </c>
      <c r="N58" s="87">
        <v>14875</v>
      </c>
      <c r="O58" s="85" t="str">
        <f t="shared" si="2"/>
        <v>--</v>
      </c>
      <c r="P58" s="85" t="str">
        <f t="shared" ca="1" si="3"/>
        <v>--</v>
      </c>
      <c r="Q58" s="85" t="str">
        <f t="shared" si="4"/>
        <v>--</v>
      </c>
      <c r="R58" s="85" t="str">
        <f t="shared" si="5"/>
        <v>--</v>
      </c>
    </row>
    <row r="59" spans="9:18" x14ac:dyDescent="0.25">
      <c r="I59" s="71">
        <v>57</v>
      </c>
      <c r="J59" s="85" t="s">
        <v>147</v>
      </c>
      <c r="K59" s="85" t="s">
        <v>52</v>
      </c>
      <c r="L59" s="85" t="s">
        <v>60</v>
      </c>
      <c r="M59" s="86">
        <v>34098</v>
      </c>
      <c r="N59" s="87">
        <v>14875</v>
      </c>
      <c r="O59" s="85" t="str">
        <f t="shared" si="2"/>
        <v>--</v>
      </c>
      <c r="P59" s="85" t="str">
        <f t="shared" ca="1" si="3"/>
        <v>--</v>
      </c>
      <c r="Q59" s="85" t="str">
        <f t="shared" si="4"/>
        <v>--</v>
      </c>
      <c r="R59" s="85" t="str">
        <f t="shared" si="5"/>
        <v>--</v>
      </c>
    </row>
    <row r="60" spans="9:18" x14ac:dyDescent="0.25">
      <c r="I60" s="71">
        <v>58</v>
      </c>
      <c r="J60" s="85" t="s">
        <v>149</v>
      </c>
      <c r="K60" s="85" t="s">
        <v>63</v>
      </c>
      <c r="L60" s="85" t="s">
        <v>53</v>
      </c>
      <c r="M60" s="86">
        <v>33182</v>
      </c>
      <c r="N60" s="87">
        <v>17500</v>
      </c>
      <c r="O60" s="85" t="str">
        <f t="shared" si="2"/>
        <v>yes</v>
      </c>
      <c r="P60" s="85" t="str">
        <f t="shared" ca="1" si="3"/>
        <v>--</v>
      </c>
      <c r="Q60" s="85" t="str">
        <f t="shared" si="4"/>
        <v>--</v>
      </c>
      <c r="R60" s="85" t="str">
        <f t="shared" si="5"/>
        <v>--</v>
      </c>
    </row>
    <row r="61" spans="9:18" x14ac:dyDescent="0.25">
      <c r="I61" s="71">
        <v>59</v>
      </c>
      <c r="J61" s="85" t="s">
        <v>150</v>
      </c>
      <c r="K61" s="85" t="s">
        <v>59</v>
      </c>
      <c r="L61" s="85" t="s">
        <v>60</v>
      </c>
      <c r="M61" s="86">
        <v>31791</v>
      </c>
      <c r="N61" s="87">
        <v>19250</v>
      </c>
      <c r="O61" s="85" t="str">
        <f t="shared" si="2"/>
        <v>--</v>
      </c>
      <c r="P61" s="85" t="str">
        <f t="shared" ca="1" si="3"/>
        <v>--</v>
      </c>
      <c r="Q61" s="85" t="str">
        <f t="shared" si="4"/>
        <v>--</v>
      </c>
      <c r="R61" s="85" t="str">
        <f t="shared" si="5"/>
        <v>--</v>
      </c>
    </row>
    <row r="62" spans="9:18" x14ac:dyDescent="0.25">
      <c r="I62" s="71">
        <v>60</v>
      </c>
      <c r="J62" s="85" t="s">
        <v>151</v>
      </c>
      <c r="K62" s="85" t="s">
        <v>63</v>
      </c>
      <c r="L62" s="85" t="s">
        <v>60</v>
      </c>
      <c r="M62" s="86">
        <v>32105</v>
      </c>
      <c r="N62" s="87">
        <v>19250</v>
      </c>
      <c r="O62" s="85" t="str">
        <f t="shared" si="2"/>
        <v>yes</v>
      </c>
      <c r="P62" s="85" t="str">
        <f t="shared" ca="1" si="3"/>
        <v>--</v>
      </c>
      <c r="Q62" s="85" t="str">
        <f t="shared" si="4"/>
        <v>--</v>
      </c>
      <c r="R62" s="85" t="str">
        <f t="shared" si="5"/>
        <v>yes</v>
      </c>
    </row>
    <row r="63" spans="9:18" x14ac:dyDescent="0.25">
      <c r="I63" s="71">
        <v>61</v>
      </c>
      <c r="J63" s="85" t="s">
        <v>153</v>
      </c>
      <c r="K63" s="85" t="s">
        <v>59</v>
      </c>
      <c r="L63" s="85" t="s">
        <v>53</v>
      </c>
      <c r="M63" s="86">
        <v>32106</v>
      </c>
      <c r="N63" s="87">
        <v>19250</v>
      </c>
      <c r="O63" s="85" t="str">
        <f t="shared" si="2"/>
        <v>--</v>
      </c>
      <c r="P63" s="85" t="str">
        <f t="shared" ca="1" si="3"/>
        <v>--</v>
      </c>
      <c r="Q63" s="85" t="str">
        <f t="shared" si="4"/>
        <v>--</v>
      </c>
      <c r="R63" s="85" t="str">
        <f t="shared" si="5"/>
        <v>--</v>
      </c>
    </row>
    <row r="64" spans="9:18" x14ac:dyDescent="0.25">
      <c r="I64" s="71">
        <v>62</v>
      </c>
      <c r="J64" s="85" t="s">
        <v>154</v>
      </c>
      <c r="K64" s="85" t="s">
        <v>52</v>
      </c>
      <c r="L64" s="85" t="s">
        <v>53</v>
      </c>
      <c r="M64" s="86">
        <v>32107</v>
      </c>
      <c r="N64" s="87">
        <v>19250</v>
      </c>
      <c r="O64" s="85" t="str">
        <f t="shared" si="2"/>
        <v>--</v>
      </c>
      <c r="P64" s="85" t="str">
        <f t="shared" ca="1" si="3"/>
        <v>--</v>
      </c>
      <c r="Q64" s="85" t="str">
        <f t="shared" si="4"/>
        <v>--</v>
      </c>
      <c r="R64" s="85" t="str">
        <f t="shared" si="5"/>
        <v>--</v>
      </c>
    </row>
    <row r="65" spans="9:18" x14ac:dyDescent="0.25">
      <c r="I65" s="71">
        <v>63</v>
      </c>
      <c r="J65" s="85" t="s">
        <v>155</v>
      </c>
      <c r="K65" s="85" t="s">
        <v>66</v>
      </c>
      <c r="L65" s="85" t="s">
        <v>53</v>
      </c>
      <c r="M65" s="86">
        <v>32440</v>
      </c>
      <c r="N65" s="87">
        <v>17500</v>
      </c>
      <c r="O65" s="85" t="str">
        <f t="shared" si="2"/>
        <v>--</v>
      </c>
      <c r="P65" s="85" t="str">
        <f t="shared" ca="1" si="3"/>
        <v>--</v>
      </c>
      <c r="Q65" s="85" t="str">
        <f t="shared" si="4"/>
        <v>--</v>
      </c>
      <c r="R65" s="85" t="str">
        <f t="shared" si="5"/>
        <v>--</v>
      </c>
    </row>
    <row r="66" spans="9:18" x14ac:dyDescent="0.25">
      <c r="I66" s="71">
        <v>64</v>
      </c>
      <c r="J66" s="85" t="s">
        <v>156</v>
      </c>
      <c r="K66" s="85" t="s">
        <v>71</v>
      </c>
      <c r="L66" s="85" t="s">
        <v>60</v>
      </c>
      <c r="M66" s="86">
        <v>32441</v>
      </c>
      <c r="N66" s="87">
        <v>17500</v>
      </c>
      <c r="O66" s="85" t="str">
        <f t="shared" si="2"/>
        <v>--</v>
      </c>
      <c r="P66" s="85" t="str">
        <f t="shared" ca="1" si="3"/>
        <v>--</v>
      </c>
      <c r="Q66" s="85" t="str">
        <f t="shared" si="4"/>
        <v>--</v>
      </c>
      <c r="R66" s="85" t="str">
        <f t="shared" si="5"/>
        <v>--</v>
      </c>
    </row>
    <row r="67" spans="9:18" x14ac:dyDescent="0.25">
      <c r="I67" s="71">
        <v>65</v>
      </c>
      <c r="J67" s="85" t="s">
        <v>157</v>
      </c>
      <c r="K67" s="85" t="s">
        <v>113</v>
      </c>
      <c r="L67" s="85" t="s">
        <v>56</v>
      </c>
      <c r="M67" s="86">
        <v>32442</v>
      </c>
      <c r="N67" s="87">
        <v>17500</v>
      </c>
      <c r="O67" s="85" t="str">
        <f t="shared" si="2"/>
        <v>--</v>
      </c>
      <c r="P67" s="85" t="str">
        <f t="shared" ca="1" si="3"/>
        <v>--</v>
      </c>
      <c r="Q67" s="85" t="str">
        <f t="shared" si="4"/>
        <v>--</v>
      </c>
      <c r="R67" s="85" t="str">
        <f t="shared" si="5"/>
        <v>--</v>
      </c>
    </row>
    <row r="68" spans="9:18" x14ac:dyDescent="0.25">
      <c r="I68" s="71">
        <v>66</v>
      </c>
      <c r="J68" s="85" t="s">
        <v>158</v>
      </c>
      <c r="K68" s="85" t="s">
        <v>71</v>
      </c>
      <c r="L68" s="85" t="s">
        <v>53</v>
      </c>
      <c r="M68" s="86">
        <v>32427</v>
      </c>
      <c r="N68" s="87">
        <v>17500</v>
      </c>
      <c r="O68" s="85" t="str">
        <f t="shared" ref="O68:O102" si="8">IF(K68="mktg","yes","--")</f>
        <v>--</v>
      </c>
      <c r="P68" s="85" t="str">
        <f t="shared" ref="P68:P102" ca="1" si="9">IF(DATE(YEAR(TODAY()),MONTH(M68),DAY(M68))=TODAY(),"happy birthday","--")</f>
        <v>--</v>
      </c>
      <c r="Q68" s="85" t="str">
        <f t="shared" ref="Q68:Q102" si="10">IF(AND(K68="mktg",L68="east"),"yes","--")</f>
        <v>--</v>
      </c>
      <c r="R68" s="85" t="str">
        <f t="shared" ref="R68:R102" si="11">IF(AND(K68="mktg",OR(L68="east",L68="south")),"yes","--")</f>
        <v>--</v>
      </c>
    </row>
    <row r="69" spans="9:18" x14ac:dyDescent="0.25">
      <c r="I69" s="71">
        <v>67</v>
      </c>
      <c r="J69" s="85" t="s">
        <v>159</v>
      </c>
      <c r="K69" s="85" t="s">
        <v>71</v>
      </c>
      <c r="L69" s="85" t="s">
        <v>53</v>
      </c>
      <c r="M69" s="86">
        <v>32444</v>
      </c>
      <c r="N69" s="87">
        <v>20125</v>
      </c>
      <c r="O69" s="85" t="str">
        <f t="shared" si="8"/>
        <v>--</v>
      </c>
      <c r="P69" s="85" t="str">
        <f t="shared" ca="1" si="9"/>
        <v>--</v>
      </c>
      <c r="Q69" s="85" t="str">
        <f t="shared" si="10"/>
        <v>--</v>
      </c>
      <c r="R69" s="85" t="str">
        <f t="shared" si="11"/>
        <v>--</v>
      </c>
    </row>
    <row r="70" spans="9:18" x14ac:dyDescent="0.25">
      <c r="I70" s="71">
        <v>68</v>
      </c>
      <c r="J70" s="85" t="s">
        <v>160</v>
      </c>
      <c r="K70" s="85" t="s">
        <v>52</v>
      </c>
      <c r="L70" s="85" t="s">
        <v>53</v>
      </c>
      <c r="M70" s="86">
        <v>35034</v>
      </c>
      <c r="N70" s="87">
        <v>14000</v>
      </c>
      <c r="O70" s="85" t="str">
        <f t="shared" si="8"/>
        <v>--</v>
      </c>
      <c r="P70" s="85" t="str">
        <f t="shared" ca="1" si="9"/>
        <v>--</v>
      </c>
      <c r="Q70" s="85" t="str">
        <f t="shared" si="10"/>
        <v>--</v>
      </c>
      <c r="R70" s="85" t="str">
        <f t="shared" si="11"/>
        <v>--</v>
      </c>
    </row>
    <row r="71" spans="9:18" x14ac:dyDescent="0.25">
      <c r="I71" s="71">
        <v>69</v>
      </c>
      <c r="J71" s="85" t="s">
        <v>161</v>
      </c>
      <c r="K71" s="85" t="s">
        <v>71</v>
      </c>
      <c r="L71" s="85" t="s">
        <v>53</v>
      </c>
      <c r="M71" s="86">
        <v>34761</v>
      </c>
      <c r="N71" s="87">
        <v>14000</v>
      </c>
      <c r="O71" s="85" t="str">
        <f t="shared" si="8"/>
        <v>--</v>
      </c>
      <c r="P71" s="85" t="str">
        <f t="shared" ca="1" si="9"/>
        <v>--</v>
      </c>
      <c r="Q71" s="85" t="str">
        <f t="shared" si="10"/>
        <v>--</v>
      </c>
      <c r="R71" s="85" t="str">
        <f t="shared" si="11"/>
        <v>--</v>
      </c>
    </row>
    <row r="72" spans="9:18" x14ac:dyDescent="0.25">
      <c r="I72" s="71">
        <v>70</v>
      </c>
      <c r="J72" s="85" t="s">
        <v>162</v>
      </c>
      <c r="K72" s="85" t="s">
        <v>63</v>
      </c>
      <c r="L72" s="85" t="s">
        <v>56</v>
      </c>
      <c r="M72" s="86">
        <v>34762</v>
      </c>
      <c r="N72" s="87">
        <v>14000</v>
      </c>
      <c r="O72" s="85" t="str">
        <f t="shared" si="8"/>
        <v>yes</v>
      </c>
      <c r="P72" s="85" t="str">
        <f t="shared" ca="1" si="9"/>
        <v>--</v>
      </c>
      <c r="Q72" s="85" t="str">
        <f t="shared" si="10"/>
        <v>yes</v>
      </c>
      <c r="R72" s="85" t="str">
        <f t="shared" si="11"/>
        <v>yes</v>
      </c>
    </row>
    <row r="73" spans="9:18" x14ac:dyDescent="0.25">
      <c r="I73" s="71">
        <v>71</v>
      </c>
      <c r="J73" s="85" t="s">
        <v>163</v>
      </c>
      <c r="K73" s="85" t="s">
        <v>66</v>
      </c>
      <c r="L73" s="85" t="s">
        <v>72</v>
      </c>
      <c r="M73" s="86">
        <v>34763</v>
      </c>
      <c r="N73" s="87">
        <v>14000</v>
      </c>
      <c r="O73" s="85" t="str">
        <f t="shared" si="8"/>
        <v>--</v>
      </c>
      <c r="P73" s="85" t="str">
        <f t="shared" ca="1" si="9"/>
        <v>--</v>
      </c>
      <c r="Q73" s="85" t="str">
        <f t="shared" si="10"/>
        <v>--</v>
      </c>
      <c r="R73" s="85" t="str">
        <f t="shared" si="11"/>
        <v>--</v>
      </c>
    </row>
    <row r="74" spans="9:18" x14ac:dyDescent="0.25">
      <c r="I74" s="71">
        <v>72</v>
      </c>
      <c r="J74" s="85" t="s">
        <v>165</v>
      </c>
      <c r="K74" s="85" t="s">
        <v>66</v>
      </c>
      <c r="L74" s="85" t="s">
        <v>60</v>
      </c>
      <c r="M74" s="86">
        <v>32438</v>
      </c>
      <c r="N74" s="87">
        <v>17500</v>
      </c>
      <c r="O74" s="85" t="str">
        <f t="shared" si="8"/>
        <v>--</v>
      </c>
      <c r="P74" s="85" t="str">
        <f t="shared" ca="1" si="9"/>
        <v>--</v>
      </c>
      <c r="Q74" s="85" t="str">
        <f t="shared" si="10"/>
        <v>--</v>
      </c>
      <c r="R74" s="85" t="str">
        <f t="shared" si="11"/>
        <v>--</v>
      </c>
    </row>
    <row r="75" spans="9:18" x14ac:dyDescent="0.25">
      <c r="I75" s="71">
        <v>73</v>
      </c>
      <c r="J75" s="85" t="s">
        <v>166</v>
      </c>
      <c r="K75" s="85" t="s">
        <v>113</v>
      </c>
      <c r="L75" s="85" t="s">
        <v>53</v>
      </c>
      <c r="M75" s="86">
        <v>32439</v>
      </c>
      <c r="N75" s="87">
        <v>17500</v>
      </c>
      <c r="O75" s="85" t="str">
        <f t="shared" si="8"/>
        <v>--</v>
      </c>
      <c r="P75" s="85" t="str">
        <f t="shared" ca="1" si="9"/>
        <v>--</v>
      </c>
      <c r="Q75" s="85" t="str">
        <f t="shared" si="10"/>
        <v>--</v>
      </c>
      <c r="R75" s="85" t="str">
        <f t="shared" si="11"/>
        <v>--</v>
      </c>
    </row>
    <row r="76" spans="9:18" x14ac:dyDescent="0.25">
      <c r="I76" s="71">
        <v>74</v>
      </c>
      <c r="J76" s="85" t="s">
        <v>167</v>
      </c>
      <c r="K76" s="85" t="s">
        <v>52</v>
      </c>
      <c r="L76" s="85" t="s">
        <v>56</v>
      </c>
      <c r="M76" s="86">
        <v>32440</v>
      </c>
      <c r="N76" s="87">
        <v>17500</v>
      </c>
      <c r="O76" s="85" t="str">
        <f t="shared" si="8"/>
        <v>--</v>
      </c>
      <c r="P76" s="85" t="str">
        <f t="shared" ca="1" si="9"/>
        <v>--</v>
      </c>
      <c r="Q76" s="85" t="str">
        <f t="shared" si="10"/>
        <v>--</v>
      </c>
      <c r="R76" s="85" t="str">
        <f t="shared" si="11"/>
        <v>--</v>
      </c>
    </row>
    <row r="77" spans="9:18" x14ac:dyDescent="0.25">
      <c r="I77" s="71">
        <v>75</v>
      </c>
      <c r="J77" s="85" t="s">
        <v>168</v>
      </c>
      <c r="K77" s="85" t="s">
        <v>59</v>
      </c>
      <c r="L77" s="85" t="s">
        <v>56</v>
      </c>
      <c r="M77" s="86">
        <v>32441</v>
      </c>
      <c r="N77" s="87">
        <v>17500</v>
      </c>
      <c r="O77" s="85" t="str">
        <f t="shared" si="8"/>
        <v>--</v>
      </c>
      <c r="P77" s="85" t="str">
        <f t="shared" ca="1" si="9"/>
        <v>--</v>
      </c>
      <c r="Q77" s="85" t="str">
        <f t="shared" si="10"/>
        <v>--</v>
      </c>
      <c r="R77" s="85" t="str">
        <f t="shared" si="11"/>
        <v>--</v>
      </c>
    </row>
    <row r="78" spans="9:18" x14ac:dyDescent="0.25">
      <c r="I78" s="71">
        <v>76</v>
      </c>
      <c r="J78" s="85" t="s">
        <v>169</v>
      </c>
      <c r="K78" s="85" t="s">
        <v>113</v>
      </c>
      <c r="L78" s="85" t="s">
        <v>72</v>
      </c>
      <c r="M78" s="86">
        <v>32442</v>
      </c>
      <c r="N78" s="87">
        <v>17500</v>
      </c>
      <c r="O78" s="85" t="str">
        <f t="shared" si="8"/>
        <v>--</v>
      </c>
      <c r="P78" s="85" t="str">
        <f t="shared" ca="1" si="9"/>
        <v>--</v>
      </c>
      <c r="Q78" s="85" t="str">
        <f t="shared" si="10"/>
        <v>--</v>
      </c>
      <c r="R78" s="85" t="str">
        <f t="shared" si="11"/>
        <v>--</v>
      </c>
    </row>
    <row r="79" spans="9:18" x14ac:dyDescent="0.25">
      <c r="I79" s="71">
        <v>77</v>
      </c>
      <c r="J79" s="85" t="s">
        <v>170</v>
      </c>
      <c r="K79" s="85" t="s">
        <v>66</v>
      </c>
      <c r="L79" s="85" t="s">
        <v>53</v>
      </c>
      <c r="M79" s="86">
        <v>32443</v>
      </c>
      <c r="N79" s="87">
        <v>17500</v>
      </c>
      <c r="O79" s="85" t="str">
        <f t="shared" si="8"/>
        <v>--</v>
      </c>
      <c r="P79" s="85" t="str">
        <f t="shared" ca="1" si="9"/>
        <v>--</v>
      </c>
      <c r="Q79" s="85" t="str">
        <f t="shared" si="10"/>
        <v>--</v>
      </c>
      <c r="R79" s="85" t="str">
        <f t="shared" si="11"/>
        <v>--</v>
      </c>
    </row>
    <row r="80" spans="9:18" x14ac:dyDescent="0.25">
      <c r="I80" s="71">
        <v>78</v>
      </c>
      <c r="J80" s="85" t="s">
        <v>171</v>
      </c>
      <c r="K80" s="85" t="s">
        <v>52</v>
      </c>
      <c r="L80" s="85" t="s">
        <v>72</v>
      </c>
      <c r="M80" s="86">
        <v>32444</v>
      </c>
      <c r="N80" s="87">
        <v>17500</v>
      </c>
      <c r="O80" s="85" t="str">
        <f t="shared" si="8"/>
        <v>--</v>
      </c>
      <c r="P80" s="85" t="str">
        <f t="shared" ca="1" si="9"/>
        <v>--</v>
      </c>
      <c r="Q80" s="85" t="str">
        <f t="shared" si="10"/>
        <v>--</v>
      </c>
      <c r="R80" s="85" t="str">
        <f t="shared" si="11"/>
        <v>--</v>
      </c>
    </row>
    <row r="81" spans="9:18" x14ac:dyDescent="0.25">
      <c r="I81" s="71">
        <v>79</v>
      </c>
      <c r="J81" s="85" t="s">
        <v>172</v>
      </c>
      <c r="K81" s="85" t="s">
        <v>63</v>
      </c>
      <c r="L81" s="85" t="s">
        <v>53</v>
      </c>
      <c r="M81" s="86">
        <v>32445</v>
      </c>
      <c r="N81" s="87">
        <v>17500</v>
      </c>
      <c r="O81" s="85" t="str">
        <f t="shared" si="8"/>
        <v>yes</v>
      </c>
      <c r="P81" s="85" t="str">
        <f t="shared" ca="1" si="9"/>
        <v>--</v>
      </c>
      <c r="Q81" s="85" t="str">
        <f t="shared" si="10"/>
        <v>--</v>
      </c>
      <c r="R81" s="85" t="str">
        <f t="shared" si="11"/>
        <v>--</v>
      </c>
    </row>
    <row r="82" spans="9:18" x14ac:dyDescent="0.25">
      <c r="I82" s="71">
        <v>80</v>
      </c>
      <c r="J82" s="85" t="s">
        <v>173</v>
      </c>
      <c r="K82" s="85" t="s">
        <v>63</v>
      </c>
      <c r="L82" s="85" t="s">
        <v>53</v>
      </c>
      <c r="M82" s="86">
        <v>32446</v>
      </c>
      <c r="N82" s="87">
        <v>17500</v>
      </c>
      <c r="O82" s="85" t="str">
        <f t="shared" si="8"/>
        <v>yes</v>
      </c>
      <c r="P82" s="85" t="str">
        <f t="shared" ca="1" si="9"/>
        <v>--</v>
      </c>
      <c r="Q82" s="85" t="str">
        <f t="shared" si="10"/>
        <v>--</v>
      </c>
      <c r="R82" s="85" t="str">
        <f t="shared" si="11"/>
        <v>--</v>
      </c>
    </row>
    <row r="83" spans="9:18" x14ac:dyDescent="0.25">
      <c r="I83" s="71">
        <v>81</v>
      </c>
      <c r="J83" s="85" t="s">
        <v>174</v>
      </c>
      <c r="K83" s="85" t="s">
        <v>113</v>
      </c>
      <c r="L83" s="85" t="s">
        <v>60</v>
      </c>
      <c r="M83" s="86">
        <v>32447</v>
      </c>
      <c r="N83" s="87">
        <v>17500</v>
      </c>
      <c r="O83" s="85" t="str">
        <f t="shared" si="8"/>
        <v>--</v>
      </c>
      <c r="P83" s="85" t="str">
        <f t="shared" ca="1" si="9"/>
        <v>--</v>
      </c>
      <c r="Q83" s="85" t="str">
        <f t="shared" si="10"/>
        <v>--</v>
      </c>
      <c r="R83" s="85" t="str">
        <f t="shared" si="11"/>
        <v>--</v>
      </c>
    </row>
    <row r="84" spans="9:18" x14ac:dyDescent="0.25">
      <c r="I84" s="71">
        <v>82</v>
      </c>
      <c r="J84" s="85" t="s">
        <v>175</v>
      </c>
      <c r="K84" s="85" t="s">
        <v>66</v>
      </c>
      <c r="L84" s="85" t="s">
        <v>56</v>
      </c>
      <c r="M84" s="86">
        <v>32448</v>
      </c>
      <c r="N84" s="87">
        <v>17500</v>
      </c>
      <c r="O84" s="85" t="str">
        <f t="shared" si="8"/>
        <v>--</v>
      </c>
      <c r="P84" s="85" t="str">
        <f t="shared" ca="1" si="9"/>
        <v>--</v>
      </c>
      <c r="Q84" s="85" t="str">
        <f t="shared" si="10"/>
        <v>--</v>
      </c>
      <c r="R84" s="85" t="str">
        <f t="shared" si="11"/>
        <v>--</v>
      </c>
    </row>
    <row r="85" spans="9:18" x14ac:dyDescent="0.25">
      <c r="I85" s="71">
        <v>83</v>
      </c>
      <c r="J85" s="85" t="s">
        <v>176</v>
      </c>
      <c r="K85" s="85" t="s">
        <v>113</v>
      </c>
      <c r="L85" s="85" t="s">
        <v>53</v>
      </c>
      <c r="M85" s="86">
        <v>36221</v>
      </c>
      <c r="N85" s="87">
        <v>7000</v>
      </c>
      <c r="O85" s="85" t="str">
        <f t="shared" si="8"/>
        <v>--</v>
      </c>
      <c r="P85" s="85" t="str">
        <f t="shared" ca="1" si="9"/>
        <v>--</v>
      </c>
      <c r="Q85" s="85" t="str">
        <f t="shared" si="10"/>
        <v>--</v>
      </c>
      <c r="R85" s="85" t="str">
        <f t="shared" si="11"/>
        <v>--</v>
      </c>
    </row>
    <row r="86" spans="9:18" x14ac:dyDescent="0.25">
      <c r="I86" s="71">
        <v>84</v>
      </c>
      <c r="J86" s="85" t="s">
        <v>177</v>
      </c>
      <c r="K86" s="85" t="s">
        <v>66</v>
      </c>
      <c r="L86" s="85" t="s">
        <v>56</v>
      </c>
      <c r="M86" s="86">
        <v>36222</v>
      </c>
      <c r="N86" s="87">
        <v>7000</v>
      </c>
      <c r="O86" s="85" t="str">
        <f t="shared" si="8"/>
        <v>--</v>
      </c>
      <c r="P86" s="85" t="str">
        <f t="shared" ca="1" si="9"/>
        <v>--</v>
      </c>
      <c r="Q86" s="85" t="str">
        <f t="shared" si="10"/>
        <v>--</v>
      </c>
      <c r="R86" s="85" t="str">
        <f t="shared" si="11"/>
        <v>--</v>
      </c>
    </row>
    <row r="87" spans="9:18" x14ac:dyDescent="0.25">
      <c r="I87" s="71">
        <v>85</v>
      </c>
      <c r="J87" s="85" t="s">
        <v>178</v>
      </c>
      <c r="K87" s="85" t="s">
        <v>66</v>
      </c>
      <c r="L87" s="85" t="s">
        <v>53</v>
      </c>
      <c r="M87" s="86">
        <v>35809</v>
      </c>
      <c r="N87" s="87">
        <v>7000</v>
      </c>
      <c r="O87" s="85" t="str">
        <f t="shared" si="8"/>
        <v>--</v>
      </c>
      <c r="P87" s="85" t="str">
        <f t="shared" ca="1" si="9"/>
        <v>--</v>
      </c>
      <c r="Q87" s="85" t="str">
        <f t="shared" si="10"/>
        <v>--</v>
      </c>
      <c r="R87" s="85" t="str">
        <f t="shared" si="11"/>
        <v>--</v>
      </c>
    </row>
    <row r="88" spans="9:18" x14ac:dyDescent="0.25">
      <c r="I88" s="71">
        <v>86</v>
      </c>
      <c r="J88" s="85" t="s">
        <v>179</v>
      </c>
      <c r="K88" s="85" t="s">
        <v>113</v>
      </c>
      <c r="L88" s="85" t="s">
        <v>53</v>
      </c>
      <c r="M88" s="86">
        <v>35810</v>
      </c>
      <c r="N88" s="87">
        <v>17500</v>
      </c>
      <c r="O88" s="85" t="str">
        <f t="shared" si="8"/>
        <v>--</v>
      </c>
      <c r="P88" s="85" t="str">
        <f t="shared" ca="1" si="9"/>
        <v>--</v>
      </c>
      <c r="Q88" s="85" t="str">
        <f t="shared" si="10"/>
        <v>--</v>
      </c>
      <c r="R88" s="85" t="str">
        <f t="shared" si="11"/>
        <v>--</v>
      </c>
    </row>
    <row r="89" spans="9:18" x14ac:dyDescent="0.25">
      <c r="I89" s="71">
        <v>87</v>
      </c>
      <c r="J89" s="85" t="s">
        <v>180</v>
      </c>
      <c r="K89" s="85" t="s">
        <v>63</v>
      </c>
      <c r="L89" s="85" t="s">
        <v>60</v>
      </c>
      <c r="M89" s="86">
        <v>35811</v>
      </c>
      <c r="N89" s="87">
        <v>17500</v>
      </c>
      <c r="O89" s="85" t="str">
        <f t="shared" si="8"/>
        <v>yes</v>
      </c>
      <c r="P89" s="85" t="str">
        <f t="shared" ca="1" si="9"/>
        <v>--</v>
      </c>
      <c r="Q89" s="85" t="str">
        <f t="shared" si="10"/>
        <v>--</v>
      </c>
      <c r="R89" s="85" t="str">
        <f t="shared" si="11"/>
        <v>yes</v>
      </c>
    </row>
    <row r="90" spans="9:18" x14ac:dyDescent="0.25">
      <c r="I90" s="71">
        <v>88</v>
      </c>
      <c r="J90" s="85" t="s">
        <v>181</v>
      </c>
      <c r="K90" s="85" t="s">
        <v>63</v>
      </c>
      <c r="L90" s="85" t="s">
        <v>72</v>
      </c>
      <c r="M90" s="86">
        <v>35794</v>
      </c>
      <c r="N90" s="87">
        <v>7875</v>
      </c>
      <c r="O90" s="85" t="str">
        <f t="shared" si="8"/>
        <v>yes</v>
      </c>
      <c r="P90" s="85" t="str">
        <f t="shared" ca="1" si="9"/>
        <v>--</v>
      </c>
      <c r="Q90" s="85" t="str">
        <f t="shared" si="10"/>
        <v>--</v>
      </c>
      <c r="R90" s="85" t="str">
        <f t="shared" si="11"/>
        <v>--</v>
      </c>
    </row>
    <row r="91" spans="9:18" x14ac:dyDescent="0.25">
      <c r="I91" s="71">
        <v>89</v>
      </c>
      <c r="J91" s="85" t="s">
        <v>182</v>
      </c>
      <c r="K91" s="85" t="s">
        <v>52</v>
      </c>
      <c r="L91" s="85" t="s">
        <v>53</v>
      </c>
      <c r="M91" s="86">
        <v>28907</v>
      </c>
      <c r="N91" s="87">
        <v>22750</v>
      </c>
      <c r="O91" s="85" t="str">
        <f t="shared" si="8"/>
        <v>--</v>
      </c>
      <c r="P91" s="85" t="str">
        <f t="shared" ca="1" si="9"/>
        <v>--</v>
      </c>
      <c r="Q91" s="85" t="str">
        <f t="shared" si="10"/>
        <v>--</v>
      </c>
      <c r="R91" s="85" t="str">
        <f t="shared" si="11"/>
        <v>--</v>
      </c>
    </row>
    <row r="92" spans="9:18" x14ac:dyDescent="0.25">
      <c r="I92" s="71">
        <v>90</v>
      </c>
      <c r="J92" s="85" t="s">
        <v>183</v>
      </c>
      <c r="K92" s="85" t="s">
        <v>66</v>
      </c>
      <c r="L92" s="85" t="s">
        <v>53</v>
      </c>
      <c r="M92" s="86">
        <v>29226</v>
      </c>
      <c r="N92" s="87">
        <v>22750</v>
      </c>
      <c r="O92" s="85" t="str">
        <f t="shared" si="8"/>
        <v>--</v>
      </c>
      <c r="P92" s="85" t="str">
        <f t="shared" ca="1" si="9"/>
        <v>--</v>
      </c>
      <c r="Q92" s="85" t="str">
        <f t="shared" si="10"/>
        <v>--</v>
      </c>
      <c r="R92" s="85" t="str">
        <f t="shared" si="11"/>
        <v>--</v>
      </c>
    </row>
    <row r="93" spans="9:18" x14ac:dyDescent="0.25">
      <c r="I93" s="71">
        <v>91</v>
      </c>
      <c r="J93" s="85" t="s">
        <v>184</v>
      </c>
      <c r="K93" s="85" t="s">
        <v>52</v>
      </c>
      <c r="L93" s="85" t="s">
        <v>56</v>
      </c>
      <c r="M93" s="86">
        <v>29172</v>
      </c>
      <c r="N93" s="87">
        <v>22750</v>
      </c>
      <c r="O93" s="85" t="str">
        <f t="shared" si="8"/>
        <v>--</v>
      </c>
      <c r="P93" s="85" t="str">
        <f t="shared" ca="1" si="9"/>
        <v>--</v>
      </c>
      <c r="Q93" s="85" t="str">
        <f t="shared" si="10"/>
        <v>--</v>
      </c>
      <c r="R93" s="85" t="str">
        <f t="shared" si="11"/>
        <v>--</v>
      </c>
    </row>
    <row r="94" spans="9:18" x14ac:dyDescent="0.25">
      <c r="I94" s="71">
        <v>92</v>
      </c>
      <c r="J94" s="85" t="s">
        <v>185</v>
      </c>
      <c r="K94" s="85" t="s">
        <v>63</v>
      </c>
      <c r="L94" s="85" t="s">
        <v>56</v>
      </c>
      <c r="M94" s="86">
        <v>32603</v>
      </c>
      <c r="N94" s="87">
        <v>17325</v>
      </c>
      <c r="O94" s="85" t="str">
        <f t="shared" si="8"/>
        <v>yes</v>
      </c>
      <c r="P94" s="85" t="str">
        <f t="shared" ca="1" si="9"/>
        <v>--</v>
      </c>
      <c r="Q94" s="85" t="str">
        <f t="shared" si="10"/>
        <v>yes</v>
      </c>
      <c r="R94" s="85" t="str">
        <f t="shared" si="11"/>
        <v>yes</v>
      </c>
    </row>
    <row r="95" spans="9:18" x14ac:dyDescent="0.25">
      <c r="I95" s="71">
        <v>93</v>
      </c>
      <c r="J95" s="85" t="s">
        <v>186</v>
      </c>
      <c r="K95" s="85" t="s">
        <v>52</v>
      </c>
      <c r="L95" s="85" t="s">
        <v>60</v>
      </c>
      <c r="M95" s="86">
        <v>32604</v>
      </c>
      <c r="N95" s="87">
        <v>17325</v>
      </c>
      <c r="O95" s="85" t="str">
        <f t="shared" si="8"/>
        <v>--</v>
      </c>
      <c r="P95" s="85" t="str">
        <f t="shared" ca="1" si="9"/>
        <v>--</v>
      </c>
      <c r="Q95" s="85" t="str">
        <f t="shared" si="10"/>
        <v>--</v>
      </c>
      <c r="R95" s="85" t="str">
        <f t="shared" si="11"/>
        <v>--</v>
      </c>
    </row>
    <row r="96" spans="9:18" x14ac:dyDescent="0.25">
      <c r="I96" s="71">
        <v>94</v>
      </c>
      <c r="J96" s="85" t="s">
        <v>187</v>
      </c>
      <c r="K96" s="85" t="s">
        <v>63</v>
      </c>
      <c r="L96" s="85" t="s">
        <v>72</v>
      </c>
      <c r="M96" s="86">
        <v>32605</v>
      </c>
      <c r="N96" s="87">
        <v>17325</v>
      </c>
      <c r="O96" s="85" t="str">
        <f t="shared" si="8"/>
        <v>yes</v>
      </c>
      <c r="P96" s="85" t="str">
        <f t="shared" ca="1" si="9"/>
        <v>--</v>
      </c>
      <c r="Q96" s="85" t="str">
        <f t="shared" si="10"/>
        <v>--</v>
      </c>
      <c r="R96" s="85" t="str">
        <f t="shared" si="11"/>
        <v>--</v>
      </c>
    </row>
    <row r="97" spans="9:18" x14ac:dyDescent="0.25">
      <c r="I97" s="71">
        <v>95</v>
      </c>
      <c r="J97" s="85" t="s">
        <v>188</v>
      </c>
      <c r="K97" s="85" t="s">
        <v>63</v>
      </c>
      <c r="L97" s="85" t="s">
        <v>60</v>
      </c>
      <c r="M97" s="86">
        <v>32606</v>
      </c>
      <c r="N97" s="87">
        <v>17325</v>
      </c>
      <c r="O97" s="85" t="str">
        <f t="shared" si="8"/>
        <v>yes</v>
      </c>
      <c r="P97" s="85" t="str">
        <f t="shared" ca="1" si="9"/>
        <v>--</v>
      </c>
      <c r="Q97" s="85" t="str">
        <f t="shared" si="10"/>
        <v>--</v>
      </c>
      <c r="R97" s="85" t="str">
        <f t="shared" si="11"/>
        <v>yes</v>
      </c>
    </row>
    <row r="98" spans="9:18" x14ac:dyDescent="0.25">
      <c r="I98" s="71">
        <v>96</v>
      </c>
      <c r="J98" s="85" t="s">
        <v>189</v>
      </c>
      <c r="K98" s="85" t="s">
        <v>66</v>
      </c>
      <c r="L98" s="85" t="s">
        <v>72</v>
      </c>
      <c r="M98" s="86">
        <v>32607</v>
      </c>
      <c r="N98" s="87">
        <v>17325</v>
      </c>
      <c r="O98" s="85" t="str">
        <f t="shared" si="8"/>
        <v>--</v>
      </c>
      <c r="P98" s="85" t="str">
        <f t="shared" ca="1" si="9"/>
        <v>--</v>
      </c>
      <c r="Q98" s="85" t="str">
        <f t="shared" si="10"/>
        <v>--</v>
      </c>
      <c r="R98" s="85" t="str">
        <f t="shared" si="11"/>
        <v>--</v>
      </c>
    </row>
    <row r="99" spans="9:18" x14ac:dyDescent="0.25">
      <c r="I99" s="71">
        <v>97</v>
      </c>
      <c r="J99" s="85" t="s">
        <v>190</v>
      </c>
      <c r="K99" s="85" t="s">
        <v>66</v>
      </c>
      <c r="L99" s="85" t="s">
        <v>60</v>
      </c>
      <c r="M99" s="86">
        <v>32608</v>
      </c>
      <c r="N99" s="87">
        <v>17325</v>
      </c>
      <c r="O99" s="85" t="str">
        <f t="shared" si="8"/>
        <v>--</v>
      </c>
      <c r="P99" s="85" t="str">
        <f t="shared" ca="1" si="9"/>
        <v>--</v>
      </c>
      <c r="Q99" s="85" t="str">
        <f t="shared" si="10"/>
        <v>--</v>
      </c>
      <c r="R99" s="85" t="str">
        <f t="shared" si="11"/>
        <v>--</v>
      </c>
    </row>
    <row r="100" spans="9:18" x14ac:dyDescent="0.25">
      <c r="I100" s="71">
        <v>98</v>
      </c>
      <c r="J100" s="85" t="s">
        <v>191</v>
      </c>
      <c r="K100" s="85" t="s">
        <v>113</v>
      </c>
      <c r="L100" s="85" t="s">
        <v>53</v>
      </c>
      <c r="M100" s="86">
        <v>32609</v>
      </c>
      <c r="N100" s="87">
        <v>17325</v>
      </c>
      <c r="O100" s="85" t="str">
        <f t="shared" si="8"/>
        <v>--</v>
      </c>
      <c r="P100" s="85" t="str">
        <f t="shared" ca="1" si="9"/>
        <v>--</v>
      </c>
      <c r="Q100" s="85" t="str">
        <f t="shared" si="10"/>
        <v>--</v>
      </c>
      <c r="R100" s="85" t="str">
        <f t="shared" si="11"/>
        <v>--</v>
      </c>
    </row>
    <row r="101" spans="9:18" x14ac:dyDescent="0.25">
      <c r="I101" s="71">
        <v>99</v>
      </c>
      <c r="J101" s="85" t="s">
        <v>192</v>
      </c>
      <c r="K101" s="85" t="s">
        <v>81</v>
      </c>
      <c r="L101" s="85" t="s">
        <v>72</v>
      </c>
      <c r="M101" s="86">
        <v>35794</v>
      </c>
      <c r="N101" s="87">
        <v>10500</v>
      </c>
      <c r="O101" s="85" t="str">
        <f t="shared" si="8"/>
        <v>--</v>
      </c>
      <c r="P101" s="85" t="str">
        <f t="shared" ca="1" si="9"/>
        <v>--</v>
      </c>
      <c r="Q101" s="85" t="str">
        <f t="shared" si="10"/>
        <v>--</v>
      </c>
      <c r="R101" s="85" t="str">
        <f t="shared" si="11"/>
        <v>--</v>
      </c>
    </row>
    <row r="102" spans="9:18" x14ac:dyDescent="0.25">
      <c r="I102" s="71">
        <v>100</v>
      </c>
      <c r="J102" s="85" t="s">
        <v>193</v>
      </c>
      <c r="K102" s="85" t="s">
        <v>81</v>
      </c>
      <c r="L102" s="85" t="s">
        <v>60</v>
      </c>
      <c r="M102" s="86">
        <v>36193</v>
      </c>
      <c r="N102" s="87">
        <v>7875</v>
      </c>
      <c r="O102" s="85" t="str">
        <f t="shared" si="8"/>
        <v>--</v>
      </c>
      <c r="P102" s="85" t="str">
        <f t="shared" ca="1" si="9"/>
        <v>--</v>
      </c>
      <c r="Q102" s="85" t="str">
        <f t="shared" si="10"/>
        <v>--</v>
      </c>
      <c r="R102" s="85" t="str">
        <f t="shared" si="11"/>
        <v>--</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tabColor theme="1"/>
  </sheetPr>
  <dimension ref="C4:K24"/>
  <sheetViews>
    <sheetView workbookViewId="0">
      <selection activeCell="J21" sqref="J21"/>
    </sheetView>
  </sheetViews>
  <sheetFormatPr defaultRowHeight="15" x14ac:dyDescent="0.25"/>
  <cols>
    <col min="3" max="3" width="9.85546875" bestFit="1" customWidth="1"/>
    <col min="8" max="8" width="9.85546875" bestFit="1" customWidth="1"/>
  </cols>
  <sheetData>
    <row r="4" spans="3:11" x14ac:dyDescent="0.25">
      <c r="C4" s="75" t="s">
        <v>771</v>
      </c>
      <c r="D4" s="75" t="s">
        <v>742</v>
      </c>
      <c r="E4" s="75" t="s">
        <v>743</v>
      </c>
      <c r="F4" s="75" t="s">
        <v>772</v>
      </c>
      <c r="H4" s="75" t="s">
        <v>771</v>
      </c>
      <c r="I4" s="75" t="s">
        <v>742</v>
      </c>
      <c r="J4" s="75" t="s">
        <v>743</v>
      </c>
      <c r="K4" s="75" t="s">
        <v>772</v>
      </c>
    </row>
    <row r="5" spans="3:11" x14ac:dyDescent="0.25">
      <c r="C5" s="77" t="s">
        <v>773</v>
      </c>
      <c r="D5" s="76">
        <v>351</v>
      </c>
      <c r="E5" s="76">
        <v>415</v>
      </c>
      <c r="F5" s="76">
        <v>435</v>
      </c>
      <c r="H5" s="77" t="s">
        <v>773</v>
      </c>
      <c r="I5" s="76">
        <v>360</v>
      </c>
      <c r="J5" s="76">
        <v>337</v>
      </c>
      <c r="K5" s="76">
        <v>424</v>
      </c>
    </row>
    <row r="6" spans="3:11" x14ac:dyDescent="0.25">
      <c r="C6" s="77" t="s">
        <v>774</v>
      </c>
      <c r="D6" s="76">
        <v>201</v>
      </c>
      <c r="E6" s="76">
        <v>243</v>
      </c>
      <c r="F6" s="76">
        <v>146</v>
      </c>
      <c r="H6" s="77" t="s">
        <v>774</v>
      </c>
      <c r="I6" s="76">
        <v>115</v>
      </c>
      <c r="J6" s="76">
        <v>267</v>
      </c>
      <c r="K6" s="76">
        <v>388</v>
      </c>
    </row>
    <row r="7" spans="3:11" x14ac:dyDescent="0.25">
      <c r="C7" s="77" t="s">
        <v>775</v>
      </c>
      <c r="D7" s="76">
        <v>282</v>
      </c>
      <c r="E7" s="76">
        <v>123</v>
      </c>
      <c r="F7" s="76">
        <v>393</v>
      </c>
      <c r="H7" s="77" t="s">
        <v>775</v>
      </c>
      <c r="I7" s="76">
        <v>345</v>
      </c>
      <c r="J7" s="76">
        <v>263</v>
      </c>
      <c r="K7" s="76">
        <v>368</v>
      </c>
    </row>
    <row r="8" spans="3:11" x14ac:dyDescent="0.25">
      <c r="C8" s="77" t="s">
        <v>776</v>
      </c>
      <c r="D8" s="76">
        <v>270</v>
      </c>
      <c r="E8" s="76">
        <v>204</v>
      </c>
      <c r="F8" s="76">
        <v>391</v>
      </c>
      <c r="H8" s="77" t="s">
        <v>776</v>
      </c>
      <c r="I8" s="76">
        <v>485</v>
      </c>
      <c r="J8" s="76">
        <v>410</v>
      </c>
      <c r="K8" s="76">
        <v>382</v>
      </c>
    </row>
    <row r="11" spans="3:11" x14ac:dyDescent="0.25">
      <c r="C11" s="75" t="s">
        <v>771</v>
      </c>
      <c r="D11" s="75" t="s">
        <v>742</v>
      </c>
      <c r="E11" s="75" t="s">
        <v>743</v>
      </c>
      <c r="F11" s="75" t="s">
        <v>772</v>
      </c>
      <c r="H11" s="75" t="s">
        <v>771</v>
      </c>
      <c r="I11" s="75" t="s">
        <v>742</v>
      </c>
      <c r="J11" s="75" t="s">
        <v>743</v>
      </c>
      <c r="K11" s="75" t="s">
        <v>745</v>
      </c>
    </row>
    <row r="12" spans="3:11" x14ac:dyDescent="0.25">
      <c r="C12" s="77" t="s">
        <v>774</v>
      </c>
      <c r="D12" s="76">
        <v>469</v>
      </c>
      <c r="E12" s="76">
        <v>326</v>
      </c>
      <c r="F12" s="76">
        <v>203</v>
      </c>
      <c r="H12" s="77" t="s">
        <v>773</v>
      </c>
      <c r="I12" s="76">
        <v>351</v>
      </c>
      <c r="J12" s="76">
        <v>415</v>
      </c>
      <c r="K12" s="76">
        <v>435</v>
      </c>
    </row>
    <row r="13" spans="3:11" x14ac:dyDescent="0.25">
      <c r="C13" s="77" t="s">
        <v>773</v>
      </c>
      <c r="D13" s="76">
        <v>113</v>
      </c>
      <c r="E13" s="76">
        <v>114</v>
      </c>
      <c r="F13" s="76">
        <v>480</v>
      </c>
      <c r="H13" s="77" t="s">
        <v>774</v>
      </c>
      <c r="I13" s="76">
        <v>201</v>
      </c>
      <c r="J13" s="76">
        <v>243</v>
      </c>
      <c r="K13" s="76">
        <v>146</v>
      </c>
    </row>
    <row r="14" spans="3:11" x14ac:dyDescent="0.25">
      <c r="C14" s="77" t="s">
        <v>776</v>
      </c>
      <c r="D14" s="76">
        <v>191</v>
      </c>
      <c r="E14" s="76">
        <v>305</v>
      </c>
      <c r="F14" s="76">
        <v>355</v>
      </c>
      <c r="H14" s="77" t="s">
        <v>775</v>
      </c>
      <c r="I14" s="76">
        <v>282</v>
      </c>
      <c r="J14" s="76">
        <v>123</v>
      </c>
      <c r="K14" s="76">
        <v>393</v>
      </c>
    </row>
    <row r="15" spans="3:11" x14ac:dyDescent="0.25">
      <c r="C15" s="77" t="s">
        <v>775</v>
      </c>
      <c r="D15" s="76">
        <v>149</v>
      </c>
      <c r="E15" s="76">
        <v>106</v>
      </c>
      <c r="F15" s="76">
        <v>166</v>
      </c>
      <c r="H15" s="77" t="s">
        <v>777</v>
      </c>
      <c r="I15" s="76">
        <v>270</v>
      </c>
      <c r="J15" s="76">
        <v>204</v>
      </c>
      <c r="K15" s="76">
        <v>391</v>
      </c>
    </row>
    <row r="19" spans="3:7" x14ac:dyDescent="0.25">
      <c r="C19" s="12"/>
      <c r="D19" s="12" t="s">
        <v>742</v>
      </c>
      <c r="E19" s="12" t="s">
        <v>743</v>
      </c>
      <c r="F19" s="12" t="s">
        <v>772</v>
      </c>
      <c r="G19" s="12" t="s">
        <v>745</v>
      </c>
    </row>
    <row r="20" spans="3:7" x14ac:dyDescent="0.25">
      <c r="C20" s="12" t="s">
        <v>773</v>
      </c>
      <c r="D20" s="12">
        <v>1175</v>
      </c>
      <c r="E20" s="12">
        <v>1281</v>
      </c>
      <c r="F20" s="12">
        <v>1339</v>
      </c>
      <c r="G20" s="12">
        <v>435</v>
      </c>
    </row>
    <row r="21" spans="3:7" x14ac:dyDescent="0.25">
      <c r="C21" s="12" t="s">
        <v>774</v>
      </c>
      <c r="D21" s="12">
        <v>986</v>
      </c>
      <c r="E21" s="12">
        <v>1079</v>
      </c>
      <c r="F21" s="12">
        <v>737</v>
      </c>
      <c r="G21" s="12">
        <v>146</v>
      </c>
    </row>
    <row r="22" spans="3:7" x14ac:dyDescent="0.25">
      <c r="C22" s="12" t="s">
        <v>775</v>
      </c>
      <c r="D22" s="12">
        <v>1058</v>
      </c>
      <c r="E22" s="12">
        <v>615</v>
      </c>
      <c r="F22" s="12">
        <v>927</v>
      </c>
      <c r="G22" s="12">
        <v>393</v>
      </c>
    </row>
    <row r="23" spans="3:7" x14ac:dyDescent="0.25">
      <c r="C23" s="12" t="s">
        <v>776</v>
      </c>
      <c r="D23" s="12">
        <v>946</v>
      </c>
      <c r="E23" s="12">
        <v>919</v>
      </c>
      <c r="F23" s="12">
        <v>1128</v>
      </c>
      <c r="G23" s="12"/>
    </row>
    <row r="24" spans="3:7" x14ac:dyDescent="0.25">
      <c r="C24" s="12" t="s">
        <v>777</v>
      </c>
      <c r="D24" s="12">
        <v>270</v>
      </c>
      <c r="E24" s="12">
        <v>204</v>
      </c>
      <c r="F24" s="12"/>
      <c r="G24" s="12">
        <v>391</v>
      </c>
    </row>
  </sheetData>
  <dataConsolidate topLabels="1">
    <dataRefs count="4">
      <dataRef ref="C4:F8" sheet="Consolidate"/>
      <dataRef ref="H4:K8" sheet="Consolidate"/>
      <dataRef ref="C11:F15" sheet="Consolidate"/>
      <dataRef ref="H11:K15" sheet="Consolidate"/>
    </dataRefs>
  </dataConsolid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tabColor theme="5" tint="-0.249977111117893"/>
  </sheetPr>
  <dimension ref="A2:Q46"/>
  <sheetViews>
    <sheetView workbookViewId="0">
      <selection activeCell="K8" sqref="K8"/>
    </sheetView>
  </sheetViews>
  <sheetFormatPr defaultRowHeight="15" x14ac:dyDescent="0.25"/>
  <cols>
    <col min="1" max="1" width="21.85546875" bestFit="1" customWidth="1"/>
    <col min="2" max="2" width="11.5703125" bestFit="1" customWidth="1"/>
    <col min="3" max="3" width="8.5703125" customWidth="1"/>
    <col min="10" max="10" width="7.28515625" customWidth="1"/>
    <col min="12" max="12" width="11.5703125" bestFit="1" customWidth="1"/>
    <col min="13" max="13" width="10.5703125" bestFit="1" customWidth="1"/>
    <col min="15" max="15" width="11.140625" bestFit="1" customWidth="1"/>
    <col min="17" max="17" width="9.85546875" bestFit="1" customWidth="1"/>
  </cols>
  <sheetData>
    <row r="2" spans="1:17" x14ac:dyDescent="0.25">
      <c r="B2" s="11"/>
      <c r="P2" s="269" t="s">
        <v>824</v>
      </c>
      <c r="Q2" s="269"/>
    </row>
    <row r="3" spans="1:17" x14ac:dyDescent="0.25">
      <c r="A3" s="103" t="s">
        <v>229</v>
      </c>
      <c r="B3" s="106">
        <v>1000000</v>
      </c>
      <c r="D3" s="267" t="s">
        <v>816</v>
      </c>
      <c r="E3" s="267"/>
      <c r="F3" s="267"/>
      <c r="G3" s="267"/>
      <c r="H3" s="267"/>
      <c r="I3" s="267"/>
      <c r="K3" s="103" t="s">
        <v>817</v>
      </c>
      <c r="L3" s="103" t="s">
        <v>818</v>
      </c>
      <c r="M3" s="103" t="s">
        <v>819</v>
      </c>
      <c r="N3" s="103" t="s">
        <v>820</v>
      </c>
      <c r="P3" s="13" t="s">
        <v>821</v>
      </c>
      <c r="Q3" s="13" t="s">
        <v>822</v>
      </c>
    </row>
    <row r="4" spans="1:17" x14ac:dyDescent="0.25">
      <c r="A4" s="103" t="s">
        <v>823</v>
      </c>
      <c r="B4" s="186">
        <v>0.1</v>
      </c>
      <c r="K4">
        <v>1</v>
      </c>
      <c r="L4" s="185">
        <f>ABS(PPMT($B$4/12,$K4,$B$5,$B$3,))</f>
        <v>23933.853860504154</v>
      </c>
      <c r="M4" s="192">
        <f>ABS(IPMT($B$4/12,$K4,$B$5,$B$3))</f>
        <v>8333.3333333333339</v>
      </c>
      <c r="P4" s="12">
        <v>0</v>
      </c>
      <c r="Q4" s="12">
        <v>-15000</v>
      </c>
    </row>
    <row r="5" spans="1:17" x14ac:dyDescent="0.25">
      <c r="A5" s="103" t="s">
        <v>817</v>
      </c>
      <c r="B5" s="107">
        <v>36</v>
      </c>
      <c r="K5">
        <v>2</v>
      </c>
      <c r="L5" s="185">
        <f t="shared" ref="L5:L33" si="0">ABS(PPMT($B$4/12,$K5,$B$5,$B$3,))</f>
        <v>24133.302642675018</v>
      </c>
      <c r="M5" s="185">
        <f t="shared" ref="M5:M33" si="1">ABS(IPMT($B$4/12,$K5,$B$5,$B$3))</f>
        <v>8133.8845511624659</v>
      </c>
      <c r="P5" s="12">
        <v>1</v>
      </c>
      <c r="Q5" s="15">
        <v>7000</v>
      </c>
    </row>
    <row r="6" spans="1:17" x14ac:dyDescent="0.25">
      <c r="A6" s="103" t="s">
        <v>825</v>
      </c>
      <c r="B6" s="15">
        <f>ABS(PMT(B4/12,B5,B3))</f>
        <v>32267.187193837486</v>
      </c>
      <c r="C6">
        <v>500000</v>
      </c>
      <c r="D6">
        <v>1000000</v>
      </c>
      <c r="E6">
        <v>1500000</v>
      </c>
      <c r="F6">
        <v>2000000</v>
      </c>
      <c r="G6">
        <v>2500000</v>
      </c>
      <c r="H6">
        <v>3000000</v>
      </c>
      <c r="I6">
        <v>3500000</v>
      </c>
      <c r="K6">
        <v>3</v>
      </c>
      <c r="L6" s="185">
        <f t="shared" si="0"/>
        <v>24334.413498030644</v>
      </c>
      <c r="M6" s="185">
        <f t="shared" si="1"/>
        <v>7932.7736958068399</v>
      </c>
      <c r="P6" s="12">
        <v>2</v>
      </c>
      <c r="Q6" s="12">
        <v>6000</v>
      </c>
    </row>
    <row r="7" spans="1:17" x14ac:dyDescent="0.25">
      <c r="A7" s="268" t="s">
        <v>826</v>
      </c>
      <c r="B7">
        <v>6</v>
      </c>
      <c r="C7">
        <f t="dataTable" ref="C7:I46" dt2D="1" dtr="1" r1="B3" r2="B5"/>
        <v>85780.697092795905</v>
      </c>
      <c r="D7">
        <v>171561.39418559181</v>
      </c>
      <c r="E7">
        <v>257342.09127838773</v>
      </c>
      <c r="F7">
        <v>343122.78837118362</v>
      </c>
      <c r="G7">
        <v>428903.48546397954</v>
      </c>
      <c r="H7">
        <v>514684.18255677546</v>
      </c>
      <c r="I7">
        <v>600464.87964957138</v>
      </c>
      <c r="K7">
        <v>4</v>
      </c>
      <c r="L7" s="185">
        <f t="shared" si="0"/>
        <v>24537.200277180898</v>
      </c>
      <c r="M7" s="185">
        <f t="shared" si="1"/>
        <v>7729.9869166565832</v>
      </c>
      <c r="P7" s="12">
        <v>3</v>
      </c>
      <c r="Q7" s="12">
        <v>5000</v>
      </c>
    </row>
    <row r="8" spans="1:17" x14ac:dyDescent="0.25">
      <c r="A8" s="268"/>
      <c r="B8">
        <v>12</v>
      </c>
      <c r="C8">
        <v>43957.943615004799</v>
      </c>
      <c r="D8">
        <v>87915.887230009597</v>
      </c>
      <c r="E8">
        <v>131873.8308450144</v>
      </c>
      <c r="F8">
        <v>175831.77446001919</v>
      </c>
      <c r="G8">
        <v>219789.71807502399</v>
      </c>
      <c r="H8">
        <v>263747.66169002879</v>
      </c>
      <c r="I8">
        <v>307705.60530503362</v>
      </c>
      <c r="K8">
        <v>5</v>
      </c>
      <c r="L8" s="185">
        <f t="shared" si="0"/>
        <v>24741.676946157411</v>
      </c>
      <c r="M8" s="185">
        <f t="shared" si="1"/>
        <v>7525.5102476800776</v>
      </c>
      <c r="P8" s="12">
        <v>4</v>
      </c>
      <c r="Q8" s="12">
        <v>3000</v>
      </c>
    </row>
    <row r="9" spans="1:17" x14ac:dyDescent="0.25">
      <c r="A9" s="268"/>
      <c r="B9">
        <v>18</v>
      </c>
      <c r="C9">
        <v>30028.54000547712</v>
      </c>
      <c r="D9">
        <v>60057.08001095424</v>
      </c>
      <c r="E9">
        <v>90085.620016431378</v>
      </c>
      <c r="F9">
        <v>120114.16002190848</v>
      </c>
      <c r="G9">
        <v>150142.70002738561</v>
      </c>
      <c r="H9">
        <v>180171.24003286276</v>
      </c>
      <c r="I9">
        <v>210199.78003833987</v>
      </c>
      <c r="K9">
        <v>6</v>
      </c>
      <c r="L9" s="185">
        <f t="shared" si="0"/>
        <v>24947.857587375387</v>
      </c>
      <c r="M9" s="185">
        <f t="shared" si="1"/>
        <v>7319.3296064620999</v>
      </c>
      <c r="P9" s="12">
        <v>5</v>
      </c>
      <c r="Q9" s="12">
        <v>2000</v>
      </c>
    </row>
    <row r="10" spans="1:17" x14ac:dyDescent="0.25">
      <c r="A10" s="268"/>
      <c r="B10">
        <v>24</v>
      </c>
      <c r="C10">
        <v>23072.463168758251</v>
      </c>
      <c r="D10">
        <v>46144.926337516503</v>
      </c>
      <c r="E10">
        <v>69217.389506274762</v>
      </c>
      <c r="F10">
        <v>92289.852675033006</v>
      </c>
      <c r="G10">
        <v>115362.31584379126</v>
      </c>
      <c r="H10">
        <v>138434.77901254952</v>
      </c>
      <c r="I10">
        <v>161507.24218130775</v>
      </c>
      <c r="K10">
        <v>7</v>
      </c>
      <c r="L10" s="185">
        <f t="shared" si="0"/>
        <v>25155.756400603517</v>
      </c>
      <c r="M10" s="185">
        <f t="shared" si="1"/>
        <v>7111.4307932339698</v>
      </c>
    </row>
    <row r="11" spans="1:17" x14ac:dyDescent="0.25">
      <c r="A11" s="268"/>
      <c r="B11">
        <v>30</v>
      </c>
      <c r="C11">
        <v>18905.705084773203</v>
      </c>
      <c r="D11">
        <v>37811.410169546405</v>
      </c>
      <c r="E11">
        <v>56717.115254319615</v>
      </c>
      <c r="F11">
        <v>75622.82033909281</v>
      </c>
      <c r="G11">
        <v>94528.525423866013</v>
      </c>
      <c r="H11">
        <v>113434.23050863923</v>
      </c>
      <c r="I11">
        <v>132339.93559341243</v>
      </c>
      <c r="K11">
        <v>8</v>
      </c>
      <c r="L11" s="185">
        <f t="shared" si="0"/>
        <v>25365.38770394188</v>
      </c>
      <c r="M11" s="185">
        <f t="shared" si="1"/>
        <v>6901.7994898956076</v>
      </c>
      <c r="P11" s="104" t="s">
        <v>827</v>
      </c>
    </row>
    <row r="12" spans="1:17" x14ac:dyDescent="0.25">
      <c r="A12" s="268"/>
      <c r="B12">
        <v>36</v>
      </c>
      <c r="C12">
        <v>16133.593596918743</v>
      </c>
      <c r="D12">
        <v>32267.187193837486</v>
      </c>
      <c r="E12">
        <v>48400.780790756224</v>
      </c>
      <c r="F12">
        <v>64534.374387674972</v>
      </c>
      <c r="G12">
        <v>80667.967984593706</v>
      </c>
      <c r="H12">
        <v>96801.561581512447</v>
      </c>
      <c r="I12">
        <v>112935.1551784312</v>
      </c>
      <c r="K12">
        <v>9</v>
      </c>
      <c r="L12" s="185">
        <f t="shared" si="0"/>
        <v>25576.76593480806</v>
      </c>
      <c r="M12" s="185">
        <f t="shared" si="1"/>
        <v>6690.4212590294246</v>
      </c>
      <c r="P12" s="13" t="s">
        <v>828</v>
      </c>
      <c r="Q12" s="105"/>
    </row>
    <row r="13" spans="1:17" x14ac:dyDescent="0.25">
      <c r="A13" s="268"/>
      <c r="B13">
        <v>42</v>
      </c>
      <c r="C13">
        <v>14158.40967171985</v>
      </c>
      <c r="D13">
        <v>28316.8193434397</v>
      </c>
      <c r="E13">
        <v>42475.229015159552</v>
      </c>
      <c r="F13">
        <v>56633.6386868794</v>
      </c>
      <c r="G13">
        <v>70792.048358599248</v>
      </c>
      <c r="H13">
        <v>84950.458030319103</v>
      </c>
      <c r="I13">
        <v>99108.867702038959</v>
      </c>
      <c r="K13">
        <v>10</v>
      </c>
      <c r="L13" s="185">
        <f t="shared" si="0"/>
        <v>25789.905650931461</v>
      </c>
      <c r="M13" s="185">
        <f t="shared" si="1"/>
        <v>6477.2815429060247</v>
      </c>
    </row>
    <row r="14" spans="1:17" x14ac:dyDescent="0.25">
      <c r="A14" s="268"/>
      <c r="B14">
        <v>48</v>
      </c>
      <c r="C14">
        <v>12681.291717373595</v>
      </c>
      <c r="D14">
        <v>25362.58343474719</v>
      </c>
      <c r="E14">
        <v>38043.875152120789</v>
      </c>
      <c r="F14">
        <v>50725.16686949438</v>
      </c>
      <c r="G14">
        <v>63406.458586867964</v>
      </c>
      <c r="H14">
        <v>76087.750304241577</v>
      </c>
      <c r="I14">
        <v>88769.042021615169</v>
      </c>
      <c r="K14">
        <v>11</v>
      </c>
      <c r="L14" s="185">
        <f t="shared" si="0"/>
        <v>26004.82153135589</v>
      </c>
      <c r="M14" s="185">
        <f t="shared" si="1"/>
        <v>6262.3656624815958</v>
      </c>
    </row>
    <row r="15" spans="1:17" x14ac:dyDescent="0.25">
      <c r="A15" s="268"/>
      <c r="B15">
        <v>54</v>
      </c>
      <c r="C15">
        <v>11536.203693094429</v>
      </c>
      <c r="D15">
        <v>23072.407386188857</v>
      </c>
      <c r="E15">
        <v>34608.611079283284</v>
      </c>
      <c r="F15">
        <v>46144.814772377715</v>
      </c>
      <c r="G15">
        <v>57681.018465472138</v>
      </c>
      <c r="H15">
        <v>69217.222158566568</v>
      </c>
      <c r="I15">
        <v>80753.425851660999</v>
      </c>
      <c r="K15">
        <v>12</v>
      </c>
      <c r="L15" s="185">
        <f t="shared" si="0"/>
        <v>26221.528377450522</v>
      </c>
      <c r="M15" s="185">
        <f t="shared" si="1"/>
        <v>6045.6588163869637</v>
      </c>
    </row>
    <row r="16" spans="1:17" x14ac:dyDescent="0.25">
      <c r="A16" s="268"/>
      <c r="B16">
        <v>60</v>
      </c>
      <c r="C16">
        <v>10623.522355634139</v>
      </c>
      <c r="D16">
        <v>21247.044711268278</v>
      </c>
      <c r="E16">
        <v>31870.567066902415</v>
      </c>
      <c r="F16">
        <v>42494.089422536556</v>
      </c>
      <c r="G16">
        <v>53117.611778170693</v>
      </c>
      <c r="H16">
        <v>63741.13413380483</v>
      </c>
      <c r="I16">
        <v>74364.656489438959</v>
      </c>
      <c r="K16">
        <v>13</v>
      </c>
      <c r="L16" s="185">
        <f t="shared" si="0"/>
        <v>26440.041113929274</v>
      </c>
      <c r="M16" s="185">
        <f t="shared" si="1"/>
        <v>5827.1460799082097</v>
      </c>
    </row>
    <row r="17" spans="1:13" x14ac:dyDescent="0.25">
      <c r="A17" s="268"/>
      <c r="B17">
        <v>66</v>
      </c>
      <c r="C17">
        <v>9879.8496465245844</v>
      </c>
      <c r="D17">
        <v>19759.699293049169</v>
      </c>
      <c r="E17">
        <v>29639.548939573753</v>
      </c>
      <c r="F17">
        <v>39519.398586098338</v>
      </c>
      <c r="G17">
        <v>49399.248232622922</v>
      </c>
      <c r="H17">
        <v>59279.097879147506</v>
      </c>
      <c r="I17">
        <v>69158.947525672091</v>
      </c>
      <c r="K17">
        <v>14</v>
      </c>
      <c r="L17" s="185">
        <f t="shared" si="0"/>
        <v>26660.374789878686</v>
      </c>
      <c r="M17" s="185">
        <f t="shared" si="1"/>
        <v>5606.8124039587992</v>
      </c>
    </row>
    <row r="18" spans="1:13" x14ac:dyDescent="0.25">
      <c r="A18" s="268"/>
      <c r="B18">
        <v>72</v>
      </c>
      <c r="C18">
        <v>9262.9188878852383</v>
      </c>
      <c r="D18">
        <v>18525.837775770477</v>
      </c>
      <c r="E18">
        <v>27788.756663655717</v>
      </c>
      <c r="F18">
        <v>37051.675551540953</v>
      </c>
      <c r="G18">
        <v>46314.594439426197</v>
      </c>
      <c r="H18">
        <v>55577.513327311433</v>
      </c>
      <c r="I18">
        <v>64840.432215196677</v>
      </c>
      <c r="K18">
        <v>15</v>
      </c>
      <c r="L18" s="185">
        <f t="shared" si="0"/>
        <v>26882.544579794343</v>
      </c>
      <c r="M18" s="185">
        <f t="shared" si="1"/>
        <v>5384.6426140431431</v>
      </c>
    </row>
    <row r="19" spans="1:13" x14ac:dyDescent="0.25">
      <c r="A19" s="268"/>
      <c r="B19">
        <v>78</v>
      </c>
      <c r="C19">
        <v>8743.4673513439175</v>
      </c>
      <c r="D19">
        <v>17486.934702687835</v>
      </c>
      <c r="E19">
        <v>26230.402054031751</v>
      </c>
      <c r="F19">
        <v>34973.86940537567</v>
      </c>
      <c r="G19">
        <v>43717.336756719589</v>
      </c>
      <c r="H19">
        <v>52460.804108063501</v>
      </c>
      <c r="I19">
        <v>61204.27145940742</v>
      </c>
      <c r="K19">
        <v>16</v>
      </c>
      <c r="L19" s="185">
        <f t="shared" si="0"/>
        <v>27106.56578462596</v>
      </c>
      <c r="M19" s="185">
        <f t="shared" si="1"/>
        <v>5160.6214092115233</v>
      </c>
    </row>
    <row r="20" spans="1:13" x14ac:dyDescent="0.25">
      <c r="A20" s="268"/>
      <c r="B20">
        <v>84</v>
      </c>
      <c r="C20">
        <v>8300.5920134429543</v>
      </c>
      <c r="D20">
        <v>16601.184026885909</v>
      </c>
      <c r="E20">
        <v>24901.776040328859</v>
      </c>
      <c r="F20">
        <v>33202.368053771817</v>
      </c>
      <c r="G20">
        <v>41502.960067214772</v>
      </c>
      <c r="H20">
        <v>49803.552080657719</v>
      </c>
      <c r="I20">
        <v>58104.14409410068</v>
      </c>
      <c r="K20">
        <v>17</v>
      </c>
      <c r="L20" s="185">
        <f t="shared" si="0"/>
        <v>27332.453832831179</v>
      </c>
      <c r="M20" s="185">
        <f t="shared" si="1"/>
        <v>4934.7333610063079</v>
      </c>
    </row>
    <row r="21" spans="1:13" x14ac:dyDescent="0.25">
      <c r="A21" s="268"/>
      <c r="B21">
        <v>90</v>
      </c>
      <c r="C21">
        <v>7918.9630104331081</v>
      </c>
      <c r="D21">
        <v>15837.926020866216</v>
      </c>
      <c r="E21">
        <v>23756.889031299324</v>
      </c>
      <c r="F21">
        <v>31675.852041732433</v>
      </c>
      <c r="G21">
        <v>39594.815052165541</v>
      </c>
      <c r="H21">
        <v>47513.778062598649</v>
      </c>
      <c r="I21">
        <v>55432.741073031757</v>
      </c>
      <c r="K21">
        <v>18</v>
      </c>
      <c r="L21" s="185">
        <f t="shared" si="0"/>
        <v>27560.224281438102</v>
      </c>
      <c r="M21" s="185">
        <f t="shared" si="1"/>
        <v>4706.96291239938</v>
      </c>
    </row>
    <row r="22" spans="1:13" x14ac:dyDescent="0.25">
      <c r="A22" s="268"/>
      <c r="B22">
        <v>96</v>
      </c>
      <c r="C22">
        <v>7587.0820489021653</v>
      </c>
      <c r="D22">
        <v>15174.164097804331</v>
      </c>
      <c r="E22">
        <v>22761.246146706497</v>
      </c>
      <c r="F22">
        <v>30348.328195608661</v>
      </c>
      <c r="G22">
        <v>37935.410244510829</v>
      </c>
      <c r="H22">
        <v>45522.492293412994</v>
      </c>
      <c r="I22">
        <v>53109.574342315165</v>
      </c>
      <c r="K22">
        <v>19</v>
      </c>
      <c r="L22" s="185">
        <f t="shared" si="0"/>
        <v>27789.892817116754</v>
      </c>
      <c r="M22" s="185">
        <f t="shared" si="1"/>
        <v>4477.2943767207298</v>
      </c>
    </row>
    <row r="23" spans="1:13" x14ac:dyDescent="0.25">
      <c r="A23" s="268"/>
      <c r="B23">
        <v>102</v>
      </c>
      <c r="C23">
        <v>7296.1554962359996</v>
      </c>
      <c r="D23">
        <v>14592.310992471999</v>
      </c>
      <c r="E23">
        <v>21888.466488708</v>
      </c>
      <c r="F23">
        <v>29184.621984943999</v>
      </c>
      <c r="G23">
        <v>36480.777481180005</v>
      </c>
      <c r="H23">
        <v>43776.932977416</v>
      </c>
      <c r="I23">
        <v>51073.088473652002</v>
      </c>
      <c r="K23">
        <v>20</v>
      </c>
      <c r="L23" s="185">
        <f t="shared" si="0"/>
        <v>28021.475257259397</v>
      </c>
      <c r="M23" s="185">
        <f t="shared" si="1"/>
        <v>4245.71193657809</v>
      </c>
    </row>
    <row r="24" spans="1:13" x14ac:dyDescent="0.25">
      <c r="A24" s="268"/>
      <c r="B24">
        <v>108</v>
      </c>
      <c r="C24">
        <v>7039.3431086856126</v>
      </c>
      <c r="D24">
        <v>14078.686217371225</v>
      </c>
      <c r="E24">
        <v>21118.029326056836</v>
      </c>
      <c r="F24">
        <v>28157.37243474245</v>
      </c>
      <c r="G24">
        <v>35196.715543428065</v>
      </c>
      <c r="H24">
        <v>42236.058652113672</v>
      </c>
      <c r="I24">
        <v>49275.401760799286</v>
      </c>
      <c r="K24">
        <v>21</v>
      </c>
      <c r="L24" s="185">
        <f t="shared" si="0"/>
        <v>28254.987551069891</v>
      </c>
      <c r="M24" s="185">
        <f t="shared" si="1"/>
        <v>4012.1996427675949</v>
      </c>
    </row>
    <row r="25" spans="1:13" x14ac:dyDescent="0.25">
      <c r="A25" s="268"/>
      <c r="B25">
        <v>114</v>
      </c>
      <c r="C25">
        <v>6811.24400416966</v>
      </c>
      <c r="D25">
        <v>13622.48800833932</v>
      </c>
      <c r="E25">
        <v>20433.732012508979</v>
      </c>
      <c r="F25">
        <v>27244.97601667864</v>
      </c>
      <c r="G25">
        <v>34056.220020848305</v>
      </c>
      <c r="H25">
        <v>40867.464025017958</v>
      </c>
      <c r="I25">
        <v>47678.708029187626</v>
      </c>
      <c r="K25">
        <v>22</v>
      </c>
      <c r="L25" s="185">
        <f t="shared" si="0"/>
        <v>28490.445780662139</v>
      </c>
      <c r="M25" s="185">
        <f t="shared" si="1"/>
        <v>3776.7414131753462</v>
      </c>
    </row>
    <row r="26" spans="1:13" x14ac:dyDescent="0.25">
      <c r="B26">
        <v>120</v>
      </c>
      <c r="C26">
        <v>6607.5368440880829</v>
      </c>
      <c r="D26">
        <v>13215.073688176166</v>
      </c>
      <c r="E26">
        <v>19822.610532264247</v>
      </c>
      <c r="F26">
        <v>26430.147376352332</v>
      </c>
      <c r="G26">
        <v>33037.684220440417</v>
      </c>
      <c r="H26">
        <v>39645.221064528494</v>
      </c>
      <c r="I26">
        <v>46252.757908616579</v>
      </c>
      <c r="K26">
        <v>23</v>
      </c>
      <c r="L26" s="185">
        <f t="shared" si="0"/>
        <v>28727.866162167655</v>
      </c>
      <c r="M26" s="185">
        <f t="shared" si="1"/>
        <v>3539.3210316698278</v>
      </c>
    </row>
    <row r="27" spans="1:13" x14ac:dyDescent="0.25">
      <c r="B27">
        <v>126</v>
      </c>
      <c r="C27">
        <v>6424.7228210777203</v>
      </c>
      <c r="D27">
        <v>12849.445642155441</v>
      </c>
      <c r="E27">
        <v>19274.16846323316</v>
      </c>
      <c r="F27">
        <v>25698.891284310881</v>
      </c>
      <c r="G27">
        <v>32123.614105388599</v>
      </c>
      <c r="H27">
        <v>38548.33692646632</v>
      </c>
      <c r="I27">
        <v>44973.059747544037</v>
      </c>
      <c r="K27">
        <v>24</v>
      </c>
      <c r="L27" s="185">
        <f t="shared" si="0"/>
        <v>28967.26504685239</v>
      </c>
      <c r="M27" s="185">
        <f t="shared" si="1"/>
        <v>3299.9221469850977</v>
      </c>
    </row>
    <row r="28" spans="1:13" x14ac:dyDescent="0.25">
      <c r="B28">
        <v>132</v>
      </c>
      <c r="C28">
        <v>6259.9387416646014</v>
      </c>
      <c r="D28">
        <v>12519.877483329203</v>
      </c>
      <c r="E28">
        <v>18779.816224993803</v>
      </c>
      <c r="F28">
        <v>25039.754966658405</v>
      </c>
      <c r="G28">
        <v>31299.693708323008</v>
      </c>
      <c r="H28">
        <v>37559.632449987606</v>
      </c>
      <c r="I28">
        <v>43819.571191652212</v>
      </c>
      <c r="K28">
        <v>25</v>
      </c>
      <c r="L28" s="185">
        <f t="shared" si="0"/>
        <v>29208.658922242823</v>
      </c>
      <c r="M28" s="185">
        <f t="shared" si="1"/>
        <v>3058.528271594661</v>
      </c>
    </row>
    <row r="29" spans="1:13" x14ac:dyDescent="0.25">
      <c r="B29">
        <v>138</v>
      </c>
      <c r="C29">
        <v>6110.8188705216153</v>
      </c>
      <c r="D29">
        <v>12221.637741043231</v>
      </c>
      <c r="E29">
        <v>18332.456611564845</v>
      </c>
      <c r="F29">
        <v>24443.275482086461</v>
      </c>
      <c r="G29">
        <v>30554.094352608077</v>
      </c>
      <c r="H29">
        <v>36664.91322312969</v>
      </c>
      <c r="I29">
        <v>42775.732093651306</v>
      </c>
      <c r="K29">
        <v>26</v>
      </c>
      <c r="L29" s="185">
        <f t="shared" si="0"/>
        <v>29452.064413261513</v>
      </c>
      <c r="M29" s="185">
        <f t="shared" si="1"/>
        <v>2815.1227805759709</v>
      </c>
    </row>
    <row r="30" spans="1:13" x14ac:dyDescent="0.25">
      <c r="B30">
        <v>144</v>
      </c>
      <c r="C30">
        <v>5975.3913141366684</v>
      </c>
      <c r="D30">
        <v>11950.782628273337</v>
      </c>
      <c r="E30">
        <v>17926.173942410005</v>
      </c>
      <c r="F30">
        <v>23901.565256546673</v>
      </c>
      <c r="G30">
        <v>29876.956570683345</v>
      </c>
      <c r="H30">
        <v>35852.34788482001</v>
      </c>
      <c r="I30">
        <v>41827.739198956682</v>
      </c>
      <c r="K30">
        <v>27</v>
      </c>
      <c r="L30" s="185">
        <f t="shared" si="0"/>
        <v>29697.498283372028</v>
      </c>
      <c r="M30" s="185">
        <f t="shared" si="1"/>
        <v>2569.6889104654583</v>
      </c>
    </row>
    <row r="31" spans="1:13" x14ac:dyDescent="0.25">
      <c r="B31">
        <v>150</v>
      </c>
      <c r="C31">
        <v>5851.9992727985473</v>
      </c>
      <c r="D31">
        <v>11703.998545597095</v>
      </c>
      <c r="E31">
        <v>17555.997818395637</v>
      </c>
      <c r="F31">
        <v>23407.997091194189</v>
      </c>
      <c r="G31">
        <v>29259.996363992734</v>
      </c>
      <c r="H31">
        <v>35111.995636791275</v>
      </c>
      <c r="I31">
        <v>40963.994909589834</v>
      </c>
      <c r="K31">
        <v>28</v>
      </c>
      <c r="L31" s="185">
        <f t="shared" si="0"/>
        <v>29944.977435733465</v>
      </c>
      <c r="M31" s="185">
        <f t="shared" si="1"/>
        <v>2322.2097581040248</v>
      </c>
    </row>
    <row r="32" spans="1:13" x14ac:dyDescent="0.25">
      <c r="B32">
        <v>156</v>
      </c>
      <c r="C32">
        <v>5739.2404655283872</v>
      </c>
      <c r="D32">
        <v>11478.480931056774</v>
      </c>
      <c r="E32">
        <v>17217.721396585162</v>
      </c>
      <c r="F32">
        <v>22956.961862113549</v>
      </c>
      <c r="G32">
        <v>28696.202327641935</v>
      </c>
      <c r="H32">
        <v>34435.442793170325</v>
      </c>
      <c r="I32">
        <v>40174.683258698708</v>
      </c>
      <c r="K32">
        <v>29</v>
      </c>
      <c r="L32" s="185">
        <f t="shared" si="0"/>
        <v>30194.518914364573</v>
      </c>
      <c r="M32" s="185">
        <f t="shared" si="1"/>
        <v>2072.6682794729122</v>
      </c>
    </row>
    <row r="33" spans="2:13" x14ac:dyDescent="0.25">
      <c r="B33">
        <v>162</v>
      </c>
      <c r="C33">
        <v>5635.9200163988871</v>
      </c>
      <c r="D33">
        <v>11271.840032797774</v>
      </c>
      <c r="E33">
        <v>16907.760049196659</v>
      </c>
      <c r="F33">
        <v>22543.680065595549</v>
      </c>
      <c r="G33">
        <v>28179.600081994435</v>
      </c>
      <c r="H33">
        <v>33815.520098393317</v>
      </c>
      <c r="I33">
        <v>39451.440114792211</v>
      </c>
      <c r="K33">
        <v>30</v>
      </c>
      <c r="L33" s="185">
        <f t="shared" si="0"/>
        <v>30446.13990531761</v>
      </c>
      <c r="M33" s="185">
        <f t="shared" si="1"/>
        <v>1821.0472885198742</v>
      </c>
    </row>
    <row r="34" spans="2:13" x14ac:dyDescent="0.25">
      <c r="B34">
        <v>168</v>
      </c>
      <c r="C34">
        <v>5541.0134368430472</v>
      </c>
      <c r="D34">
        <v>11082.026873686094</v>
      </c>
      <c r="E34">
        <v>16623.040310529141</v>
      </c>
      <c r="F34">
        <v>22164.053747372189</v>
      </c>
      <c r="G34">
        <v>27705.067184215233</v>
      </c>
      <c r="H34">
        <v>33246.080621058281</v>
      </c>
      <c r="I34">
        <v>38787.094057901326</v>
      </c>
    </row>
    <row r="35" spans="2:13" x14ac:dyDescent="0.25">
      <c r="B35">
        <v>174</v>
      </c>
      <c r="C35">
        <v>5453.6372669405673</v>
      </c>
      <c r="D35">
        <v>10907.274533881135</v>
      </c>
      <c r="E35">
        <v>16360.911800821701</v>
      </c>
      <c r="F35">
        <v>21814.549067762269</v>
      </c>
      <c r="G35">
        <v>27268.186334702834</v>
      </c>
      <c r="H35">
        <v>32721.823601643402</v>
      </c>
      <c r="I35">
        <v>38175.46086858397</v>
      </c>
    </row>
    <row r="36" spans="2:13" x14ac:dyDescent="0.25">
      <c r="B36">
        <v>180</v>
      </c>
      <c r="C36">
        <v>5373.0255885405804</v>
      </c>
      <c r="D36">
        <v>10746.051177081161</v>
      </c>
      <c r="E36">
        <v>16119.076765621743</v>
      </c>
      <c r="F36">
        <v>21492.102354162322</v>
      </c>
      <c r="G36">
        <v>26865.127942702904</v>
      </c>
      <c r="H36">
        <v>32238.153531243486</v>
      </c>
      <c r="I36">
        <v>37611.179119784065</v>
      </c>
    </row>
    <row r="37" spans="2:13" x14ac:dyDescent="0.25">
      <c r="B37">
        <v>186</v>
      </c>
      <c r="C37">
        <v>5298.5110842780186</v>
      </c>
      <c r="D37">
        <v>10597.022168556037</v>
      </c>
      <c r="E37">
        <v>15895.533252834057</v>
      </c>
      <c r="F37">
        <v>21194.044337112075</v>
      </c>
      <c r="G37">
        <v>26492.555421390098</v>
      </c>
      <c r="H37">
        <v>31791.066505668114</v>
      </c>
      <c r="I37">
        <v>37089.57758994613</v>
      </c>
    </row>
    <row r="38" spans="2:13" x14ac:dyDescent="0.25">
      <c r="B38">
        <v>192</v>
      </c>
      <c r="C38">
        <v>5229.5096480276034</v>
      </c>
      <c r="D38">
        <v>10459.019296055207</v>
      </c>
      <c r="E38">
        <v>15688.528944082813</v>
      </c>
      <c r="F38">
        <v>20918.038592110413</v>
      </c>
      <c r="G38">
        <v>26147.548240138021</v>
      </c>
      <c r="H38">
        <v>31377.057888165626</v>
      </c>
      <c r="I38">
        <v>36606.567536193223</v>
      </c>
    </row>
    <row r="39" spans="2:13" x14ac:dyDescent="0.25">
      <c r="B39">
        <v>198</v>
      </c>
      <c r="C39">
        <v>5165.5077934208102</v>
      </c>
      <c r="D39">
        <v>10331.01558684162</v>
      </c>
      <c r="E39">
        <v>15496.523380262432</v>
      </c>
      <c r="F39">
        <v>20662.031173683241</v>
      </c>
      <c r="G39">
        <v>25827.538967104054</v>
      </c>
      <c r="H39">
        <v>30993.046760524863</v>
      </c>
      <c r="I39">
        <v>36158.554553945673</v>
      </c>
    </row>
    <row r="40" spans="2:13" x14ac:dyDescent="0.25">
      <c r="B40">
        <v>204</v>
      </c>
      <c r="C40">
        <v>5106.0522843169902</v>
      </c>
      <c r="D40">
        <v>10212.10456863398</v>
      </c>
      <c r="E40">
        <v>15318.15685295097</v>
      </c>
      <c r="F40">
        <v>20424.209137267961</v>
      </c>
      <c r="G40">
        <v>25530.26142158495</v>
      </c>
      <c r="H40">
        <v>30636.313705901939</v>
      </c>
      <c r="I40">
        <v>35742.365990218932</v>
      </c>
    </row>
    <row r="41" spans="2:13" x14ac:dyDescent="0.25">
      <c r="B41">
        <v>210</v>
      </c>
      <c r="C41">
        <v>5050.7415428031309</v>
      </c>
      <c r="D41">
        <v>10101.483085606262</v>
      </c>
      <c r="E41">
        <v>15152.224628409394</v>
      </c>
      <c r="F41">
        <v>20202.966171212523</v>
      </c>
      <c r="G41">
        <v>25253.707714015658</v>
      </c>
      <c r="H41">
        <v>30304.449256818789</v>
      </c>
      <c r="I41">
        <v>35355.190799621916</v>
      </c>
    </row>
    <row r="42" spans="2:13" x14ac:dyDescent="0.25">
      <c r="B42">
        <v>216</v>
      </c>
      <c r="C42">
        <v>4999.2184890593144</v>
      </c>
      <c r="D42">
        <v>9998.4369781186288</v>
      </c>
      <c r="E42">
        <v>14997.655467177941</v>
      </c>
      <c r="F42">
        <v>19996.873956237258</v>
      </c>
      <c r="G42">
        <v>24996.09244529657</v>
      </c>
      <c r="H42">
        <v>29995.310934355883</v>
      </c>
      <c r="I42">
        <v>34994.529423415195</v>
      </c>
    </row>
    <row r="43" spans="2:13" x14ac:dyDescent="0.25">
      <c r="B43">
        <v>222</v>
      </c>
      <c r="C43">
        <v>4951.1645421662597</v>
      </c>
      <c r="D43">
        <v>9902.3290843325194</v>
      </c>
      <c r="E43">
        <v>14853.493626498779</v>
      </c>
      <c r="F43">
        <v>19804.658168665039</v>
      </c>
      <c r="G43">
        <v>24755.8227108313</v>
      </c>
      <c r="H43">
        <v>29706.987252997558</v>
      </c>
      <c r="I43">
        <v>34658.151795163823</v>
      </c>
    </row>
    <row r="44" spans="2:13" x14ac:dyDescent="0.25">
      <c r="B44">
        <v>228</v>
      </c>
      <c r="C44">
        <v>4906.2945679693457</v>
      </c>
      <c r="D44">
        <v>9812.5891359386915</v>
      </c>
      <c r="E44">
        <v>14718.883703908035</v>
      </c>
      <c r="F44">
        <v>19625.178271877383</v>
      </c>
      <c r="G44">
        <v>24531.472839846727</v>
      </c>
      <c r="H44">
        <v>29437.767407816071</v>
      </c>
      <c r="I44">
        <v>34344.061975785415</v>
      </c>
    </row>
    <row r="45" spans="2:13" x14ac:dyDescent="0.25">
      <c r="B45">
        <v>234</v>
      </c>
      <c r="C45">
        <v>4864.3526039888875</v>
      </c>
      <c r="D45">
        <v>9728.705207977775</v>
      </c>
      <c r="E45">
        <v>14593.057811966662</v>
      </c>
      <c r="F45">
        <v>19457.41041595555</v>
      </c>
      <c r="G45">
        <v>24321.763019944439</v>
      </c>
      <c r="H45">
        <v>29186.115623933325</v>
      </c>
      <c r="I45">
        <v>34050.468227922211</v>
      </c>
    </row>
    <row r="46" spans="2:13" x14ac:dyDescent="0.25">
      <c r="B46">
        <v>240</v>
      </c>
      <c r="C46">
        <v>4825.1082253700397</v>
      </c>
      <c r="D46">
        <v>9650.2164507400794</v>
      </c>
      <c r="E46">
        <v>14475.324676110118</v>
      </c>
      <c r="F46">
        <v>19300.432901480159</v>
      </c>
      <c r="G46">
        <v>24125.541126850196</v>
      </c>
      <c r="H46">
        <v>28950.649352220236</v>
      </c>
      <c r="I46">
        <v>33775.757577590273</v>
      </c>
    </row>
  </sheetData>
  <sortState ref="P14:Q20">
    <sortCondition ref="P14"/>
  </sortState>
  <mergeCells count="3">
    <mergeCell ref="D3:I3"/>
    <mergeCell ref="A7:A25"/>
    <mergeCell ref="P2:Q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tabColor rgb="FFFF0000"/>
  </sheetPr>
  <dimension ref="B3:J49"/>
  <sheetViews>
    <sheetView workbookViewId="0">
      <selection activeCell="I22" sqref="I22"/>
    </sheetView>
  </sheetViews>
  <sheetFormatPr defaultRowHeight="15" x14ac:dyDescent="0.25"/>
  <sheetData>
    <row r="3" spans="2:10" x14ac:dyDescent="0.25">
      <c r="F3" s="152" t="s">
        <v>771</v>
      </c>
      <c r="G3" s="152" t="s">
        <v>829</v>
      </c>
      <c r="H3" s="152" t="s">
        <v>830</v>
      </c>
      <c r="I3" s="152" t="s">
        <v>831</v>
      </c>
      <c r="J3" s="152" t="s">
        <v>832</v>
      </c>
    </row>
    <row r="4" spans="2:10" x14ac:dyDescent="0.25">
      <c r="B4" s="151" t="s">
        <v>738</v>
      </c>
      <c r="C4" s="151">
        <v>2016</v>
      </c>
      <c r="D4" s="151">
        <v>2017</v>
      </c>
      <c r="F4" s="40" t="s">
        <v>782</v>
      </c>
      <c r="G4" s="40">
        <v>42</v>
      </c>
      <c r="H4" s="40">
        <v>46</v>
      </c>
      <c r="I4" s="40">
        <v>65</v>
      </c>
      <c r="J4" s="40">
        <v>85</v>
      </c>
    </row>
    <row r="5" spans="2:10" x14ac:dyDescent="0.25">
      <c r="B5" s="90" t="s">
        <v>742</v>
      </c>
      <c r="C5" s="90">
        <v>200</v>
      </c>
      <c r="D5" s="90">
        <v>210</v>
      </c>
      <c r="F5" s="40" t="s">
        <v>206</v>
      </c>
      <c r="G5" s="40">
        <v>20</v>
      </c>
      <c r="H5" s="40">
        <v>15</v>
      </c>
      <c r="I5" s="40">
        <v>75</v>
      </c>
      <c r="J5" s="40">
        <v>65</v>
      </c>
    </row>
    <row r="6" spans="2:10" x14ac:dyDescent="0.25">
      <c r="B6" s="90" t="s">
        <v>743</v>
      </c>
      <c r="C6" s="90">
        <v>300</v>
      </c>
      <c r="D6" s="90">
        <v>320</v>
      </c>
      <c r="F6" s="40" t="s">
        <v>207</v>
      </c>
      <c r="G6" s="40">
        <v>65</v>
      </c>
      <c r="H6" s="40">
        <v>35</v>
      </c>
      <c r="I6" s="40">
        <v>12</v>
      </c>
      <c r="J6" s="40">
        <v>56</v>
      </c>
    </row>
    <row r="7" spans="2:10" x14ac:dyDescent="0.25">
      <c r="B7" s="90" t="s">
        <v>744</v>
      </c>
      <c r="C7" s="90">
        <v>200</v>
      </c>
      <c r="D7" s="90">
        <v>180</v>
      </c>
      <c r="F7" s="40" t="s">
        <v>783</v>
      </c>
      <c r="G7" s="40">
        <v>46</v>
      </c>
      <c r="H7" s="40">
        <v>55</v>
      </c>
      <c r="I7" s="40">
        <v>52</v>
      </c>
      <c r="J7" s="40">
        <v>56</v>
      </c>
    </row>
    <row r="8" spans="2:10" x14ac:dyDescent="0.25">
      <c r="B8" s="90" t="s">
        <v>745</v>
      </c>
      <c r="C8" s="90">
        <v>300</v>
      </c>
      <c r="D8" s="90">
        <v>230</v>
      </c>
      <c r="F8" s="40" t="s">
        <v>784</v>
      </c>
      <c r="G8" s="40">
        <v>45</v>
      </c>
      <c r="H8" s="40">
        <v>40</v>
      </c>
      <c r="I8" s="40">
        <v>62</v>
      </c>
      <c r="J8" s="40">
        <v>45</v>
      </c>
    </row>
    <row r="9" spans="2:10" x14ac:dyDescent="0.25">
      <c r="B9" s="90" t="s">
        <v>746</v>
      </c>
      <c r="C9" s="90">
        <v>200</v>
      </c>
      <c r="D9" s="90">
        <v>410</v>
      </c>
      <c r="F9" s="40" t="s">
        <v>206</v>
      </c>
      <c r="G9" s="40">
        <v>75</v>
      </c>
      <c r="H9" s="40">
        <v>55</v>
      </c>
      <c r="I9" s="40">
        <v>54</v>
      </c>
      <c r="J9" s="40">
        <v>95</v>
      </c>
    </row>
    <row r="10" spans="2:10" x14ac:dyDescent="0.25">
      <c r="B10" s="90" t="s">
        <v>747</v>
      </c>
      <c r="C10" s="90">
        <v>300</v>
      </c>
      <c r="D10" s="90">
        <v>200</v>
      </c>
      <c r="F10" s="40" t="s">
        <v>785</v>
      </c>
      <c r="G10" s="40">
        <v>68</v>
      </c>
      <c r="H10" s="40">
        <v>87</v>
      </c>
      <c r="I10" s="40">
        <v>85</v>
      </c>
      <c r="J10" s="40">
        <v>65</v>
      </c>
    </row>
    <row r="11" spans="2:10" x14ac:dyDescent="0.25">
      <c r="B11" s="90" t="s">
        <v>748</v>
      </c>
      <c r="C11" s="90">
        <v>350</v>
      </c>
      <c r="D11" s="90">
        <v>325</v>
      </c>
      <c r="F11" s="40" t="s">
        <v>786</v>
      </c>
      <c r="G11" s="40">
        <v>65</v>
      </c>
      <c r="H11" s="40">
        <v>75</v>
      </c>
      <c r="I11" s="40">
        <v>67</v>
      </c>
      <c r="J11" s="40">
        <v>64</v>
      </c>
    </row>
    <row r="12" spans="2:10" x14ac:dyDescent="0.25">
      <c r="B12" s="90" t="s">
        <v>749</v>
      </c>
      <c r="C12" s="90">
        <v>400</v>
      </c>
      <c r="D12" s="90">
        <v>360</v>
      </c>
      <c r="F12" s="40" t="s">
        <v>783</v>
      </c>
      <c r="G12" s="40">
        <v>25</v>
      </c>
      <c r="H12" s="40">
        <v>68</v>
      </c>
      <c r="I12" s="40">
        <v>68</v>
      </c>
      <c r="J12" s="40">
        <v>75</v>
      </c>
    </row>
    <row r="13" spans="2:10" x14ac:dyDescent="0.25">
      <c r="B13" s="90" t="s">
        <v>750</v>
      </c>
      <c r="C13" s="90">
        <v>450</v>
      </c>
      <c r="D13" s="90">
        <v>500</v>
      </c>
      <c r="F13" s="40" t="s">
        <v>787</v>
      </c>
      <c r="G13" s="40">
        <v>53</v>
      </c>
      <c r="H13" s="40">
        <v>69</v>
      </c>
      <c r="I13" s="40">
        <v>85</v>
      </c>
      <c r="J13" s="40">
        <v>52</v>
      </c>
    </row>
    <row r="14" spans="2:10" x14ac:dyDescent="0.25">
      <c r="B14" s="90" t="s">
        <v>751</v>
      </c>
      <c r="C14" s="90">
        <v>1200</v>
      </c>
      <c r="D14" s="90">
        <v>1100</v>
      </c>
      <c r="F14" s="40" t="s">
        <v>788</v>
      </c>
      <c r="G14" s="40">
        <v>98</v>
      </c>
      <c r="H14" s="40">
        <v>55</v>
      </c>
      <c r="I14" s="40">
        <v>68</v>
      </c>
      <c r="J14" s="40">
        <v>65</v>
      </c>
    </row>
    <row r="15" spans="2:10" x14ac:dyDescent="0.25">
      <c r="F15" s="40" t="s">
        <v>206</v>
      </c>
      <c r="G15" s="40">
        <v>95</v>
      </c>
      <c r="H15" s="40">
        <v>98</v>
      </c>
      <c r="I15" s="40">
        <v>54</v>
      </c>
      <c r="J15" s="40">
        <v>85</v>
      </c>
    </row>
    <row r="20" spans="2:9" ht="18.75" x14ac:dyDescent="0.3">
      <c r="B20" s="270" t="s">
        <v>833</v>
      </c>
      <c r="C20" s="270"/>
      <c r="D20" s="270"/>
    </row>
    <row r="21" spans="2:9" x14ac:dyDescent="0.25">
      <c r="B21" s="108" t="s">
        <v>834</v>
      </c>
      <c r="C21" s="108" t="s">
        <v>835</v>
      </c>
      <c r="D21" s="108" t="s">
        <v>836</v>
      </c>
      <c r="G21" s="114" t="s">
        <v>771</v>
      </c>
      <c r="H21" s="114" t="s">
        <v>73</v>
      </c>
      <c r="I21" s="114" t="s">
        <v>108</v>
      </c>
    </row>
    <row r="22" spans="2:9" x14ac:dyDescent="0.25">
      <c r="B22" s="109">
        <v>43101</v>
      </c>
      <c r="C22" s="37">
        <v>31</v>
      </c>
      <c r="D22" s="110">
        <v>25600</v>
      </c>
      <c r="G22" s="90" t="s">
        <v>838</v>
      </c>
      <c r="H22" s="90">
        <v>40000</v>
      </c>
      <c r="I22" s="90">
        <v>30000</v>
      </c>
    </row>
    <row r="23" spans="2:9" x14ac:dyDescent="0.25">
      <c r="B23" s="109">
        <v>43132</v>
      </c>
      <c r="C23" s="37">
        <v>85</v>
      </c>
      <c r="D23" s="110">
        <v>27000</v>
      </c>
      <c r="G23" s="90" t="s">
        <v>839</v>
      </c>
      <c r="H23" s="90">
        <v>36000</v>
      </c>
      <c r="I23" s="90">
        <v>45000</v>
      </c>
    </row>
    <row r="24" spans="2:9" x14ac:dyDescent="0.25">
      <c r="B24" s="109">
        <v>43160</v>
      </c>
      <c r="C24" s="37">
        <v>43</v>
      </c>
      <c r="D24" s="110">
        <v>54000</v>
      </c>
      <c r="G24" s="90" t="s">
        <v>840</v>
      </c>
      <c r="H24" s="90">
        <v>3000</v>
      </c>
      <c r="I24" s="90">
        <v>2500</v>
      </c>
    </row>
    <row r="25" spans="2:9" x14ac:dyDescent="0.25">
      <c r="B25" s="109">
        <v>43191</v>
      </c>
      <c r="C25" s="37">
        <v>49</v>
      </c>
      <c r="D25" s="110">
        <v>25600</v>
      </c>
      <c r="G25" s="90" t="s">
        <v>841</v>
      </c>
      <c r="H25" s="90">
        <v>9000</v>
      </c>
      <c r="I25" s="90">
        <v>28000</v>
      </c>
    </row>
    <row r="26" spans="2:9" x14ac:dyDescent="0.25">
      <c r="B26" s="109">
        <v>43221</v>
      </c>
      <c r="C26" s="37">
        <v>46</v>
      </c>
      <c r="D26" s="110">
        <v>22200</v>
      </c>
      <c r="G26" s="90" t="s">
        <v>842</v>
      </c>
      <c r="H26" s="90">
        <v>7000</v>
      </c>
      <c r="I26" s="90">
        <v>13000</v>
      </c>
    </row>
    <row r="27" spans="2:9" x14ac:dyDescent="0.25">
      <c r="B27" s="109">
        <v>43252</v>
      </c>
      <c r="C27" s="37">
        <v>45</v>
      </c>
      <c r="D27" s="110">
        <v>28000</v>
      </c>
    </row>
    <row r="28" spans="2:9" x14ac:dyDescent="0.25">
      <c r="B28" s="109">
        <v>43282</v>
      </c>
      <c r="C28" s="37">
        <v>71</v>
      </c>
      <c r="D28" s="110">
        <v>45000</v>
      </c>
    </row>
    <row r="29" spans="2:9" x14ac:dyDescent="0.25">
      <c r="B29" s="109">
        <v>43313</v>
      </c>
      <c r="C29" s="37">
        <v>25</v>
      </c>
      <c r="D29" s="110">
        <v>62000</v>
      </c>
    </row>
    <row r="30" spans="2:9" x14ac:dyDescent="0.25">
      <c r="B30" s="109">
        <v>43344</v>
      </c>
      <c r="C30" s="37">
        <v>56</v>
      </c>
      <c r="D30" s="110">
        <v>42000</v>
      </c>
    </row>
    <row r="31" spans="2:9" x14ac:dyDescent="0.25">
      <c r="B31" s="109">
        <v>43374</v>
      </c>
      <c r="C31" s="37">
        <v>70</v>
      </c>
      <c r="D31" s="110">
        <v>96000</v>
      </c>
    </row>
    <row r="32" spans="2:9" x14ac:dyDescent="0.25">
      <c r="B32" s="109">
        <v>43405</v>
      </c>
      <c r="C32" s="37">
        <v>38</v>
      </c>
      <c r="D32" s="110">
        <v>33000</v>
      </c>
    </row>
    <row r="33" spans="2:4" x14ac:dyDescent="0.25">
      <c r="B33" s="109">
        <v>43435</v>
      </c>
      <c r="C33" s="37">
        <v>81</v>
      </c>
      <c r="D33" s="110">
        <v>82000</v>
      </c>
    </row>
    <row r="37" spans="2:4" x14ac:dyDescent="0.25">
      <c r="B37" s="111" t="s">
        <v>771</v>
      </c>
      <c r="C37" s="111" t="s">
        <v>38</v>
      </c>
      <c r="D37" s="111" t="s">
        <v>837</v>
      </c>
    </row>
    <row r="38" spans="2:4" x14ac:dyDescent="0.25">
      <c r="B38" s="90" t="s">
        <v>782</v>
      </c>
      <c r="C38" s="112">
        <v>31</v>
      </c>
      <c r="D38" s="113">
        <v>25600</v>
      </c>
    </row>
    <row r="39" spans="2:4" x14ac:dyDescent="0.25">
      <c r="B39" s="90" t="s">
        <v>206</v>
      </c>
      <c r="C39" s="112">
        <v>85</v>
      </c>
      <c r="D39" s="113">
        <v>27000</v>
      </c>
    </row>
    <row r="40" spans="2:4" x14ac:dyDescent="0.25">
      <c r="B40" s="90" t="s">
        <v>207</v>
      </c>
      <c r="C40" s="112">
        <v>43</v>
      </c>
      <c r="D40" s="113">
        <v>54000</v>
      </c>
    </row>
    <row r="41" spans="2:4" x14ac:dyDescent="0.25">
      <c r="B41" s="90" t="s">
        <v>783</v>
      </c>
      <c r="C41" s="112">
        <v>49</v>
      </c>
      <c r="D41" s="113">
        <v>25600</v>
      </c>
    </row>
    <row r="42" spans="2:4" x14ac:dyDescent="0.25">
      <c r="B42" s="90" t="s">
        <v>784</v>
      </c>
      <c r="C42" s="112">
        <v>46</v>
      </c>
      <c r="D42" s="113">
        <v>22200</v>
      </c>
    </row>
    <row r="43" spans="2:4" x14ac:dyDescent="0.25">
      <c r="B43" s="90" t="s">
        <v>206</v>
      </c>
      <c r="C43" s="112">
        <v>45</v>
      </c>
      <c r="D43" s="113">
        <v>28000</v>
      </c>
    </row>
    <row r="44" spans="2:4" x14ac:dyDescent="0.25">
      <c r="B44" s="90" t="s">
        <v>785</v>
      </c>
      <c r="C44" s="112">
        <v>71</v>
      </c>
      <c r="D44" s="113">
        <v>45000</v>
      </c>
    </row>
    <row r="45" spans="2:4" x14ac:dyDescent="0.25">
      <c r="B45" s="90" t="s">
        <v>786</v>
      </c>
      <c r="C45" s="112">
        <v>25</v>
      </c>
      <c r="D45" s="113">
        <v>62000</v>
      </c>
    </row>
    <row r="46" spans="2:4" x14ac:dyDescent="0.25">
      <c r="B46" s="90" t="s">
        <v>783</v>
      </c>
      <c r="C46" s="112">
        <v>56</v>
      </c>
      <c r="D46" s="113">
        <v>42000</v>
      </c>
    </row>
    <row r="47" spans="2:4" x14ac:dyDescent="0.25">
      <c r="B47" s="90" t="s">
        <v>787</v>
      </c>
      <c r="C47" s="112">
        <v>70</v>
      </c>
      <c r="D47" s="113">
        <v>96000</v>
      </c>
    </row>
    <row r="48" spans="2:4" x14ac:dyDescent="0.25">
      <c r="B48" s="90" t="s">
        <v>788</v>
      </c>
      <c r="C48" s="112">
        <v>38</v>
      </c>
      <c r="D48" s="113">
        <v>33000</v>
      </c>
    </row>
    <row r="49" spans="2:4" x14ac:dyDescent="0.25">
      <c r="B49" s="90" t="s">
        <v>206</v>
      </c>
      <c r="C49" s="112">
        <v>81</v>
      </c>
      <c r="D49" s="113">
        <v>82000</v>
      </c>
    </row>
  </sheetData>
  <mergeCells count="1">
    <mergeCell ref="B20:D20"/>
  </mergeCells>
  <conditionalFormatting sqref="B4:D14">
    <cfRule type="expression" dxfId="0" priority="1">
      <formula>MOD(ROW(),2)=2</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tabColor rgb="FF002060"/>
  </sheetPr>
  <dimension ref="B3:C154"/>
  <sheetViews>
    <sheetView topLeftCell="A76" workbookViewId="0">
      <selection activeCell="F15" sqref="F15"/>
    </sheetView>
  </sheetViews>
  <sheetFormatPr defaultRowHeight="12.75" x14ac:dyDescent="0.2"/>
  <cols>
    <col min="1" max="1" width="9.140625" style="127"/>
    <col min="2" max="2" width="85.28515625" style="142" bestFit="1" customWidth="1"/>
    <col min="3" max="3" width="25.7109375" style="143" bestFit="1" customWidth="1"/>
    <col min="4" max="16384" width="9.140625" style="127"/>
  </cols>
  <sheetData>
    <row r="3" spans="2:3" ht="26.25" x14ac:dyDescent="0.4">
      <c r="B3" s="271" t="s">
        <v>850</v>
      </c>
      <c r="C3" s="271"/>
    </row>
    <row r="4" spans="2:3" ht="12.75" customHeight="1" x14ac:dyDescent="0.2">
      <c r="B4" s="271"/>
      <c r="C4" s="271"/>
    </row>
    <row r="5" spans="2:3" ht="12.75" customHeight="1" x14ac:dyDescent="0.2">
      <c r="B5" s="271"/>
      <c r="C5" s="271"/>
    </row>
    <row r="6" spans="2:3" x14ac:dyDescent="0.2">
      <c r="B6" s="271"/>
      <c r="C6" s="271"/>
    </row>
    <row r="7" spans="2:3" x14ac:dyDescent="0.2">
      <c r="B7" s="128" t="s">
        <v>851</v>
      </c>
      <c r="C7" s="129"/>
    </row>
    <row r="8" spans="2:3" x14ac:dyDescent="0.2">
      <c r="B8" s="130"/>
      <c r="C8" s="131"/>
    </row>
    <row r="9" spans="2:3" ht="25.5" x14ac:dyDescent="0.2">
      <c r="B9" s="130" t="s">
        <v>852</v>
      </c>
      <c r="C9" s="131" t="s">
        <v>853</v>
      </c>
    </row>
    <row r="10" spans="2:3" x14ac:dyDescent="0.2">
      <c r="B10" s="130" t="s">
        <v>854</v>
      </c>
      <c r="C10" s="131" t="s">
        <v>855</v>
      </c>
    </row>
    <row r="11" spans="2:3" x14ac:dyDescent="0.2">
      <c r="B11" s="130" t="s">
        <v>856</v>
      </c>
      <c r="C11" s="131" t="s">
        <v>857</v>
      </c>
    </row>
    <row r="12" spans="2:3" x14ac:dyDescent="0.2">
      <c r="B12" s="130" t="s">
        <v>858</v>
      </c>
      <c r="C12" s="131" t="s">
        <v>859</v>
      </c>
    </row>
    <row r="13" spans="2:3" x14ac:dyDescent="0.2">
      <c r="B13" s="130" t="s">
        <v>860</v>
      </c>
      <c r="C13" s="131" t="s">
        <v>861</v>
      </c>
    </row>
    <row r="14" spans="2:3" x14ac:dyDescent="0.2">
      <c r="B14" s="130" t="s">
        <v>862</v>
      </c>
      <c r="C14" s="131" t="s">
        <v>863</v>
      </c>
    </row>
    <row r="15" spans="2:3" x14ac:dyDescent="0.2">
      <c r="B15" s="130" t="s">
        <v>864</v>
      </c>
      <c r="C15" s="131" t="s">
        <v>865</v>
      </c>
    </row>
    <row r="16" spans="2:3" x14ac:dyDescent="0.2">
      <c r="B16" s="130" t="s">
        <v>866</v>
      </c>
      <c r="C16" s="131" t="s">
        <v>867</v>
      </c>
    </row>
    <row r="17" spans="2:3" x14ac:dyDescent="0.2">
      <c r="B17" s="130" t="s">
        <v>868</v>
      </c>
      <c r="C17" s="131" t="s">
        <v>869</v>
      </c>
    </row>
    <row r="18" spans="2:3" x14ac:dyDescent="0.2">
      <c r="B18" s="130" t="s">
        <v>870</v>
      </c>
      <c r="C18" s="131" t="s">
        <v>871</v>
      </c>
    </row>
    <row r="19" spans="2:3" x14ac:dyDescent="0.2">
      <c r="B19" s="130" t="s">
        <v>872</v>
      </c>
      <c r="C19" s="131" t="s">
        <v>873</v>
      </c>
    </row>
    <row r="20" spans="2:3" x14ac:dyDescent="0.2">
      <c r="B20" s="130" t="s">
        <v>874</v>
      </c>
      <c r="C20" s="131" t="s">
        <v>875</v>
      </c>
    </row>
    <row r="21" spans="2:3" x14ac:dyDescent="0.2">
      <c r="B21" s="130" t="s">
        <v>876</v>
      </c>
      <c r="C21" s="131" t="s">
        <v>877</v>
      </c>
    </row>
    <row r="22" spans="2:3" x14ac:dyDescent="0.2">
      <c r="B22" s="130" t="s">
        <v>878</v>
      </c>
      <c r="C22" s="131" t="s">
        <v>879</v>
      </c>
    </row>
    <row r="23" spans="2:3" x14ac:dyDescent="0.2">
      <c r="B23" s="130" t="s">
        <v>880</v>
      </c>
      <c r="C23" s="131" t="s">
        <v>881</v>
      </c>
    </row>
    <row r="24" spans="2:3" x14ac:dyDescent="0.2">
      <c r="B24" s="130" t="s">
        <v>882</v>
      </c>
      <c r="C24" s="131" t="s">
        <v>883</v>
      </c>
    </row>
    <row r="25" spans="2:3" x14ac:dyDescent="0.2">
      <c r="B25" s="130" t="s">
        <v>884</v>
      </c>
      <c r="C25" s="131" t="s">
        <v>885</v>
      </c>
    </row>
    <row r="26" spans="2:3" x14ac:dyDescent="0.2">
      <c r="B26" s="130" t="s">
        <v>856</v>
      </c>
      <c r="C26" s="131" t="s">
        <v>886</v>
      </c>
    </row>
    <row r="27" spans="2:3" x14ac:dyDescent="0.2">
      <c r="B27" s="130" t="s">
        <v>862</v>
      </c>
      <c r="C27" s="131" t="s">
        <v>887</v>
      </c>
    </row>
    <row r="28" spans="2:3" ht="25.5" x14ac:dyDescent="0.2">
      <c r="B28" s="130" t="s">
        <v>888</v>
      </c>
      <c r="C28" s="131" t="s">
        <v>889</v>
      </c>
    </row>
    <row r="29" spans="2:3" x14ac:dyDescent="0.2">
      <c r="B29" s="130" t="s">
        <v>890</v>
      </c>
      <c r="C29" s="131" t="s">
        <v>883</v>
      </c>
    </row>
    <row r="30" spans="2:3" x14ac:dyDescent="0.2">
      <c r="B30" s="130" t="s">
        <v>891</v>
      </c>
      <c r="C30" s="131" t="s">
        <v>892</v>
      </c>
    </row>
    <row r="31" spans="2:3" x14ac:dyDescent="0.2">
      <c r="B31" s="130" t="s">
        <v>893</v>
      </c>
      <c r="C31" s="131" t="s">
        <v>894</v>
      </c>
    </row>
    <row r="32" spans="2:3" x14ac:dyDescent="0.2">
      <c r="B32" s="130" t="s">
        <v>895</v>
      </c>
      <c r="C32" s="131" t="s">
        <v>896</v>
      </c>
    </row>
    <row r="33" spans="2:3" x14ac:dyDescent="0.2">
      <c r="B33" s="130" t="s">
        <v>897</v>
      </c>
      <c r="C33" s="131" t="s">
        <v>859</v>
      </c>
    </row>
    <row r="34" spans="2:3" x14ac:dyDescent="0.2">
      <c r="B34" s="132" t="s">
        <v>898</v>
      </c>
      <c r="C34" s="133" t="s">
        <v>899</v>
      </c>
    </row>
    <row r="35" spans="2:3" x14ac:dyDescent="0.2">
      <c r="B35" s="134"/>
      <c r="C35" s="135"/>
    </row>
    <row r="36" spans="2:3" x14ac:dyDescent="0.2">
      <c r="B36" s="136"/>
      <c r="C36" s="137"/>
    </row>
    <row r="37" spans="2:3" x14ac:dyDescent="0.2">
      <c r="B37" s="138" t="s">
        <v>900</v>
      </c>
      <c r="C37" s="139"/>
    </row>
    <row r="38" spans="2:3" x14ac:dyDescent="0.2">
      <c r="B38" s="130"/>
      <c r="C38" s="131"/>
    </row>
    <row r="39" spans="2:3" ht="25.5" x14ac:dyDescent="0.2">
      <c r="B39" s="130" t="s">
        <v>852</v>
      </c>
      <c r="C39" s="131" t="s">
        <v>853</v>
      </c>
    </row>
    <row r="40" spans="2:3" x14ac:dyDescent="0.2">
      <c r="B40" s="130" t="s">
        <v>901</v>
      </c>
      <c r="C40" s="131" t="s">
        <v>902</v>
      </c>
    </row>
    <row r="41" spans="2:3" x14ac:dyDescent="0.2">
      <c r="B41" s="130" t="s">
        <v>903</v>
      </c>
      <c r="C41" s="131" t="s">
        <v>904</v>
      </c>
    </row>
    <row r="42" spans="2:3" ht="25.5" x14ac:dyDescent="0.2">
      <c r="B42" s="130" t="s">
        <v>905</v>
      </c>
      <c r="C42" s="131" t="s">
        <v>906</v>
      </c>
    </row>
    <row r="43" spans="2:3" ht="25.5" x14ac:dyDescent="0.2">
      <c r="B43" s="130" t="s">
        <v>907</v>
      </c>
      <c r="C43" s="131" t="s">
        <v>908</v>
      </c>
    </row>
    <row r="44" spans="2:3" x14ac:dyDescent="0.2">
      <c r="B44" s="130" t="s">
        <v>909</v>
      </c>
      <c r="C44" s="131" t="s">
        <v>910</v>
      </c>
    </row>
    <row r="45" spans="2:3" x14ac:dyDescent="0.2">
      <c r="B45" s="130" t="s">
        <v>911</v>
      </c>
      <c r="C45" s="131" t="s">
        <v>912</v>
      </c>
    </row>
    <row r="46" spans="2:3" x14ac:dyDescent="0.2">
      <c r="B46" s="130" t="s">
        <v>913</v>
      </c>
      <c r="C46" s="131" t="s">
        <v>914</v>
      </c>
    </row>
    <row r="47" spans="2:3" x14ac:dyDescent="0.2">
      <c r="B47" s="130" t="s">
        <v>915</v>
      </c>
      <c r="C47" s="131" t="s">
        <v>916</v>
      </c>
    </row>
    <row r="48" spans="2:3" x14ac:dyDescent="0.2">
      <c r="B48" s="132" t="s">
        <v>917</v>
      </c>
      <c r="C48" s="133" t="s">
        <v>918</v>
      </c>
    </row>
    <row r="49" spans="2:3" x14ac:dyDescent="0.2">
      <c r="B49" s="134"/>
      <c r="C49" s="135"/>
    </row>
    <row r="50" spans="2:3" x14ac:dyDescent="0.2">
      <c r="B50" s="136"/>
      <c r="C50" s="137"/>
    </row>
    <row r="51" spans="2:3" x14ac:dyDescent="0.2">
      <c r="B51" s="138" t="s">
        <v>919</v>
      </c>
      <c r="C51" s="139"/>
    </row>
    <row r="52" spans="2:3" x14ac:dyDescent="0.2">
      <c r="B52" s="130"/>
      <c r="C52" s="131"/>
    </row>
    <row r="53" spans="2:3" x14ac:dyDescent="0.2">
      <c r="B53" s="130" t="s">
        <v>920</v>
      </c>
      <c r="C53" s="131" t="s">
        <v>921</v>
      </c>
    </row>
    <row r="54" spans="2:3" x14ac:dyDescent="0.2">
      <c r="B54" s="130" t="s">
        <v>922</v>
      </c>
      <c r="C54" s="131" t="s">
        <v>923</v>
      </c>
    </row>
    <row r="55" spans="2:3" x14ac:dyDescent="0.2">
      <c r="B55" s="130" t="s">
        <v>924</v>
      </c>
      <c r="C55" s="131" t="s">
        <v>925</v>
      </c>
    </row>
    <row r="56" spans="2:3" x14ac:dyDescent="0.2">
      <c r="B56" s="130" t="s">
        <v>926</v>
      </c>
      <c r="C56" s="131" t="s">
        <v>927</v>
      </c>
    </row>
    <row r="57" spans="2:3" x14ac:dyDescent="0.2">
      <c r="B57" s="130" t="s">
        <v>928</v>
      </c>
      <c r="C57" s="131" t="s">
        <v>929</v>
      </c>
    </row>
    <row r="58" spans="2:3" x14ac:dyDescent="0.2">
      <c r="B58" s="130" t="s">
        <v>930</v>
      </c>
      <c r="C58" s="131" t="s">
        <v>931</v>
      </c>
    </row>
    <row r="59" spans="2:3" x14ac:dyDescent="0.2">
      <c r="B59" s="130" t="s">
        <v>932</v>
      </c>
      <c r="C59" s="131" t="s">
        <v>933</v>
      </c>
    </row>
    <row r="60" spans="2:3" x14ac:dyDescent="0.2">
      <c r="B60" s="130" t="s">
        <v>934</v>
      </c>
      <c r="C60" s="131" t="s">
        <v>935</v>
      </c>
    </row>
    <row r="61" spans="2:3" x14ac:dyDescent="0.2">
      <c r="B61" s="130" t="s">
        <v>936</v>
      </c>
      <c r="C61" s="131" t="s">
        <v>937</v>
      </c>
    </row>
    <row r="62" spans="2:3" x14ac:dyDescent="0.2">
      <c r="B62" s="130" t="s">
        <v>938</v>
      </c>
      <c r="C62" s="131" t="s">
        <v>939</v>
      </c>
    </row>
    <row r="63" spans="2:3" x14ac:dyDescent="0.2">
      <c r="B63" s="130" t="s">
        <v>940</v>
      </c>
      <c r="C63" s="131" t="s">
        <v>941</v>
      </c>
    </row>
    <row r="64" spans="2:3" x14ac:dyDescent="0.2">
      <c r="B64" s="130" t="s">
        <v>942</v>
      </c>
      <c r="C64" s="131" t="s">
        <v>943</v>
      </c>
    </row>
    <row r="65" spans="2:3" x14ac:dyDescent="0.2">
      <c r="B65" s="130" t="s">
        <v>944</v>
      </c>
      <c r="C65" s="131" t="s">
        <v>945</v>
      </c>
    </row>
    <row r="66" spans="2:3" x14ac:dyDescent="0.2">
      <c r="B66" s="130" t="s">
        <v>946</v>
      </c>
      <c r="C66" s="131" t="s">
        <v>947</v>
      </c>
    </row>
    <row r="67" spans="2:3" x14ac:dyDescent="0.2">
      <c r="B67" s="130" t="s">
        <v>948</v>
      </c>
      <c r="C67" s="131" t="s">
        <v>949</v>
      </c>
    </row>
    <row r="68" spans="2:3" x14ac:dyDescent="0.2">
      <c r="B68" s="130" t="s">
        <v>950</v>
      </c>
      <c r="C68" s="131" t="s">
        <v>951</v>
      </c>
    </row>
    <row r="69" spans="2:3" x14ac:dyDescent="0.2">
      <c r="B69" s="130" t="s">
        <v>952</v>
      </c>
      <c r="C69" s="131" t="s">
        <v>953</v>
      </c>
    </row>
    <row r="70" spans="2:3" x14ac:dyDescent="0.2">
      <c r="B70" s="130" t="s">
        <v>882</v>
      </c>
      <c r="C70" s="131" t="s">
        <v>883</v>
      </c>
    </row>
    <row r="71" spans="2:3" x14ac:dyDescent="0.2">
      <c r="B71" s="130" t="s">
        <v>884</v>
      </c>
      <c r="C71" s="131" t="s">
        <v>885</v>
      </c>
    </row>
    <row r="72" spans="2:3" x14ac:dyDescent="0.2">
      <c r="B72" s="130" t="s">
        <v>954</v>
      </c>
      <c r="C72" s="131" t="s">
        <v>955</v>
      </c>
    </row>
    <row r="73" spans="2:3" x14ac:dyDescent="0.2">
      <c r="B73" s="130" t="s">
        <v>930</v>
      </c>
      <c r="C73" s="131" t="s">
        <v>956</v>
      </c>
    </row>
    <row r="74" spans="2:3" x14ac:dyDescent="0.2">
      <c r="B74" s="130" t="s">
        <v>957</v>
      </c>
      <c r="C74" s="131" t="s">
        <v>958</v>
      </c>
    </row>
    <row r="75" spans="2:3" x14ac:dyDescent="0.2">
      <c r="B75" s="130" t="s">
        <v>959</v>
      </c>
      <c r="C75" s="131" t="s">
        <v>883</v>
      </c>
    </row>
    <row r="76" spans="2:3" x14ac:dyDescent="0.2">
      <c r="B76" s="130" t="s">
        <v>891</v>
      </c>
      <c r="C76" s="131" t="s">
        <v>892</v>
      </c>
    </row>
    <row r="77" spans="2:3" x14ac:dyDescent="0.2">
      <c r="B77" s="130" t="s">
        <v>960</v>
      </c>
      <c r="C77" s="131" t="s">
        <v>927</v>
      </c>
    </row>
    <row r="78" spans="2:3" x14ac:dyDescent="0.2">
      <c r="B78" s="130" t="s">
        <v>961</v>
      </c>
      <c r="C78" s="131" t="s">
        <v>885</v>
      </c>
    </row>
    <row r="79" spans="2:3" x14ac:dyDescent="0.2">
      <c r="B79" s="130" t="s">
        <v>962</v>
      </c>
      <c r="C79" s="131" t="s">
        <v>963</v>
      </c>
    </row>
    <row r="80" spans="2:3" x14ac:dyDescent="0.2">
      <c r="B80" s="132" t="s">
        <v>964</v>
      </c>
      <c r="C80" s="133" t="s">
        <v>965</v>
      </c>
    </row>
    <row r="81" spans="2:3" x14ac:dyDescent="0.2">
      <c r="B81" s="140"/>
      <c r="C81" s="141"/>
    </row>
    <row r="82" spans="2:3" x14ac:dyDescent="0.2">
      <c r="B82" s="138" t="s">
        <v>966</v>
      </c>
      <c r="C82" s="139"/>
    </row>
    <row r="83" spans="2:3" x14ac:dyDescent="0.2">
      <c r="B83" s="130"/>
      <c r="C83" s="131"/>
    </row>
    <row r="84" spans="2:3" x14ac:dyDescent="0.2">
      <c r="B84" s="130" t="s">
        <v>967</v>
      </c>
      <c r="C84" s="131" t="s">
        <v>968</v>
      </c>
    </row>
    <row r="85" spans="2:3" x14ac:dyDescent="0.2">
      <c r="B85" s="130" t="s">
        <v>969</v>
      </c>
      <c r="C85" s="131" t="s">
        <v>970</v>
      </c>
    </row>
    <row r="86" spans="2:3" x14ac:dyDescent="0.2">
      <c r="B86" s="130" t="s">
        <v>971</v>
      </c>
      <c r="C86" s="131" t="s">
        <v>972</v>
      </c>
    </row>
    <row r="87" spans="2:3" x14ac:dyDescent="0.2">
      <c r="B87" s="130" t="s">
        <v>973</v>
      </c>
      <c r="C87" s="131" t="s">
        <v>974</v>
      </c>
    </row>
    <row r="88" spans="2:3" x14ac:dyDescent="0.2">
      <c r="B88" s="130" t="s">
        <v>975</v>
      </c>
      <c r="C88" s="131" t="s">
        <v>976</v>
      </c>
    </row>
    <row r="89" spans="2:3" x14ac:dyDescent="0.2">
      <c r="B89" s="130" t="s">
        <v>977</v>
      </c>
      <c r="C89" s="131" t="s">
        <v>978</v>
      </c>
    </row>
    <row r="90" spans="2:3" x14ac:dyDescent="0.2">
      <c r="B90" s="130" t="s">
        <v>979</v>
      </c>
      <c r="C90" s="131" t="s">
        <v>980</v>
      </c>
    </row>
    <row r="91" spans="2:3" x14ac:dyDescent="0.2">
      <c r="B91" s="130" t="s">
        <v>981</v>
      </c>
      <c r="C91" s="131" t="s">
        <v>982</v>
      </c>
    </row>
    <row r="92" spans="2:3" x14ac:dyDescent="0.2">
      <c r="B92" s="130" t="s">
        <v>983</v>
      </c>
      <c r="C92" s="131" t="s">
        <v>984</v>
      </c>
    </row>
    <row r="93" spans="2:3" x14ac:dyDescent="0.2">
      <c r="B93" s="130" t="s">
        <v>985</v>
      </c>
      <c r="C93" s="131" t="s">
        <v>986</v>
      </c>
    </row>
    <row r="94" spans="2:3" x14ac:dyDescent="0.2">
      <c r="B94" s="130" t="s">
        <v>987</v>
      </c>
      <c r="C94" s="131" t="s">
        <v>988</v>
      </c>
    </row>
    <row r="95" spans="2:3" x14ac:dyDescent="0.2">
      <c r="B95" s="130" t="s">
        <v>989</v>
      </c>
      <c r="C95" s="131" t="s">
        <v>990</v>
      </c>
    </row>
    <row r="96" spans="2:3" x14ac:dyDescent="0.2">
      <c r="B96" s="130" t="s">
        <v>991</v>
      </c>
      <c r="C96" s="131" t="s">
        <v>992</v>
      </c>
    </row>
    <row r="97" spans="2:3" x14ac:dyDescent="0.2">
      <c r="B97" s="130" t="s">
        <v>993</v>
      </c>
      <c r="C97" s="131" t="s">
        <v>994</v>
      </c>
    </row>
    <row r="98" spans="2:3" x14ac:dyDescent="0.2">
      <c r="B98" s="130" t="s">
        <v>995</v>
      </c>
      <c r="C98" s="131" t="s">
        <v>996</v>
      </c>
    </row>
    <row r="99" spans="2:3" x14ac:dyDescent="0.2">
      <c r="B99" s="130" t="s">
        <v>997</v>
      </c>
      <c r="C99" s="131" t="s">
        <v>998</v>
      </c>
    </row>
    <row r="100" spans="2:3" x14ac:dyDescent="0.2">
      <c r="B100" s="130" t="s">
        <v>999</v>
      </c>
      <c r="C100" s="131" t="s">
        <v>1000</v>
      </c>
    </row>
    <row r="101" spans="2:3" x14ac:dyDescent="0.2">
      <c r="B101" s="130" t="s">
        <v>1001</v>
      </c>
      <c r="C101" s="131" t="s">
        <v>1002</v>
      </c>
    </row>
    <row r="102" spans="2:3" x14ac:dyDescent="0.2">
      <c r="B102" s="132" t="s">
        <v>1003</v>
      </c>
      <c r="C102" s="133" t="s">
        <v>1004</v>
      </c>
    </row>
    <row r="103" spans="2:3" x14ac:dyDescent="0.2">
      <c r="B103" s="134"/>
      <c r="C103" s="135"/>
    </row>
    <row r="104" spans="2:3" x14ac:dyDescent="0.2">
      <c r="B104" s="136"/>
      <c r="C104" s="137"/>
    </row>
    <row r="105" spans="2:3" x14ac:dyDescent="0.2">
      <c r="B105" s="138" t="s">
        <v>1005</v>
      </c>
      <c r="C105" s="139"/>
    </row>
    <row r="106" spans="2:3" x14ac:dyDescent="0.2">
      <c r="B106" s="130"/>
      <c r="C106" s="131"/>
    </row>
    <row r="107" spans="2:3" x14ac:dyDescent="0.2">
      <c r="B107" s="130" t="s">
        <v>1006</v>
      </c>
      <c r="C107" s="131" t="s">
        <v>1007</v>
      </c>
    </row>
    <row r="108" spans="2:3" x14ac:dyDescent="0.2">
      <c r="B108" s="130" t="s">
        <v>1008</v>
      </c>
      <c r="C108" s="131" t="s">
        <v>1009</v>
      </c>
    </row>
    <row r="109" spans="2:3" x14ac:dyDescent="0.2">
      <c r="B109" s="130" t="s">
        <v>1010</v>
      </c>
      <c r="C109" s="131" t="s">
        <v>1011</v>
      </c>
    </row>
    <row r="110" spans="2:3" x14ac:dyDescent="0.2">
      <c r="B110" s="130" t="s">
        <v>1012</v>
      </c>
      <c r="C110" s="131" t="s">
        <v>1013</v>
      </c>
    </row>
    <row r="111" spans="2:3" x14ac:dyDescent="0.2">
      <c r="B111" s="132" t="s">
        <v>1014</v>
      </c>
      <c r="C111" s="133" t="s">
        <v>1015</v>
      </c>
    </row>
    <row r="112" spans="2:3" x14ac:dyDescent="0.2">
      <c r="B112" s="134"/>
      <c r="C112" s="135"/>
    </row>
    <row r="113" spans="2:3" x14ac:dyDescent="0.2">
      <c r="B113" s="136"/>
      <c r="C113" s="137"/>
    </row>
    <row r="114" spans="2:3" x14ac:dyDescent="0.2">
      <c r="B114" s="138" t="s">
        <v>1016</v>
      </c>
      <c r="C114" s="139"/>
    </row>
    <row r="115" spans="2:3" x14ac:dyDescent="0.2">
      <c r="B115" s="130"/>
      <c r="C115" s="131"/>
    </row>
    <row r="116" spans="2:3" x14ac:dyDescent="0.2">
      <c r="B116" s="130" t="s">
        <v>1017</v>
      </c>
      <c r="C116" s="131" t="s">
        <v>1018</v>
      </c>
    </row>
    <row r="117" spans="2:3" x14ac:dyDescent="0.2">
      <c r="B117" s="130" t="s">
        <v>1019</v>
      </c>
      <c r="C117" s="131" t="s">
        <v>1020</v>
      </c>
    </row>
    <row r="118" spans="2:3" x14ac:dyDescent="0.2">
      <c r="B118" s="130" t="s">
        <v>1021</v>
      </c>
      <c r="C118" s="131" t="s">
        <v>1022</v>
      </c>
    </row>
    <row r="119" spans="2:3" x14ac:dyDescent="0.2">
      <c r="B119" s="130" t="s">
        <v>1023</v>
      </c>
      <c r="C119" s="131" t="s">
        <v>1024</v>
      </c>
    </row>
    <row r="120" spans="2:3" ht="25.5" x14ac:dyDescent="0.2">
      <c r="B120" s="130" t="s">
        <v>1025</v>
      </c>
      <c r="C120" s="131" t="s">
        <v>1026</v>
      </c>
    </row>
    <row r="121" spans="2:3" x14ac:dyDescent="0.2">
      <c r="B121" s="130" t="s">
        <v>1027</v>
      </c>
      <c r="C121" s="131" t="s">
        <v>1028</v>
      </c>
    </row>
    <row r="122" spans="2:3" x14ac:dyDescent="0.2">
      <c r="B122" s="130" t="s">
        <v>1029</v>
      </c>
      <c r="C122" s="131" t="s">
        <v>1030</v>
      </c>
    </row>
    <row r="123" spans="2:3" x14ac:dyDescent="0.2">
      <c r="B123" s="132" t="s">
        <v>1031</v>
      </c>
      <c r="C123" s="133" t="s">
        <v>1032</v>
      </c>
    </row>
    <row r="124" spans="2:3" x14ac:dyDescent="0.2">
      <c r="B124" s="140"/>
      <c r="C124" s="141"/>
    </row>
    <row r="125" spans="2:3" x14ac:dyDescent="0.2">
      <c r="B125" s="138" t="s">
        <v>1033</v>
      </c>
      <c r="C125" s="139"/>
    </row>
    <row r="126" spans="2:3" x14ac:dyDescent="0.2">
      <c r="B126" s="130"/>
      <c r="C126" s="131"/>
    </row>
    <row r="127" spans="2:3" x14ac:dyDescent="0.2">
      <c r="B127" s="130" t="s">
        <v>1034</v>
      </c>
      <c r="C127" s="131" t="s">
        <v>1035</v>
      </c>
    </row>
    <row r="128" spans="2:3" x14ac:dyDescent="0.2">
      <c r="B128" s="130" t="s">
        <v>1036</v>
      </c>
      <c r="C128" s="131" t="s">
        <v>1032</v>
      </c>
    </row>
    <row r="129" spans="2:3" ht="25.5" x14ac:dyDescent="0.2">
      <c r="B129" s="130" t="s">
        <v>1037</v>
      </c>
      <c r="C129" s="131" t="s">
        <v>1038</v>
      </c>
    </row>
    <row r="130" spans="2:3" x14ac:dyDescent="0.2">
      <c r="B130" s="130" t="s">
        <v>1039</v>
      </c>
      <c r="C130" s="131" t="s">
        <v>1040</v>
      </c>
    </row>
    <row r="131" spans="2:3" x14ac:dyDescent="0.2">
      <c r="B131" s="130" t="s">
        <v>1041</v>
      </c>
      <c r="C131" s="131" t="s">
        <v>1042</v>
      </c>
    </row>
    <row r="132" spans="2:3" x14ac:dyDescent="0.2">
      <c r="B132" s="130" t="s">
        <v>1043</v>
      </c>
      <c r="C132" s="131" t="s">
        <v>869</v>
      </c>
    </row>
    <row r="133" spans="2:3" ht="25.5" x14ac:dyDescent="0.2">
      <c r="B133" s="132" t="s">
        <v>1044</v>
      </c>
      <c r="C133" s="133" t="s">
        <v>1045</v>
      </c>
    </row>
    <row r="134" spans="2:3" x14ac:dyDescent="0.2">
      <c r="B134" s="134"/>
      <c r="C134" s="135"/>
    </row>
    <row r="135" spans="2:3" x14ac:dyDescent="0.2">
      <c r="B135" s="136"/>
      <c r="C135" s="137"/>
    </row>
    <row r="136" spans="2:3" x14ac:dyDescent="0.2">
      <c r="B136" s="138" t="s">
        <v>1046</v>
      </c>
      <c r="C136" s="139"/>
    </row>
    <row r="137" spans="2:3" x14ac:dyDescent="0.2">
      <c r="B137" s="130"/>
      <c r="C137" s="131"/>
    </row>
    <row r="138" spans="2:3" x14ac:dyDescent="0.2">
      <c r="B138" s="130" t="s">
        <v>1047</v>
      </c>
      <c r="C138" s="131" t="s">
        <v>1048</v>
      </c>
    </row>
    <row r="139" spans="2:3" x14ac:dyDescent="0.2">
      <c r="B139" s="130" t="s">
        <v>1049</v>
      </c>
      <c r="C139" s="131" t="s">
        <v>1050</v>
      </c>
    </row>
    <row r="140" spans="2:3" x14ac:dyDescent="0.2">
      <c r="B140" s="130" t="s">
        <v>1051</v>
      </c>
      <c r="C140" s="131" t="s">
        <v>1052</v>
      </c>
    </row>
    <row r="141" spans="2:3" x14ac:dyDescent="0.2">
      <c r="B141" s="130" t="s">
        <v>1053</v>
      </c>
      <c r="C141" s="131" t="s">
        <v>1054</v>
      </c>
    </row>
    <row r="142" spans="2:3" x14ac:dyDescent="0.2">
      <c r="B142" s="130" t="s">
        <v>1055</v>
      </c>
      <c r="C142" s="131" t="s">
        <v>1056</v>
      </c>
    </row>
    <row r="143" spans="2:3" x14ac:dyDescent="0.2">
      <c r="B143" s="130" t="s">
        <v>1057</v>
      </c>
      <c r="C143" s="131" t="s">
        <v>1058</v>
      </c>
    </row>
    <row r="144" spans="2:3" x14ac:dyDescent="0.2">
      <c r="B144" s="132" t="s">
        <v>1059</v>
      </c>
      <c r="C144" s="133" t="s">
        <v>1060</v>
      </c>
    </row>
    <row r="145" spans="2:3" x14ac:dyDescent="0.2">
      <c r="B145" s="140"/>
      <c r="C145" s="141"/>
    </row>
    <row r="146" spans="2:3" x14ac:dyDescent="0.2">
      <c r="B146" s="138" t="s">
        <v>1061</v>
      </c>
      <c r="C146" s="139"/>
    </row>
    <row r="147" spans="2:3" x14ac:dyDescent="0.2">
      <c r="B147" s="130"/>
      <c r="C147" s="131"/>
    </row>
    <row r="148" spans="2:3" ht="25.5" x14ac:dyDescent="0.2">
      <c r="B148" s="130" t="s">
        <v>1062</v>
      </c>
      <c r="C148" s="131" t="s">
        <v>1063</v>
      </c>
    </row>
    <row r="149" spans="2:3" ht="25.5" x14ac:dyDescent="0.2">
      <c r="B149" s="130" t="s">
        <v>1064</v>
      </c>
      <c r="C149" s="131" t="s">
        <v>1065</v>
      </c>
    </row>
    <row r="150" spans="2:3" x14ac:dyDescent="0.2">
      <c r="B150" s="130" t="s">
        <v>1066</v>
      </c>
      <c r="C150" s="131" t="s">
        <v>925</v>
      </c>
    </row>
    <row r="151" spans="2:3" x14ac:dyDescent="0.2">
      <c r="B151" s="130" t="s">
        <v>1067</v>
      </c>
      <c r="C151" s="131" t="s">
        <v>1068</v>
      </c>
    </row>
    <row r="152" spans="2:3" x14ac:dyDescent="0.2">
      <c r="B152" s="130" t="s">
        <v>1069</v>
      </c>
      <c r="C152" s="131" t="s">
        <v>1070</v>
      </c>
    </row>
    <row r="153" spans="2:3" x14ac:dyDescent="0.2">
      <c r="B153" s="130" t="s">
        <v>1071</v>
      </c>
      <c r="C153" s="131" t="s">
        <v>1072</v>
      </c>
    </row>
    <row r="154" spans="2:3" x14ac:dyDescent="0.2">
      <c r="B154" s="132" t="s">
        <v>1073</v>
      </c>
      <c r="C154" s="133" t="s">
        <v>1074</v>
      </c>
    </row>
  </sheetData>
  <mergeCells count="2">
    <mergeCell ref="B3:C3"/>
    <mergeCell ref="B4: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start-up</vt:lpstr>
      <vt:lpstr>What if Analysis</vt:lpstr>
      <vt:lpstr>Cell Reference </vt:lpstr>
      <vt:lpstr>Date Function</vt:lpstr>
      <vt:lpstr>Datasheet</vt:lpstr>
      <vt:lpstr>Sort &amp; Filter</vt:lpstr>
      <vt:lpstr>Text to Columns</vt:lpstr>
      <vt:lpstr>Pivot</vt:lpstr>
      <vt:lpstr>Sheet3</vt:lpstr>
      <vt:lpstr>Sheet2</vt:lpstr>
      <vt:lpstr>Sheet1</vt:lpstr>
      <vt:lpstr>Name Manager</vt:lpstr>
      <vt:lpstr>Vlookup</vt:lpstr>
      <vt:lpstr>Data Validation</vt:lpstr>
      <vt:lpstr>Index &amp; Match</vt:lpstr>
      <vt:lpstr>Logical Function</vt:lpstr>
      <vt:lpstr>Consolidate</vt:lpstr>
      <vt:lpstr>Accounting</vt:lpstr>
      <vt:lpstr>Chart</vt:lpstr>
      <vt:lpstr>SHORT CUTS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gis1</cp:lastModifiedBy>
  <dcterms:created xsi:type="dcterms:W3CDTF">2017-11-06T03:36:19Z</dcterms:created>
  <dcterms:modified xsi:type="dcterms:W3CDTF">2024-08-09T14:26:55Z</dcterms:modified>
</cp:coreProperties>
</file>